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9.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10.xml" ContentType="application/vnd.openxmlformats-officedocument.drawing+xml"/>
  <Override PartName="/xl/tables/table3.xml" ContentType="application/vnd.openxmlformats-officedocument.spreadsheetml.table+xml"/>
  <Override PartName="/xl/slicers/slicer3.xml" ContentType="application/vnd.ms-excel.slicer+xml"/>
  <Override PartName="/xl/drawings/drawing11.xml" ContentType="application/vnd.openxmlformats-officedocument.drawing+xml"/>
  <Override PartName="/xl/tables/table4.xml" ContentType="application/vnd.openxmlformats-officedocument.spreadsheetml.table+xml"/>
  <Override PartName="/xl/slicers/slicer4.xml" ContentType="application/vnd.ms-excel.slicer+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ctrlProps/ctrlProp18.xml" ContentType="application/vnd.ms-excel.controlproperties+xml"/>
  <Override PartName="/xl/drawings/drawing54.xml" ContentType="application/vnd.openxmlformats-officedocument.drawing+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updateLinks="always" codeName="ThisWorkbook" defaultThemeVersion="166925"/>
  <mc:AlternateContent xmlns:mc="http://schemas.openxmlformats.org/markup-compatibility/2006">
    <mc:Choice Requires="x15">
      <x15ac:absPath xmlns:x15ac="http://schemas.microsoft.com/office/spreadsheetml/2010/11/ac" url="C:\Users\Proprietaire\Documents\9- Nouveau Modèle Economique\"/>
    </mc:Choice>
  </mc:AlternateContent>
  <xr:revisionPtr revIDLastSave="0" documentId="13_ncr:1_{07CDF14D-9D4B-4025-B081-6F1FC3E76A5A}" xr6:coauthVersionLast="40" xr6:coauthVersionMax="40" xr10:uidLastSave="{00000000-0000-0000-0000-000000000000}"/>
  <bookViews>
    <workbookView xWindow="0" yWindow="0" windowWidth="13320" windowHeight="5025" tabRatio="599" xr2:uid="{00000000-000D-0000-FFFF-FFFF00000000}"/>
  </bookViews>
  <sheets>
    <sheet name="Acceuil" sheetId="1" r:id="rId1"/>
    <sheet name="Ancien outil" sheetId="2" state="veryHidden" r:id="rId2"/>
    <sheet name="Estimatif Q" sheetId="99" r:id="rId3"/>
    <sheet name="Simulation" sheetId="28" r:id="rId4"/>
    <sheet name="COUTS" sheetId="111" r:id="rId5"/>
    <sheet name="DEVIS 3" sheetId="103" state="veryHidden" r:id="rId6"/>
    <sheet name="granulats" sheetId="69" state="veryHidden" r:id="rId7"/>
    <sheet name="MATIERES" sheetId="4" state="veryHidden" r:id="rId8"/>
    <sheet name="MINIPELLE" sheetId="5" state="veryHidden" r:id="rId9"/>
    <sheet name="CHANTIER" sheetId="6" state="veryHidden" r:id="rId10"/>
    <sheet name="ATELIER" sheetId="7" state="veryHidden" r:id="rId11"/>
    <sheet name="TCFV 1.5 mm" sheetId="112" state="veryHidden" r:id="rId12"/>
    <sheet name="TCFV" sheetId="35" state="veryHidden" r:id="rId13"/>
    <sheet name="TCFH" sheetId="9" state="veryHidden" r:id="rId14"/>
    <sheet name="TCBACS" sheetId="8" state="veryHidden" r:id="rId15"/>
    <sheet name="Outils de calculs" sheetId="3" state="veryHidden" r:id="rId16"/>
    <sheet name="Méthode calculs" sheetId="25" state="veryHidden" r:id="rId17"/>
    <sheet name="Filières" sheetId="26" state="veryHidden" r:id="rId18"/>
    <sheet name="PS1" sheetId="94" state="veryHidden" r:id="rId19"/>
    <sheet name="FVB1" sheetId="75" state="veryHidden" r:id="rId20"/>
    <sheet name="FVB2" sheetId="46" state="veryHidden" r:id="rId21"/>
    <sheet name="FVB3" sheetId="43" state="veryHidden" r:id="rId22"/>
    <sheet name="FV1" sheetId="44" state="veryHidden" r:id="rId23"/>
    <sheet name="FV2" sheetId="47" state="veryHidden" r:id="rId24"/>
    <sheet name="FV3" sheetId="50" state="veryHidden" r:id="rId25"/>
    <sheet name="FV4" sheetId="51" state="veryHidden" r:id="rId26"/>
    <sheet name="FV5" sheetId="84" state="veryHidden" r:id="rId27"/>
    <sheet name="FV6" sheetId="83" state="veryHidden" r:id="rId28"/>
    <sheet name="FV7" sheetId="85" state="veryHidden" r:id="rId29"/>
    <sheet name="FV8" sheetId="87" state="veryHidden" r:id="rId30"/>
    <sheet name="FV9" sheetId="86" state="veryHidden" r:id="rId31"/>
    <sheet name="FV10" sheetId="59" state="veryHidden" r:id="rId32"/>
    <sheet name="FH1" sheetId="45" state="veryHidden" r:id="rId33"/>
    <sheet name="FH2" sheetId="48" state="veryHidden" r:id="rId34"/>
    <sheet name="FH3" sheetId="52" state="veryHidden" r:id="rId35"/>
    <sheet name="FH4" sheetId="53" state="veryHidden" r:id="rId36"/>
    <sheet name="FH5" sheetId="60" state="veryHidden" r:id="rId37"/>
    <sheet name="FH6" sheetId="61" state="veryHidden" r:id="rId38"/>
    <sheet name="FH7" sheetId="62" state="veryHidden" r:id="rId39"/>
    <sheet name="FH8" sheetId="63" state="veryHidden" r:id="rId40"/>
    <sheet name="FH9" sheetId="88" state="veryHidden" r:id="rId41"/>
    <sheet name="collecte-exutoire" sheetId="64" state="veryHidden" r:id="rId42"/>
    <sheet name="Habillage" sheetId="65" state="veryHidden" r:id="rId43"/>
    <sheet name="Bandes de propreté" sheetId="81" state="veryHidden" r:id="rId44"/>
    <sheet name="Zones d'infiltration" sheetId="96" state="veryHidden" r:id="rId45"/>
    <sheet name="Finitions" sheetId="66" state="veryHidden" r:id="rId46"/>
    <sheet name="ALIM BAC relevage" sheetId="80" state="veryHidden" r:id="rId47"/>
    <sheet name="ALIM BAC Gravitaire" sheetId="79" state="veryHidden" r:id="rId48"/>
    <sheet name="ALIM FV-FH grav" sheetId="68" state="veryHidden" r:id="rId49"/>
    <sheet name="ALIM FV-FH relevage" sheetId="78" state="veryHidden" r:id="rId50"/>
    <sheet name="Distribution" sheetId="95" state="veryHidden" r:id="rId51"/>
    <sheet name="Bordures" sheetId="67" state="veryHidden" r:id="rId52"/>
    <sheet name="Profil" sheetId="106" state="veryHidden" r:id="rId53"/>
    <sheet name="Tableau de prix" sheetId="34" state="veryHidden" r:id="rId54"/>
    <sheet name=" BILAN MA" sheetId="33" state="veryHidden" r:id="rId55"/>
    <sheet name="BILAN MOA" sheetId="32" state="veryHidden" r:id="rId56"/>
    <sheet name="BILAN MOC" sheetId="31" state="veryHidden" r:id="rId57"/>
    <sheet name=" BILAN MP" sheetId="30" state="veryHidden" r:id="rId58"/>
    <sheet name="Détail PS1" sheetId="109" state="veryHidden" r:id="rId59"/>
    <sheet name="Feuil1" sheetId="107" state="veryHidden" r:id="rId60"/>
    <sheet name="Feuil4" sheetId="110" state="veryHidden" r:id="rId61"/>
  </sheets>
  <externalReferences>
    <externalReference r:id="rId62"/>
    <externalReference r:id="rId63"/>
    <externalReference r:id="rId64"/>
  </externalReferences>
  <definedNames>
    <definedName name="_xlnm._FilterDatabase" localSheetId="7" hidden="1">MATIERES!$A$1:$G$384</definedName>
    <definedName name="abbatarbrev">Simulation!$B$16</definedName>
    <definedName name="Accessoires">MATIERES!$A$18:$A$24</definedName>
    <definedName name="Accessoires_au_détail">MATIERES!$A$25:$A$44</definedName>
    <definedName name="BACS">MATIERES!$A$45:$A$55</definedName>
    <definedName name="Bandes_de_propreté">'[1]Listes simu'!$E$2:$E$8</definedName>
    <definedName name="BETON">MATIERES!$A$391:$A$393</definedName>
    <definedName name="BOIS">MATIERES!$A$56:$A$66</definedName>
    <definedName name="BORDURES">MATIERES!$A$67:$A$79</definedName>
    <definedName name="Bordures_">'[1]Listes simu'!$F$2:$F$9</definedName>
    <definedName name="CATEGORIE_MA">MATIERES!$J$2:$J$430</definedName>
    <definedName name="CATEGORIE_MOA">ATELIER!$J$2:$J$91</definedName>
    <definedName name="CATEGORIE_MOC">CHANTIER!$H$2:$H$87</definedName>
    <definedName name="CATEGORIE_MP" localSheetId="11">MINIPELLE!#REF!</definedName>
    <definedName name="CATEGORIE_MP">MINIPELLE!#REF!</definedName>
    <definedName name="CATEGORIEATELIER">ATELIER!$J$1:$J$1</definedName>
    <definedName name="CATEGORIEMP2">MINIPELLE!$J$2:$J$12</definedName>
    <definedName name="CHAGREMENT">MINIPELLE!$A$2:$A$3</definedName>
    <definedName name="CHARGEMENT">MINIPELLE!$A$2:$A$3</definedName>
    <definedName name="CHASSEchoix">Simulation!$J$14</definedName>
    <definedName name="CHASSES">MATIERES!$A$166:$A$170</definedName>
    <definedName name="CHOIX_GRAVITAIRE">Simulation!$D$72:$H$80</definedName>
    <definedName name="CHOIX_RELEVAGE">Simulation!$I$73:$N$79</definedName>
    <definedName name="Collecte_Exutoire_MOC">CHANTIER!$A$14:$A$31</definedName>
    <definedName name="cotesFEFHe">Profil!$B$41</definedName>
    <definedName name="cotesFEFHs">Profil!$B$41</definedName>
    <definedName name="cotesFEfosse">Profil!$B$41</definedName>
    <definedName name="cotesFEFVe">Profil!$B$41</definedName>
    <definedName name="cotesFEFVs">Profil!$B$41</definedName>
    <definedName name="cotesFEhab">Profil!$B$41</definedName>
    <definedName name="cotesFEPR">Profil!$B$41</definedName>
    <definedName name="cotesFEPR3">Profil!$B$41</definedName>
    <definedName name="cotesTNFHe">Profil!$B$41</definedName>
    <definedName name="cotesTNFHs">Profil!$B$41</definedName>
    <definedName name="cotesTNfosse">Profil!$B$41</definedName>
    <definedName name="cotesTNFVe">Profil!$B$41</definedName>
    <definedName name="cotesTNFVs">Profil!$B$41</definedName>
    <definedName name="cotesTNhab">Profil!$B$41</definedName>
    <definedName name="cotesTNPR">Profil!$B$41</definedName>
    <definedName name="cotesTNPR2">Profil!$B$41</definedName>
    <definedName name="dessouchaiev">Simulation!$B$14</definedName>
    <definedName name="dessoucharbrev">Simulation!$B$15</definedName>
    <definedName name="distA" localSheetId="52">Simulation!$J$82</definedName>
    <definedName name="distA">Simulation!$J$82</definedName>
    <definedName name="distB" localSheetId="52">Simulation!$K$82</definedName>
    <definedName name="distB">Simulation!$K$82</definedName>
    <definedName name="distB2" localSheetId="52">Simulation!$L$82</definedName>
    <definedName name="distB2">Simulation!$L$82</definedName>
    <definedName name="distC" localSheetId="52">Simulation!$M$82</definedName>
    <definedName name="distC">Simulation!$M$82</definedName>
    <definedName name="distD" localSheetId="52">Simulation!$O$82</definedName>
    <definedName name="distD">Simulation!$O$82</definedName>
    <definedName name="distE" localSheetId="52">Simulation!$P$82</definedName>
    <definedName name="distE">Simulation!$P$82</definedName>
    <definedName name="distFH">Simulation!$G$12</definedName>
    <definedName name="distFV">Simulation!$G$9</definedName>
    <definedName name="distZI">Simulation!$O$72</definedName>
    <definedName name="distZI2">Simulation!$P$72</definedName>
    <definedName name="DIVERS">MATIERES!$A$80:$A$93</definedName>
    <definedName name="emplPREC">Simulation!$A$12</definedName>
    <definedName name="enlevementv">Simulation!$B$18</definedName>
    <definedName name="EPANDRAINv">Simulation!$P$70</definedName>
    <definedName name="EPDM">MATIERES!$A$94</definedName>
    <definedName name="EPDM_FH">MATIERES!$A$95:$A$108</definedName>
    <definedName name="EPDM_FV">MATIERES!$A$109:$A$145</definedName>
    <definedName name="EVACUATION_DIA_100">MATIERES!$A$2:$A$17</definedName>
    <definedName name="EVACUATION_DIA_50">MATIERES!$A$146:$A$152</definedName>
    <definedName name="FEFHev" localSheetId="52">Profil!$I$105</definedName>
    <definedName name="FEFHsv" localSheetId="52">Profil!$I$106</definedName>
    <definedName name="FEfossev" localSheetId="52">Profil!$I$115</definedName>
    <definedName name="FEFVev" localSheetId="52">Profil!$I$102</definedName>
    <definedName name="FEFVsv" localSheetId="52">Profil!$I$103</definedName>
    <definedName name="FEhabitation">Simulation!$D$82</definedName>
    <definedName name="FEhabv" localSheetId="52">Profil!$I$100</definedName>
    <definedName name="FEPR1v" localSheetId="52">Profil!$I$101</definedName>
    <definedName name="FEPR2v" localSheetId="52">Profil!$I$104</definedName>
    <definedName name="FEPR3v" localSheetId="52">Profil!$I$107</definedName>
    <definedName name="FEPR4v">Profil!$I$110</definedName>
    <definedName name="FEZI2ev">Profil!$I$111</definedName>
    <definedName name="FEZI2sv">Profil!$I$112</definedName>
    <definedName name="FEZI3ev">Profil!$I$113</definedName>
    <definedName name="FEZI3sv">Profil!$I$114</definedName>
    <definedName name="FEZIev" localSheetId="52">Profil!$I$108</definedName>
    <definedName name="FEZIsv" localSheetId="52">Profil!$I$109</definedName>
    <definedName name="FH">'[1]Listes simu'!$B$2:$B$3</definedName>
    <definedName name="FHchoix">Simulation!$L$7</definedName>
    <definedName name="FHSCchoix">Simulation!$L$8</definedName>
    <definedName name="Filtre_Horizontal">'[1]Listes simu'!$B$2:$B$3</definedName>
    <definedName name="Filtre_vertical">'[1]Listes simu'!$A$2:$A$12</definedName>
    <definedName name="FINITIONS">MATIERES!$A$153:$A$160</definedName>
    <definedName name="Finitions_">'[1]Listes simu'!$D$2:$D$5</definedName>
    <definedName name="FOSSEchoix">Simulation!$J$16</definedName>
    <definedName name="Fournitures">MATIERES!$A$161:$A$165</definedName>
    <definedName name="FV">'[1]Listes simu'!$A$2:$A$12</definedName>
    <definedName name="FVB1_enterré">"Rectangle : coins arrondis 21"</definedName>
    <definedName name="FVB2_semi_enterré">"Rectangle : coins arrondis 22"</definedName>
    <definedName name="FVB3_hos_sol">"Rectangle : coins arrondis 23"</definedName>
    <definedName name="FVBchoix">Simulation!$J$7</definedName>
    <definedName name="FVBSCchoix">Simulation!$J$8</definedName>
    <definedName name="FVchoix">Simulation!$K$7</definedName>
    <definedName name="FVSCchoix">Simulation!$K$8</definedName>
    <definedName name="GEOTEXTILE">MATIERES!$A$171:$A$174</definedName>
    <definedName name="Géotextile">MATIERES!$A$171:$A$174</definedName>
    <definedName name="GRANULATS">MATIERES!$A$385:$A$390</definedName>
    <definedName name="H">'[1]Listes simu'!$C$2:$C$6</definedName>
    <definedName name="Habillage">'[1]Listes simu'!$C$2:$C$6</definedName>
    <definedName name="MA" workbookParameter="1">'Ancien outil'!$B$6</definedName>
    <definedName name="MA_CATEGORIE">MATIERES!$J$2:$J$437</definedName>
    <definedName name="MO" workbookParameter="1">'Ancien outil'!$B$5</definedName>
    <definedName name="MOA_ALIM">ATELIER!$A$2:$A$8</definedName>
    <definedName name="MOA_BETON">ATELIER!$A$9:$A$11</definedName>
    <definedName name="MOA_BOIS">ATELIER!$A$12:$A$22</definedName>
    <definedName name="MOA_PROTECTION_SANITAIRE">ATELIER!$A$22:$A$23</definedName>
    <definedName name="MOA_Systèmes_Constructifs">ATELIER!$A$9:$A$24</definedName>
    <definedName name="MOA_Tronc_Commun">ATELIER!$A$25:$A$35</definedName>
    <definedName name="MOC_ALIM">CHANTIER!$A$2:$A$11</definedName>
    <definedName name="MOC_Bordures">CHANTIER!$A$78:$A$82</definedName>
    <definedName name="MOC_Collecte_Exutoire">CHANTIER!$A$12:$A$29</definedName>
    <definedName name="MOC_PREPARATION">CHANTIER!$A$30:$A$31</definedName>
    <definedName name="MOC_PROTECTION_SANITAIRE">CHANTIER!$A$32:$A$35</definedName>
    <definedName name="MOC_Systèmes_Constructifs">CHANTIER!$A$36:$A$56</definedName>
    <definedName name="MOC_Tronc_Commun">CHANTIER!$A$57:$A$77</definedName>
    <definedName name="MP" workbookParameter="1">'Ancien outil'!$B$4</definedName>
    <definedName name="MP_CHARGEMENT">MINIPELLE!$A$2:$A$3</definedName>
    <definedName name="MP_FINITIONS">MINIPELLE!$A$4:$A$5</definedName>
    <definedName name="MP_MANUTENTION">MINIPELLE!$A$6:$A$9</definedName>
    <definedName name="MP_MISE_EN_PLACE">MINIPELLE!$A$10:$A$11</definedName>
    <definedName name="MP_TERRASSEMENT">MINIPELLE!$A$12:$A$28</definedName>
    <definedName name="Noms_Clients" localSheetId="4">COUTS!#REF!</definedName>
    <definedName name="Noms_Clients" localSheetId="11">'DEVIS 3'!#REF!</definedName>
    <definedName name="Noms_Clients">'DEVIS 3'!#REF!</definedName>
    <definedName name="Outillage">MATIERES!$A$175:$A$176</definedName>
    <definedName name="PIGEON_MATERIAUX">MATIERES!$A$177:$A$185</definedName>
    <definedName name="PLANTES_AQUATIQUES">MATIERES!$A$216:$A$234</definedName>
    <definedName name="PLANTES_EPURATRICES">MATIERES!$A$186:$A$215</definedName>
    <definedName name="PLANTES_FRAIS">MATIERES!$A$247:$A$265</definedName>
    <definedName name="PLANTES_HUMIDES">MATIERES!$A$236:$A$246</definedName>
    <definedName name="POSTES_DE_RELEVAGES">MATIERES!$A$266:$A$282</definedName>
    <definedName name="PRESSION_DIA_50">MATIERES!$A$283:$A$286</definedName>
    <definedName name="profPR1">Simulation!$G$83</definedName>
    <definedName name="PROTECTIONS_SANITAIRES">MATIERES!$A$287:$A$307</definedName>
    <definedName name="PVC">MATIERES!$A$394:$A$396</definedName>
    <definedName name="QUINCAILLERIE">MATIERES!$A$309:$A$315</definedName>
    <definedName name="REDUCTIONS">MATIERES!$A$316:$A$321</definedName>
    <definedName name="REGARDbéton">MATIERES!$A$322:$A$326</definedName>
    <definedName name="REGARDS">MATIERES!$A$322:$A$349</definedName>
    <definedName name="REGARDS_ET_REPARTITEURS">MATIERES!$A$327:$A$349</definedName>
    <definedName name="réhausseFH">Profil!$Q$101</definedName>
    <definedName name="rel">Simulation!$B$12</definedName>
    <definedName name="RELEVAGE">MATIERES!$A$350:$A$373</definedName>
    <definedName name="RELEVAGE2">MATIERES!$A$350:$A$373</definedName>
    <definedName name="SANITAIRE">MATIERES!$A$287:$A$308</definedName>
    <definedName name="SASKIT">MATIERES!$A$89:$A$384</definedName>
    <definedName name="Segment_Catégorie" workbookParameter="1">#N/A</definedName>
    <definedName name="Segment_Catégorie1" workbookParameter="1">#N/A</definedName>
    <definedName name="Segment_Catégorie2" workbookParameter="1">#N/A</definedName>
    <definedName name="Segment_Catégorie3" workbookParameter="1">#N/A</definedName>
    <definedName name="Segment_FOURNISSEURS" workbookParameter="1">#N/A</definedName>
    <definedName name="SZI">Simulation!$P$67</definedName>
    <definedName name="SZRVaqua">Simulation!$P$68</definedName>
    <definedName name="SZRVligneux">Simulation!$P$69</definedName>
    <definedName name="TERRASSEMENT">MINIPELLE!$A$12:$A$28</definedName>
    <definedName name="terrassupv">Simulation!$B$17</definedName>
    <definedName name="TNFHe" localSheetId="52">Profil!$H$105</definedName>
    <definedName name="TNFHs" localSheetId="52">Profil!$H$106</definedName>
    <definedName name="TNfosse" localSheetId="52">Profil!$H$115</definedName>
    <definedName name="TNfosse2">Profil!$H$116</definedName>
    <definedName name="TNFVe" localSheetId="52">Profil!$H$102</definedName>
    <definedName name="TNFVs" localSheetId="52">Profil!$H$103</definedName>
    <definedName name="TNhab" localSheetId="52">Profil!$H$100</definedName>
    <definedName name="TNPR1" localSheetId="52">Profil!$H$101</definedName>
    <definedName name="TNPR2" localSheetId="52">Profil!$H$104</definedName>
    <definedName name="TNPR3" localSheetId="52">Profil!$H$107</definedName>
    <definedName name="TNPR4">Profil!$H$110</definedName>
    <definedName name="TNroute">Profil!$H$117</definedName>
    <definedName name="TNZI2e">Profil!$H$111</definedName>
    <definedName name="TNZI2s">Profil!$H$112</definedName>
    <definedName name="TNZI3e">Profil!$H$113</definedName>
    <definedName name="TNZI3s">Profil!$H$114</definedName>
    <definedName name="TNZIe" localSheetId="52">Profil!$H$108</definedName>
    <definedName name="TNZIs" localSheetId="52">Profil!$H$109</definedName>
    <definedName name="TUBES">MATIERES!$A$374:$A$377</definedName>
    <definedName name="TVA" localSheetId="47">MA:MA_CATEGORIE</definedName>
    <definedName name="TVA" localSheetId="46">MA:MA_CATEGORIE</definedName>
    <definedName name="TVA" localSheetId="49">MA:MA_CATEGORIE</definedName>
    <definedName name="TVA" localSheetId="43">MA:MA_CATEGORIE</definedName>
    <definedName name="TVA" localSheetId="40">MA:MA_CATEGORIE</definedName>
    <definedName name="TVA" localSheetId="26">MA:MA_CATEGORIE</definedName>
    <definedName name="TVA" localSheetId="27">MA:MA_CATEGORIE</definedName>
    <definedName name="TVA" localSheetId="28">MA:MA_CATEGORIE</definedName>
    <definedName name="TVA" localSheetId="29">MA:MA_CATEGORIE</definedName>
    <definedName name="TVA" localSheetId="30">MA:MA_CATEGORIE</definedName>
    <definedName name="TVA" localSheetId="19">MA:MA_CATEGORIE</definedName>
    <definedName name="TVA" localSheetId="18">MA:MA_CATEGORIE</definedName>
    <definedName name="TVA">MA:MA_CATEGORIE</definedName>
    <definedName name="xFHe" localSheetId="52">Profil!$G$105</definedName>
    <definedName name="xFHs" localSheetId="52">Profil!$G$106</definedName>
    <definedName name="xFosse">Profil!$G$115</definedName>
    <definedName name="xFVe" localSheetId="52">Profil!$G$102</definedName>
    <definedName name="xFVs" localSheetId="52">Profil!$G$103</definedName>
    <definedName name="xhab" localSheetId="52">Profil!$G$100</definedName>
    <definedName name="xPR1" localSheetId="52">Profil!$G$101</definedName>
    <definedName name="xPR2" localSheetId="52">Profil!$G$104</definedName>
    <definedName name="xPR3" localSheetId="52">Profil!$G$107</definedName>
    <definedName name="xPR4">Profil!$G$110</definedName>
    <definedName name="xroute">Profil!$G$116</definedName>
    <definedName name="xZI2e">Profil!$G$111</definedName>
    <definedName name="xZI2s">Profil!$G$112</definedName>
    <definedName name="xZI3e">Profil!$G$113</definedName>
    <definedName name="xZI3s">Profil!$G$114</definedName>
    <definedName name="xZIe">Profil!$G$108</definedName>
    <definedName name="xZIs" localSheetId="52">Profil!$G$109</definedName>
    <definedName name="ZI1choix">Simulation!$J$15</definedName>
    <definedName name="ZI2choix">Simulation!$K$15</definedName>
    <definedName name="ZI3choix">Simulation!$L$15</definedName>
    <definedName name="_xlnm.Print_Area" localSheetId="4">COUTS!$A$1:$K$50</definedName>
    <definedName name="_xlnm.Print_Area" localSheetId="5">'DEVIS 3'!$A$1:$I$28</definedName>
    <definedName name="_xlnm.Print_Area" localSheetId="3">Simulation!$AX$1:$BL$30</definedName>
  </definedNames>
  <calcPr calcId="181029"/>
  <fileRecoveryPr autoRecover="0"/>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5"/>
        <x14:slicerCache r:id="rId66"/>
        <x14:slicerCache r:id="rId67"/>
        <x14:slicerCache r:id="rId68"/>
        <x14:slicerCache r:id="rId69"/>
      </x15:slicerCaches>
    </ext>
  </extLst>
</workbook>
</file>

<file path=xl/calcChain.xml><?xml version="1.0" encoding="utf-8"?>
<calcChain xmlns="http://schemas.openxmlformats.org/spreadsheetml/2006/main">
  <c r="I8" i="86" l="1"/>
  <c r="J8" i="86"/>
  <c r="K8" i="86"/>
  <c r="L8" i="86"/>
  <c r="M8" i="86"/>
  <c r="N8" i="86"/>
  <c r="O8" i="86"/>
  <c r="P8" i="86"/>
  <c r="Q8" i="86"/>
  <c r="R8" i="86"/>
  <c r="S8" i="86"/>
  <c r="T8" i="86"/>
  <c r="U8" i="86"/>
  <c r="V8" i="86"/>
  <c r="W8" i="86"/>
  <c r="X8" i="86"/>
  <c r="Y8" i="86"/>
  <c r="Z8" i="86"/>
  <c r="AA8" i="86"/>
  <c r="AB8" i="86"/>
  <c r="AC8" i="86"/>
  <c r="AD8" i="86"/>
  <c r="AE8" i="86"/>
  <c r="AF8" i="86"/>
  <c r="AG8" i="86"/>
  <c r="AH8" i="86"/>
  <c r="AI8" i="86"/>
  <c r="AJ8" i="86"/>
  <c r="AK8" i="86"/>
  <c r="AL8" i="86"/>
  <c r="AM8" i="86"/>
  <c r="AN8" i="86"/>
  <c r="I9" i="86"/>
  <c r="J9" i="86"/>
  <c r="K9" i="86"/>
  <c r="L9" i="86"/>
  <c r="M9" i="86"/>
  <c r="N9" i="86"/>
  <c r="O9" i="86"/>
  <c r="P9" i="86"/>
  <c r="Q9" i="86"/>
  <c r="R9" i="86"/>
  <c r="S9" i="86"/>
  <c r="T9" i="86"/>
  <c r="U9" i="86"/>
  <c r="V9" i="86"/>
  <c r="W9" i="86"/>
  <c r="X9" i="86"/>
  <c r="Y9" i="86"/>
  <c r="Z9" i="86"/>
  <c r="AA9" i="86"/>
  <c r="AB9" i="86"/>
  <c r="AC9" i="86"/>
  <c r="AD9" i="86"/>
  <c r="AE9" i="86"/>
  <c r="AF9" i="86"/>
  <c r="AG9" i="86"/>
  <c r="AH9" i="86"/>
  <c r="AI9" i="86"/>
  <c r="AJ9" i="86"/>
  <c r="AK9" i="86"/>
  <c r="AL9" i="86"/>
  <c r="AM9" i="86"/>
  <c r="AN9" i="86"/>
  <c r="I10" i="86"/>
  <c r="J10" i="86"/>
  <c r="K10" i="86"/>
  <c r="L10" i="86"/>
  <c r="M10" i="86"/>
  <c r="N10" i="86"/>
  <c r="O10" i="86"/>
  <c r="P10" i="86"/>
  <c r="Q10" i="86"/>
  <c r="R10" i="86"/>
  <c r="S10" i="86"/>
  <c r="T10" i="86"/>
  <c r="U10" i="86"/>
  <c r="V10" i="86"/>
  <c r="W10" i="86"/>
  <c r="X10" i="86"/>
  <c r="Y10" i="86"/>
  <c r="Z10" i="86"/>
  <c r="AA10" i="86"/>
  <c r="AB10" i="86"/>
  <c r="AC10" i="86"/>
  <c r="AD10" i="86"/>
  <c r="AE10" i="86"/>
  <c r="AF10" i="86"/>
  <c r="AG10" i="86"/>
  <c r="AH10" i="86"/>
  <c r="AI10" i="86"/>
  <c r="AJ10" i="86"/>
  <c r="AK10" i="86"/>
  <c r="AL10" i="86"/>
  <c r="AM10" i="86"/>
  <c r="AN10" i="86"/>
  <c r="H9" i="86"/>
  <c r="G9" i="86"/>
  <c r="G8" i="86"/>
  <c r="K4" i="86"/>
  <c r="L4" i="86"/>
  <c r="M4" i="86"/>
  <c r="N4" i="86"/>
  <c r="O4" i="86"/>
  <c r="P4" i="86"/>
  <c r="Q4" i="86"/>
  <c r="R4" i="86"/>
  <c r="S4" i="86"/>
  <c r="T4" i="86"/>
  <c r="U4" i="86"/>
  <c r="V4" i="86"/>
  <c r="W4" i="86"/>
  <c r="X4" i="86"/>
  <c r="Y4" i="86"/>
  <c r="Z4" i="86"/>
  <c r="AA4" i="86"/>
  <c r="AB4" i="86"/>
  <c r="AC4" i="86"/>
  <c r="AD4" i="86"/>
  <c r="AE4" i="86"/>
  <c r="AF4" i="86"/>
  <c r="AG4" i="86"/>
  <c r="AH4" i="86"/>
  <c r="AI4" i="86"/>
  <c r="AJ4" i="86"/>
  <c r="AK4" i="86"/>
  <c r="AL4" i="86"/>
  <c r="AM4" i="86"/>
  <c r="AN4" i="86"/>
  <c r="K5" i="86"/>
  <c r="L5" i="86"/>
  <c r="M5" i="86"/>
  <c r="N5" i="86"/>
  <c r="O5" i="86"/>
  <c r="P5" i="86"/>
  <c r="Q5" i="86"/>
  <c r="R5" i="86"/>
  <c r="S5" i="86"/>
  <c r="T5" i="86"/>
  <c r="U5" i="86"/>
  <c r="V5" i="86"/>
  <c r="W5" i="86"/>
  <c r="X5" i="86"/>
  <c r="Y5" i="86"/>
  <c r="Z5" i="86"/>
  <c r="AA5" i="86"/>
  <c r="AB5" i="86"/>
  <c r="AC5" i="86"/>
  <c r="AD5" i="86"/>
  <c r="AE5" i="86"/>
  <c r="AF5" i="86"/>
  <c r="AG5" i="86"/>
  <c r="AH5" i="86"/>
  <c r="AI5" i="86"/>
  <c r="AJ5" i="86"/>
  <c r="AK5" i="86"/>
  <c r="AL5" i="86"/>
  <c r="AM5" i="86"/>
  <c r="AN5" i="86"/>
  <c r="K6" i="86"/>
  <c r="L6" i="86"/>
  <c r="M6" i="86"/>
  <c r="N6" i="86"/>
  <c r="O6" i="86"/>
  <c r="P6" i="86"/>
  <c r="Q6" i="86"/>
  <c r="R6" i="86"/>
  <c r="S6" i="86"/>
  <c r="T6" i="86"/>
  <c r="U6" i="86"/>
  <c r="V6" i="86"/>
  <c r="W6" i="86"/>
  <c r="X6" i="86"/>
  <c r="Y6" i="86"/>
  <c r="Z6" i="86"/>
  <c r="AA6" i="86"/>
  <c r="AB6" i="86"/>
  <c r="AC6" i="86"/>
  <c r="AD6" i="86"/>
  <c r="AE6" i="86"/>
  <c r="AF6" i="86"/>
  <c r="AG6" i="86"/>
  <c r="AH6" i="86"/>
  <c r="AI6" i="86"/>
  <c r="AJ6" i="86"/>
  <c r="AK6" i="86"/>
  <c r="AL6" i="86"/>
  <c r="AM6" i="86"/>
  <c r="AN6" i="86"/>
  <c r="K7" i="86"/>
  <c r="L7" i="86"/>
  <c r="M7" i="86"/>
  <c r="N7" i="86"/>
  <c r="O7" i="86"/>
  <c r="P7" i="86"/>
  <c r="Q7" i="86"/>
  <c r="R7" i="86"/>
  <c r="S7" i="86"/>
  <c r="T7" i="86"/>
  <c r="U7" i="86"/>
  <c r="V7" i="86"/>
  <c r="W7" i="86"/>
  <c r="X7" i="86"/>
  <c r="Y7" i="86"/>
  <c r="Z7" i="86"/>
  <c r="AA7" i="86"/>
  <c r="AB7" i="86"/>
  <c r="AC7" i="86"/>
  <c r="AD7" i="86"/>
  <c r="AE7" i="86"/>
  <c r="AF7" i="86"/>
  <c r="AG7" i="86"/>
  <c r="AH7" i="86"/>
  <c r="AI7" i="86"/>
  <c r="AJ7" i="86"/>
  <c r="AK7" i="86"/>
  <c r="AL7" i="86"/>
  <c r="AM7" i="86"/>
  <c r="AN7" i="86"/>
  <c r="E4" i="86"/>
  <c r="F4" i="86"/>
  <c r="G4" i="86"/>
  <c r="H4" i="86"/>
  <c r="E5" i="86"/>
  <c r="F5" i="86"/>
  <c r="G5" i="86"/>
  <c r="H5" i="86"/>
  <c r="E6" i="86"/>
  <c r="F6" i="86"/>
  <c r="G6" i="86"/>
  <c r="H6" i="86"/>
  <c r="E7" i="86"/>
  <c r="F7" i="86"/>
  <c r="G7" i="86"/>
  <c r="H7" i="86"/>
  <c r="E8" i="86"/>
  <c r="F8" i="86"/>
  <c r="H8" i="86"/>
  <c r="E10" i="86"/>
  <c r="F10" i="86"/>
  <c r="G10" i="86"/>
  <c r="H10" i="86"/>
  <c r="I6" i="86"/>
  <c r="I5" i="86"/>
  <c r="I4" i="86"/>
  <c r="J4" i="86" s="1"/>
  <c r="I7" i="86"/>
  <c r="J7" i="86" s="1"/>
  <c r="J5" i="86"/>
  <c r="J6" i="86"/>
  <c r="D5" i="86"/>
  <c r="D6" i="86"/>
  <c r="D8" i="86"/>
  <c r="D10" i="86"/>
  <c r="D4" i="86"/>
  <c r="K59" i="34" l="1"/>
  <c r="L59" i="34"/>
  <c r="M59" i="34"/>
  <c r="N59" i="34"/>
  <c r="O59" i="34"/>
  <c r="P59" i="34"/>
  <c r="Q59" i="34"/>
  <c r="R59" i="34"/>
  <c r="S59" i="34"/>
  <c r="T59" i="34"/>
  <c r="U59" i="34"/>
  <c r="V59" i="34"/>
  <c r="W59" i="34"/>
  <c r="X59" i="34"/>
  <c r="L60" i="34"/>
  <c r="M60" i="34"/>
  <c r="N60" i="34"/>
  <c r="Q60" i="34"/>
  <c r="R60" i="34"/>
  <c r="S60" i="34"/>
  <c r="T60" i="34"/>
  <c r="U60" i="34"/>
  <c r="V60" i="34"/>
  <c r="X60" i="34"/>
  <c r="P61" i="34"/>
  <c r="Q61" i="34"/>
  <c r="R61" i="34"/>
  <c r="S61" i="34"/>
  <c r="T61" i="34"/>
  <c r="U61" i="34"/>
  <c r="V61" i="34"/>
  <c r="W61" i="34"/>
  <c r="X61" i="34"/>
  <c r="X62" i="34"/>
  <c r="G20" i="68"/>
  <c r="H20" i="68" s="1"/>
  <c r="I20" i="68"/>
  <c r="J20" i="68" s="1"/>
  <c r="K20" i="68"/>
  <c r="L20" i="68" s="1"/>
  <c r="M20" i="68"/>
  <c r="N20" i="68"/>
  <c r="O20" i="68"/>
  <c r="P20" i="68" s="1"/>
  <c r="Q20" i="68"/>
  <c r="R20" i="68" s="1"/>
  <c r="S20" i="68"/>
  <c r="T20" i="68" s="1"/>
  <c r="U20" i="68"/>
  <c r="V20" i="68"/>
  <c r="W20" i="68"/>
  <c r="X20" i="68" s="1"/>
  <c r="Y20" i="68"/>
  <c r="Z20" i="68" s="1"/>
  <c r="AA20" i="68"/>
  <c r="AB20" i="68" s="1"/>
  <c r="AC20" i="68"/>
  <c r="AD20" i="68" s="1"/>
  <c r="AE20" i="68"/>
  <c r="AF20" i="68" s="1"/>
  <c r="AG20" i="68"/>
  <c r="AH20" i="68" s="1"/>
  <c r="AI20" i="68"/>
  <c r="AJ20" i="68" s="1"/>
  <c r="AK20" i="68"/>
  <c r="AL20" i="68" s="1"/>
  <c r="AM20" i="68"/>
  <c r="AN20" i="68" s="1"/>
  <c r="G21" i="68"/>
  <c r="H21" i="68" s="1"/>
  <c r="I21" i="68"/>
  <c r="J21" i="68" s="1"/>
  <c r="K21" i="68"/>
  <c r="L21" i="68" s="1"/>
  <c r="M21" i="68"/>
  <c r="N21" i="68" s="1"/>
  <c r="O21" i="68"/>
  <c r="P21" i="68" s="1"/>
  <c r="Q21" i="68"/>
  <c r="R21" i="68" s="1"/>
  <c r="S21" i="68"/>
  <c r="T21" i="68" s="1"/>
  <c r="U21" i="68"/>
  <c r="V21" i="68" s="1"/>
  <c r="W21" i="68"/>
  <c r="X21" i="68" s="1"/>
  <c r="Y21" i="68"/>
  <c r="Z21" i="68" s="1"/>
  <c r="AA21" i="68"/>
  <c r="AB21" i="68" s="1"/>
  <c r="AC21" i="68"/>
  <c r="AD21" i="68" s="1"/>
  <c r="AE21" i="68"/>
  <c r="AF21" i="68" s="1"/>
  <c r="AG21" i="68"/>
  <c r="AH21" i="68" s="1"/>
  <c r="AI21" i="68"/>
  <c r="AJ21" i="68" s="1"/>
  <c r="AK21" i="68"/>
  <c r="AL21" i="68" s="1"/>
  <c r="AM21" i="68"/>
  <c r="AN21" i="68" s="1"/>
  <c r="G22" i="68"/>
  <c r="H22" i="68" s="1"/>
  <c r="I22" i="68"/>
  <c r="J22" i="68" s="1"/>
  <c r="K22" i="68"/>
  <c r="L22" i="68" s="1"/>
  <c r="M22" i="68"/>
  <c r="N22" i="68" s="1"/>
  <c r="O22" i="68"/>
  <c r="P22" i="68" s="1"/>
  <c r="Q22" i="68"/>
  <c r="R22" i="68" s="1"/>
  <c r="S22" i="68"/>
  <c r="T22" i="68" s="1"/>
  <c r="U22" i="68"/>
  <c r="V22" i="68" s="1"/>
  <c r="W22" i="68"/>
  <c r="X22" i="68" s="1"/>
  <c r="Y22" i="68"/>
  <c r="Z22" i="68" s="1"/>
  <c r="AA22" i="68"/>
  <c r="AB22" i="68" s="1"/>
  <c r="AC22" i="68"/>
  <c r="AD22" i="68" s="1"/>
  <c r="AE22" i="68"/>
  <c r="AF22" i="68" s="1"/>
  <c r="AG22" i="68"/>
  <c r="AH22" i="68" s="1"/>
  <c r="AI22" i="68"/>
  <c r="AJ22" i="68" s="1"/>
  <c r="AK22" i="68"/>
  <c r="AL22" i="68" s="1"/>
  <c r="AM22" i="68"/>
  <c r="AN22" i="68" s="1"/>
  <c r="E22" i="68"/>
  <c r="E21" i="68"/>
  <c r="E20" i="68"/>
  <c r="G26" i="68"/>
  <c r="H26" i="68" s="1"/>
  <c r="I26" i="68"/>
  <c r="J26" i="68" s="1"/>
  <c r="K26" i="68"/>
  <c r="L26" i="68" s="1"/>
  <c r="M26" i="68"/>
  <c r="N26" i="68" s="1"/>
  <c r="O26" i="68"/>
  <c r="P26" i="68" s="1"/>
  <c r="Q26" i="68"/>
  <c r="R26" i="68" s="1"/>
  <c r="S26" i="68"/>
  <c r="T26" i="68" s="1"/>
  <c r="U26" i="68"/>
  <c r="V26" i="68" s="1"/>
  <c r="W26" i="68"/>
  <c r="X26" i="68" s="1"/>
  <c r="Y26" i="68"/>
  <c r="Z26" i="68" s="1"/>
  <c r="AA26" i="68"/>
  <c r="AB26" i="68" s="1"/>
  <c r="AC26" i="68"/>
  <c r="AD26" i="68" s="1"/>
  <c r="AE26" i="68"/>
  <c r="AF26" i="68" s="1"/>
  <c r="AG26" i="68"/>
  <c r="AH26" i="68" s="1"/>
  <c r="AI26" i="68"/>
  <c r="AJ26" i="68" s="1"/>
  <c r="AK26" i="68"/>
  <c r="AL26" i="68" s="1"/>
  <c r="AM26" i="68"/>
  <c r="AN26" i="68" s="1"/>
  <c r="E26" i="68"/>
  <c r="G14" i="68"/>
  <c r="H14" i="68" s="1"/>
  <c r="I14" i="68"/>
  <c r="J14" i="68" s="1"/>
  <c r="K14" i="68"/>
  <c r="L14" i="68" s="1"/>
  <c r="M14" i="68"/>
  <c r="N14" i="68" s="1"/>
  <c r="O14" i="68"/>
  <c r="P14" i="68" s="1"/>
  <c r="Q14" i="68"/>
  <c r="R14" i="68" s="1"/>
  <c r="S14" i="68"/>
  <c r="T14" i="68" s="1"/>
  <c r="U14" i="68"/>
  <c r="V14" i="68" s="1"/>
  <c r="W14" i="68"/>
  <c r="X14" i="68" s="1"/>
  <c r="Y14" i="68"/>
  <c r="Z14" i="68" s="1"/>
  <c r="AA14" i="68"/>
  <c r="AB14" i="68" s="1"/>
  <c r="AC14" i="68"/>
  <c r="AD14" i="68" s="1"/>
  <c r="AE14" i="68"/>
  <c r="AF14" i="68" s="1"/>
  <c r="AG14" i="68"/>
  <c r="AH14" i="68" s="1"/>
  <c r="AI14" i="68"/>
  <c r="AJ14" i="68" s="1"/>
  <c r="AK14" i="68"/>
  <c r="AL14" i="68" s="1"/>
  <c r="AM14" i="68"/>
  <c r="AN14" i="68" s="1"/>
  <c r="E14" i="68"/>
  <c r="G4" i="68"/>
  <c r="H4" i="68" s="1"/>
  <c r="I4" i="68"/>
  <c r="J4" i="68" s="1"/>
  <c r="K4" i="68"/>
  <c r="L4" i="68" s="1"/>
  <c r="M4" i="68"/>
  <c r="N4" i="68" s="1"/>
  <c r="O4" i="68"/>
  <c r="P4" i="68" s="1"/>
  <c r="Q4" i="68"/>
  <c r="R4" i="68" s="1"/>
  <c r="S4" i="68"/>
  <c r="T4" i="68" s="1"/>
  <c r="U4" i="68"/>
  <c r="V4" i="68" s="1"/>
  <c r="W4" i="68"/>
  <c r="X4" i="68" s="1"/>
  <c r="Y4" i="68"/>
  <c r="Z4" i="68" s="1"/>
  <c r="AA4" i="68"/>
  <c r="AB4" i="68" s="1"/>
  <c r="AC4" i="68"/>
  <c r="AD4" i="68" s="1"/>
  <c r="AE4" i="68"/>
  <c r="AF4" i="68" s="1"/>
  <c r="AG4" i="68"/>
  <c r="AH4" i="68" s="1"/>
  <c r="AI4" i="68"/>
  <c r="AJ4" i="68" s="1"/>
  <c r="AK4" i="68"/>
  <c r="AL4" i="68" s="1"/>
  <c r="AM4" i="68"/>
  <c r="AN4" i="68" s="1"/>
  <c r="G5" i="68"/>
  <c r="H5" i="68" s="1"/>
  <c r="I5" i="68"/>
  <c r="J5" i="68" s="1"/>
  <c r="K5" i="68"/>
  <c r="L5" i="68" s="1"/>
  <c r="M5" i="68"/>
  <c r="N5" i="68" s="1"/>
  <c r="O5" i="68"/>
  <c r="P5" i="68" s="1"/>
  <c r="Q5" i="68"/>
  <c r="R5" i="68" s="1"/>
  <c r="S5" i="68"/>
  <c r="T5" i="68" s="1"/>
  <c r="U5" i="68"/>
  <c r="V5" i="68" s="1"/>
  <c r="W5" i="68"/>
  <c r="X5" i="68" s="1"/>
  <c r="Y5" i="68"/>
  <c r="Z5" i="68" s="1"/>
  <c r="AA5" i="68"/>
  <c r="AB5" i="68" s="1"/>
  <c r="AC5" i="68"/>
  <c r="AD5" i="68" s="1"/>
  <c r="AE5" i="68"/>
  <c r="AF5" i="68" s="1"/>
  <c r="AG5" i="68"/>
  <c r="AH5" i="68" s="1"/>
  <c r="AI5" i="68"/>
  <c r="AJ5" i="68" s="1"/>
  <c r="AK5" i="68"/>
  <c r="AL5" i="68" s="1"/>
  <c r="AM5" i="68"/>
  <c r="AN5" i="68" s="1"/>
  <c r="G6" i="68"/>
  <c r="H6" i="68" s="1"/>
  <c r="I6" i="68"/>
  <c r="J6" i="68" s="1"/>
  <c r="K6" i="68"/>
  <c r="L6" i="68" s="1"/>
  <c r="M6" i="68"/>
  <c r="N6" i="68" s="1"/>
  <c r="O6" i="68"/>
  <c r="P6" i="68" s="1"/>
  <c r="Q6" i="68"/>
  <c r="R6" i="68" s="1"/>
  <c r="S6" i="68"/>
  <c r="T6" i="68" s="1"/>
  <c r="U6" i="68"/>
  <c r="V6" i="68" s="1"/>
  <c r="W6" i="68"/>
  <c r="X6" i="68" s="1"/>
  <c r="Y6" i="68"/>
  <c r="Z6" i="68" s="1"/>
  <c r="AA6" i="68"/>
  <c r="AB6" i="68" s="1"/>
  <c r="AC6" i="68"/>
  <c r="AD6" i="68" s="1"/>
  <c r="AE6" i="68"/>
  <c r="AF6" i="68" s="1"/>
  <c r="AG6" i="68"/>
  <c r="AH6" i="68" s="1"/>
  <c r="AI6" i="68"/>
  <c r="AJ6" i="68" s="1"/>
  <c r="AK6" i="68"/>
  <c r="AL6" i="68" s="1"/>
  <c r="AM6" i="68"/>
  <c r="AN6" i="68" s="1"/>
  <c r="G7" i="68"/>
  <c r="H7" i="68" s="1"/>
  <c r="I7" i="68"/>
  <c r="J7" i="68" s="1"/>
  <c r="K7" i="68"/>
  <c r="L7" i="68" s="1"/>
  <c r="M7" i="68"/>
  <c r="N7" i="68" s="1"/>
  <c r="O7" i="68"/>
  <c r="P7" i="68" s="1"/>
  <c r="Q7" i="68"/>
  <c r="R7" i="68" s="1"/>
  <c r="S7" i="68"/>
  <c r="T7" i="68" s="1"/>
  <c r="U7" i="68"/>
  <c r="V7" i="68" s="1"/>
  <c r="W7" i="68"/>
  <c r="X7" i="68" s="1"/>
  <c r="Y7" i="68"/>
  <c r="Z7" i="68" s="1"/>
  <c r="AA7" i="68"/>
  <c r="AB7" i="68" s="1"/>
  <c r="AC7" i="68"/>
  <c r="AD7" i="68" s="1"/>
  <c r="AE7" i="68"/>
  <c r="AF7" i="68" s="1"/>
  <c r="AG7" i="68"/>
  <c r="AH7" i="68" s="1"/>
  <c r="AI7" i="68"/>
  <c r="AJ7" i="68" s="1"/>
  <c r="AK7" i="68"/>
  <c r="AL7" i="68" s="1"/>
  <c r="AM7" i="68"/>
  <c r="AN7" i="68" s="1"/>
  <c r="AJ12" i="68"/>
  <c r="AJ23" i="68"/>
  <c r="AJ24" i="68"/>
  <c r="AJ27" i="68"/>
  <c r="E7" i="68"/>
  <c r="E5" i="68"/>
  <c r="E4" i="68"/>
  <c r="E6" i="68"/>
  <c r="K14" i="79"/>
  <c r="L14" i="79" s="1"/>
  <c r="M14" i="79"/>
  <c r="N14" i="79" s="1"/>
  <c r="O14" i="79"/>
  <c r="P14" i="79" s="1"/>
  <c r="Q14" i="79"/>
  <c r="R14" i="79" s="1"/>
  <c r="G14" i="79"/>
  <c r="H14" i="79" s="1"/>
  <c r="I14" i="79"/>
  <c r="J14" i="79" s="1"/>
  <c r="V12" i="68"/>
  <c r="X12" i="68"/>
  <c r="Z12" i="68"/>
  <c r="AB12" i="68"/>
  <c r="AD12" i="68"/>
  <c r="AF12" i="68"/>
  <c r="AH12" i="68"/>
  <c r="AL12" i="68"/>
  <c r="AN12" i="68"/>
  <c r="V23" i="68"/>
  <c r="X23" i="68"/>
  <c r="Z23" i="68"/>
  <c r="AB23" i="68"/>
  <c r="AD23" i="68"/>
  <c r="AF23" i="68"/>
  <c r="AH23" i="68"/>
  <c r="AL23" i="68"/>
  <c r="AN23" i="68"/>
  <c r="V24" i="68"/>
  <c r="X24" i="68"/>
  <c r="Z24" i="68"/>
  <c r="AB24" i="68"/>
  <c r="AD24" i="68"/>
  <c r="AF24" i="68"/>
  <c r="AH24" i="68"/>
  <c r="AL24" i="68"/>
  <c r="AN24" i="68"/>
  <c r="V27" i="68"/>
  <c r="X27" i="68"/>
  <c r="Z27" i="68"/>
  <c r="AB27" i="68"/>
  <c r="AD27" i="68"/>
  <c r="AF27" i="68"/>
  <c r="AH27" i="68"/>
  <c r="AL27" i="68"/>
  <c r="AN27" i="68"/>
  <c r="I24" i="79"/>
  <c r="J24" i="79" s="1"/>
  <c r="K24" i="79"/>
  <c r="L24" i="79" s="1"/>
  <c r="M24" i="79"/>
  <c r="N24" i="79" s="1"/>
  <c r="O24" i="79"/>
  <c r="P24" i="79" s="1"/>
  <c r="Q24" i="79"/>
  <c r="R24" i="79" s="1"/>
  <c r="G24" i="79"/>
  <c r="G6" i="79"/>
  <c r="I13" i="79"/>
  <c r="J13" i="79" s="1"/>
  <c r="K13" i="79"/>
  <c r="L13" i="79" s="1"/>
  <c r="M13" i="79"/>
  <c r="N13" i="79" s="1"/>
  <c r="O13" i="79"/>
  <c r="P13" i="79" s="1"/>
  <c r="Q13" i="79"/>
  <c r="R13" i="79" s="1"/>
  <c r="I15" i="79"/>
  <c r="J15" i="79" s="1"/>
  <c r="K15" i="79"/>
  <c r="L15" i="79" s="1"/>
  <c r="M15" i="79"/>
  <c r="N15" i="79" s="1"/>
  <c r="O15" i="79"/>
  <c r="P15" i="79" s="1"/>
  <c r="Q15" i="79"/>
  <c r="R15" i="79" s="1"/>
  <c r="G15" i="79"/>
  <c r="G13" i="79"/>
  <c r="I5" i="79"/>
  <c r="J5" i="79" s="1"/>
  <c r="K5" i="79"/>
  <c r="L5" i="79" s="1"/>
  <c r="M5" i="79"/>
  <c r="N5" i="79" s="1"/>
  <c r="O5" i="79"/>
  <c r="P5" i="79" s="1"/>
  <c r="Q5" i="79"/>
  <c r="R5" i="79" s="1"/>
  <c r="I6" i="79"/>
  <c r="J6" i="79" s="1"/>
  <c r="K6" i="79"/>
  <c r="L6" i="79" s="1"/>
  <c r="M6" i="79"/>
  <c r="N6" i="79" s="1"/>
  <c r="O6" i="79"/>
  <c r="P6" i="79" s="1"/>
  <c r="Q6" i="79"/>
  <c r="R6" i="79" s="1"/>
  <c r="I8" i="79"/>
  <c r="J8" i="79" s="1"/>
  <c r="K8" i="79"/>
  <c r="L8" i="79" s="1"/>
  <c r="M8" i="79"/>
  <c r="N8" i="79" s="1"/>
  <c r="O8" i="79"/>
  <c r="P8" i="79" s="1"/>
  <c r="Q8" i="79"/>
  <c r="R8" i="79" s="1"/>
  <c r="I9" i="79"/>
  <c r="J9" i="79" s="1"/>
  <c r="K9" i="79"/>
  <c r="L9" i="79" s="1"/>
  <c r="M9" i="79"/>
  <c r="N9" i="79" s="1"/>
  <c r="O9" i="79"/>
  <c r="P9" i="79" s="1"/>
  <c r="Q9" i="79"/>
  <c r="R9" i="79" s="1"/>
  <c r="G9" i="79"/>
  <c r="G8" i="79"/>
  <c r="G5" i="79"/>
  <c r="D7" i="79"/>
  <c r="N4" i="79"/>
  <c r="P4" i="79"/>
  <c r="R4" i="79"/>
  <c r="N18" i="79"/>
  <c r="P18" i="79"/>
  <c r="R18" i="79"/>
  <c r="N20" i="79"/>
  <c r="P20" i="79"/>
  <c r="R20" i="79"/>
  <c r="N21" i="79"/>
  <c r="P21" i="79"/>
  <c r="R21" i="79"/>
  <c r="N22" i="79"/>
  <c r="P22" i="79"/>
  <c r="R22" i="79"/>
  <c r="N25" i="79"/>
  <c r="P25" i="79"/>
  <c r="R25" i="79"/>
  <c r="AJ28" i="68" l="1"/>
  <c r="AI28" i="68" s="1"/>
  <c r="AJ25" i="68"/>
  <c r="AI25" i="68" s="1"/>
  <c r="AI34" i="68" s="1"/>
  <c r="AJ13" i="68"/>
  <c r="AI13" i="68" s="1"/>
  <c r="AI32" i="68" s="1"/>
  <c r="AJ19" i="68"/>
  <c r="AI19" i="68" s="1"/>
  <c r="AI35" i="68"/>
  <c r="X19" i="68"/>
  <c r="W19" i="68" s="1"/>
  <c r="W33" i="68" s="1"/>
  <c r="AN25" i="68"/>
  <c r="AM25" i="68" s="1"/>
  <c r="AM34" i="68" s="1"/>
  <c r="Z25" i="68"/>
  <c r="Y25" i="68" s="1"/>
  <c r="Y34" i="68" s="1"/>
  <c r="AF19" i="68"/>
  <c r="AE19" i="68" s="1"/>
  <c r="AE33" i="68" s="1"/>
  <c r="AH28" i="68"/>
  <c r="AG28" i="68" s="1"/>
  <c r="AG35" i="68" s="1"/>
  <c r="AB28" i="68"/>
  <c r="AA28" i="68" s="1"/>
  <c r="AA35" i="68" s="1"/>
  <c r="AN28" i="68"/>
  <c r="AM28" i="68" s="1"/>
  <c r="AM35" i="68" s="1"/>
  <c r="Z28" i="68"/>
  <c r="Y28" i="68" s="1"/>
  <c r="Y35" i="68" s="1"/>
  <c r="AL19" i="68"/>
  <c r="AK19" i="68" s="1"/>
  <c r="AK33" i="68" s="1"/>
  <c r="AL28" i="68"/>
  <c r="AK28" i="68" s="1"/>
  <c r="AF28" i="68"/>
  <c r="AE28" i="68" s="1"/>
  <c r="AE35" i="68" s="1"/>
  <c r="X28" i="68"/>
  <c r="W28" i="68" s="1"/>
  <c r="W35" i="68" s="1"/>
  <c r="AD28" i="68"/>
  <c r="AC28" i="68" s="1"/>
  <c r="AC35" i="68" s="1"/>
  <c r="V28" i="68"/>
  <c r="U28" i="68" s="1"/>
  <c r="U35" i="68" s="1"/>
  <c r="AF25" i="68"/>
  <c r="AE25" i="68" s="1"/>
  <c r="AE34" i="68" s="1"/>
  <c r="AD25" i="68"/>
  <c r="AC25" i="68" s="1"/>
  <c r="AC34" i="68" s="1"/>
  <c r="V25" i="68"/>
  <c r="U25" i="68" s="1"/>
  <c r="U34" i="68" s="1"/>
  <c r="AH25" i="68"/>
  <c r="AG25" i="68" s="1"/>
  <c r="AG34" i="68" s="1"/>
  <c r="AB25" i="68"/>
  <c r="AA25" i="68" s="1"/>
  <c r="AA34" i="68" s="1"/>
  <c r="AN13" i="68"/>
  <c r="AM13" i="68" s="1"/>
  <c r="Z13" i="68"/>
  <c r="Y13" i="68" s="1"/>
  <c r="AK35" i="68"/>
  <c r="AL25" i="68"/>
  <c r="AK25" i="68" s="1"/>
  <c r="AK34" i="68" s="1"/>
  <c r="X25" i="68"/>
  <c r="W25" i="68" s="1"/>
  <c r="W34" i="68" s="1"/>
  <c r="AD13" i="68"/>
  <c r="AC13" i="68" s="1"/>
  <c r="V13" i="68"/>
  <c r="U13" i="68" s="1"/>
  <c r="AL13" i="68"/>
  <c r="AK13" i="68" s="1"/>
  <c r="AH13" i="68"/>
  <c r="AG13" i="68" s="1"/>
  <c r="AF13" i="68"/>
  <c r="AE13" i="68" s="1"/>
  <c r="AB13" i="68"/>
  <c r="AA13" i="68" s="1"/>
  <c r="X13" i="68"/>
  <c r="W13" i="68" s="1"/>
  <c r="N19" i="79"/>
  <c r="M19" i="79" s="1"/>
  <c r="M31" i="79" s="1"/>
  <c r="P19" i="79"/>
  <c r="O19" i="79" s="1"/>
  <c r="O31" i="79" s="1"/>
  <c r="R12" i="79"/>
  <c r="Q12" i="79" s="1"/>
  <c r="Q30" i="79" s="1"/>
  <c r="P26" i="79"/>
  <c r="O26" i="79" s="1"/>
  <c r="O33" i="79" s="1"/>
  <c r="R26" i="79"/>
  <c r="Q26" i="79" s="1"/>
  <c r="Q33" i="79" s="1"/>
  <c r="N26" i="79"/>
  <c r="M26" i="79" s="1"/>
  <c r="M33" i="79" s="1"/>
  <c r="P23" i="79"/>
  <c r="O23" i="79" s="1"/>
  <c r="O32" i="79" s="1"/>
  <c r="R19" i="79"/>
  <c r="Q19" i="79" s="1"/>
  <c r="Q31" i="79" s="1"/>
  <c r="R23" i="79"/>
  <c r="Q23" i="79" s="1"/>
  <c r="Q32" i="79" s="1"/>
  <c r="N12" i="79"/>
  <c r="M12" i="79" s="1"/>
  <c r="M29" i="79" s="1"/>
  <c r="N23" i="79"/>
  <c r="M23" i="79" s="1"/>
  <c r="M32" i="79" s="1"/>
  <c r="P12" i="79"/>
  <c r="O12" i="79" s="1"/>
  <c r="O30" i="79" s="1"/>
  <c r="M41" i="96"/>
  <c r="M42" i="96"/>
  <c r="M40" i="96"/>
  <c r="M30" i="96"/>
  <c r="N30" i="96" s="1"/>
  <c r="M29" i="96"/>
  <c r="N29" i="96" s="1"/>
  <c r="M21" i="96"/>
  <c r="M20" i="96"/>
  <c r="N31" i="96"/>
  <c r="M32" i="96"/>
  <c r="M5" i="96"/>
  <c r="AI31" i="68" l="1"/>
  <c r="AI33" i="68"/>
  <c r="AI30" i="68"/>
  <c r="AJ34" i="68" s="1"/>
  <c r="AG32" i="68"/>
  <c r="AG31" i="68"/>
  <c r="W32" i="68"/>
  <c r="W31" i="68"/>
  <c r="AA32" i="68"/>
  <c r="AA31" i="68"/>
  <c r="AC31" i="68"/>
  <c r="AC32" i="68"/>
  <c r="AK30" i="68"/>
  <c r="AL33" i="68" s="1"/>
  <c r="AE30" i="68"/>
  <c r="AF33" i="68" s="1"/>
  <c r="AK32" i="68"/>
  <c r="AK31" i="68"/>
  <c r="AE32" i="68"/>
  <c r="AE31" i="68"/>
  <c r="U31" i="68"/>
  <c r="U32" i="68"/>
  <c r="W30" i="68"/>
  <c r="X33" i="68" s="1"/>
  <c r="Y31" i="68"/>
  <c r="Y32" i="68"/>
  <c r="AM31" i="68"/>
  <c r="AM32" i="68"/>
  <c r="Q29" i="79"/>
  <c r="Q28" i="79"/>
  <c r="R32" i="79" s="1"/>
  <c r="O29" i="79"/>
  <c r="O28" i="79"/>
  <c r="P32" i="79" s="1"/>
  <c r="M30" i="79"/>
  <c r="M28" i="79"/>
  <c r="N31" i="79" s="1"/>
  <c r="L25" i="79"/>
  <c r="L22" i="79"/>
  <c r="L21" i="79"/>
  <c r="L20" i="79"/>
  <c r="L18" i="79"/>
  <c r="L4" i="79"/>
  <c r="X26" i="99"/>
  <c r="X27" i="99"/>
  <c r="AJ35" i="68" l="1"/>
  <c r="AJ32" i="68"/>
  <c r="AJ31" i="68"/>
  <c r="AJ33" i="68"/>
  <c r="AH19" i="68"/>
  <c r="AG19" i="68" s="1"/>
  <c r="AG33" i="68" s="1"/>
  <c r="AB19" i="68"/>
  <c r="AA19" i="68" s="1"/>
  <c r="Z19" i="68"/>
  <c r="Y19" i="68" s="1"/>
  <c r="Y30" i="68" s="1"/>
  <c r="Z32" i="68" s="1"/>
  <c r="AL31" i="68"/>
  <c r="AL34" i="68"/>
  <c r="AF31" i="68"/>
  <c r="AL35" i="68"/>
  <c r="AL32" i="68"/>
  <c r="AF35" i="68"/>
  <c r="AF34" i="68"/>
  <c r="AF32" i="68"/>
  <c r="X35" i="68"/>
  <c r="V19" i="68"/>
  <c r="U19" i="68" s="1"/>
  <c r="X32" i="68"/>
  <c r="X31" i="68"/>
  <c r="AN19" i="68"/>
  <c r="AM19" i="68" s="1"/>
  <c r="AD19" i="68"/>
  <c r="AC19" i="68" s="1"/>
  <c r="X34" i="68"/>
  <c r="R29" i="79"/>
  <c r="L26" i="79"/>
  <c r="K26" i="79" s="1"/>
  <c r="K33" i="79" s="1"/>
  <c r="R31" i="79"/>
  <c r="R33" i="79"/>
  <c r="R30" i="79"/>
  <c r="P29" i="79"/>
  <c r="P31" i="79"/>
  <c r="P33" i="79"/>
  <c r="P30" i="79"/>
  <c r="N33" i="79"/>
  <c r="N29" i="79"/>
  <c r="L19" i="79"/>
  <c r="K19" i="79" s="1"/>
  <c r="K31" i="79" s="1"/>
  <c r="L23" i="79"/>
  <c r="K23" i="79" s="1"/>
  <c r="K32" i="79" s="1"/>
  <c r="N30" i="79"/>
  <c r="N32" i="79"/>
  <c r="P69" i="64"/>
  <c r="P70" i="64"/>
  <c r="P74" i="64"/>
  <c r="P75" i="64"/>
  <c r="P68" i="64"/>
  <c r="P31" i="64"/>
  <c r="P35" i="64"/>
  <c r="W55" i="9"/>
  <c r="X55" i="9"/>
  <c r="Y55" i="9"/>
  <c r="Z55" i="9"/>
  <c r="AA55" i="9"/>
  <c r="AB55" i="9"/>
  <c r="AC55" i="9"/>
  <c r="AD55" i="9"/>
  <c r="AG55" i="9"/>
  <c r="AH55" i="9"/>
  <c r="AI55" i="9"/>
  <c r="AJ55" i="9"/>
  <c r="AK55" i="9"/>
  <c r="AL55" i="9"/>
  <c r="AM55" i="9"/>
  <c r="AN55" i="9"/>
  <c r="W56" i="9"/>
  <c r="X56" i="9"/>
  <c r="Y56" i="9"/>
  <c r="Z56" i="9"/>
  <c r="AA56" i="9"/>
  <c r="AB56" i="9"/>
  <c r="AC56" i="9"/>
  <c r="AD56" i="9"/>
  <c r="AG56" i="9"/>
  <c r="AH56" i="9"/>
  <c r="AI56" i="9"/>
  <c r="AJ56" i="9"/>
  <c r="AK56" i="9"/>
  <c r="AL56" i="9"/>
  <c r="AM56" i="9"/>
  <c r="AN56" i="9"/>
  <c r="W57" i="9"/>
  <c r="X57" i="9"/>
  <c r="Y57" i="9"/>
  <c r="Z57" i="9"/>
  <c r="AA57" i="9"/>
  <c r="AB57" i="9"/>
  <c r="AC57" i="9"/>
  <c r="AD57" i="9"/>
  <c r="AG57" i="9"/>
  <c r="AH57" i="9"/>
  <c r="AI57" i="9"/>
  <c r="AJ57" i="9"/>
  <c r="AK57" i="9"/>
  <c r="AL57" i="9"/>
  <c r="AM57" i="9"/>
  <c r="AN57" i="9"/>
  <c r="G43" i="9"/>
  <c r="H43" i="9" s="1"/>
  <c r="I43" i="9"/>
  <c r="J43" i="9" s="1"/>
  <c r="K43" i="9"/>
  <c r="L43" i="9" s="1"/>
  <c r="M43" i="9"/>
  <c r="N43" i="9" s="1"/>
  <c r="O43" i="9"/>
  <c r="P43" i="9" s="1"/>
  <c r="Q43" i="9"/>
  <c r="R43" i="9" s="1"/>
  <c r="S43" i="9"/>
  <c r="T43" i="9" s="1"/>
  <c r="U43" i="9"/>
  <c r="V43" i="9" s="1"/>
  <c r="W43" i="9"/>
  <c r="X43" i="9" s="1"/>
  <c r="Y43" i="9"/>
  <c r="Z43" i="9" s="1"/>
  <c r="AA43" i="9"/>
  <c r="AB43" i="9" s="1"/>
  <c r="AC43" i="9"/>
  <c r="AD43" i="9" s="1"/>
  <c r="AE43" i="9"/>
  <c r="AF43" i="9" s="1"/>
  <c r="AG43" i="9"/>
  <c r="AH43" i="9" s="1"/>
  <c r="AI43" i="9"/>
  <c r="AJ43" i="9" s="1"/>
  <c r="AK43" i="9"/>
  <c r="AL43" i="9" s="1"/>
  <c r="AM43" i="9"/>
  <c r="AN43" i="9" s="1"/>
  <c r="W44" i="9"/>
  <c r="X44" i="9" s="1"/>
  <c r="Y44" i="9"/>
  <c r="Z44" i="9" s="1"/>
  <c r="AA44" i="9"/>
  <c r="AB44" i="9" s="1"/>
  <c r="AC44" i="9"/>
  <c r="AD44" i="9" s="1"/>
  <c r="AG44" i="9"/>
  <c r="AH44" i="9" s="1"/>
  <c r="AI44" i="9"/>
  <c r="AJ44" i="9" s="1"/>
  <c r="AK44" i="9"/>
  <c r="AL44" i="9" s="1"/>
  <c r="AM44" i="9"/>
  <c r="AN44" i="9" s="1"/>
  <c r="G45" i="9"/>
  <c r="H45" i="9" s="1"/>
  <c r="I45" i="9"/>
  <c r="J45" i="9" s="1"/>
  <c r="K45" i="9"/>
  <c r="L45" i="9" s="1"/>
  <c r="M45" i="9"/>
  <c r="N45" i="9" s="1"/>
  <c r="O45" i="9"/>
  <c r="P45" i="9" s="1"/>
  <c r="Q45" i="9"/>
  <c r="R45" i="9" s="1"/>
  <c r="S45" i="9"/>
  <c r="T45" i="9" s="1"/>
  <c r="U45" i="9"/>
  <c r="V45" i="9" s="1"/>
  <c r="W45" i="9"/>
  <c r="X45" i="9" s="1"/>
  <c r="Y45" i="9"/>
  <c r="Z45" i="9" s="1"/>
  <c r="AA45" i="9"/>
  <c r="AB45" i="9" s="1"/>
  <c r="AC45" i="9"/>
  <c r="AD45" i="9" s="1"/>
  <c r="AE45" i="9"/>
  <c r="AF45" i="9" s="1"/>
  <c r="AG45" i="9"/>
  <c r="AH45" i="9" s="1"/>
  <c r="AI45" i="9"/>
  <c r="AJ45" i="9" s="1"/>
  <c r="AK45" i="9"/>
  <c r="AL45" i="9" s="1"/>
  <c r="AM45" i="9"/>
  <c r="AN45" i="9" s="1"/>
  <c r="W46" i="9"/>
  <c r="X46" i="9" s="1"/>
  <c r="Y46" i="9"/>
  <c r="Z46" i="9" s="1"/>
  <c r="AA46" i="9"/>
  <c r="AB46" i="9" s="1"/>
  <c r="AC46" i="9"/>
  <c r="AD46" i="9" s="1"/>
  <c r="AG46" i="9"/>
  <c r="AH46" i="9" s="1"/>
  <c r="AI46" i="9"/>
  <c r="AJ46" i="9" s="1"/>
  <c r="AK46" i="9"/>
  <c r="AL46" i="9" s="1"/>
  <c r="AM46" i="9"/>
  <c r="AN46" i="9" s="1"/>
  <c r="W47" i="9"/>
  <c r="X47" i="9" s="1"/>
  <c r="Y47" i="9"/>
  <c r="Z47" i="9" s="1"/>
  <c r="AA47" i="9"/>
  <c r="AB47" i="9" s="1"/>
  <c r="AC47" i="9"/>
  <c r="AD47" i="9" s="1"/>
  <c r="AG47" i="9"/>
  <c r="AH47" i="9" s="1"/>
  <c r="AI47" i="9"/>
  <c r="AJ47" i="9" s="1"/>
  <c r="AK47" i="9"/>
  <c r="AL47" i="9" s="1"/>
  <c r="AM47" i="9"/>
  <c r="AN47" i="9" s="1"/>
  <c r="W48" i="9"/>
  <c r="X48" i="9" s="1"/>
  <c r="Y48" i="9"/>
  <c r="Z48" i="9" s="1"/>
  <c r="AA48" i="9"/>
  <c r="AB48" i="9" s="1"/>
  <c r="AC48" i="9"/>
  <c r="AD48" i="9" s="1"/>
  <c r="AG48" i="9"/>
  <c r="AH48" i="9" s="1"/>
  <c r="AI48" i="9"/>
  <c r="AJ48" i="9" s="1"/>
  <c r="AK48" i="9"/>
  <c r="AL48" i="9" s="1"/>
  <c r="AM48" i="9"/>
  <c r="AN48" i="9" s="1"/>
  <c r="G49" i="9"/>
  <c r="H49" i="9" s="1"/>
  <c r="I49" i="9"/>
  <c r="J49" i="9" s="1"/>
  <c r="K49" i="9"/>
  <c r="L49" i="9" s="1"/>
  <c r="M49" i="9"/>
  <c r="N49" i="9" s="1"/>
  <c r="O49" i="9"/>
  <c r="P49" i="9" s="1"/>
  <c r="Q49" i="9"/>
  <c r="R49" i="9" s="1"/>
  <c r="S49" i="9"/>
  <c r="T49" i="9" s="1"/>
  <c r="U49" i="9"/>
  <c r="V49" i="9" s="1"/>
  <c r="W49" i="9"/>
  <c r="X49" i="9" s="1"/>
  <c r="Y49" i="9"/>
  <c r="Z49" i="9" s="1"/>
  <c r="AA49" i="9"/>
  <c r="AB49" i="9" s="1"/>
  <c r="AC49" i="9"/>
  <c r="AD49" i="9" s="1"/>
  <c r="AE49" i="9"/>
  <c r="AF49" i="9" s="1"/>
  <c r="AG49" i="9"/>
  <c r="AH49" i="9" s="1"/>
  <c r="AI49" i="9"/>
  <c r="AJ49" i="9" s="1"/>
  <c r="AK49" i="9"/>
  <c r="AL49" i="9" s="1"/>
  <c r="AM49" i="9"/>
  <c r="AN49" i="9" s="1"/>
  <c r="G50" i="9"/>
  <c r="H50" i="9" s="1"/>
  <c r="I50" i="9"/>
  <c r="J50" i="9" s="1"/>
  <c r="K50" i="9"/>
  <c r="L50" i="9" s="1"/>
  <c r="M50" i="9"/>
  <c r="N50" i="9" s="1"/>
  <c r="O50" i="9"/>
  <c r="P50" i="9" s="1"/>
  <c r="Q50" i="9"/>
  <c r="R50" i="9" s="1"/>
  <c r="S50" i="9"/>
  <c r="T50" i="9" s="1"/>
  <c r="U50" i="9"/>
  <c r="V50" i="9" s="1"/>
  <c r="W50" i="9"/>
  <c r="X50" i="9" s="1"/>
  <c r="Y50" i="9"/>
  <c r="Z50" i="9" s="1"/>
  <c r="AA50" i="9"/>
  <c r="AB50" i="9" s="1"/>
  <c r="AC50" i="9"/>
  <c r="AD50" i="9"/>
  <c r="AE50" i="9"/>
  <c r="AF50" i="9" s="1"/>
  <c r="AG50" i="9"/>
  <c r="AH50" i="9" s="1"/>
  <c r="AI50" i="9"/>
  <c r="AJ50" i="9" s="1"/>
  <c r="AK50" i="9"/>
  <c r="AL50" i="9" s="1"/>
  <c r="AM50" i="9"/>
  <c r="AN50" i="9" s="1"/>
  <c r="W51" i="9"/>
  <c r="X51" i="9" s="1"/>
  <c r="Y51" i="9"/>
  <c r="Z51" i="9"/>
  <c r="AA51" i="9"/>
  <c r="AB51" i="9" s="1"/>
  <c r="AC51" i="9"/>
  <c r="AD51" i="9" s="1"/>
  <c r="AG51" i="9"/>
  <c r="AH51" i="9" s="1"/>
  <c r="AI51" i="9"/>
  <c r="AJ51" i="9" s="1"/>
  <c r="AK51" i="9"/>
  <c r="AL51" i="9" s="1"/>
  <c r="AM51" i="9"/>
  <c r="AN51" i="9" s="1"/>
  <c r="G52" i="9"/>
  <c r="H52" i="9"/>
  <c r="I52" i="9"/>
  <c r="J52" i="9" s="1"/>
  <c r="K52" i="9"/>
  <c r="L52" i="9" s="1"/>
  <c r="M52" i="9"/>
  <c r="N52" i="9" s="1"/>
  <c r="O52" i="9"/>
  <c r="P52" i="9" s="1"/>
  <c r="Q52" i="9"/>
  <c r="R52" i="9" s="1"/>
  <c r="S52" i="9"/>
  <c r="T52" i="9" s="1"/>
  <c r="U52" i="9"/>
  <c r="V52" i="9" s="1"/>
  <c r="W52" i="9"/>
  <c r="X52" i="9" s="1"/>
  <c r="Y52" i="9"/>
  <c r="Z52" i="9" s="1"/>
  <c r="AA52" i="9"/>
  <c r="AB52" i="9" s="1"/>
  <c r="AC52" i="9"/>
  <c r="AD52" i="9" s="1"/>
  <c r="AE52" i="9"/>
  <c r="AF52" i="9" s="1"/>
  <c r="AG52" i="9"/>
  <c r="AH52" i="9" s="1"/>
  <c r="AI52" i="9"/>
  <c r="AJ52" i="9" s="1"/>
  <c r="AK52" i="9"/>
  <c r="AL52" i="9" s="1"/>
  <c r="AM52" i="9"/>
  <c r="AN52" i="9" s="1"/>
  <c r="G53" i="9"/>
  <c r="H53" i="9" s="1"/>
  <c r="I53" i="9"/>
  <c r="J53" i="9" s="1"/>
  <c r="K53" i="9"/>
  <c r="L53" i="9" s="1"/>
  <c r="M53" i="9"/>
  <c r="N53" i="9" s="1"/>
  <c r="O53" i="9"/>
  <c r="P53" i="9" s="1"/>
  <c r="Q53" i="9"/>
  <c r="R53" i="9" s="1"/>
  <c r="S53" i="9"/>
  <c r="T53" i="9" s="1"/>
  <c r="U53" i="9"/>
  <c r="V53" i="9" s="1"/>
  <c r="W53" i="9"/>
  <c r="X53" i="9" s="1"/>
  <c r="Y53" i="9"/>
  <c r="Z53" i="9" s="1"/>
  <c r="AA53" i="9"/>
  <c r="AB53" i="9" s="1"/>
  <c r="AC53" i="9"/>
  <c r="AD53" i="9" s="1"/>
  <c r="AE53" i="9"/>
  <c r="AF53" i="9" s="1"/>
  <c r="AG53" i="9"/>
  <c r="AH53" i="9" s="1"/>
  <c r="AI53" i="9"/>
  <c r="AJ53" i="9" s="1"/>
  <c r="AK53" i="9"/>
  <c r="AL53" i="9"/>
  <c r="AM53" i="9"/>
  <c r="AN53" i="9" s="1"/>
  <c r="E50" i="9"/>
  <c r="E49" i="9"/>
  <c r="E45" i="9"/>
  <c r="E43" i="9"/>
  <c r="G35" i="9"/>
  <c r="H35" i="9" s="1"/>
  <c r="I35" i="9"/>
  <c r="J35" i="9" s="1"/>
  <c r="K35" i="9"/>
  <c r="L35" i="9" s="1"/>
  <c r="M35" i="9"/>
  <c r="N35" i="9" s="1"/>
  <c r="O35" i="9"/>
  <c r="P35" i="9" s="1"/>
  <c r="Q35" i="9"/>
  <c r="R35" i="9" s="1"/>
  <c r="S35" i="9"/>
  <c r="T35" i="9" s="1"/>
  <c r="U35" i="9"/>
  <c r="V35" i="9" s="1"/>
  <c r="W35" i="9"/>
  <c r="X35" i="9" s="1"/>
  <c r="Y35" i="9"/>
  <c r="Z35" i="9" s="1"/>
  <c r="AA35" i="9"/>
  <c r="AB35" i="9" s="1"/>
  <c r="AC35" i="9"/>
  <c r="AD35" i="9" s="1"/>
  <c r="AE35" i="9"/>
  <c r="AF35" i="9" s="1"/>
  <c r="AG35" i="9"/>
  <c r="AH35" i="9" s="1"/>
  <c r="AI35" i="9"/>
  <c r="AJ35" i="9" s="1"/>
  <c r="AK35" i="9"/>
  <c r="AL35" i="9" s="1"/>
  <c r="AM35" i="9"/>
  <c r="AN35" i="9" s="1"/>
  <c r="E35" i="9"/>
  <c r="G19" i="9"/>
  <c r="H19" i="9" s="1"/>
  <c r="I19" i="9"/>
  <c r="J19" i="9" s="1"/>
  <c r="K19" i="9"/>
  <c r="L19" i="9" s="1"/>
  <c r="M19" i="9"/>
  <c r="N19" i="9" s="1"/>
  <c r="O19" i="9"/>
  <c r="P19" i="9" s="1"/>
  <c r="Q19" i="9"/>
  <c r="R19" i="9" s="1"/>
  <c r="S19" i="9"/>
  <c r="T19" i="9" s="1"/>
  <c r="U19" i="9"/>
  <c r="V19" i="9" s="1"/>
  <c r="W19" i="9"/>
  <c r="X19" i="9" s="1"/>
  <c r="Y19" i="9"/>
  <c r="Z19" i="9" s="1"/>
  <c r="AA19" i="9"/>
  <c r="AB19" i="9" s="1"/>
  <c r="AC19" i="9"/>
  <c r="AD19" i="9" s="1"/>
  <c r="AE19" i="9"/>
  <c r="AF19" i="9" s="1"/>
  <c r="AG19" i="9"/>
  <c r="AH19" i="9" s="1"/>
  <c r="AI19" i="9"/>
  <c r="AJ19" i="9" s="1"/>
  <c r="AK19" i="9"/>
  <c r="AL19" i="9" s="1"/>
  <c r="AM19" i="9"/>
  <c r="AN19" i="9" s="1"/>
  <c r="G20" i="9"/>
  <c r="H20" i="9" s="1"/>
  <c r="I20" i="9"/>
  <c r="J20" i="9" s="1"/>
  <c r="K20" i="9"/>
  <c r="L20" i="9" s="1"/>
  <c r="M20" i="9"/>
  <c r="N20" i="9" s="1"/>
  <c r="O20" i="9"/>
  <c r="P20" i="9" s="1"/>
  <c r="Q20" i="9"/>
  <c r="R20" i="9" s="1"/>
  <c r="S20" i="9"/>
  <c r="T20" i="9" s="1"/>
  <c r="U20" i="9"/>
  <c r="V20" i="9" s="1"/>
  <c r="W20" i="9"/>
  <c r="X20" i="9" s="1"/>
  <c r="Y20" i="9"/>
  <c r="Z20" i="9" s="1"/>
  <c r="AA20" i="9"/>
  <c r="AB20" i="9" s="1"/>
  <c r="AC20" i="9"/>
  <c r="AD20" i="9" s="1"/>
  <c r="AE20" i="9"/>
  <c r="AF20" i="9" s="1"/>
  <c r="AG20" i="9"/>
  <c r="AH20" i="9" s="1"/>
  <c r="AI20" i="9"/>
  <c r="AJ20" i="9" s="1"/>
  <c r="AK20" i="9"/>
  <c r="AL20" i="9" s="1"/>
  <c r="AM20" i="9"/>
  <c r="AN20" i="9" s="1"/>
  <c r="G21" i="9"/>
  <c r="H21" i="9" s="1"/>
  <c r="I21" i="9"/>
  <c r="J21" i="9" s="1"/>
  <c r="K21" i="9"/>
  <c r="L21" i="9" s="1"/>
  <c r="M21" i="9"/>
  <c r="N21" i="9" s="1"/>
  <c r="O21" i="9"/>
  <c r="P21" i="9" s="1"/>
  <c r="Q21" i="9"/>
  <c r="R21" i="9" s="1"/>
  <c r="S21" i="9"/>
  <c r="T21" i="9" s="1"/>
  <c r="U21" i="9"/>
  <c r="V21" i="9" s="1"/>
  <c r="W21" i="9"/>
  <c r="X21" i="9" s="1"/>
  <c r="Y21" i="9"/>
  <c r="Z21" i="9" s="1"/>
  <c r="AA21" i="9"/>
  <c r="AB21" i="9" s="1"/>
  <c r="AC21" i="9"/>
  <c r="AD21" i="9" s="1"/>
  <c r="AE21" i="9"/>
  <c r="AF21" i="9" s="1"/>
  <c r="AG21" i="9"/>
  <c r="AH21" i="9" s="1"/>
  <c r="AI21" i="9"/>
  <c r="AJ21" i="9" s="1"/>
  <c r="AK21" i="9"/>
  <c r="AL21" i="9" s="1"/>
  <c r="AM21" i="9"/>
  <c r="AN21" i="9" s="1"/>
  <c r="G22" i="9"/>
  <c r="H22" i="9" s="1"/>
  <c r="I22" i="9"/>
  <c r="J22" i="9" s="1"/>
  <c r="K22" i="9"/>
  <c r="L22" i="9" s="1"/>
  <c r="M22" i="9"/>
  <c r="N22" i="9" s="1"/>
  <c r="O22" i="9"/>
  <c r="P22" i="9" s="1"/>
  <c r="Q22" i="9"/>
  <c r="R22" i="9" s="1"/>
  <c r="S22" i="9"/>
  <c r="T22" i="9" s="1"/>
  <c r="U22" i="9"/>
  <c r="V22" i="9" s="1"/>
  <c r="W22" i="9"/>
  <c r="X22" i="9" s="1"/>
  <c r="Y22" i="9"/>
  <c r="Z22" i="9" s="1"/>
  <c r="AA22" i="9"/>
  <c r="AB22" i="9" s="1"/>
  <c r="AC22" i="9"/>
  <c r="AD22" i="9" s="1"/>
  <c r="AE22" i="9"/>
  <c r="AF22" i="9" s="1"/>
  <c r="AG22" i="9"/>
  <c r="AH22" i="9" s="1"/>
  <c r="AI22" i="9"/>
  <c r="AJ22" i="9" s="1"/>
  <c r="AK22" i="9"/>
  <c r="AL22" i="9" s="1"/>
  <c r="AM22" i="9"/>
  <c r="AN22" i="9" s="1"/>
  <c r="G23" i="9"/>
  <c r="H23" i="9" s="1"/>
  <c r="I23" i="9"/>
  <c r="J23" i="9" s="1"/>
  <c r="K23" i="9"/>
  <c r="L23" i="9" s="1"/>
  <c r="M23" i="9"/>
  <c r="N23" i="9" s="1"/>
  <c r="O23" i="9"/>
  <c r="P23" i="9" s="1"/>
  <c r="Q23" i="9"/>
  <c r="R23" i="9" s="1"/>
  <c r="S23" i="9"/>
  <c r="T23" i="9" s="1"/>
  <c r="U23" i="9"/>
  <c r="V23" i="9" s="1"/>
  <c r="W23" i="9"/>
  <c r="X23" i="9" s="1"/>
  <c r="Y23" i="9"/>
  <c r="Z23" i="9" s="1"/>
  <c r="AA23" i="9"/>
  <c r="AB23" i="9" s="1"/>
  <c r="AC23" i="9"/>
  <c r="AD23" i="9" s="1"/>
  <c r="AE23" i="9"/>
  <c r="AF23" i="9" s="1"/>
  <c r="AG23" i="9"/>
  <c r="AH23" i="9" s="1"/>
  <c r="AI23" i="9"/>
  <c r="AJ23" i="9" s="1"/>
  <c r="AK23" i="9"/>
  <c r="AL23" i="9" s="1"/>
  <c r="AM23" i="9"/>
  <c r="AN23" i="9" s="1"/>
  <c r="G24" i="9"/>
  <c r="H24" i="9" s="1"/>
  <c r="I24" i="9"/>
  <c r="J24" i="9"/>
  <c r="K24" i="9"/>
  <c r="L24" i="9" s="1"/>
  <c r="M24" i="9"/>
  <c r="N24" i="9"/>
  <c r="O24" i="9"/>
  <c r="P24" i="9" s="1"/>
  <c r="Q24" i="9"/>
  <c r="R24" i="9"/>
  <c r="S24" i="9"/>
  <c r="T24" i="9" s="1"/>
  <c r="U24" i="9"/>
  <c r="V24" i="9"/>
  <c r="W24" i="9"/>
  <c r="X24" i="9" s="1"/>
  <c r="Y24" i="9"/>
  <c r="Z24" i="9"/>
  <c r="AA24" i="9"/>
  <c r="AB24" i="9" s="1"/>
  <c r="AC24" i="9"/>
  <c r="AD24" i="9"/>
  <c r="AE24" i="9"/>
  <c r="AF24" i="9" s="1"/>
  <c r="AG24" i="9"/>
  <c r="AH24" i="9"/>
  <c r="AI24" i="9"/>
  <c r="AJ24" i="9" s="1"/>
  <c r="AK24" i="9"/>
  <c r="AL24" i="9"/>
  <c r="AM24" i="9"/>
  <c r="AN24" i="9" s="1"/>
  <c r="G25" i="9"/>
  <c r="H25" i="9" s="1"/>
  <c r="I25" i="9"/>
  <c r="J25" i="9" s="1"/>
  <c r="K25" i="9"/>
  <c r="L25" i="9" s="1"/>
  <c r="M25" i="9"/>
  <c r="N25" i="9" s="1"/>
  <c r="O25" i="9"/>
  <c r="P25" i="9" s="1"/>
  <c r="Q25" i="9"/>
  <c r="R25" i="9" s="1"/>
  <c r="S25" i="9"/>
  <c r="T25" i="9" s="1"/>
  <c r="U25" i="9"/>
  <c r="V25" i="9" s="1"/>
  <c r="W25" i="9"/>
  <c r="X25" i="9" s="1"/>
  <c r="Y25" i="9"/>
  <c r="Z25" i="9" s="1"/>
  <c r="AA25" i="9"/>
  <c r="AB25" i="9" s="1"/>
  <c r="AC25" i="9"/>
  <c r="AD25" i="9" s="1"/>
  <c r="AE25" i="9"/>
  <c r="AF25" i="9" s="1"/>
  <c r="AG25" i="9"/>
  <c r="AH25" i="9" s="1"/>
  <c r="AI25" i="9"/>
  <c r="AJ25" i="9" s="1"/>
  <c r="AK25" i="9"/>
  <c r="AL25" i="9" s="1"/>
  <c r="AM25" i="9"/>
  <c r="AN25" i="9" s="1"/>
  <c r="W26" i="9"/>
  <c r="X26" i="9" s="1"/>
  <c r="Y26" i="9"/>
  <c r="Z26" i="9" s="1"/>
  <c r="AA26" i="9"/>
  <c r="AB26" i="9" s="1"/>
  <c r="AC26" i="9"/>
  <c r="AD26" i="9" s="1"/>
  <c r="AG26" i="9"/>
  <c r="AH26" i="9" s="1"/>
  <c r="AI26" i="9"/>
  <c r="AJ26" i="9" s="1"/>
  <c r="AK26" i="9"/>
  <c r="AL26" i="9" s="1"/>
  <c r="AM26" i="9"/>
  <c r="AN26" i="9" s="1"/>
  <c r="W27" i="9"/>
  <c r="X27" i="9" s="1"/>
  <c r="Y27" i="9"/>
  <c r="Z27" i="9" s="1"/>
  <c r="AA27" i="9"/>
  <c r="AB27" i="9" s="1"/>
  <c r="AC27" i="9"/>
  <c r="AD27" i="9" s="1"/>
  <c r="AG27" i="9"/>
  <c r="AH27" i="9" s="1"/>
  <c r="AI27" i="9"/>
  <c r="AJ27" i="9" s="1"/>
  <c r="AK27" i="9"/>
  <c r="AL27" i="9" s="1"/>
  <c r="AM27" i="9"/>
  <c r="AN27" i="9" s="1"/>
  <c r="W28" i="9"/>
  <c r="X28" i="9" s="1"/>
  <c r="Y28" i="9"/>
  <c r="Z28" i="9" s="1"/>
  <c r="AA28" i="9"/>
  <c r="AB28" i="9" s="1"/>
  <c r="AC28" i="9"/>
  <c r="AD28" i="9" s="1"/>
  <c r="AG28" i="9"/>
  <c r="AH28" i="9" s="1"/>
  <c r="AI28" i="9"/>
  <c r="AJ28" i="9" s="1"/>
  <c r="AK28" i="9"/>
  <c r="AL28" i="9" s="1"/>
  <c r="AM28" i="9"/>
  <c r="AN28" i="9" s="1"/>
  <c r="W29" i="9"/>
  <c r="X29" i="9" s="1"/>
  <c r="Y29" i="9"/>
  <c r="Z29" i="9" s="1"/>
  <c r="AA29" i="9"/>
  <c r="AB29" i="9" s="1"/>
  <c r="AC29" i="9"/>
  <c r="AD29" i="9" s="1"/>
  <c r="AG29" i="9"/>
  <c r="AH29" i="9" s="1"/>
  <c r="AI29" i="9"/>
  <c r="AJ29" i="9" s="1"/>
  <c r="AK29" i="9"/>
  <c r="AL29" i="9" s="1"/>
  <c r="AM29" i="9"/>
  <c r="AN29" i="9"/>
  <c r="W30" i="9"/>
  <c r="X30" i="9" s="1"/>
  <c r="Y30" i="9"/>
  <c r="Z30" i="9" s="1"/>
  <c r="AA30" i="9"/>
  <c r="AB30" i="9" s="1"/>
  <c r="AC30" i="9"/>
  <c r="AD30" i="9" s="1"/>
  <c r="AG30" i="9"/>
  <c r="AH30" i="9" s="1"/>
  <c r="AI30" i="9"/>
  <c r="AJ30" i="9" s="1"/>
  <c r="AK30" i="9"/>
  <c r="AL30" i="9" s="1"/>
  <c r="AM30" i="9"/>
  <c r="AN30" i="9" s="1"/>
  <c r="W31" i="9"/>
  <c r="X31" i="9" s="1"/>
  <c r="Y31" i="9"/>
  <c r="Z31" i="9" s="1"/>
  <c r="AA31" i="9"/>
  <c r="AB31" i="9" s="1"/>
  <c r="AC31" i="9"/>
  <c r="AD31" i="9" s="1"/>
  <c r="AG31" i="9"/>
  <c r="AH31" i="9" s="1"/>
  <c r="AI31" i="9"/>
  <c r="AJ31" i="9" s="1"/>
  <c r="AK31" i="9"/>
  <c r="AL31" i="9" s="1"/>
  <c r="AM31" i="9"/>
  <c r="AN31" i="9" s="1"/>
  <c r="G32" i="9"/>
  <c r="H32" i="9"/>
  <c r="I32" i="9"/>
  <c r="J32" i="9"/>
  <c r="K32" i="9"/>
  <c r="L32" i="9"/>
  <c r="M32" i="9"/>
  <c r="N32" i="9"/>
  <c r="O32" i="9"/>
  <c r="P32" i="9"/>
  <c r="Q32" i="9"/>
  <c r="R32" i="9"/>
  <c r="S32" i="9"/>
  <c r="T32" i="9"/>
  <c r="U32" i="9"/>
  <c r="V32" i="9"/>
  <c r="W32" i="9"/>
  <c r="X32" i="9"/>
  <c r="Y32" i="9"/>
  <c r="Z32" i="9"/>
  <c r="AA32" i="9"/>
  <c r="AB32" i="9"/>
  <c r="AC32" i="9"/>
  <c r="AD32" i="9"/>
  <c r="AE32" i="9"/>
  <c r="AF32" i="9"/>
  <c r="AG32" i="9"/>
  <c r="AH32" i="9"/>
  <c r="AI32" i="9"/>
  <c r="AJ32" i="9"/>
  <c r="AK32" i="9"/>
  <c r="AL32" i="9"/>
  <c r="AM32" i="9"/>
  <c r="AN32" i="9"/>
  <c r="G33" i="9"/>
  <c r="H33" i="9"/>
  <c r="I33" i="9"/>
  <c r="J33" i="9"/>
  <c r="K33" i="9"/>
  <c r="L33" i="9"/>
  <c r="M33" i="9"/>
  <c r="N33" i="9"/>
  <c r="O33" i="9"/>
  <c r="P33" i="9"/>
  <c r="Q33" i="9"/>
  <c r="R33" i="9"/>
  <c r="S33" i="9"/>
  <c r="T33" i="9"/>
  <c r="U33" i="9"/>
  <c r="V33" i="9"/>
  <c r="W33" i="9"/>
  <c r="X33" i="9"/>
  <c r="Y33" i="9"/>
  <c r="Z33" i="9"/>
  <c r="AA33" i="9"/>
  <c r="AB33" i="9"/>
  <c r="AC33" i="9"/>
  <c r="AD33" i="9"/>
  <c r="AE33" i="9"/>
  <c r="AF33" i="9"/>
  <c r="AG33" i="9"/>
  <c r="AH33" i="9"/>
  <c r="AI33" i="9"/>
  <c r="AJ33" i="9"/>
  <c r="AK33" i="9"/>
  <c r="AL33" i="9"/>
  <c r="AM33" i="9"/>
  <c r="AN33" i="9"/>
  <c r="G34" i="9"/>
  <c r="H34" i="9"/>
  <c r="I34" i="9"/>
  <c r="J34" i="9"/>
  <c r="K34" i="9"/>
  <c r="L34" i="9"/>
  <c r="M34" i="9"/>
  <c r="N34" i="9"/>
  <c r="O34" i="9"/>
  <c r="P34" i="9"/>
  <c r="Q34" i="9"/>
  <c r="R34" i="9"/>
  <c r="S34" i="9"/>
  <c r="T34" i="9"/>
  <c r="U34" i="9"/>
  <c r="V34" i="9"/>
  <c r="W34" i="9"/>
  <c r="X34" i="9"/>
  <c r="Y34" i="9"/>
  <c r="Z34" i="9"/>
  <c r="AA34" i="9"/>
  <c r="AB34" i="9"/>
  <c r="AC34" i="9"/>
  <c r="AD34" i="9"/>
  <c r="AE34" i="9"/>
  <c r="AF34" i="9"/>
  <c r="AG34" i="9"/>
  <c r="AH34" i="9"/>
  <c r="AI34" i="9"/>
  <c r="AJ34" i="9"/>
  <c r="AK34" i="9"/>
  <c r="AL34" i="9"/>
  <c r="AM34" i="9"/>
  <c r="AN34" i="9"/>
  <c r="E33" i="9"/>
  <c r="I41" i="8"/>
  <c r="J41" i="8" s="1"/>
  <c r="K41" i="8"/>
  <c r="L41" i="8" s="1"/>
  <c r="M41" i="8"/>
  <c r="N41" i="8" s="1"/>
  <c r="O41" i="8"/>
  <c r="P41" i="8" s="1"/>
  <c r="Q41" i="8"/>
  <c r="R41" i="8" s="1"/>
  <c r="S41" i="8"/>
  <c r="T41" i="8" s="1"/>
  <c r="U41" i="8"/>
  <c r="V41" i="8" s="1"/>
  <c r="W41" i="8"/>
  <c r="X41" i="8" s="1"/>
  <c r="Y41" i="8"/>
  <c r="Z41" i="8" s="1"/>
  <c r="AA41" i="8"/>
  <c r="AB41" i="8" s="1"/>
  <c r="AC41" i="8"/>
  <c r="AD41" i="8" s="1"/>
  <c r="AE41" i="8"/>
  <c r="AF41" i="8" s="1"/>
  <c r="AG41" i="8"/>
  <c r="AH41" i="8" s="1"/>
  <c r="AI41" i="8"/>
  <c r="AJ41" i="8" s="1"/>
  <c r="AK41" i="8"/>
  <c r="AL41" i="8" s="1"/>
  <c r="W36" i="8"/>
  <c r="X36" i="8" s="1"/>
  <c r="Y36" i="8"/>
  <c r="Z36" i="8" s="1"/>
  <c r="AA36" i="8"/>
  <c r="AB36" i="8" s="1"/>
  <c r="AC36" i="8"/>
  <c r="AD36" i="8" s="1"/>
  <c r="AG36" i="8"/>
  <c r="AH36" i="8" s="1"/>
  <c r="AI36" i="8"/>
  <c r="AJ36" i="8" s="1"/>
  <c r="AK36" i="8"/>
  <c r="AL36" i="8" s="1"/>
  <c r="W37" i="8"/>
  <c r="X37" i="8" s="1"/>
  <c r="Y37" i="8"/>
  <c r="Z37" i="8" s="1"/>
  <c r="AA37" i="8"/>
  <c r="AB37" i="8" s="1"/>
  <c r="AC37" i="8"/>
  <c r="AD37" i="8" s="1"/>
  <c r="AG37" i="8"/>
  <c r="AH37" i="8" s="1"/>
  <c r="AI37" i="8"/>
  <c r="AJ37" i="8" s="1"/>
  <c r="AK37" i="8"/>
  <c r="AL37" i="8" s="1"/>
  <c r="W38" i="8"/>
  <c r="X38" i="8" s="1"/>
  <c r="Y38" i="8"/>
  <c r="Z38" i="8" s="1"/>
  <c r="AA38" i="8"/>
  <c r="AB38" i="8" s="1"/>
  <c r="AC38" i="8"/>
  <c r="AD38" i="8" s="1"/>
  <c r="AG38" i="8"/>
  <c r="AH38" i="8" s="1"/>
  <c r="AI38" i="8"/>
  <c r="AJ38" i="8" s="1"/>
  <c r="AK38" i="8"/>
  <c r="AL38" i="8" s="1"/>
  <c r="I39" i="8"/>
  <c r="J39" i="8" s="1"/>
  <c r="K39" i="8"/>
  <c r="L39" i="8" s="1"/>
  <c r="M39" i="8"/>
  <c r="N39" i="8" s="1"/>
  <c r="O39" i="8"/>
  <c r="P39" i="8" s="1"/>
  <c r="Q39" i="8"/>
  <c r="R39" i="8" s="1"/>
  <c r="S39" i="8"/>
  <c r="T39" i="8" s="1"/>
  <c r="U39" i="8"/>
  <c r="V39" i="8" s="1"/>
  <c r="W39" i="8"/>
  <c r="X39" i="8" s="1"/>
  <c r="Y39" i="8"/>
  <c r="Z39" i="8" s="1"/>
  <c r="AA39" i="8"/>
  <c r="AB39" i="8" s="1"/>
  <c r="AC39" i="8"/>
  <c r="AD39" i="8" s="1"/>
  <c r="AE39" i="8"/>
  <c r="AF39" i="8" s="1"/>
  <c r="AG39" i="8"/>
  <c r="AH39" i="8" s="1"/>
  <c r="AI39" i="8"/>
  <c r="AJ39" i="8" s="1"/>
  <c r="AK39" i="8"/>
  <c r="AL39" i="8" s="1"/>
  <c r="G41" i="8"/>
  <c r="G39" i="8"/>
  <c r="I28" i="8"/>
  <c r="J28" i="8" s="1"/>
  <c r="K28" i="8"/>
  <c r="L28" i="8" s="1"/>
  <c r="M28" i="8"/>
  <c r="N28" i="8" s="1"/>
  <c r="O28" i="8"/>
  <c r="P28" i="8" s="1"/>
  <c r="Q28" i="8"/>
  <c r="R28" i="8" s="1"/>
  <c r="S28" i="8"/>
  <c r="T28" i="8" s="1"/>
  <c r="U28" i="8"/>
  <c r="V28" i="8" s="1"/>
  <c r="W28" i="8"/>
  <c r="X28" i="8" s="1"/>
  <c r="Y28" i="8"/>
  <c r="Z28" i="8" s="1"/>
  <c r="AA28" i="8"/>
  <c r="AB28" i="8" s="1"/>
  <c r="AC28" i="8"/>
  <c r="AD28" i="8" s="1"/>
  <c r="AE28" i="8"/>
  <c r="AF28" i="8" s="1"/>
  <c r="AG28" i="8"/>
  <c r="AH28" i="8" s="1"/>
  <c r="AI28" i="8"/>
  <c r="AJ28" i="8" s="1"/>
  <c r="AK28" i="8"/>
  <c r="AL28" i="8" s="1"/>
  <c r="W29" i="8"/>
  <c r="X29" i="8" s="1"/>
  <c r="Y29" i="8"/>
  <c r="Z29" i="8" s="1"/>
  <c r="AA29" i="8"/>
  <c r="AB29" i="8" s="1"/>
  <c r="AC29" i="8"/>
  <c r="AD29" i="8" s="1"/>
  <c r="AG29" i="8"/>
  <c r="AH29" i="8" s="1"/>
  <c r="AI29" i="8"/>
  <c r="AJ29" i="8" s="1"/>
  <c r="AK29" i="8"/>
  <c r="AL29" i="8" s="1"/>
  <c r="W30" i="8"/>
  <c r="X30" i="8" s="1"/>
  <c r="Y30" i="8"/>
  <c r="Z30" i="8" s="1"/>
  <c r="AA30" i="8"/>
  <c r="AB30" i="8" s="1"/>
  <c r="AC30" i="8"/>
  <c r="AD30" i="8" s="1"/>
  <c r="AG30" i="8"/>
  <c r="AH30" i="8" s="1"/>
  <c r="AI30" i="8"/>
  <c r="AJ30" i="8" s="1"/>
  <c r="AK30" i="8"/>
  <c r="AL30" i="8" s="1"/>
  <c r="W31" i="8"/>
  <c r="X31" i="8" s="1"/>
  <c r="Y31" i="8"/>
  <c r="Z31" i="8" s="1"/>
  <c r="AA31" i="8"/>
  <c r="AB31" i="8" s="1"/>
  <c r="AC31" i="8"/>
  <c r="AD31" i="8" s="1"/>
  <c r="AG31" i="8"/>
  <c r="AH31" i="8" s="1"/>
  <c r="AI31" i="8"/>
  <c r="AJ31" i="8" s="1"/>
  <c r="AK31" i="8"/>
  <c r="AL31" i="8" s="1"/>
  <c r="W32" i="8"/>
  <c r="X32" i="8" s="1"/>
  <c r="Y32" i="8"/>
  <c r="Z32" i="8" s="1"/>
  <c r="AA32" i="8"/>
  <c r="AB32" i="8" s="1"/>
  <c r="AC32" i="8"/>
  <c r="AD32" i="8" s="1"/>
  <c r="AG32" i="8"/>
  <c r="AH32" i="8" s="1"/>
  <c r="AI32" i="8"/>
  <c r="AJ32" i="8" s="1"/>
  <c r="AK32" i="8"/>
  <c r="AL32" i="8" s="1"/>
  <c r="I33" i="8"/>
  <c r="J33" i="8" s="1"/>
  <c r="K33" i="8"/>
  <c r="L33" i="8" s="1"/>
  <c r="M33" i="8"/>
  <c r="N33" i="8" s="1"/>
  <c r="O33" i="8"/>
  <c r="P33" i="8" s="1"/>
  <c r="Q33" i="8"/>
  <c r="R33" i="8" s="1"/>
  <c r="S33" i="8"/>
  <c r="T33" i="8" s="1"/>
  <c r="U33" i="8"/>
  <c r="V33" i="8" s="1"/>
  <c r="W33" i="8"/>
  <c r="X33" i="8" s="1"/>
  <c r="Y33" i="8"/>
  <c r="Z33" i="8" s="1"/>
  <c r="AA33" i="8"/>
  <c r="AB33" i="8" s="1"/>
  <c r="AC33" i="8"/>
  <c r="AD33" i="8" s="1"/>
  <c r="AE33" i="8"/>
  <c r="AF33" i="8" s="1"/>
  <c r="AG33" i="8"/>
  <c r="AH33" i="8" s="1"/>
  <c r="AI33" i="8"/>
  <c r="AJ33" i="8" s="1"/>
  <c r="AK33" i="8"/>
  <c r="AL33" i="8" s="1"/>
  <c r="I34" i="8"/>
  <c r="J34" i="8" s="1"/>
  <c r="K34" i="8"/>
  <c r="L34" i="8" s="1"/>
  <c r="M34" i="8"/>
  <c r="N34" i="8" s="1"/>
  <c r="O34" i="8"/>
  <c r="P34" i="8" s="1"/>
  <c r="Q34" i="8"/>
  <c r="R34" i="8" s="1"/>
  <c r="S34" i="8"/>
  <c r="T34" i="8" s="1"/>
  <c r="U34" i="8"/>
  <c r="V34" i="8" s="1"/>
  <c r="W34" i="8"/>
  <c r="X34" i="8" s="1"/>
  <c r="Y34" i="8"/>
  <c r="Z34" i="8" s="1"/>
  <c r="AA34" i="8"/>
  <c r="AB34" i="8" s="1"/>
  <c r="AC34" i="8"/>
  <c r="AD34" i="8" s="1"/>
  <c r="AE34" i="8"/>
  <c r="AF34" i="8" s="1"/>
  <c r="AG34" i="8"/>
  <c r="AH34" i="8" s="1"/>
  <c r="AI34" i="8"/>
  <c r="AJ34" i="8" s="1"/>
  <c r="AK34" i="8"/>
  <c r="AL34" i="8" s="1"/>
  <c r="G34" i="8"/>
  <c r="G33" i="8"/>
  <c r="W19" i="8"/>
  <c r="X19" i="8" s="1"/>
  <c r="Y19" i="8"/>
  <c r="Z19" i="8" s="1"/>
  <c r="AA19" i="8"/>
  <c r="AB19" i="8" s="1"/>
  <c r="AC19" i="8"/>
  <c r="AD19" i="8" s="1"/>
  <c r="AG19" i="8"/>
  <c r="AH19" i="8" s="1"/>
  <c r="AI19" i="8"/>
  <c r="AJ19" i="8" s="1"/>
  <c r="AK19" i="8"/>
  <c r="AL19" i="8" s="1"/>
  <c r="G28" i="8"/>
  <c r="I25" i="8"/>
  <c r="J25" i="8" s="1"/>
  <c r="K25" i="8"/>
  <c r="L25" i="8" s="1"/>
  <c r="M25" i="8"/>
  <c r="N25" i="8" s="1"/>
  <c r="O25" i="8"/>
  <c r="P25" i="8" s="1"/>
  <c r="Q25" i="8"/>
  <c r="R25" i="8" s="1"/>
  <c r="S25" i="8"/>
  <c r="T25" i="8" s="1"/>
  <c r="U25" i="8"/>
  <c r="V25" i="8" s="1"/>
  <c r="W25" i="8"/>
  <c r="X25" i="8" s="1"/>
  <c r="Y25" i="8"/>
  <c r="Z25" i="8" s="1"/>
  <c r="AA25" i="8"/>
  <c r="AB25" i="8" s="1"/>
  <c r="AC25" i="8"/>
  <c r="AD25" i="8" s="1"/>
  <c r="AE25" i="8"/>
  <c r="AF25" i="8" s="1"/>
  <c r="AG25" i="8"/>
  <c r="AH25" i="8" s="1"/>
  <c r="AI25" i="8"/>
  <c r="AJ25" i="8" s="1"/>
  <c r="AK25" i="8"/>
  <c r="AL25" i="8" s="1"/>
  <c r="G25" i="8"/>
  <c r="I24" i="8"/>
  <c r="J24" i="8" s="1"/>
  <c r="K24" i="8"/>
  <c r="L24" i="8" s="1"/>
  <c r="M24" i="8"/>
  <c r="N24" i="8" s="1"/>
  <c r="O24" i="8"/>
  <c r="P24" i="8" s="1"/>
  <c r="Q24" i="8"/>
  <c r="R24" i="8" s="1"/>
  <c r="S24" i="8"/>
  <c r="T24" i="8" s="1"/>
  <c r="U24" i="8"/>
  <c r="V24" i="8" s="1"/>
  <c r="W24" i="8"/>
  <c r="X24" i="8" s="1"/>
  <c r="Y24" i="8"/>
  <c r="Z24" i="8" s="1"/>
  <c r="AA24" i="8"/>
  <c r="AB24" i="8" s="1"/>
  <c r="AC24" i="8"/>
  <c r="AD24" i="8" s="1"/>
  <c r="AE24" i="8"/>
  <c r="AF24" i="8" s="1"/>
  <c r="AG24" i="8"/>
  <c r="AH24" i="8" s="1"/>
  <c r="AI24" i="8"/>
  <c r="AJ24" i="8" s="1"/>
  <c r="AK24" i="8"/>
  <c r="AL24" i="8" s="1"/>
  <c r="I26" i="8"/>
  <c r="J26" i="8" s="1"/>
  <c r="K26" i="8"/>
  <c r="L26" i="8" s="1"/>
  <c r="M26" i="8"/>
  <c r="N26" i="8" s="1"/>
  <c r="O26" i="8"/>
  <c r="P26" i="8" s="1"/>
  <c r="Q26" i="8"/>
  <c r="R26" i="8" s="1"/>
  <c r="S26" i="8"/>
  <c r="T26" i="8" s="1"/>
  <c r="U26" i="8"/>
  <c r="V26" i="8" s="1"/>
  <c r="W26" i="8"/>
  <c r="X26" i="8" s="1"/>
  <c r="Y26" i="8"/>
  <c r="Z26" i="8" s="1"/>
  <c r="AA26" i="8"/>
  <c r="AB26" i="8" s="1"/>
  <c r="AC26" i="8"/>
  <c r="AD26" i="8" s="1"/>
  <c r="AE26" i="8"/>
  <c r="AF26" i="8" s="1"/>
  <c r="AG26" i="8"/>
  <c r="AH26" i="8" s="1"/>
  <c r="AI26" i="8"/>
  <c r="AJ26" i="8" s="1"/>
  <c r="AK26" i="8"/>
  <c r="AL26" i="8" s="1"/>
  <c r="I21" i="8"/>
  <c r="J21" i="8" s="1"/>
  <c r="K21" i="8"/>
  <c r="L21" i="8" s="1"/>
  <c r="M21" i="8"/>
  <c r="N21" i="8" s="1"/>
  <c r="O21" i="8"/>
  <c r="P21" i="8" s="1"/>
  <c r="Q21" i="8"/>
  <c r="R21" i="8" s="1"/>
  <c r="S21" i="8"/>
  <c r="T21" i="8" s="1"/>
  <c r="U21" i="8"/>
  <c r="V21" i="8" s="1"/>
  <c r="W21" i="8"/>
  <c r="X21" i="8" s="1"/>
  <c r="Y21" i="8"/>
  <c r="Z21" i="8" s="1"/>
  <c r="AA21" i="8"/>
  <c r="AB21" i="8" s="1"/>
  <c r="AC21" i="8"/>
  <c r="AD21" i="8" s="1"/>
  <c r="AE21" i="8"/>
  <c r="AF21" i="8" s="1"/>
  <c r="AG21" i="8"/>
  <c r="AH21" i="8" s="1"/>
  <c r="AI21" i="8"/>
  <c r="AJ21" i="8" s="1"/>
  <c r="AK21" i="8"/>
  <c r="AL21" i="8" s="1"/>
  <c r="I22" i="8"/>
  <c r="J22" i="8" s="1"/>
  <c r="K22" i="8"/>
  <c r="L22" i="8" s="1"/>
  <c r="M22" i="8"/>
  <c r="N22" i="8" s="1"/>
  <c r="O22" i="8"/>
  <c r="P22" i="8" s="1"/>
  <c r="Q22" i="8"/>
  <c r="R22" i="8" s="1"/>
  <c r="S22" i="8"/>
  <c r="T22" i="8" s="1"/>
  <c r="U22" i="8"/>
  <c r="V22" i="8" s="1"/>
  <c r="W22" i="8"/>
  <c r="X22" i="8" s="1"/>
  <c r="Y22" i="8"/>
  <c r="Z22" i="8" s="1"/>
  <c r="AA22" i="8"/>
  <c r="AB22" i="8" s="1"/>
  <c r="AC22" i="8"/>
  <c r="AD22" i="8" s="1"/>
  <c r="AE22" i="8"/>
  <c r="AF22" i="8" s="1"/>
  <c r="AG22" i="8"/>
  <c r="AH22" i="8" s="1"/>
  <c r="AI22" i="8"/>
  <c r="AJ22" i="8" s="1"/>
  <c r="AK22" i="8"/>
  <c r="AL22" i="8" s="1"/>
  <c r="G26" i="8"/>
  <c r="G24" i="8"/>
  <c r="G22" i="8"/>
  <c r="G21" i="8"/>
  <c r="G15" i="8"/>
  <c r="W16" i="8"/>
  <c r="X16" i="8" s="1"/>
  <c r="Y16" i="8"/>
  <c r="Z16" i="8" s="1"/>
  <c r="AA16" i="8"/>
  <c r="AB16" i="8" s="1"/>
  <c r="AC16" i="8"/>
  <c r="AD16" i="8" s="1"/>
  <c r="AG16" i="8"/>
  <c r="AH16" i="8" s="1"/>
  <c r="AI16" i="8"/>
  <c r="AJ16" i="8" s="1"/>
  <c r="AK16" i="8"/>
  <c r="AL16" i="8" s="1"/>
  <c r="W17" i="8"/>
  <c r="X17" i="8" s="1"/>
  <c r="Y17" i="8"/>
  <c r="Z17" i="8" s="1"/>
  <c r="AA17" i="8"/>
  <c r="AB17" i="8" s="1"/>
  <c r="AC17" i="8"/>
  <c r="AD17" i="8" s="1"/>
  <c r="AG17" i="8"/>
  <c r="AH17" i="8" s="1"/>
  <c r="AI17" i="8"/>
  <c r="AJ17" i="8" s="1"/>
  <c r="AK17" i="8"/>
  <c r="AL17" i="8" s="1"/>
  <c r="W18" i="8"/>
  <c r="X18" i="8" s="1"/>
  <c r="Y18" i="8"/>
  <c r="Z18" i="8" s="1"/>
  <c r="AA18" i="8"/>
  <c r="AB18" i="8" s="1"/>
  <c r="AC18" i="8"/>
  <c r="AD18" i="8" s="1"/>
  <c r="AG18" i="8"/>
  <c r="AH18" i="8" s="1"/>
  <c r="AI18" i="8"/>
  <c r="AJ18" i="8" s="1"/>
  <c r="AK18" i="8"/>
  <c r="AL18" i="8" s="1"/>
  <c r="W5" i="35"/>
  <c r="X5" i="35" s="1"/>
  <c r="Y5" i="35"/>
  <c r="Z5" i="35" s="1"/>
  <c r="AA5" i="35"/>
  <c r="AB5" i="35" s="1"/>
  <c r="AC5" i="35"/>
  <c r="AD5" i="35" s="1"/>
  <c r="AG5" i="35"/>
  <c r="AH5" i="35" s="1"/>
  <c r="AI5" i="35"/>
  <c r="AJ5" i="35" s="1"/>
  <c r="AK5" i="35"/>
  <c r="AL5" i="35" s="1"/>
  <c r="AM5" i="35"/>
  <c r="AN5" i="35" s="1"/>
  <c r="W6" i="35"/>
  <c r="X6" i="35" s="1"/>
  <c r="Y6" i="35"/>
  <c r="Z6" i="35" s="1"/>
  <c r="AA6" i="35"/>
  <c r="AB6" i="35" s="1"/>
  <c r="AC6" i="35"/>
  <c r="AD6" i="35" s="1"/>
  <c r="AG6" i="35"/>
  <c r="AH6" i="35" s="1"/>
  <c r="AI6" i="35"/>
  <c r="AJ6" i="35" s="1"/>
  <c r="AK6" i="35"/>
  <c r="AL6" i="35" s="1"/>
  <c r="AM6" i="35"/>
  <c r="AN6" i="35" s="1"/>
  <c r="W7" i="35"/>
  <c r="X7" i="35" s="1"/>
  <c r="Y7" i="35"/>
  <c r="Z7" i="35" s="1"/>
  <c r="AA7" i="35"/>
  <c r="AB7" i="35" s="1"/>
  <c r="AC7" i="35"/>
  <c r="AD7" i="35" s="1"/>
  <c r="AG7" i="35"/>
  <c r="AH7" i="35" s="1"/>
  <c r="AI7" i="35"/>
  <c r="AJ7" i="35" s="1"/>
  <c r="AK7" i="35"/>
  <c r="AL7" i="35" s="1"/>
  <c r="AM7" i="35"/>
  <c r="AN7" i="35" s="1"/>
  <c r="G34" i="112"/>
  <c r="H34" i="112" s="1"/>
  <c r="I34" i="112"/>
  <c r="J34" i="112" s="1"/>
  <c r="K34" i="112"/>
  <c r="L34" i="112" s="1"/>
  <c r="M34" i="112"/>
  <c r="N34" i="112" s="1"/>
  <c r="O34" i="112"/>
  <c r="P34" i="112" s="1"/>
  <c r="Q34" i="112"/>
  <c r="R34" i="112" s="1"/>
  <c r="S34" i="112"/>
  <c r="T34" i="112" s="1"/>
  <c r="U34" i="112"/>
  <c r="V34" i="112" s="1"/>
  <c r="W34" i="112"/>
  <c r="X34" i="112" s="1"/>
  <c r="Y34" i="112"/>
  <c r="Z34" i="112" s="1"/>
  <c r="AA34" i="112"/>
  <c r="AB34" i="112" s="1"/>
  <c r="AC34" i="112"/>
  <c r="AD34" i="112" s="1"/>
  <c r="AE34" i="112"/>
  <c r="AF34" i="112" s="1"/>
  <c r="AG34" i="112"/>
  <c r="AH34" i="112" s="1"/>
  <c r="AI34" i="112"/>
  <c r="AJ34" i="112" s="1"/>
  <c r="AK34" i="112"/>
  <c r="AL34" i="112" s="1"/>
  <c r="AM34" i="112"/>
  <c r="AN34" i="112" s="1"/>
  <c r="E34" i="112"/>
  <c r="F34" i="112" s="1"/>
  <c r="G36" i="35"/>
  <c r="H36" i="35" s="1"/>
  <c r="I36" i="35"/>
  <c r="J36" i="35" s="1"/>
  <c r="K36" i="35"/>
  <c r="L36" i="35" s="1"/>
  <c r="M36" i="35"/>
  <c r="N36" i="35" s="1"/>
  <c r="O36" i="35"/>
  <c r="P36" i="35" s="1"/>
  <c r="Q36" i="35"/>
  <c r="R36" i="35" s="1"/>
  <c r="S36" i="35"/>
  <c r="T36" i="35" s="1"/>
  <c r="U36" i="35"/>
  <c r="V36" i="35" s="1"/>
  <c r="W36" i="35"/>
  <c r="X36" i="35" s="1"/>
  <c r="Y36" i="35"/>
  <c r="Z36" i="35" s="1"/>
  <c r="AA36" i="35"/>
  <c r="AB36" i="35" s="1"/>
  <c r="AC36" i="35"/>
  <c r="AD36" i="35" s="1"/>
  <c r="AE36" i="35"/>
  <c r="AF36" i="35" s="1"/>
  <c r="AG36" i="35"/>
  <c r="AH36" i="35" s="1"/>
  <c r="AI36" i="35"/>
  <c r="AJ36" i="35" s="1"/>
  <c r="AK36" i="35"/>
  <c r="AL36" i="35" s="1"/>
  <c r="AM36" i="35"/>
  <c r="AN36" i="35" s="1"/>
  <c r="E36" i="35"/>
  <c r="G35" i="35"/>
  <c r="H35" i="35" s="1"/>
  <c r="I35" i="35"/>
  <c r="J35" i="35" s="1"/>
  <c r="K35" i="35"/>
  <c r="L35" i="35" s="1"/>
  <c r="M35" i="35"/>
  <c r="N35" i="35"/>
  <c r="O35" i="35"/>
  <c r="P35" i="35" s="1"/>
  <c r="Q35" i="35"/>
  <c r="R35" i="35"/>
  <c r="S35" i="35"/>
  <c r="T35" i="35" s="1"/>
  <c r="U35" i="35"/>
  <c r="V35" i="35" s="1"/>
  <c r="W35" i="35"/>
  <c r="X35" i="35" s="1"/>
  <c r="Y35" i="35"/>
  <c r="Z35" i="35"/>
  <c r="AA35" i="35"/>
  <c r="AB35" i="35" s="1"/>
  <c r="AC35" i="35"/>
  <c r="AD35" i="35" s="1"/>
  <c r="AE35" i="35"/>
  <c r="AF35" i="35" s="1"/>
  <c r="AG35" i="35"/>
  <c r="AH35" i="35"/>
  <c r="AI35" i="35"/>
  <c r="AJ35" i="35" s="1"/>
  <c r="AK35" i="35"/>
  <c r="AL35" i="35" s="1"/>
  <c r="AM35" i="35"/>
  <c r="G33" i="112"/>
  <c r="H33" i="112" s="1"/>
  <c r="I33" i="112"/>
  <c r="J33" i="112"/>
  <c r="K33" i="112"/>
  <c r="L33" i="112" s="1"/>
  <c r="M33" i="112"/>
  <c r="N33" i="112"/>
  <c r="O33" i="112"/>
  <c r="P33" i="112" s="1"/>
  <c r="Q33" i="112"/>
  <c r="R33" i="112"/>
  <c r="S33" i="112"/>
  <c r="T33" i="112" s="1"/>
  <c r="U33" i="112"/>
  <c r="V33" i="112"/>
  <c r="W33" i="112"/>
  <c r="X33" i="112" s="1"/>
  <c r="Y33" i="112"/>
  <c r="Z33" i="112"/>
  <c r="AA33" i="112"/>
  <c r="AB33" i="112" s="1"/>
  <c r="AC33" i="112"/>
  <c r="AD33" i="112"/>
  <c r="AE33" i="112"/>
  <c r="AF33" i="112" s="1"/>
  <c r="AG33" i="112"/>
  <c r="AH33" i="112"/>
  <c r="AI33" i="112"/>
  <c r="AJ33" i="112" s="1"/>
  <c r="AK33" i="112"/>
  <c r="AL33" i="112"/>
  <c r="AM33" i="112"/>
  <c r="AN33" i="112" s="1"/>
  <c r="E33" i="112"/>
  <c r="E35" i="35"/>
  <c r="W48" i="112"/>
  <c r="X48" i="112" s="1"/>
  <c r="Y48" i="112"/>
  <c r="Z48" i="112" s="1"/>
  <c r="AA48" i="112"/>
  <c r="AB48" i="112" s="1"/>
  <c r="AC48" i="112"/>
  <c r="AD48" i="112" s="1"/>
  <c r="AG48" i="112"/>
  <c r="AH48" i="112" s="1"/>
  <c r="AI48" i="112"/>
  <c r="AJ48" i="112" s="1"/>
  <c r="AK48" i="112"/>
  <c r="AL48" i="112" s="1"/>
  <c r="AM48" i="112"/>
  <c r="AN48" i="112" s="1"/>
  <c r="W49" i="112"/>
  <c r="X49" i="112" s="1"/>
  <c r="Y49" i="112"/>
  <c r="Z49" i="112" s="1"/>
  <c r="AA49" i="112"/>
  <c r="AB49" i="112" s="1"/>
  <c r="AC49" i="112"/>
  <c r="AD49" i="112" s="1"/>
  <c r="AG49" i="112"/>
  <c r="AH49" i="112" s="1"/>
  <c r="AI49" i="112"/>
  <c r="AJ49" i="112" s="1"/>
  <c r="AK49" i="112"/>
  <c r="AL49" i="112" s="1"/>
  <c r="AM49" i="112"/>
  <c r="AN49" i="112" s="1"/>
  <c r="W50" i="112"/>
  <c r="X50" i="112" s="1"/>
  <c r="Y50" i="112"/>
  <c r="Z50" i="112" s="1"/>
  <c r="AA50" i="112"/>
  <c r="AB50" i="112" s="1"/>
  <c r="AC50" i="112"/>
  <c r="AD50" i="112" s="1"/>
  <c r="AG50" i="112"/>
  <c r="AH50" i="112" s="1"/>
  <c r="AI50" i="112"/>
  <c r="AJ50" i="112" s="1"/>
  <c r="AK50" i="112"/>
  <c r="AL50" i="112" s="1"/>
  <c r="AM50" i="112"/>
  <c r="AN50" i="112" s="1"/>
  <c r="G51" i="112"/>
  <c r="H51" i="112" s="1"/>
  <c r="I51" i="112"/>
  <c r="J51" i="112" s="1"/>
  <c r="K51" i="112"/>
  <c r="L51" i="112" s="1"/>
  <c r="M51" i="112"/>
  <c r="N51" i="112" s="1"/>
  <c r="O51" i="112"/>
  <c r="P51" i="112" s="1"/>
  <c r="Q51" i="112"/>
  <c r="R51" i="112" s="1"/>
  <c r="S51" i="112"/>
  <c r="T51" i="112" s="1"/>
  <c r="U51" i="112"/>
  <c r="V51" i="112" s="1"/>
  <c r="W51" i="112"/>
  <c r="X51" i="112" s="1"/>
  <c r="Y51" i="112"/>
  <c r="Z51" i="112" s="1"/>
  <c r="AA51" i="112"/>
  <c r="AB51" i="112" s="1"/>
  <c r="AC51" i="112"/>
  <c r="AD51" i="112" s="1"/>
  <c r="AE51" i="112"/>
  <c r="AF51" i="112" s="1"/>
  <c r="AG51" i="112"/>
  <c r="AH51" i="112" s="1"/>
  <c r="AI51" i="112"/>
  <c r="AJ51" i="112" s="1"/>
  <c r="AK51" i="112"/>
  <c r="AL51" i="112" s="1"/>
  <c r="AM51" i="112"/>
  <c r="AN51" i="112" s="1"/>
  <c r="E51" i="112"/>
  <c r="W36" i="112"/>
  <c r="X36" i="112" s="1"/>
  <c r="Y36" i="112"/>
  <c r="Z36" i="112" s="1"/>
  <c r="AA36" i="112"/>
  <c r="AB36" i="112" s="1"/>
  <c r="AC36" i="112"/>
  <c r="AD36" i="112" s="1"/>
  <c r="AG36" i="112"/>
  <c r="AH36" i="112" s="1"/>
  <c r="AI36" i="112"/>
  <c r="AJ36" i="112" s="1"/>
  <c r="AK36" i="112"/>
  <c r="AL36" i="112" s="1"/>
  <c r="AM36" i="112"/>
  <c r="AN36" i="112" s="1"/>
  <c r="G37" i="112"/>
  <c r="H37" i="112" s="1"/>
  <c r="I37" i="112"/>
  <c r="J37" i="112" s="1"/>
  <c r="K37" i="112"/>
  <c r="L37" i="112" s="1"/>
  <c r="M37" i="112"/>
  <c r="N37" i="112" s="1"/>
  <c r="O37" i="112"/>
  <c r="P37" i="112" s="1"/>
  <c r="Q37" i="112"/>
  <c r="R37" i="112" s="1"/>
  <c r="S37" i="112"/>
  <c r="T37" i="112" s="1"/>
  <c r="U37" i="112"/>
  <c r="V37" i="112" s="1"/>
  <c r="W37" i="112"/>
  <c r="X37" i="112" s="1"/>
  <c r="Y37" i="112"/>
  <c r="Z37" i="112" s="1"/>
  <c r="AA37" i="112"/>
  <c r="AB37" i="112" s="1"/>
  <c r="AC37" i="112"/>
  <c r="AD37" i="112" s="1"/>
  <c r="AE37" i="112"/>
  <c r="AF37" i="112" s="1"/>
  <c r="AG37" i="112"/>
  <c r="AH37" i="112" s="1"/>
  <c r="AI37" i="112"/>
  <c r="AJ37" i="112" s="1"/>
  <c r="AK37" i="112"/>
  <c r="AL37" i="112" s="1"/>
  <c r="AM37" i="112"/>
  <c r="AN37" i="112" s="1"/>
  <c r="W38" i="112"/>
  <c r="X38" i="112" s="1"/>
  <c r="Y38" i="112"/>
  <c r="Z38" i="112" s="1"/>
  <c r="AA38" i="112"/>
  <c r="AB38" i="112" s="1"/>
  <c r="AC38" i="112"/>
  <c r="AD38" i="112" s="1"/>
  <c r="AG38" i="112"/>
  <c r="AH38" i="112" s="1"/>
  <c r="AI38" i="112"/>
  <c r="AJ38" i="112" s="1"/>
  <c r="AK38" i="112"/>
  <c r="AL38" i="112" s="1"/>
  <c r="AM38" i="112"/>
  <c r="AN38" i="112" s="1"/>
  <c r="G39" i="112"/>
  <c r="H39" i="112" s="1"/>
  <c r="I39" i="112"/>
  <c r="J39" i="112" s="1"/>
  <c r="K39" i="112"/>
  <c r="L39" i="112" s="1"/>
  <c r="M39" i="112"/>
  <c r="N39" i="112" s="1"/>
  <c r="O39" i="112"/>
  <c r="P39" i="112" s="1"/>
  <c r="Q39" i="112"/>
  <c r="R39" i="112" s="1"/>
  <c r="S39" i="112"/>
  <c r="T39" i="112" s="1"/>
  <c r="U39" i="112"/>
  <c r="V39" i="112" s="1"/>
  <c r="W39" i="112"/>
  <c r="X39" i="112" s="1"/>
  <c r="Y39" i="112"/>
  <c r="Z39" i="112" s="1"/>
  <c r="AA39" i="112"/>
  <c r="AB39" i="112" s="1"/>
  <c r="AC39" i="112"/>
  <c r="AD39" i="112" s="1"/>
  <c r="AE39" i="112"/>
  <c r="AF39" i="112" s="1"/>
  <c r="AG39" i="112"/>
  <c r="AH39" i="112" s="1"/>
  <c r="AI39" i="112"/>
  <c r="AJ39" i="112" s="1"/>
  <c r="AK39" i="112"/>
  <c r="AL39" i="112" s="1"/>
  <c r="AM39" i="112"/>
  <c r="AN39" i="112" s="1"/>
  <c r="W40" i="112"/>
  <c r="X40" i="112" s="1"/>
  <c r="Y40" i="112"/>
  <c r="Z40" i="112" s="1"/>
  <c r="AA40" i="112"/>
  <c r="AB40" i="112" s="1"/>
  <c r="AC40" i="112"/>
  <c r="AD40" i="112" s="1"/>
  <c r="AG40" i="112"/>
  <c r="AH40" i="112" s="1"/>
  <c r="AI40" i="112"/>
  <c r="AJ40" i="112" s="1"/>
  <c r="AK40" i="112"/>
  <c r="AL40" i="112" s="1"/>
  <c r="AM40" i="112"/>
  <c r="AN40" i="112" s="1"/>
  <c r="G41" i="112"/>
  <c r="H41" i="112" s="1"/>
  <c r="I41" i="112"/>
  <c r="J41" i="112" s="1"/>
  <c r="K41" i="112"/>
  <c r="L41" i="112" s="1"/>
  <c r="M41" i="112"/>
  <c r="N41" i="112" s="1"/>
  <c r="O41" i="112"/>
  <c r="P41" i="112" s="1"/>
  <c r="Q41" i="112"/>
  <c r="R41" i="112" s="1"/>
  <c r="S41" i="112"/>
  <c r="T41" i="112" s="1"/>
  <c r="U41" i="112"/>
  <c r="V41" i="112" s="1"/>
  <c r="W41" i="112"/>
  <c r="X41" i="112" s="1"/>
  <c r="Y41" i="112"/>
  <c r="Z41" i="112" s="1"/>
  <c r="AA41" i="112"/>
  <c r="AB41" i="112" s="1"/>
  <c r="AC41" i="112"/>
  <c r="AD41" i="112" s="1"/>
  <c r="AE41" i="112"/>
  <c r="AF41" i="112" s="1"/>
  <c r="AG41" i="112"/>
  <c r="AH41" i="112" s="1"/>
  <c r="AI41" i="112"/>
  <c r="AJ41" i="112" s="1"/>
  <c r="AK41" i="112"/>
  <c r="AL41" i="112" s="1"/>
  <c r="AM41" i="112"/>
  <c r="AN41" i="112" s="1"/>
  <c r="W42" i="112"/>
  <c r="X42" i="112" s="1"/>
  <c r="Y42" i="112"/>
  <c r="Z42" i="112" s="1"/>
  <c r="AA42" i="112"/>
  <c r="AB42" i="112" s="1"/>
  <c r="AC42" i="112"/>
  <c r="AD42" i="112" s="1"/>
  <c r="AG42" i="112"/>
  <c r="AH42" i="112" s="1"/>
  <c r="AI42" i="112"/>
  <c r="AJ42" i="112" s="1"/>
  <c r="AK42" i="112"/>
  <c r="AL42" i="112" s="1"/>
  <c r="AM42" i="112"/>
  <c r="AN42" i="112" s="1"/>
  <c r="W43" i="112"/>
  <c r="X43" i="112" s="1"/>
  <c r="Y43" i="112"/>
  <c r="Z43" i="112" s="1"/>
  <c r="AA43" i="112"/>
  <c r="AB43" i="112" s="1"/>
  <c r="AC43" i="112"/>
  <c r="AD43" i="112" s="1"/>
  <c r="AG43" i="112"/>
  <c r="AH43" i="112" s="1"/>
  <c r="AI43" i="112"/>
  <c r="AJ43" i="112" s="1"/>
  <c r="AK43" i="112"/>
  <c r="AL43" i="112" s="1"/>
  <c r="AM43" i="112"/>
  <c r="AN43" i="112" s="1"/>
  <c r="G44" i="112"/>
  <c r="H44" i="112" s="1"/>
  <c r="I44" i="112"/>
  <c r="J44" i="112" s="1"/>
  <c r="K44" i="112"/>
  <c r="L44" i="112" s="1"/>
  <c r="M44" i="112"/>
  <c r="N44" i="112" s="1"/>
  <c r="O44" i="112"/>
  <c r="P44" i="112" s="1"/>
  <c r="Q44" i="112"/>
  <c r="R44" i="112" s="1"/>
  <c r="S44" i="112"/>
  <c r="T44" i="112" s="1"/>
  <c r="U44" i="112"/>
  <c r="V44" i="112" s="1"/>
  <c r="W44" i="112"/>
  <c r="X44" i="112" s="1"/>
  <c r="Y44" i="112"/>
  <c r="Z44" i="112" s="1"/>
  <c r="AA44" i="112"/>
  <c r="AB44" i="112" s="1"/>
  <c r="AC44" i="112"/>
  <c r="AD44" i="112" s="1"/>
  <c r="AE44" i="112"/>
  <c r="AF44" i="112" s="1"/>
  <c r="AG44" i="112"/>
  <c r="AH44" i="112"/>
  <c r="AI44" i="112"/>
  <c r="AJ44" i="112" s="1"/>
  <c r="AK44" i="112"/>
  <c r="AL44" i="112" s="1"/>
  <c r="AM44" i="112"/>
  <c r="AN44" i="112" s="1"/>
  <c r="G45" i="112"/>
  <c r="H45" i="112" s="1"/>
  <c r="I45" i="112"/>
  <c r="J45" i="112" s="1"/>
  <c r="K45" i="112"/>
  <c r="L45" i="112" s="1"/>
  <c r="M45" i="112"/>
  <c r="N45" i="112" s="1"/>
  <c r="O45" i="112"/>
  <c r="P45" i="112" s="1"/>
  <c r="Q45" i="112"/>
  <c r="R45" i="112" s="1"/>
  <c r="S45" i="112"/>
  <c r="T45" i="112" s="1"/>
  <c r="U45" i="112"/>
  <c r="V45" i="112" s="1"/>
  <c r="W45" i="112"/>
  <c r="X45" i="112" s="1"/>
  <c r="Y45" i="112"/>
  <c r="Z45" i="112" s="1"/>
  <c r="AA45" i="112"/>
  <c r="AB45" i="112" s="1"/>
  <c r="AC45" i="112"/>
  <c r="AD45" i="112" s="1"/>
  <c r="AE45" i="112"/>
  <c r="AF45" i="112" s="1"/>
  <c r="AG45" i="112"/>
  <c r="AH45" i="112" s="1"/>
  <c r="AI45" i="112"/>
  <c r="AJ45" i="112" s="1"/>
  <c r="AK45" i="112"/>
  <c r="AL45" i="112" s="1"/>
  <c r="AM45" i="112"/>
  <c r="AN45" i="112" s="1"/>
  <c r="E44" i="112"/>
  <c r="E41" i="112"/>
  <c r="F41" i="112" s="1"/>
  <c r="E39" i="112"/>
  <c r="G32" i="112"/>
  <c r="H32" i="112" s="1"/>
  <c r="I32" i="112"/>
  <c r="J32" i="112"/>
  <c r="K32" i="112"/>
  <c r="L32" i="112" s="1"/>
  <c r="M32" i="112"/>
  <c r="N32" i="112"/>
  <c r="O32" i="112"/>
  <c r="P32" i="112" s="1"/>
  <c r="Q32" i="112"/>
  <c r="R32" i="112"/>
  <c r="S32" i="112"/>
  <c r="T32" i="112" s="1"/>
  <c r="U32" i="112"/>
  <c r="V32" i="112"/>
  <c r="W32" i="112"/>
  <c r="X32" i="112" s="1"/>
  <c r="Y32" i="112"/>
  <c r="Z32" i="112"/>
  <c r="AA32" i="112"/>
  <c r="AB32" i="112" s="1"/>
  <c r="AC32" i="112"/>
  <c r="AD32" i="112"/>
  <c r="AE32" i="112"/>
  <c r="AF32" i="112" s="1"/>
  <c r="AG32" i="112"/>
  <c r="AH32" i="112"/>
  <c r="AI32" i="112"/>
  <c r="AJ32" i="112" s="1"/>
  <c r="AK32" i="112"/>
  <c r="AL32" i="112"/>
  <c r="AM32" i="112"/>
  <c r="AN32" i="112" s="1"/>
  <c r="I15" i="8"/>
  <c r="J15" i="8" s="1"/>
  <c r="K15" i="8"/>
  <c r="L15" i="8" s="1"/>
  <c r="M15" i="8"/>
  <c r="N15" i="8" s="1"/>
  <c r="O15" i="8"/>
  <c r="P15" i="8" s="1"/>
  <c r="Q15" i="8"/>
  <c r="R15" i="8" s="1"/>
  <c r="S15" i="8"/>
  <c r="T15" i="8" s="1"/>
  <c r="U15" i="8"/>
  <c r="V15" i="8" s="1"/>
  <c r="W15" i="8"/>
  <c r="X15" i="8" s="1"/>
  <c r="Y15" i="8"/>
  <c r="Z15" i="8" s="1"/>
  <c r="AA15" i="8"/>
  <c r="AB15" i="8" s="1"/>
  <c r="AC15" i="8"/>
  <c r="AD15" i="8" s="1"/>
  <c r="AE15" i="8"/>
  <c r="AF15" i="8" s="1"/>
  <c r="AG15" i="8"/>
  <c r="AH15" i="8" s="1"/>
  <c r="AI15" i="8"/>
  <c r="AJ15" i="8" s="1"/>
  <c r="AK15" i="8"/>
  <c r="AL15" i="8" s="1"/>
  <c r="I14" i="8"/>
  <c r="J14" i="8" s="1"/>
  <c r="K14" i="8"/>
  <c r="L14" i="8" s="1"/>
  <c r="M14" i="8"/>
  <c r="N14" i="8" s="1"/>
  <c r="O14" i="8"/>
  <c r="P14" i="8" s="1"/>
  <c r="Q14" i="8"/>
  <c r="R14" i="8" s="1"/>
  <c r="S14" i="8"/>
  <c r="T14" i="8" s="1"/>
  <c r="U14" i="8"/>
  <c r="V14" i="8" s="1"/>
  <c r="W14" i="8"/>
  <c r="X14" i="8" s="1"/>
  <c r="Y14" i="8"/>
  <c r="Z14" i="8" s="1"/>
  <c r="AA14" i="8"/>
  <c r="AB14" i="8" s="1"/>
  <c r="AC14" i="8"/>
  <c r="AD14" i="8" s="1"/>
  <c r="AE14" i="8"/>
  <c r="AF14" i="8" s="1"/>
  <c r="AG14" i="8"/>
  <c r="AH14" i="8" s="1"/>
  <c r="AI14" i="8"/>
  <c r="AJ14" i="8" s="1"/>
  <c r="AK14" i="8"/>
  <c r="AL14" i="8" s="1"/>
  <c r="G14" i="8"/>
  <c r="I13" i="8"/>
  <c r="J13" i="8" s="1"/>
  <c r="K13" i="8"/>
  <c r="L13" i="8" s="1"/>
  <c r="M13" i="8"/>
  <c r="N13" i="8" s="1"/>
  <c r="O13" i="8"/>
  <c r="P13" i="8" s="1"/>
  <c r="Q13" i="8"/>
  <c r="R13" i="8" s="1"/>
  <c r="S13" i="8"/>
  <c r="T13" i="8" s="1"/>
  <c r="U13" i="8"/>
  <c r="V13" i="8" s="1"/>
  <c r="W13" i="8"/>
  <c r="X13" i="8" s="1"/>
  <c r="Y13" i="8"/>
  <c r="Z13" i="8" s="1"/>
  <c r="AA13" i="8"/>
  <c r="AB13" i="8" s="1"/>
  <c r="AC13" i="8"/>
  <c r="AD13" i="8" s="1"/>
  <c r="AE13" i="8"/>
  <c r="AF13" i="8" s="1"/>
  <c r="AG13" i="8"/>
  <c r="AH13" i="8" s="1"/>
  <c r="AI13" i="8"/>
  <c r="AJ13" i="8" s="1"/>
  <c r="AK13" i="8"/>
  <c r="AL13" i="8" s="1"/>
  <c r="G13" i="8"/>
  <c r="W12" i="8"/>
  <c r="X12" i="8" s="1"/>
  <c r="Y12" i="8"/>
  <c r="Z12" i="8" s="1"/>
  <c r="AA12" i="8"/>
  <c r="AB12" i="8" s="1"/>
  <c r="AC12" i="8"/>
  <c r="AD12" i="8" s="1"/>
  <c r="AG12" i="8"/>
  <c r="AH12" i="8" s="1"/>
  <c r="AI12" i="8"/>
  <c r="AJ12" i="8" s="1"/>
  <c r="AK12" i="8"/>
  <c r="AL12" i="8" s="1"/>
  <c r="W10" i="8"/>
  <c r="X10" i="8" s="1"/>
  <c r="Y10" i="8"/>
  <c r="Z10" i="8" s="1"/>
  <c r="AA10" i="8"/>
  <c r="AB10" i="8" s="1"/>
  <c r="AC10" i="8"/>
  <c r="AD10" i="8" s="1"/>
  <c r="AG10" i="8"/>
  <c r="AH10" i="8" s="1"/>
  <c r="AI10" i="8"/>
  <c r="AJ10" i="8" s="1"/>
  <c r="AK10" i="8"/>
  <c r="AL10" i="8" s="1"/>
  <c r="AL4" i="8"/>
  <c r="AL5" i="8"/>
  <c r="AL6" i="8"/>
  <c r="AL7" i="8"/>
  <c r="AL8" i="8"/>
  <c r="AL9" i="8"/>
  <c r="AK40" i="8"/>
  <c r="AL40" i="8" s="1"/>
  <c r="AL23" i="8"/>
  <c r="G29" i="35"/>
  <c r="H29" i="35"/>
  <c r="I29" i="35"/>
  <c r="J29" i="35" s="1"/>
  <c r="K29" i="35"/>
  <c r="L29" i="35" s="1"/>
  <c r="M29" i="35"/>
  <c r="N29" i="35" s="1"/>
  <c r="O29" i="35"/>
  <c r="P29" i="35" s="1"/>
  <c r="Q29" i="35"/>
  <c r="R29" i="35" s="1"/>
  <c r="S29" i="35"/>
  <c r="T29" i="35"/>
  <c r="U29" i="35"/>
  <c r="V29" i="35" s="1"/>
  <c r="W29" i="35"/>
  <c r="X29" i="35"/>
  <c r="Y29" i="35"/>
  <c r="Z29" i="35" s="1"/>
  <c r="AA29" i="35"/>
  <c r="AB29" i="35" s="1"/>
  <c r="AC29" i="35"/>
  <c r="AD29" i="35" s="1"/>
  <c r="AE29" i="35"/>
  <c r="AF29" i="35" s="1"/>
  <c r="AG29" i="35"/>
  <c r="AH29" i="35" s="1"/>
  <c r="AI29" i="35"/>
  <c r="AJ29" i="35"/>
  <c r="AK29" i="35"/>
  <c r="AL29" i="35" s="1"/>
  <c r="AM29" i="35"/>
  <c r="AN29" i="35"/>
  <c r="G30" i="35"/>
  <c r="H30" i="35" s="1"/>
  <c r="I30" i="35"/>
  <c r="J30" i="35" s="1"/>
  <c r="K30" i="35"/>
  <c r="L30" i="35" s="1"/>
  <c r="M30" i="35"/>
  <c r="N30" i="35" s="1"/>
  <c r="O30" i="35"/>
  <c r="P30" i="35" s="1"/>
  <c r="Q30" i="35"/>
  <c r="R30" i="35" s="1"/>
  <c r="S30" i="35"/>
  <c r="T30" i="35" s="1"/>
  <c r="U30" i="35"/>
  <c r="V30" i="35" s="1"/>
  <c r="W30" i="35"/>
  <c r="X30" i="35" s="1"/>
  <c r="Y30" i="35"/>
  <c r="Z30" i="35" s="1"/>
  <c r="AA30" i="35"/>
  <c r="AB30" i="35" s="1"/>
  <c r="AC30" i="35"/>
  <c r="AD30" i="35" s="1"/>
  <c r="AE30" i="35"/>
  <c r="AF30" i="35" s="1"/>
  <c r="AG30" i="35"/>
  <c r="AH30" i="35" s="1"/>
  <c r="AI30" i="35"/>
  <c r="AJ30" i="35" s="1"/>
  <c r="AK30" i="35"/>
  <c r="AL30" i="35" s="1"/>
  <c r="AM30" i="35"/>
  <c r="AN30" i="35" s="1"/>
  <c r="E29" i="35"/>
  <c r="E30" i="35"/>
  <c r="W50" i="35"/>
  <c r="X50" i="35" s="1"/>
  <c r="Y50" i="35"/>
  <c r="Z50" i="35" s="1"/>
  <c r="AA50" i="35"/>
  <c r="AB50" i="35" s="1"/>
  <c r="AC50" i="35"/>
  <c r="AD50" i="35" s="1"/>
  <c r="AG50" i="35"/>
  <c r="AH50" i="35" s="1"/>
  <c r="AI50" i="35"/>
  <c r="AJ50" i="35" s="1"/>
  <c r="AK50" i="35"/>
  <c r="AL50" i="35" s="1"/>
  <c r="AM50" i="35"/>
  <c r="AN50" i="35" s="1"/>
  <c r="W51" i="35"/>
  <c r="X51" i="35" s="1"/>
  <c r="Y51" i="35"/>
  <c r="Z51" i="35" s="1"/>
  <c r="AA51" i="35"/>
  <c r="AB51" i="35" s="1"/>
  <c r="AC51" i="35"/>
  <c r="AD51" i="35" s="1"/>
  <c r="AG51" i="35"/>
  <c r="AH51" i="35" s="1"/>
  <c r="AI51" i="35"/>
  <c r="AJ51" i="35" s="1"/>
  <c r="AK51" i="35"/>
  <c r="AL51" i="35" s="1"/>
  <c r="AM51" i="35"/>
  <c r="AN51" i="35" s="1"/>
  <c r="W52" i="35"/>
  <c r="X52" i="35" s="1"/>
  <c r="Y52" i="35"/>
  <c r="Z52" i="35" s="1"/>
  <c r="AA52" i="35"/>
  <c r="AB52" i="35" s="1"/>
  <c r="AC52" i="35"/>
  <c r="AD52" i="35" s="1"/>
  <c r="AG52" i="35"/>
  <c r="AH52" i="35" s="1"/>
  <c r="AI52" i="35"/>
  <c r="AJ52" i="35" s="1"/>
  <c r="AK52" i="35"/>
  <c r="AL52" i="35" s="1"/>
  <c r="AM52" i="35"/>
  <c r="AN52" i="35" s="1"/>
  <c r="G53" i="35"/>
  <c r="H53" i="35" s="1"/>
  <c r="I53" i="35"/>
  <c r="J53" i="35" s="1"/>
  <c r="K53" i="35"/>
  <c r="L53" i="35" s="1"/>
  <c r="M53" i="35"/>
  <c r="N53" i="35" s="1"/>
  <c r="O53" i="35"/>
  <c r="P53" i="35" s="1"/>
  <c r="Q53" i="35"/>
  <c r="R53" i="35" s="1"/>
  <c r="S53" i="35"/>
  <c r="T53" i="35" s="1"/>
  <c r="U53" i="35"/>
  <c r="V53" i="35" s="1"/>
  <c r="W53" i="35"/>
  <c r="X53" i="35" s="1"/>
  <c r="Y53" i="35"/>
  <c r="Z53" i="35" s="1"/>
  <c r="AA53" i="35"/>
  <c r="AB53" i="35" s="1"/>
  <c r="AC53" i="35"/>
  <c r="AD53" i="35" s="1"/>
  <c r="AE53" i="35"/>
  <c r="AF53" i="35" s="1"/>
  <c r="AG53" i="35"/>
  <c r="AH53" i="35" s="1"/>
  <c r="AI53" i="35"/>
  <c r="AJ53" i="35" s="1"/>
  <c r="AK53" i="35"/>
  <c r="AL53" i="35" s="1"/>
  <c r="AM53" i="35"/>
  <c r="AN53" i="35" s="1"/>
  <c r="E53" i="35"/>
  <c r="E31" i="35"/>
  <c r="W38" i="35"/>
  <c r="X38" i="35" s="1"/>
  <c r="Y38" i="35"/>
  <c r="Z38" i="35" s="1"/>
  <c r="AA38" i="35"/>
  <c r="AB38" i="35" s="1"/>
  <c r="AC38" i="35"/>
  <c r="AD38" i="35" s="1"/>
  <c r="AG38" i="35"/>
  <c r="AH38" i="35" s="1"/>
  <c r="AI38" i="35"/>
  <c r="AJ38" i="35" s="1"/>
  <c r="AK38" i="35"/>
  <c r="AL38" i="35" s="1"/>
  <c r="AM38" i="35"/>
  <c r="AN38" i="35" s="1"/>
  <c r="G39" i="35"/>
  <c r="H39" i="35" s="1"/>
  <c r="I39" i="35"/>
  <c r="J39" i="35" s="1"/>
  <c r="K39" i="35"/>
  <c r="L39" i="35" s="1"/>
  <c r="M39" i="35"/>
  <c r="N39" i="35" s="1"/>
  <c r="O39" i="35"/>
  <c r="P39" i="35" s="1"/>
  <c r="Q39" i="35"/>
  <c r="R39" i="35" s="1"/>
  <c r="S39" i="35"/>
  <c r="T39" i="35" s="1"/>
  <c r="U39" i="35"/>
  <c r="V39" i="35" s="1"/>
  <c r="W39" i="35"/>
  <c r="X39" i="35" s="1"/>
  <c r="Y39" i="35"/>
  <c r="Z39" i="35" s="1"/>
  <c r="AA39" i="35"/>
  <c r="AB39" i="35" s="1"/>
  <c r="AC39" i="35"/>
  <c r="AD39" i="35" s="1"/>
  <c r="AE39" i="35"/>
  <c r="AF39" i="35" s="1"/>
  <c r="AG39" i="35"/>
  <c r="AH39" i="35" s="1"/>
  <c r="AI39" i="35"/>
  <c r="AJ39" i="35" s="1"/>
  <c r="AK39" i="35"/>
  <c r="AL39" i="35" s="1"/>
  <c r="AM39" i="35"/>
  <c r="AN39" i="35" s="1"/>
  <c r="W40" i="35"/>
  <c r="X40" i="35" s="1"/>
  <c r="Y40" i="35"/>
  <c r="Z40" i="35" s="1"/>
  <c r="AA40" i="35"/>
  <c r="AB40" i="35" s="1"/>
  <c r="AC40" i="35"/>
  <c r="AD40" i="35" s="1"/>
  <c r="AG40" i="35"/>
  <c r="AH40" i="35" s="1"/>
  <c r="AI40" i="35"/>
  <c r="AJ40" i="35" s="1"/>
  <c r="AK40" i="35"/>
  <c r="AL40" i="35" s="1"/>
  <c r="AM40" i="35"/>
  <c r="AN40" i="35" s="1"/>
  <c r="G41" i="35"/>
  <c r="H41" i="35" s="1"/>
  <c r="I41" i="35"/>
  <c r="J41" i="35" s="1"/>
  <c r="K41" i="35"/>
  <c r="L41" i="35" s="1"/>
  <c r="M41" i="35"/>
  <c r="N41" i="35" s="1"/>
  <c r="O41" i="35"/>
  <c r="P41" i="35" s="1"/>
  <c r="Q41" i="35"/>
  <c r="R41" i="35" s="1"/>
  <c r="S41" i="35"/>
  <c r="T41" i="35" s="1"/>
  <c r="U41" i="35"/>
  <c r="V41" i="35" s="1"/>
  <c r="W41" i="35"/>
  <c r="X41" i="35" s="1"/>
  <c r="Y41" i="35"/>
  <c r="Z41" i="35" s="1"/>
  <c r="AA41" i="35"/>
  <c r="AB41" i="35" s="1"/>
  <c r="AC41" i="35"/>
  <c r="AD41" i="35" s="1"/>
  <c r="AE41" i="35"/>
  <c r="AF41" i="35" s="1"/>
  <c r="AG41" i="35"/>
  <c r="AH41" i="35" s="1"/>
  <c r="AI41" i="35"/>
  <c r="AJ41" i="35" s="1"/>
  <c r="AK41" i="35"/>
  <c r="AL41" i="35" s="1"/>
  <c r="AM41" i="35"/>
  <c r="AN41" i="35" s="1"/>
  <c r="W42" i="35"/>
  <c r="X42" i="35" s="1"/>
  <c r="Y42" i="35"/>
  <c r="Z42" i="35" s="1"/>
  <c r="AA42" i="35"/>
  <c r="AB42" i="35" s="1"/>
  <c r="AC42" i="35"/>
  <c r="AD42" i="35" s="1"/>
  <c r="AG42" i="35"/>
  <c r="AH42" i="35" s="1"/>
  <c r="AI42" i="35"/>
  <c r="AJ42" i="35" s="1"/>
  <c r="AK42" i="35"/>
  <c r="AL42" i="35" s="1"/>
  <c r="AM42" i="35"/>
  <c r="AN42" i="35" s="1"/>
  <c r="G43" i="35"/>
  <c r="H43" i="35" s="1"/>
  <c r="I43" i="35"/>
  <c r="J43" i="35" s="1"/>
  <c r="K43" i="35"/>
  <c r="L43" i="35" s="1"/>
  <c r="M43" i="35"/>
  <c r="N43" i="35" s="1"/>
  <c r="O43" i="35"/>
  <c r="P43" i="35" s="1"/>
  <c r="Q43" i="35"/>
  <c r="R43" i="35" s="1"/>
  <c r="S43" i="35"/>
  <c r="T43" i="35" s="1"/>
  <c r="U43" i="35"/>
  <c r="V43" i="35" s="1"/>
  <c r="W43" i="35"/>
  <c r="X43" i="35" s="1"/>
  <c r="Y43" i="35"/>
  <c r="Z43" i="35" s="1"/>
  <c r="AA43" i="35"/>
  <c r="AB43" i="35" s="1"/>
  <c r="AC43" i="35"/>
  <c r="AD43" i="35" s="1"/>
  <c r="AE43" i="35"/>
  <c r="AF43" i="35" s="1"/>
  <c r="AG43" i="35"/>
  <c r="AH43" i="35" s="1"/>
  <c r="AI43" i="35"/>
  <c r="AJ43" i="35" s="1"/>
  <c r="AK43" i="35"/>
  <c r="AL43" i="35" s="1"/>
  <c r="AM43" i="35"/>
  <c r="AN43" i="35" s="1"/>
  <c r="W44" i="35"/>
  <c r="X44" i="35" s="1"/>
  <c r="Y44" i="35"/>
  <c r="Z44" i="35" s="1"/>
  <c r="AA44" i="35"/>
  <c r="AB44" i="35" s="1"/>
  <c r="AC44" i="35"/>
  <c r="AD44" i="35" s="1"/>
  <c r="AG44" i="35"/>
  <c r="AH44" i="35" s="1"/>
  <c r="AI44" i="35"/>
  <c r="AJ44" i="35" s="1"/>
  <c r="AK44" i="35"/>
  <c r="AL44" i="35" s="1"/>
  <c r="AM44" i="35"/>
  <c r="AN44" i="35" s="1"/>
  <c r="W45" i="35"/>
  <c r="X45" i="35" s="1"/>
  <c r="Y45" i="35"/>
  <c r="Z45" i="35" s="1"/>
  <c r="AA45" i="35"/>
  <c r="AB45" i="35" s="1"/>
  <c r="AC45" i="35"/>
  <c r="AD45" i="35" s="1"/>
  <c r="AG45" i="35"/>
  <c r="AH45" i="35" s="1"/>
  <c r="AI45" i="35"/>
  <c r="AJ45" i="35" s="1"/>
  <c r="AK45" i="35"/>
  <c r="AL45" i="35" s="1"/>
  <c r="AM45" i="35"/>
  <c r="AN45" i="35" s="1"/>
  <c r="G46" i="35"/>
  <c r="H46" i="35" s="1"/>
  <c r="I46" i="35"/>
  <c r="J46" i="35" s="1"/>
  <c r="K46" i="35"/>
  <c r="L46" i="35" s="1"/>
  <c r="M46" i="35"/>
  <c r="N46" i="35" s="1"/>
  <c r="O46" i="35"/>
  <c r="P46" i="35" s="1"/>
  <c r="Q46" i="35"/>
  <c r="R46" i="35" s="1"/>
  <c r="S46" i="35"/>
  <c r="T46" i="35" s="1"/>
  <c r="U46" i="35"/>
  <c r="V46" i="35" s="1"/>
  <c r="W46" i="35"/>
  <c r="X46" i="35" s="1"/>
  <c r="Y46" i="35"/>
  <c r="Z46" i="35" s="1"/>
  <c r="AA46" i="35"/>
  <c r="AB46" i="35" s="1"/>
  <c r="AC46" i="35"/>
  <c r="AD46" i="35" s="1"/>
  <c r="AE46" i="35"/>
  <c r="AF46" i="35" s="1"/>
  <c r="AG46" i="35"/>
  <c r="AH46" i="35" s="1"/>
  <c r="AI46" i="35"/>
  <c r="AJ46" i="35" s="1"/>
  <c r="AK46" i="35"/>
  <c r="AL46" i="35" s="1"/>
  <c r="AM46" i="35"/>
  <c r="AN46" i="35" s="1"/>
  <c r="G47" i="35"/>
  <c r="H47" i="35" s="1"/>
  <c r="I47" i="35"/>
  <c r="J47" i="35" s="1"/>
  <c r="K47" i="35"/>
  <c r="L47" i="35" s="1"/>
  <c r="M47" i="35"/>
  <c r="N47" i="35" s="1"/>
  <c r="O47" i="35"/>
  <c r="P47" i="35" s="1"/>
  <c r="Q47" i="35"/>
  <c r="R47" i="35" s="1"/>
  <c r="S47" i="35"/>
  <c r="T47" i="35" s="1"/>
  <c r="U47" i="35"/>
  <c r="V47" i="35" s="1"/>
  <c r="W47" i="35"/>
  <c r="X47" i="35" s="1"/>
  <c r="Y47" i="35"/>
  <c r="Z47" i="35" s="1"/>
  <c r="AA47" i="35"/>
  <c r="AB47" i="35"/>
  <c r="AC47" i="35"/>
  <c r="AD47" i="35" s="1"/>
  <c r="AE47" i="35"/>
  <c r="AF47" i="35" s="1"/>
  <c r="AG47" i="35"/>
  <c r="AH47" i="35" s="1"/>
  <c r="AI47" i="35"/>
  <c r="AJ47" i="35" s="1"/>
  <c r="AK47" i="35"/>
  <c r="AL47" i="35" s="1"/>
  <c r="AM47" i="35"/>
  <c r="AN47" i="35" s="1"/>
  <c r="E46" i="35"/>
  <c r="E26" i="35"/>
  <c r="E41" i="35"/>
  <c r="W28" i="35"/>
  <c r="X28" i="35" s="1"/>
  <c r="Y28" i="35"/>
  <c r="Z28" i="35" s="1"/>
  <c r="AA28" i="35"/>
  <c r="AB28" i="35" s="1"/>
  <c r="AC28" i="35"/>
  <c r="AD28" i="35" s="1"/>
  <c r="AG28" i="35"/>
  <c r="AH28" i="35" s="1"/>
  <c r="AI28" i="35"/>
  <c r="AJ28" i="35" s="1"/>
  <c r="AK28" i="35"/>
  <c r="AL28" i="35" s="1"/>
  <c r="AM28" i="35"/>
  <c r="AN28" i="35" s="1"/>
  <c r="G27" i="35"/>
  <c r="H27" i="35" s="1"/>
  <c r="I27" i="35"/>
  <c r="J27" i="35" s="1"/>
  <c r="K27" i="35"/>
  <c r="L27" i="35" s="1"/>
  <c r="M27" i="35"/>
  <c r="N27" i="35" s="1"/>
  <c r="O27" i="35"/>
  <c r="P27" i="35" s="1"/>
  <c r="Q27" i="35"/>
  <c r="R27" i="35" s="1"/>
  <c r="S27" i="35"/>
  <c r="T27" i="35" s="1"/>
  <c r="U27" i="35"/>
  <c r="V27" i="35" s="1"/>
  <c r="W27" i="35"/>
  <c r="X27" i="35" s="1"/>
  <c r="Y27" i="35"/>
  <c r="Z27" i="35" s="1"/>
  <c r="AA27" i="35"/>
  <c r="AB27" i="35" s="1"/>
  <c r="AC27" i="35"/>
  <c r="AD27" i="35" s="1"/>
  <c r="AE27" i="35"/>
  <c r="AF27" i="35" s="1"/>
  <c r="AG27" i="35"/>
  <c r="AH27" i="35" s="1"/>
  <c r="AI27" i="35"/>
  <c r="AJ27" i="35" s="1"/>
  <c r="AK27" i="35"/>
  <c r="AL27" i="35" s="1"/>
  <c r="AM27" i="35"/>
  <c r="AN27" i="35" s="1"/>
  <c r="E27" i="35"/>
  <c r="W4" i="35"/>
  <c r="X4" i="35" s="1"/>
  <c r="Y4" i="35"/>
  <c r="Z4" i="35" s="1"/>
  <c r="AA4" i="35"/>
  <c r="AB4" i="35" s="1"/>
  <c r="AC4" i="35"/>
  <c r="AD4" i="35" s="1"/>
  <c r="AG4" i="35"/>
  <c r="AH4" i="35" s="1"/>
  <c r="AI4" i="35"/>
  <c r="AJ4" i="35" s="1"/>
  <c r="AK4" i="35"/>
  <c r="AL4" i="35" s="1"/>
  <c r="AM4" i="35"/>
  <c r="AN4" i="35" s="1"/>
  <c r="W4" i="112"/>
  <c r="X4" i="112" s="1"/>
  <c r="Y4" i="112"/>
  <c r="Z4" i="112" s="1"/>
  <c r="AA4" i="112"/>
  <c r="AB4" i="112" s="1"/>
  <c r="AC4" i="112"/>
  <c r="AD4" i="112" s="1"/>
  <c r="AG4" i="112"/>
  <c r="AH4" i="112" s="1"/>
  <c r="AI4" i="112"/>
  <c r="AJ4" i="112" s="1"/>
  <c r="AK4" i="112"/>
  <c r="AL4" i="112" s="1"/>
  <c r="AM4" i="112"/>
  <c r="AN4" i="112" s="1"/>
  <c r="W5" i="112"/>
  <c r="X5" i="112" s="1"/>
  <c r="Y5" i="112"/>
  <c r="Z5" i="112" s="1"/>
  <c r="AA5" i="112"/>
  <c r="AB5" i="112" s="1"/>
  <c r="AC5" i="112"/>
  <c r="AD5" i="112" s="1"/>
  <c r="AG5" i="112"/>
  <c r="AH5" i="112" s="1"/>
  <c r="AI5" i="112"/>
  <c r="AJ5" i="112" s="1"/>
  <c r="AK5" i="112"/>
  <c r="AL5" i="112" s="1"/>
  <c r="AM5" i="112"/>
  <c r="AN5" i="112" s="1"/>
  <c r="W6" i="112"/>
  <c r="X6" i="112" s="1"/>
  <c r="Y6" i="112"/>
  <c r="Z6" i="112" s="1"/>
  <c r="AA6" i="112"/>
  <c r="AB6" i="112" s="1"/>
  <c r="AC6" i="112"/>
  <c r="AD6" i="112" s="1"/>
  <c r="AG6" i="112"/>
  <c r="AH6" i="112" s="1"/>
  <c r="AI6" i="112"/>
  <c r="AJ6" i="112" s="1"/>
  <c r="AK6" i="112"/>
  <c r="AL6" i="112" s="1"/>
  <c r="AM6" i="112"/>
  <c r="AN6" i="112" s="1"/>
  <c r="W7" i="112"/>
  <c r="X7" i="112" s="1"/>
  <c r="Y7" i="112"/>
  <c r="Z7" i="112" s="1"/>
  <c r="AA7" i="112"/>
  <c r="AB7" i="112" s="1"/>
  <c r="AC7" i="112"/>
  <c r="AD7" i="112" s="1"/>
  <c r="AG7" i="112"/>
  <c r="AH7" i="112" s="1"/>
  <c r="AI7" i="112"/>
  <c r="AJ7" i="112" s="1"/>
  <c r="AK7" i="112"/>
  <c r="AL7" i="112" s="1"/>
  <c r="AM7" i="112"/>
  <c r="AN7" i="112" s="1"/>
  <c r="G24" i="112"/>
  <c r="H24" i="112" s="1"/>
  <c r="I24" i="112"/>
  <c r="J24" i="112" s="1"/>
  <c r="K24" i="112"/>
  <c r="L24" i="112" s="1"/>
  <c r="M24" i="112"/>
  <c r="N24" i="112" s="1"/>
  <c r="O24" i="112"/>
  <c r="P24" i="112" s="1"/>
  <c r="Q24" i="112"/>
  <c r="R24" i="112" s="1"/>
  <c r="S24" i="112"/>
  <c r="T24" i="112" s="1"/>
  <c r="U24" i="112"/>
  <c r="V24" i="112" s="1"/>
  <c r="W24" i="112"/>
  <c r="X24" i="112" s="1"/>
  <c r="Y24" i="112"/>
  <c r="Z24" i="112" s="1"/>
  <c r="AA24" i="112"/>
  <c r="AB24" i="112" s="1"/>
  <c r="AC24" i="112"/>
  <c r="AD24" i="112" s="1"/>
  <c r="AE24" i="112"/>
  <c r="AF24" i="112" s="1"/>
  <c r="AG24" i="112"/>
  <c r="AH24" i="112" s="1"/>
  <c r="AI24" i="112"/>
  <c r="AJ24" i="112" s="1"/>
  <c r="AK24" i="112"/>
  <c r="AL24" i="112" s="1"/>
  <c r="AM24" i="112"/>
  <c r="AN24" i="112" s="1"/>
  <c r="E24" i="112"/>
  <c r="F24" i="112" s="1"/>
  <c r="W25" i="112"/>
  <c r="X25" i="112" s="1"/>
  <c r="Y25" i="112"/>
  <c r="Z25" i="112" s="1"/>
  <c r="AA25" i="112"/>
  <c r="AB25" i="112" s="1"/>
  <c r="AC25" i="112"/>
  <c r="AD25" i="112" s="1"/>
  <c r="AG25" i="112"/>
  <c r="AH25" i="112" s="1"/>
  <c r="AI25" i="112"/>
  <c r="AJ25" i="112" s="1"/>
  <c r="AK25" i="112"/>
  <c r="AL25" i="112" s="1"/>
  <c r="AM25" i="112"/>
  <c r="AN25" i="112" s="1"/>
  <c r="Z17" i="112"/>
  <c r="D11" i="112"/>
  <c r="H9" i="112"/>
  <c r="J10" i="112"/>
  <c r="N12" i="112"/>
  <c r="P13" i="112"/>
  <c r="R14" i="112"/>
  <c r="T15" i="112"/>
  <c r="V16" i="112"/>
  <c r="X17" i="112"/>
  <c r="AD18" i="112"/>
  <c r="AF19" i="112"/>
  <c r="AH20" i="112"/>
  <c r="AJ21" i="112"/>
  <c r="AL22" i="112"/>
  <c r="L11" i="112"/>
  <c r="L26" i="112"/>
  <c r="L27" i="112"/>
  <c r="AC99" i="112"/>
  <c r="AC98" i="112"/>
  <c r="AC97" i="112"/>
  <c r="AC96" i="112"/>
  <c r="AC95" i="112"/>
  <c r="AC94" i="112"/>
  <c r="AC93" i="112"/>
  <c r="AC92" i="112"/>
  <c r="AC91" i="112"/>
  <c r="AC90" i="112"/>
  <c r="AC89" i="112"/>
  <c r="AC88" i="112"/>
  <c r="AC87" i="112"/>
  <c r="AC86" i="112"/>
  <c r="AC85" i="112"/>
  <c r="AC84" i="112"/>
  <c r="AC83" i="112"/>
  <c r="AC82" i="112"/>
  <c r="AC81" i="112"/>
  <c r="AC80" i="112"/>
  <c r="AC79" i="112"/>
  <c r="AC78" i="112"/>
  <c r="AC77" i="112"/>
  <c r="AC76" i="112"/>
  <c r="AC75" i="112"/>
  <c r="AC74" i="112"/>
  <c r="AC73" i="112"/>
  <c r="AC72" i="112"/>
  <c r="AC71" i="112"/>
  <c r="AC70" i="112"/>
  <c r="AC69" i="112"/>
  <c r="AC68" i="112"/>
  <c r="D51" i="112"/>
  <c r="D50" i="112"/>
  <c r="D49" i="112"/>
  <c r="D48" i="112"/>
  <c r="AN46" i="112"/>
  <c r="AL46" i="112"/>
  <c r="AJ46" i="112"/>
  <c r="AH46" i="112"/>
  <c r="AF46" i="112"/>
  <c r="AD46" i="112"/>
  <c r="AB46" i="112"/>
  <c r="Z46" i="112"/>
  <c r="X46" i="112"/>
  <c r="V46" i="112"/>
  <c r="T46" i="112"/>
  <c r="R46" i="112"/>
  <c r="P46" i="112"/>
  <c r="N46" i="112"/>
  <c r="L46" i="112"/>
  <c r="J46" i="112"/>
  <c r="H46" i="112"/>
  <c r="F46" i="112"/>
  <c r="D46" i="112"/>
  <c r="E45" i="112"/>
  <c r="F45" i="112" s="1"/>
  <c r="D45" i="112"/>
  <c r="D44" i="112"/>
  <c r="D43" i="112"/>
  <c r="D42" i="112"/>
  <c r="D41" i="112"/>
  <c r="D40" i="112"/>
  <c r="D39" i="112"/>
  <c r="D38" i="112"/>
  <c r="E37" i="112"/>
  <c r="F37" i="112" s="1"/>
  <c r="D37" i="112"/>
  <c r="D36" i="112"/>
  <c r="D34" i="112"/>
  <c r="F33" i="112"/>
  <c r="D33" i="112"/>
  <c r="E32" i="112"/>
  <c r="F32" i="112" s="1"/>
  <c r="D32" i="112"/>
  <c r="AM29" i="112"/>
  <c r="AK29" i="112"/>
  <c r="AI29" i="112"/>
  <c r="AG29" i="112"/>
  <c r="AE29" i="112"/>
  <c r="AC29" i="112"/>
  <c r="AA29" i="112"/>
  <c r="Y29" i="112"/>
  <c r="W29" i="112"/>
  <c r="U29" i="112"/>
  <c r="S29" i="112"/>
  <c r="Q29" i="112"/>
  <c r="O29" i="112"/>
  <c r="M29" i="112"/>
  <c r="K29" i="112"/>
  <c r="I29" i="112"/>
  <c r="G29" i="112"/>
  <c r="E29" i="112"/>
  <c r="D29" i="112"/>
  <c r="AM28" i="112"/>
  <c r="AN28" i="112" s="1"/>
  <c r="AK28" i="112"/>
  <c r="AL28" i="112" s="1"/>
  <c r="AI28" i="112"/>
  <c r="AJ28" i="112" s="1"/>
  <c r="AG28" i="112"/>
  <c r="AH28" i="112" s="1"/>
  <c r="AE28" i="112"/>
  <c r="AF28" i="112" s="1"/>
  <c r="AC28" i="112"/>
  <c r="AD28" i="112" s="1"/>
  <c r="AA28" i="112"/>
  <c r="AB28" i="112" s="1"/>
  <c r="Y28" i="112"/>
  <c r="Z28" i="112" s="1"/>
  <c r="W28" i="112"/>
  <c r="X28" i="112" s="1"/>
  <c r="U28" i="112"/>
  <c r="V28" i="112" s="1"/>
  <c r="S28" i="112"/>
  <c r="T28" i="112" s="1"/>
  <c r="Q28" i="112"/>
  <c r="R28" i="112" s="1"/>
  <c r="O28" i="112"/>
  <c r="P28" i="112" s="1"/>
  <c r="M28" i="112"/>
  <c r="N28" i="112" s="1"/>
  <c r="K28" i="112"/>
  <c r="L28" i="112" s="1"/>
  <c r="I28" i="112"/>
  <c r="J28" i="112" s="1"/>
  <c r="G28" i="112"/>
  <c r="H28" i="112" s="1"/>
  <c r="E28" i="112"/>
  <c r="F28" i="112" s="1"/>
  <c r="D28" i="112"/>
  <c r="AN27" i="112"/>
  <c r="AL27" i="112"/>
  <c r="AJ27" i="112"/>
  <c r="AH27" i="112"/>
  <c r="AF27" i="112"/>
  <c r="AD27" i="112"/>
  <c r="AB27" i="112"/>
  <c r="Z27" i="112"/>
  <c r="X27" i="112"/>
  <c r="V27" i="112"/>
  <c r="T27" i="112"/>
  <c r="R27" i="112"/>
  <c r="P27" i="112"/>
  <c r="N27" i="112"/>
  <c r="J27" i="112"/>
  <c r="H27" i="112"/>
  <c r="F27" i="112"/>
  <c r="D27" i="112"/>
  <c r="AN26" i="112"/>
  <c r="AL26" i="112"/>
  <c r="AJ26" i="112"/>
  <c r="AH26" i="112"/>
  <c r="AF26" i="112"/>
  <c r="AD26" i="112"/>
  <c r="AB26" i="112"/>
  <c r="Z26" i="112"/>
  <c r="X26" i="112"/>
  <c r="V26" i="112"/>
  <c r="T26" i="112"/>
  <c r="R26" i="112"/>
  <c r="P26" i="112"/>
  <c r="N26" i="112"/>
  <c r="J26" i="112"/>
  <c r="H26" i="112"/>
  <c r="F26" i="112"/>
  <c r="D26" i="112"/>
  <c r="D25" i="112"/>
  <c r="D24" i="112"/>
  <c r="AM23" i="112"/>
  <c r="AK23" i="112"/>
  <c r="AI23" i="112"/>
  <c r="AG23" i="112"/>
  <c r="AE23" i="112"/>
  <c r="AC23" i="112"/>
  <c r="AA23" i="112"/>
  <c r="Y23" i="112"/>
  <c r="W23" i="112"/>
  <c r="U23" i="112"/>
  <c r="S23" i="112"/>
  <c r="Q23" i="112"/>
  <c r="O23" i="112"/>
  <c r="M23" i="112"/>
  <c r="K23" i="112"/>
  <c r="I23" i="112"/>
  <c r="G23" i="112"/>
  <c r="E23" i="112"/>
  <c r="D23" i="112"/>
  <c r="AN22" i="112"/>
  <c r="AJ22" i="112"/>
  <c r="AH22" i="112"/>
  <c r="AF22" i="112"/>
  <c r="AD22" i="112"/>
  <c r="AB22" i="112"/>
  <c r="T22" i="112"/>
  <c r="D22" i="112"/>
  <c r="AN21" i="112"/>
  <c r="AL21" i="112"/>
  <c r="AH21" i="112"/>
  <c r="AF21" i="112"/>
  <c r="AD21" i="112"/>
  <c r="AB21" i="112"/>
  <c r="T21" i="112"/>
  <c r="D21" i="112"/>
  <c r="AN20" i="112"/>
  <c r="AL20" i="112"/>
  <c r="AJ20" i="112"/>
  <c r="AF20" i="112"/>
  <c r="AD20" i="112"/>
  <c r="AB20" i="112"/>
  <c r="T20" i="112"/>
  <c r="D20" i="112"/>
  <c r="AN19" i="112"/>
  <c r="AL19" i="112"/>
  <c r="AJ19" i="112"/>
  <c r="AH19" i="112"/>
  <c r="AD19" i="112"/>
  <c r="AB19" i="112"/>
  <c r="T19" i="112"/>
  <c r="D19" i="112"/>
  <c r="AN18" i="112"/>
  <c r="AL18" i="112"/>
  <c r="AJ18" i="112"/>
  <c r="AH18" i="112"/>
  <c r="AF18" i="112"/>
  <c r="AB18" i="112"/>
  <c r="T18" i="112"/>
  <c r="D18" i="112"/>
  <c r="AN17" i="112"/>
  <c r="AL17" i="112"/>
  <c r="AJ17" i="112"/>
  <c r="AH17" i="112"/>
  <c r="AF17" i="112"/>
  <c r="AD17" i="112"/>
  <c r="AB17" i="112"/>
  <c r="T17" i="112"/>
  <c r="D17" i="112"/>
  <c r="AN16" i="112"/>
  <c r="AL16" i="112"/>
  <c r="AJ16" i="112"/>
  <c r="AH16" i="112"/>
  <c r="AF16" i="112"/>
  <c r="AD16" i="112"/>
  <c r="AB16" i="112"/>
  <c r="T16" i="112"/>
  <c r="D16" i="112"/>
  <c r="AN15" i="112"/>
  <c r="AL15" i="112"/>
  <c r="AJ15" i="112"/>
  <c r="AH15" i="112"/>
  <c r="AF15" i="112"/>
  <c r="AD15" i="112"/>
  <c r="AB15" i="112"/>
  <c r="D15" i="112"/>
  <c r="AN14" i="112"/>
  <c r="AL14" i="112"/>
  <c r="AJ14" i="112"/>
  <c r="AH14" i="112"/>
  <c r="AF14" i="112"/>
  <c r="AD14" i="112"/>
  <c r="AB14" i="112"/>
  <c r="T14" i="112"/>
  <c r="D14" i="112"/>
  <c r="AN13" i="112"/>
  <c r="AL13" i="112"/>
  <c r="AJ13" i="112"/>
  <c r="AH13" i="112"/>
  <c r="AF13" i="112"/>
  <c r="AD13" i="112"/>
  <c r="AB13" i="112"/>
  <c r="T13" i="112"/>
  <c r="D13" i="112"/>
  <c r="AN12" i="112"/>
  <c r="AL12" i="112"/>
  <c r="AJ12" i="112"/>
  <c r="AH12" i="112"/>
  <c r="AF12" i="112"/>
  <c r="AD12" i="112"/>
  <c r="AB12" i="112"/>
  <c r="T12" i="112"/>
  <c r="D12" i="112"/>
  <c r="AN11" i="112"/>
  <c r="AL11" i="112"/>
  <c r="AJ11" i="112"/>
  <c r="AH11" i="112"/>
  <c r="AF11" i="112"/>
  <c r="AD11" i="112"/>
  <c r="AB11" i="112"/>
  <c r="T11" i="112"/>
  <c r="AN10" i="112"/>
  <c r="AL10" i="112"/>
  <c r="AJ10" i="112"/>
  <c r="AH10" i="112"/>
  <c r="AF10" i="112"/>
  <c r="AD10" i="112"/>
  <c r="AB10" i="112"/>
  <c r="T10" i="112"/>
  <c r="D10" i="112"/>
  <c r="AN9" i="112"/>
  <c r="AL9" i="112"/>
  <c r="AJ9" i="112"/>
  <c r="AH9" i="112"/>
  <c r="AF9" i="112"/>
  <c r="AD9" i="112"/>
  <c r="AB9" i="112"/>
  <c r="T9" i="112"/>
  <c r="D9" i="112"/>
  <c r="AN8" i="112"/>
  <c r="AL8" i="112"/>
  <c r="AJ8" i="112"/>
  <c r="AH8" i="112"/>
  <c r="AF8" i="112"/>
  <c r="AD8" i="112"/>
  <c r="AB8" i="112"/>
  <c r="T8" i="112"/>
  <c r="E8" i="112"/>
  <c r="F8" i="112" s="1"/>
  <c r="D8" i="112"/>
  <c r="D7" i="112"/>
  <c r="D6" i="112"/>
  <c r="D5" i="112"/>
  <c r="D4" i="112"/>
  <c r="W4" i="9"/>
  <c r="X4" i="9" s="1"/>
  <c r="Y4" i="9"/>
  <c r="Z4" i="9" s="1"/>
  <c r="AA4" i="9"/>
  <c r="AB4" i="9" s="1"/>
  <c r="AC4" i="9"/>
  <c r="AD4" i="9" s="1"/>
  <c r="AG4" i="9"/>
  <c r="AH4" i="9" s="1"/>
  <c r="AI4" i="9"/>
  <c r="AJ4" i="9" s="1"/>
  <c r="AK4" i="9"/>
  <c r="AL4" i="9" s="1"/>
  <c r="AM4" i="9"/>
  <c r="AN4" i="9" s="1"/>
  <c r="F44" i="112" l="1"/>
  <c r="Y33" i="68"/>
  <c r="Z33" i="68" s="1"/>
  <c r="AG30" i="68"/>
  <c r="AH31" i="68" s="1"/>
  <c r="AA33" i="68"/>
  <c r="AA30" i="68"/>
  <c r="AC33" i="68"/>
  <c r="AC30" i="68"/>
  <c r="Z35" i="68"/>
  <c r="Z34" i="68"/>
  <c r="AM33" i="68"/>
  <c r="AM30" i="68"/>
  <c r="Z31" i="68"/>
  <c r="U33" i="68"/>
  <c r="U30" i="68"/>
  <c r="O61" i="34" s="1"/>
  <c r="AD35" i="112"/>
  <c r="AC35" i="112" s="1"/>
  <c r="AC57" i="112" s="1"/>
  <c r="P35" i="112"/>
  <c r="O35" i="112" s="1"/>
  <c r="O57" i="112" s="1"/>
  <c r="L35" i="112"/>
  <c r="K35" i="112" s="1"/>
  <c r="K57" i="112" s="1"/>
  <c r="AL35" i="112"/>
  <c r="AK35" i="112" s="1"/>
  <c r="AK57" i="112" s="1"/>
  <c r="V35" i="112"/>
  <c r="U35" i="112" s="1"/>
  <c r="U57" i="112" s="1"/>
  <c r="R35" i="112"/>
  <c r="Q35" i="112" s="1"/>
  <c r="Q57" i="112" s="1"/>
  <c r="Z35" i="112"/>
  <c r="Y35" i="112" s="1"/>
  <c r="Y57" i="112" s="1"/>
  <c r="J35" i="112"/>
  <c r="I35" i="112" s="1"/>
  <c r="I57" i="112" s="1"/>
  <c r="AH35" i="112"/>
  <c r="AG35" i="112" s="1"/>
  <c r="AG57" i="112" s="1"/>
  <c r="N35" i="112"/>
  <c r="M35" i="112" s="1"/>
  <c r="M57" i="112" s="1"/>
  <c r="F35" i="112"/>
  <c r="E35" i="112" s="1"/>
  <c r="E57" i="112" s="1"/>
  <c r="AL27" i="8"/>
  <c r="AK27" i="8" s="1"/>
  <c r="AK47" i="8" s="1"/>
  <c r="AL42" i="8"/>
  <c r="AK42" i="8" s="1"/>
  <c r="AK49" i="8" s="1"/>
  <c r="AL20" i="8"/>
  <c r="AK20" i="8" s="1"/>
  <c r="AL35" i="8"/>
  <c r="AK35" i="8" s="1"/>
  <c r="AK48" i="8" s="1"/>
  <c r="AK46" i="112"/>
  <c r="AB29" i="112"/>
  <c r="H29" i="112"/>
  <c r="AJ29" i="112"/>
  <c r="J23" i="112"/>
  <c r="I62" i="112" s="1"/>
  <c r="AH23" i="112"/>
  <c r="T29" i="112"/>
  <c r="R23" i="112"/>
  <c r="L23" i="112"/>
  <c r="K62" i="112" s="1"/>
  <c r="Z23" i="112"/>
  <c r="Y62" i="112" s="1"/>
  <c r="T35" i="112"/>
  <c r="S35" i="112" s="1"/>
  <c r="S57" i="112" s="1"/>
  <c r="AB35" i="112"/>
  <c r="AA35" i="112" s="1"/>
  <c r="AA57" i="112" s="1"/>
  <c r="AJ35" i="112"/>
  <c r="AI35" i="112" s="1"/>
  <c r="AI57" i="112" s="1"/>
  <c r="H35" i="112"/>
  <c r="G35" i="112" s="1"/>
  <c r="G57" i="112" s="1"/>
  <c r="X35" i="112"/>
  <c r="W35" i="112" s="1"/>
  <c r="W57" i="112" s="1"/>
  <c r="AF35" i="112"/>
  <c r="AE35" i="112" s="1"/>
  <c r="AE57" i="112" s="1"/>
  <c r="AN35" i="112"/>
  <c r="AM35" i="112" s="1"/>
  <c r="AM57" i="112" s="1"/>
  <c r="N23" i="112"/>
  <c r="M62" i="112" s="1"/>
  <c r="AD23" i="112"/>
  <c r="AC62" i="112" s="1"/>
  <c r="X29" i="112"/>
  <c r="AN29" i="112"/>
  <c r="L29" i="112"/>
  <c r="AH47" i="112"/>
  <c r="AG47" i="112" s="1"/>
  <c r="AG58" i="112" s="1"/>
  <c r="F23" i="112"/>
  <c r="E62" i="112" s="1"/>
  <c r="V23" i="112"/>
  <c r="U62" i="112" s="1"/>
  <c r="AL23" i="112"/>
  <c r="AK62" i="112" s="1"/>
  <c r="P29" i="112"/>
  <c r="AF29" i="112"/>
  <c r="F51" i="112"/>
  <c r="F39" i="112"/>
  <c r="Z47" i="112"/>
  <c r="Y47" i="112" s="1"/>
  <c r="Y58" i="112" s="1"/>
  <c r="Q62" i="112"/>
  <c r="AG62" i="112"/>
  <c r="X47" i="112"/>
  <c r="W47" i="112" s="1"/>
  <c r="W58" i="112" s="1"/>
  <c r="AB47" i="112"/>
  <c r="AA47" i="112" s="1"/>
  <c r="AA58" i="112" s="1"/>
  <c r="AN47" i="112"/>
  <c r="AM47" i="112" s="1"/>
  <c r="AM58" i="112" s="1"/>
  <c r="H23" i="112"/>
  <c r="P23" i="112"/>
  <c r="T23" i="112"/>
  <c r="X23" i="112"/>
  <c r="AB23" i="112"/>
  <c r="AB31" i="112" s="1"/>
  <c r="AA31" i="112" s="1"/>
  <c r="AF23" i="112"/>
  <c r="AJ23" i="112"/>
  <c r="AI62" i="112" s="1"/>
  <c r="AN23" i="112"/>
  <c r="AM62" i="112" s="1"/>
  <c r="F29" i="112"/>
  <c r="J29" i="112"/>
  <c r="N29" i="112"/>
  <c r="R29" i="112"/>
  <c r="V29" i="112"/>
  <c r="Z29" i="112"/>
  <c r="AD29" i="112"/>
  <c r="AH29" i="112"/>
  <c r="AH31" i="112" s="1"/>
  <c r="AG31" i="112" s="1"/>
  <c r="AL29" i="112"/>
  <c r="E46" i="112"/>
  <c r="I46" i="112"/>
  <c r="M46" i="112"/>
  <c r="Q46" i="112"/>
  <c r="U46" i="112"/>
  <c r="Y46" i="112"/>
  <c r="AC46" i="112"/>
  <c r="AG46" i="112"/>
  <c r="AH52" i="112"/>
  <c r="AG52" i="112" s="1"/>
  <c r="X52" i="112"/>
  <c r="W52" i="112" s="1"/>
  <c r="AD52" i="112"/>
  <c r="AC52" i="112" s="1"/>
  <c r="AJ52" i="112"/>
  <c r="AI52" i="112" s="1"/>
  <c r="G46" i="112"/>
  <c r="K46" i="112"/>
  <c r="O46" i="112"/>
  <c r="S46" i="112"/>
  <c r="W46" i="112"/>
  <c r="AA46" i="112"/>
  <c r="AE46" i="112"/>
  <c r="AI46" i="112"/>
  <c r="AM46" i="112"/>
  <c r="Z52" i="112"/>
  <c r="Y52" i="112" s="1"/>
  <c r="AL52" i="112"/>
  <c r="AK52" i="112" s="1"/>
  <c r="AB52" i="112"/>
  <c r="AA52" i="112" s="1"/>
  <c r="AN52" i="112"/>
  <c r="AM52" i="112" s="1"/>
  <c r="AJ47" i="112"/>
  <c r="AI47" i="112" s="1"/>
  <c r="AI58" i="112" s="1"/>
  <c r="X31" i="112" l="1"/>
  <c r="W31" i="112" s="1"/>
  <c r="W55" i="112" s="1"/>
  <c r="AH34" i="68"/>
  <c r="AH35" i="68"/>
  <c r="AH33" i="68"/>
  <c r="AH32" i="68"/>
  <c r="V33" i="68"/>
  <c r="AB33" i="68"/>
  <c r="AB35" i="68"/>
  <c r="AB34" i="68"/>
  <c r="AB31" i="68"/>
  <c r="AB32" i="68"/>
  <c r="AN33" i="68"/>
  <c r="AD33" i="68"/>
  <c r="AN34" i="68"/>
  <c r="AN35" i="68"/>
  <c r="AN32" i="68"/>
  <c r="AN31" i="68"/>
  <c r="AD34" i="68"/>
  <c r="AD35" i="68"/>
  <c r="AD32" i="68"/>
  <c r="AD31" i="68"/>
  <c r="V34" i="68"/>
  <c r="V35" i="68"/>
  <c r="V31" i="68"/>
  <c r="V32" i="68"/>
  <c r="AK46" i="8"/>
  <c r="AK45" i="8"/>
  <c r="AK44" i="8"/>
  <c r="AL49" i="8" s="1"/>
  <c r="AE62" i="112"/>
  <c r="AN31" i="112"/>
  <c r="AM31" i="112" s="1"/>
  <c r="AM56" i="112" s="1"/>
  <c r="AL31" i="112"/>
  <c r="AK31" i="112" s="1"/>
  <c r="AK56" i="112" s="1"/>
  <c r="S62" i="112"/>
  <c r="AD47" i="112"/>
  <c r="AC47" i="112" s="1"/>
  <c r="AC58" i="112" s="1"/>
  <c r="AA62" i="112"/>
  <c r="AL47" i="112"/>
  <c r="AK47" i="112" s="1"/>
  <c r="AK58" i="112" s="1"/>
  <c r="O62" i="112"/>
  <c r="W62" i="112"/>
  <c r="G62" i="112"/>
  <c r="AG56" i="112"/>
  <c r="AG55" i="112"/>
  <c r="W56" i="112"/>
  <c r="AA56" i="112"/>
  <c r="AA55" i="112"/>
  <c r="AA54" i="112"/>
  <c r="AA59" i="112"/>
  <c r="AD31" i="112"/>
  <c r="AC31" i="112" s="1"/>
  <c r="Y59" i="112"/>
  <c r="AC59" i="112"/>
  <c r="W54" i="112"/>
  <c r="X58" i="112" s="1"/>
  <c r="W59" i="112"/>
  <c r="Z31" i="112"/>
  <c r="Y31" i="112" s="1"/>
  <c r="Y54" i="112" s="1"/>
  <c r="AM59" i="112"/>
  <c r="AG59" i="112"/>
  <c r="AG54" i="112"/>
  <c r="AH62" i="112" s="1"/>
  <c r="AK59" i="112"/>
  <c r="AI59" i="112"/>
  <c r="AJ31" i="112"/>
  <c r="AI31" i="112" s="1"/>
  <c r="AK54" i="112" l="1"/>
  <c r="AL58" i="112" s="1"/>
  <c r="AK55" i="112"/>
  <c r="AC54" i="112"/>
  <c r="AD58" i="112" s="1"/>
  <c r="AL45" i="8"/>
  <c r="AL46" i="8"/>
  <c r="AL47" i="8"/>
  <c r="AL48" i="8"/>
  <c r="AB62" i="112"/>
  <c r="AM55" i="112"/>
  <c r="AM54" i="112"/>
  <c r="AN58" i="112" s="1"/>
  <c r="AB58" i="112"/>
  <c r="AB59" i="112"/>
  <c r="AH59" i="112"/>
  <c r="AB55" i="112"/>
  <c r="AB56" i="112"/>
  <c r="AH56" i="112"/>
  <c r="AH58" i="112"/>
  <c r="Y61" i="112"/>
  <c r="Z61" i="112" s="1"/>
  <c r="Z57" i="112"/>
  <c r="Z62" i="112"/>
  <c r="Z58" i="112"/>
  <c r="AK61" i="112"/>
  <c r="AL61" i="112" s="1"/>
  <c r="X55" i="112"/>
  <c r="AI55" i="112"/>
  <c r="AI56" i="112"/>
  <c r="AA61" i="112"/>
  <c r="AB61" i="112" s="1"/>
  <c r="AB57" i="112"/>
  <c r="AL56" i="112"/>
  <c r="X56" i="112"/>
  <c r="W61" i="112"/>
  <c r="X61" i="112" s="1"/>
  <c r="X57" i="112"/>
  <c r="X62" i="112"/>
  <c r="Y55" i="112"/>
  <c r="Z55" i="112" s="1"/>
  <c r="Y56" i="112"/>
  <c r="Z56" i="112" s="1"/>
  <c r="AI54" i="112"/>
  <c r="AG61" i="112"/>
  <c r="AH61" i="112" s="1"/>
  <c r="AH57" i="112"/>
  <c r="X59" i="112"/>
  <c r="Z59" i="112"/>
  <c r="AC56" i="112"/>
  <c r="AC55" i="112"/>
  <c r="AL55" i="112"/>
  <c r="AH55" i="112"/>
  <c r="AD55" i="112" l="1"/>
  <c r="AL59" i="112"/>
  <c r="AL57" i="112"/>
  <c r="AD57" i="112"/>
  <c r="AL62" i="112"/>
  <c r="AN56" i="112"/>
  <c r="AD56" i="112"/>
  <c r="AD62" i="112"/>
  <c r="AC61" i="112"/>
  <c r="AD61" i="112" s="1"/>
  <c r="AD59" i="112"/>
  <c r="AN55" i="112"/>
  <c r="AM61" i="112"/>
  <c r="AN61" i="112" s="1"/>
  <c r="AN57" i="112"/>
  <c r="AN62" i="112"/>
  <c r="AN59" i="112"/>
  <c r="AI61" i="112"/>
  <c r="AJ61" i="112" s="1"/>
  <c r="AJ57" i="112"/>
  <c r="AJ58" i="112"/>
  <c r="AJ62" i="112"/>
  <c r="AJ56" i="112"/>
  <c r="AJ59" i="112"/>
  <c r="AJ55" i="112"/>
  <c r="Z76" i="99" l="1"/>
  <c r="Z77" i="99"/>
  <c r="Z86" i="99"/>
  <c r="Z87" i="99"/>
  <c r="Z96" i="99"/>
  <c r="Z97" i="99"/>
  <c r="Z98" i="99"/>
  <c r="Z99" i="99"/>
  <c r="Z100" i="99"/>
  <c r="Z101" i="99"/>
  <c r="Z102" i="99"/>
  <c r="Z167" i="99"/>
  <c r="Z168" i="99"/>
  <c r="Z169" i="99"/>
  <c r="Z172" i="99"/>
  <c r="Z173" i="99"/>
  <c r="Z174" i="99"/>
  <c r="Z175" i="99"/>
  <c r="Z176" i="99"/>
  <c r="Z177" i="99"/>
  <c r="Z178" i="99"/>
  <c r="Z179" i="99"/>
  <c r="Z180" i="99"/>
  <c r="Z181" i="99"/>
  <c r="Z182" i="99"/>
  <c r="Z183" i="99"/>
  <c r="Z184" i="99"/>
  <c r="Z185" i="99"/>
  <c r="Z186" i="99"/>
  <c r="Z187" i="99"/>
  <c r="Z188" i="99"/>
  <c r="Z189" i="99"/>
  <c r="Z190" i="99"/>
  <c r="Z191" i="99"/>
  <c r="Z192" i="99"/>
  <c r="Z193" i="99"/>
  <c r="Z194" i="99"/>
  <c r="Z195" i="99"/>
  <c r="Z196" i="99"/>
  <c r="Z197" i="99"/>
  <c r="Z198" i="99"/>
  <c r="Z199" i="99"/>
  <c r="Z200" i="99"/>
  <c r="Z201" i="99"/>
  <c r="Z202" i="99"/>
  <c r="Z203" i="99"/>
  <c r="Z204" i="99"/>
  <c r="Z205" i="99"/>
  <c r="Z206" i="99"/>
  <c r="Z207" i="99"/>
  <c r="Z208" i="99"/>
  <c r="Z209" i="99"/>
  <c r="Z210" i="99"/>
  <c r="Z211" i="99"/>
  <c r="Z212" i="99"/>
  <c r="Z213" i="99"/>
  <c r="Z214" i="99"/>
  <c r="Z215" i="99"/>
  <c r="Z216" i="99"/>
  <c r="Z217" i="99"/>
  <c r="Z218" i="99"/>
  <c r="Z219" i="99"/>
  <c r="Z220" i="99"/>
  <c r="Z221" i="99"/>
  <c r="Z222" i="99"/>
  <c r="Z223" i="99"/>
  <c r="Z224" i="99"/>
  <c r="Z225" i="99"/>
  <c r="Z226" i="99"/>
  <c r="Z227" i="99"/>
  <c r="Z228" i="99"/>
  <c r="Z229" i="99"/>
  <c r="Z230" i="99"/>
  <c r="Z231" i="99"/>
  <c r="Z232" i="99"/>
  <c r="Z233" i="99"/>
  <c r="Z234" i="99"/>
  <c r="Z235" i="99"/>
  <c r="Z236" i="99"/>
  <c r="Z237" i="99"/>
  <c r="Z238" i="99"/>
  <c r="Z239" i="99"/>
  <c r="Z240" i="99"/>
  <c r="Z241" i="99"/>
  <c r="Z242" i="99"/>
  <c r="Z243" i="99"/>
  <c r="Z244" i="99"/>
  <c r="Z245" i="99"/>
  <c r="Z246" i="99"/>
  <c r="Z247" i="99"/>
  <c r="Z248" i="99"/>
  <c r="Z249" i="99"/>
  <c r="Z250" i="99"/>
  <c r="Z251" i="99"/>
  <c r="Z252" i="99"/>
  <c r="Z253" i="99"/>
  <c r="Z254" i="99"/>
  <c r="Z255" i="99"/>
  <c r="Z256" i="99"/>
  <c r="Z257" i="99"/>
  <c r="Z258" i="99"/>
  <c r="Z259" i="99"/>
  <c r="Z260" i="99"/>
  <c r="Z261" i="99"/>
  <c r="Z262" i="99"/>
  <c r="Z263" i="99"/>
  <c r="Z264" i="99"/>
  <c r="Z265" i="99"/>
  <c r="Z266" i="99"/>
  <c r="Z267" i="99"/>
  <c r="Z268" i="99"/>
  <c r="Z269" i="99"/>
  <c r="Z270" i="99"/>
  <c r="Z271" i="99"/>
  <c r="Z272" i="99"/>
  <c r="Z273" i="99"/>
  <c r="Z274" i="99"/>
  <c r="Z275" i="99"/>
  <c r="Z276" i="99"/>
  <c r="Z277" i="99"/>
  <c r="Z278" i="99"/>
  <c r="Z279" i="99"/>
  <c r="Z280" i="99"/>
  <c r="Z281" i="99"/>
  <c r="Z282" i="99"/>
  <c r="Z283" i="99"/>
  <c r="Z58" i="28" l="1"/>
  <c r="Z59" i="28"/>
  <c r="K52" i="81"/>
  <c r="K42" i="81"/>
  <c r="K4" i="81"/>
  <c r="I4" i="43"/>
  <c r="J4" i="43"/>
  <c r="J6" i="43" s="1"/>
  <c r="I6" i="43" s="1"/>
  <c r="K4" i="43"/>
  <c r="L4" i="43" s="1"/>
  <c r="L6" i="43" s="1"/>
  <c r="K6" i="43" s="1"/>
  <c r="M4" i="43"/>
  <c r="N4" i="43"/>
  <c r="N6" i="43" s="1"/>
  <c r="M6" i="43" s="1"/>
  <c r="O4" i="43"/>
  <c r="P4" i="43" s="1"/>
  <c r="P6" i="43" s="1"/>
  <c r="O6" i="43" s="1"/>
  <c r="Q4" i="43"/>
  <c r="R4" i="43"/>
  <c r="S4" i="43"/>
  <c r="T4" i="43" s="1"/>
  <c r="T6" i="43" s="1"/>
  <c r="S6" i="43" s="1"/>
  <c r="U4" i="43"/>
  <c r="V4" i="43"/>
  <c r="V6" i="43" s="1"/>
  <c r="U6" i="43" s="1"/>
  <c r="W4" i="43"/>
  <c r="X4" i="43" s="1"/>
  <c r="X6" i="43" s="1"/>
  <c r="W6" i="43" s="1"/>
  <c r="Y4" i="43"/>
  <c r="Z4" i="43"/>
  <c r="Z6" i="43" s="1"/>
  <c r="Y6" i="43" s="1"/>
  <c r="Y18" i="43" s="1"/>
  <c r="Z18" i="43" s="1"/>
  <c r="AA4" i="43"/>
  <c r="AB4" i="43" s="1"/>
  <c r="AB6" i="43" s="1"/>
  <c r="AA6" i="43" s="1"/>
  <c r="AA18" i="43" s="1"/>
  <c r="AB18" i="43" s="1"/>
  <c r="AC4" i="43"/>
  <c r="AD4" i="43"/>
  <c r="AD6" i="43" s="1"/>
  <c r="AC6" i="43" s="1"/>
  <c r="AC18" i="43" s="1"/>
  <c r="AD18" i="43" s="1"/>
  <c r="AE4" i="43"/>
  <c r="AF4" i="43" s="1"/>
  <c r="AF6" i="43" s="1"/>
  <c r="AE6" i="43" s="1"/>
  <c r="AE18" i="43" s="1"/>
  <c r="AF18" i="43" s="1"/>
  <c r="AG4" i="43"/>
  <c r="AH4" i="43"/>
  <c r="AH6" i="43" s="1"/>
  <c r="AG6" i="43" s="1"/>
  <c r="AG18" i="43" s="1"/>
  <c r="AH18" i="43" s="1"/>
  <c r="AI4" i="43"/>
  <c r="AJ4" i="43" s="1"/>
  <c r="AJ6" i="43" s="1"/>
  <c r="AI6" i="43" s="1"/>
  <c r="AI18" i="43" s="1"/>
  <c r="AJ18" i="43" s="1"/>
  <c r="AK4" i="43"/>
  <c r="AL4" i="43"/>
  <c r="AL6" i="43" s="1"/>
  <c r="AK6" i="43" s="1"/>
  <c r="G4" i="43"/>
  <c r="H4" i="43" s="1"/>
  <c r="Y4" i="46"/>
  <c r="Z4" i="46" s="1"/>
  <c r="AA4" i="46"/>
  <c r="AB4" i="46" s="1"/>
  <c r="AC4" i="46"/>
  <c r="AD4" i="46" s="1"/>
  <c r="AE4" i="46"/>
  <c r="AF4" i="46" s="1"/>
  <c r="AG4" i="46"/>
  <c r="AH4" i="46" s="1"/>
  <c r="AI4" i="46"/>
  <c r="AJ4" i="46" s="1"/>
  <c r="AK4" i="46"/>
  <c r="AL4" i="46" s="1"/>
  <c r="Y5" i="46"/>
  <c r="Z5" i="46" s="1"/>
  <c r="AA5" i="46"/>
  <c r="AB5" i="46" s="1"/>
  <c r="AC5" i="46"/>
  <c r="AD5" i="46" s="1"/>
  <c r="AE5" i="46"/>
  <c r="AF5" i="46" s="1"/>
  <c r="AG5" i="46"/>
  <c r="AH5" i="46" s="1"/>
  <c r="AI5" i="46"/>
  <c r="AJ5" i="46" s="1"/>
  <c r="AK5" i="46"/>
  <c r="AL5" i="46" s="1"/>
  <c r="I4" i="46"/>
  <c r="J4" i="46" s="1"/>
  <c r="K4" i="46"/>
  <c r="L4" i="46" s="1"/>
  <c r="M4" i="46"/>
  <c r="N4" i="46" s="1"/>
  <c r="O4" i="46"/>
  <c r="P4" i="46" s="1"/>
  <c r="Q4" i="46"/>
  <c r="R4" i="46" s="1"/>
  <c r="S4" i="46"/>
  <c r="T4" i="46" s="1"/>
  <c r="U4" i="46"/>
  <c r="V4" i="46"/>
  <c r="W4" i="46"/>
  <c r="X4" i="46" s="1"/>
  <c r="I5" i="46"/>
  <c r="J5" i="46"/>
  <c r="K5" i="46"/>
  <c r="L5" i="46" s="1"/>
  <c r="M5" i="46"/>
  <c r="N5" i="46"/>
  <c r="O5" i="46"/>
  <c r="P5" i="46" s="1"/>
  <c r="Q5" i="46"/>
  <c r="R5" i="46"/>
  <c r="S5" i="46"/>
  <c r="T5" i="46" s="1"/>
  <c r="U5" i="46"/>
  <c r="V5" i="46"/>
  <c r="W5" i="46"/>
  <c r="X5" i="46" s="1"/>
  <c r="G5" i="46"/>
  <c r="G4" i="46"/>
  <c r="I4" i="75"/>
  <c r="J4" i="75" s="1"/>
  <c r="K4" i="75"/>
  <c r="L4" i="75"/>
  <c r="M4" i="75"/>
  <c r="N4" i="75" s="1"/>
  <c r="O4" i="75"/>
  <c r="P4" i="75"/>
  <c r="Q4" i="75"/>
  <c r="R4" i="75" s="1"/>
  <c r="S4" i="75"/>
  <c r="T4" i="75"/>
  <c r="U4" i="75"/>
  <c r="V4" i="75" s="1"/>
  <c r="W4" i="75"/>
  <c r="X4" i="75"/>
  <c r="Y4" i="75"/>
  <c r="Z4" i="75" s="1"/>
  <c r="AA4" i="75"/>
  <c r="AB4" i="75"/>
  <c r="AC4" i="75"/>
  <c r="AD4" i="75" s="1"/>
  <c r="AE4" i="75"/>
  <c r="AF4" i="75"/>
  <c r="AG4" i="75"/>
  <c r="AH4" i="75" s="1"/>
  <c r="AI4" i="75"/>
  <c r="AJ4" i="75"/>
  <c r="AK4" i="75"/>
  <c r="AL4" i="75" s="1"/>
  <c r="I5" i="75"/>
  <c r="J5" i="75"/>
  <c r="K5" i="75"/>
  <c r="L5" i="75" s="1"/>
  <c r="M5" i="75"/>
  <c r="N5" i="75"/>
  <c r="O5" i="75"/>
  <c r="P5" i="75" s="1"/>
  <c r="Q5" i="75"/>
  <c r="R5" i="75"/>
  <c r="S5" i="75"/>
  <c r="T5" i="75" s="1"/>
  <c r="U5" i="75"/>
  <c r="V5" i="75"/>
  <c r="W5" i="75"/>
  <c r="X5" i="75" s="1"/>
  <c r="Y5" i="75"/>
  <c r="Z5" i="75"/>
  <c r="AA5" i="75"/>
  <c r="AB5" i="75" s="1"/>
  <c r="AC5" i="75"/>
  <c r="AD5" i="75"/>
  <c r="AE5" i="75"/>
  <c r="AF5" i="75" s="1"/>
  <c r="AG5" i="75"/>
  <c r="AH5" i="75"/>
  <c r="AI5" i="75"/>
  <c r="AJ5" i="75" s="1"/>
  <c r="AK5" i="75"/>
  <c r="AL5" i="75"/>
  <c r="G5" i="75"/>
  <c r="G4" i="75"/>
  <c r="I8" i="80"/>
  <c r="J8" i="80"/>
  <c r="K8" i="80"/>
  <c r="L8" i="80" s="1"/>
  <c r="M8" i="80"/>
  <c r="N8" i="80" s="1"/>
  <c r="O8" i="80"/>
  <c r="P8" i="80" s="1"/>
  <c r="Q8" i="80"/>
  <c r="R8" i="80"/>
  <c r="S8" i="80"/>
  <c r="T8" i="80" s="1"/>
  <c r="U8" i="80"/>
  <c r="V8" i="80" s="1"/>
  <c r="W8" i="80"/>
  <c r="X8" i="80" s="1"/>
  <c r="Y8" i="80"/>
  <c r="Z8" i="80"/>
  <c r="AA8" i="80"/>
  <c r="AB8" i="80" s="1"/>
  <c r="AC8" i="80"/>
  <c r="AD8" i="80"/>
  <c r="AE8" i="80"/>
  <c r="AF8" i="80" s="1"/>
  <c r="AG8" i="80"/>
  <c r="AH8" i="80"/>
  <c r="AI8" i="80"/>
  <c r="AJ8" i="80" s="1"/>
  <c r="AK8" i="80"/>
  <c r="AL8" i="80"/>
  <c r="I9" i="80"/>
  <c r="J9" i="80" s="1"/>
  <c r="K9" i="80"/>
  <c r="L9" i="80" s="1"/>
  <c r="M9" i="80"/>
  <c r="N9" i="80" s="1"/>
  <c r="O9" i="80"/>
  <c r="P9" i="80"/>
  <c r="Q9" i="80"/>
  <c r="R9" i="80" s="1"/>
  <c r="S9" i="80"/>
  <c r="T9" i="80"/>
  <c r="U9" i="80"/>
  <c r="V9" i="80" s="1"/>
  <c r="W9" i="80"/>
  <c r="X9" i="80" s="1"/>
  <c r="Y9" i="80"/>
  <c r="Z9" i="80" s="1"/>
  <c r="AA9" i="80"/>
  <c r="AB9" i="80"/>
  <c r="AC9" i="80"/>
  <c r="AD9" i="80" s="1"/>
  <c r="AE9" i="80"/>
  <c r="AF9" i="80"/>
  <c r="AG9" i="80"/>
  <c r="AH9" i="80" s="1"/>
  <c r="AI9" i="80"/>
  <c r="AJ9" i="80"/>
  <c r="AK9" i="80"/>
  <c r="AL9" i="80" s="1"/>
  <c r="G8" i="80"/>
  <c r="H8" i="80" s="1"/>
  <c r="D8" i="80"/>
  <c r="AL27" i="80"/>
  <c r="AL24" i="80"/>
  <c r="AL23" i="80"/>
  <c r="AL22" i="80"/>
  <c r="AL20" i="80"/>
  <c r="AL16" i="80"/>
  <c r="AL13" i="80"/>
  <c r="AL5" i="80"/>
  <c r="V8" i="66"/>
  <c r="V9" i="66"/>
  <c r="U41" i="66"/>
  <c r="V41" i="66" s="1"/>
  <c r="V46" i="66"/>
  <c r="V47" i="66" s="1"/>
  <c r="V44" i="66"/>
  <c r="V43" i="66"/>
  <c r="V42" i="66"/>
  <c r="V40" i="66"/>
  <c r="V37" i="66"/>
  <c r="V36" i="66"/>
  <c r="V35" i="66"/>
  <c r="V34" i="66"/>
  <c r="V33" i="66"/>
  <c r="V32" i="66"/>
  <c r="V31" i="66"/>
  <c r="V28" i="66"/>
  <c r="V27" i="66"/>
  <c r="V25" i="66"/>
  <c r="V24" i="66"/>
  <c r="V23" i="66"/>
  <c r="V22" i="66"/>
  <c r="V21" i="66"/>
  <c r="V20" i="66"/>
  <c r="V19" i="66"/>
  <c r="V18" i="66"/>
  <c r="V17" i="66"/>
  <c r="V16" i="66"/>
  <c r="V15" i="66"/>
  <c r="V14" i="66"/>
  <c r="V13" i="66"/>
  <c r="V12" i="66"/>
  <c r="V11" i="66"/>
  <c r="V10" i="66"/>
  <c r="V5" i="66"/>
  <c r="P66" i="64"/>
  <c r="P65" i="64"/>
  <c r="P64" i="64"/>
  <c r="P63" i="64"/>
  <c r="P60" i="64"/>
  <c r="P59" i="64"/>
  <c r="P58" i="64"/>
  <c r="P57" i="64"/>
  <c r="P56" i="64"/>
  <c r="P54" i="64"/>
  <c r="P53" i="64"/>
  <c r="P52" i="64"/>
  <c r="P51" i="64"/>
  <c r="P50" i="64"/>
  <c r="P49" i="64"/>
  <c r="P47" i="64"/>
  <c r="P46" i="64"/>
  <c r="P45" i="64"/>
  <c r="P44" i="64"/>
  <c r="P30" i="64"/>
  <c r="P29" i="64"/>
  <c r="P28" i="64"/>
  <c r="P27" i="64"/>
  <c r="P26" i="64"/>
  <c r="P25" i="64"/>
  <c r="P24" i="64"/>
  <c r="P23" i="64"/>
  <c r="P22" i="64"/>
  <c r="P21" i="64"/>
  <c r="P20" i="64"/>
  <c r="P19" i="64"/>
  <c r="P18" i="64"/>
  <c r="P5" i="64"/>
  <c r="P4" i="64"/>
  <c r="N5" i="65"/>
  <c r="N6" i="65"/>
  <c r="N7" i="65"/>
  <c r="N8" i="65"/>
  <c r="N9" i="65"/>
  <c r="N10" i="65"/>
  <c r="N11" i="65"/>
  <c r="N15" i="65"/>
  <c r="N17" i="65"/>
  <c r="N18" i="65"/>
  <c r="N21" i="65"/>
  <c r="N23" i="65"/>
  <c r="N24" i="65"/>
  <c r="N26" i="65"/>
  <c r="N27" i="65"/>
  <c r="N28" i="65"/>
  <c r="N30" i="65"/>
  <c r="N31" i="65"/>
  <c r="N32" i="65"/>
  <c r="AN36" i="59"/>
  <c r="AN37" i="59"/>
  <c r="AN39" i="59"/>
  <c r="AN40" i="59"/>
  <c r="AN30" i="59"/>
  <c r="AN31" i="59"/>
  <c r="AN32" i="59"/>
  <c r="AN33" i="59"/>
  <c r="AN34" i="59"/>
  <c r="AN4" i="59"/>
  <c r="AN5" i="59"/>
  <c r="AN6" i="59"/>
  <c r="AN7" i="59"/>
  <c r="AN8" i="59"/>
  <c r="AN9" i="59"/>
  <c r="AN10" i="59"/>
  <c r="AN11" i="59"/>
  <c r="AN12" i="59"/>
  <c r="AN13" i="59"/>
  <c r="AN14" i="59"/>
  <c r="AN15" i="59"/>
  <c r="AN16" i="59"/>
  <c r="AN17" i="59"/>
  <c r="AN18" i="59"/>
  <c r="AN19" i="59"/>
  <c r="AN20" i="59"/>
  <c r="AN21" i="59"/>
  <c r="AN22" i="59"/>
  <c r="AN23" i="59"/>
  <c r="AN24" i="59"/>
  <c r="AN25" i="59"/>
  <c r="AN27" i="59"/>
  <c r="AN38" i="59" s="1"/>
  <c r="AM38" i="59" s="1"/>
  <c r="AN28" i="59"/>
  <c r="AN29" i="59"/>
  <c r="AN12" i="86"/>
  <c r="AN13" i="86"/>
  <c r="AN15" i="86"/>
  <c r="AM18" i="86"/>
  <c r="AN18" i="86" s="1"/>
  <c r="AM23" i="86"/>
  <c r="AN23" i="86" s="1"/>
  <c r="AM4" i="87"/>
  <c r="AN4" i="87" s="1"/>
  <c r="AM8" i="87"/>
  <c r="AN8" i="87" s="1"/>
  <c r="AM11" i="87"/>
  <c r="AN11" i="87"/>
  <c r="AM12" i="87"/>
  <c r="AN12" i="87"/>
  <c r="AM17" i="87"/>
  <c r="AN17" i="87" s="1"/>
  <c r="AM22" i="87"/>
  <c r="AN22" i="87"/>
  <c r="AM4" i="85"/>
  <c r="AN4" i="85" s="1"/>
  <c r="AM7" i="85"/>
  <c r="AN7" i="85" s="1"/>
  <c r="AN10" i="85"/>
  <c r="AM12" i="85"/>
  <c r="AN12" i="85" s="1"/>
  <c r="AM13" i="85"/>
  <c r="AN13" i="85" s="1"/>
  <c r="AM19" i="85"/>
  <c r="AN19" i="85" s="1"/>
  <c r="AM20" i="85"/>
  <c r="AN20" i="85" s="1"/>
  <c r="AM25" i="85"/>
  <c r="AN25" i="85" s="1"/>
  <c r="AM4" i="83"/>
  <c r="AN4" i="83" s="1"/>
  <c r="AM6" i="83"/>
  <c r="AN6" i="83" s="1"/>
  <c r="AM7" i="83"/>
  <c r="AN7" i="83" s="1"/>
  <c r="AM9" i="83"/>
  <c r="AN9" i="83" s="1"/>
  <c r="AN11" i="83"/>
  <c r="AM13" i="83"/>
  <c r="AN13" i="83" s="1"/>
  <c r="AM14" i="83"/>
  <c r="AN14" i="83" s="1"/>
  <c r="AM15" i="83"/>
  <c r="AN15" i="83" s="1"/>
  <c r="AM16" i="83"/>
  <c r="AN16" i="83" s="1"/>
  <c r="AM17" i="83"/>
  <c r="AN17" i="83" s="1"/>
  <c r="AM18" i="83"/>
  <c r="AN18" i="83" s="1"/>
  <c r="AM21" i="83"/>
  <c r="AN21" i="83" s="1"/>
  <c r="AN27" i="83"/>
  <c r="AM28" i="83"/>
  <c r="AN28" i="83"/>
  <c r="AN6" i="84"/>
  <c r="AN8" i="84"/>
  <c r="AN10" i="84"/>
  <c r="AN11" i="84"/>
  <c r="AN13" i="84"/>
  <c r="AM16" i="84"/>
  <c r="AN16" i="84" s="1"/>
  <c r="AN18" i="84"/>
  <c r="AM22" i="84"/>
  <c r="AN22" i="84" s="1"/>
  <c r="AN4" i="51"/>
  <c r="AM6" i="51"/>
  <c r="AN6" i="51" s="1"/>
  <c r="AN10" i="51"/>
  <c r="AN11" i="51"/>
  <c r="AN13" i="51"/>
  <c r="AN14" i="51"/>
  <c r="AN16" i="51"/>
  <c r="AM17" i="51"/>
  <c r="AN17" i="51" s="1"/>
  <c r="AN18" i="51"/>
  <c r="AN19" i="51"/>
  <c r="AN20" i="51"/>
  <c r="AN23" i="51"/>
  <c r="AN24" i="51"/>
  <c r="AM4" i="50"/>
  <c r="AN4" i="50" s="1"/>
  <c r="AM7" i="50"/>
  <c r="AN7" i="50" s="1"/>
  <c r="AM11" i="50"/>
  <c r="AN11" i="50" s="1"/>
  <c r="AM12" i="50"/>
  <c r="AN12" i="50"/>
  <c r="AM18" i="50"/>
  <c r="AN18" i="50" s="1"/>
  <c r="AM19" i="50"/>
  <c r="AN19" i="50" s="1"/>
  <c r="AN21" i="50"/>
  <c r="AM4" i="44"/>
  <c r="AN4" i="44" s="1"/>
  <c r="AM6" i="44"/>
  <c r="AN6" i="44" s="1"/>
  <c r="AM8" i="44"/>
  <c r="AN8" i="44" s="1"/>
  <c r="AN10" i="44"/>
  <c r="AM12" i="44"/>
  <c r="AN12" i="44" s="1"/>
  <c r="AN13" i="44"/>
  <c r="AN14" i="44"/>
  <c r="AM15" i="44"/>
  <c r="AN15" i="44" s="1"/>
  <c r="AM16" i="44"/>
  <c r="AN16" i="44" s="1"/>
  <c r="AM17" i="44"/>
  <c r="AN17" i="44" s="1"/>
  <c r="AM20" i="44"/>
  <c r="AN20" i="44" s="1"/>
  <c r="AN25" i="44"/>
  <c r="AN27" i="44" s="1"/>
  <c r="AM27" i="44" s="1"/>
  <c r="AM34" i="44" s="1"/>
  <c r="AM9" i="47"/>
  <c r="AM20" i="47" s="1"/>
  <c r="AN20" i="47" s="1"/>
  <c r="AM13" i="47"/>
  <c r="AN13" i="47"/>
  <c r="AN21" i="47"/>
  <c r="AN26" i="47"/>
  <c r="R6" i="43"/>
  <c r="Q6" i="43" s="1"/>
  <c r="J7" i="43"/>
  <c r="L7" i="43"/>
  <c r="N7" i="43"/>
  <c r="P7" i="43"/>
  <c r="P9" i="43" s="1"/>
  <c r="O9" i="43" s="1"/>
  <c r="R7" i="43"/>
  <c r="T7" i="43"/>
  <c r="V7" i="43"/>
  <c r="X7" i="43"/>
  <c r="X9" i="43" s="1"/>
  <c r="W9" i="43" s="1"/>
  <c r="Z7" i="43"/>
  <c r="AB7" i="43"/>
  <c r="AD7" i="43"/>
  <c r="AF7" i="43"/>
  <c r="AF9" i="43" s="1"/>
  <c r="AE9" i="43" s="1"/>
  <c r="AH7" i="43"/>
  <c r="AJ7" i="43"/>
  <c r="AL7" i="43"/>
  <c r="J8" i="43"/>
  <c r="L8" i="43"/>
  <c r="N8" i="43"/>
  <c r="N9" i="43" s="1"/>
  <c r="M9" i="43" s="1"/>
  <c r="P8" i="43"/>
  <c r="R8" i="43"/>
  <c r="T8" i="43"/>
  <c r="V8" i="43"/>
  <c r="X8" i="43"/>
  <c r="Z8" i="43"/>
  <c r="Z9" i="43" s="1"/>
  <c r="Y9" i="43" s="1"/>
  <c r="AB8" i="43"/>
  <c r="AD8" i="43"/>
  <c r="AD9" i="43" s="1"/>
  <c r="AC9" i="43" s="1"/>
  <c r="AF8" i="43"/>
  <c r="AH8" i="43"/>
  <c r="AJ8" i="43"/>
  <c r="AL8" i="43"/>
  <c r="V9" i="43"/>
  <c r="U9" i="43" s="1"/>
  <c r="AJ9" i="43"/>
  <c r="AI9" i="43" s="1"/>
  <c r="J10" i="43"/>
  <c r="L10" i="43"/>
  <c r="N10" i="43"/>
  <c r="P10" i="43"/>
  <c r="R10" i="43"/>
  <c r="T10" i="43"/>
  <c r="V10" i="43"/>
  <c r="X10" i="43"/>
  <c r="Z10" i="43"/>
  <c r="AB10" i="43"/>
  <c r="AD10" i="43"/>
  <c r="AF10" i="43"/>
  <c r="AH10" i="43"/>
  <c r="AJ10" i="43"/>
  <c r="AL10" i="43"/>
  <c r="J11" i="43"/>
  <c r="L11" i="43"/>
  <c r="N11" i="43"/>
  <c r="P11" i="43"/>
  <c r="R11" i="43"/>
  <c r="T11" i="43"/>
  <c r="V11" i="43"/>
  <c r="X11" i="43"/>
  <c r="Z11" i="43"/>
  <c r="AB11" i="43"/>
  <c r="AD11" i="43"/>
  <c r="AF11" i="43"/>
  <c r="AH11" i="43"/>
  <c r="AJ11" i="43"/>
  <c r="AL11" i="43"/>
  <c r="J14" i="43"/>
  <c r="L14" i="43"/>
  <c r="N14" i="43"/>
  <c r="P14" i="43"/>
  <c r="R14" i="43"/>
  <c r="T14" i="43"/>
  <c r="V14" i="43"/>
  <c r="X14" i="43"/>
  <c r="Z14" i="43"/>
  <c r="AB14" i="43"/>
  <c r="AD14" i="43"/>
  <c r="AF14" i="43"/>
  <c r="AH14" i="43"/>
  <c r="AJ14" i="43"/>
  <c r="AL14" i="43"/>
  <c r="D14" i="43"/>
  <c r="H14" i="43"/>
  <c r="D4" i="43"/>
  <c r="Q24" i="43" s="1"/>
  <c r="R24" i="43" s="1"/>
  <c r="H5" i="46"/>
  <c r="D5" i="46"/>
  <c r="H4" i="46"/>
  <c r="D4" i="46"/>
  <c r="Z7" i="75"/>
  <c r="AB7" i="75"/>
  <c r="AD7" i="75"/>
  <c r="AF7" i="75"/>
  <c r="AH7" i="75"/>
  <c r="AJ7" i="75"/>
  <c r="AJ9" i="75" s="1"/>
  <c r="AI9" i="75" s="1"/>
  <c r="AL7" i="75"/>
  <c r="Z8" i="75"/>
  <c r="AB8" i="75"/>
  <c r="AD8" i="75"/>
  <c r="AF8" i="75"/>
  <c r="AH8" i="75"/>
  <c r="AH9" i="75" s="1"/>
  <c r="AG9" i="75" s="1"/>
  <c r="AJ8" i="75"/>
  <c r="AL8" i="75"/>
  <c r="Z10" i="75"/>
  <c r="Z12" i="75" s="1"/>
  <c r="Y12" i="75" s="1"/>
  <c r="AB10" i="75"/>
  <c r="AD10" i="75"/>
  <c r="AF10" i="75"/>
  <c r="AH10" i="75"/>
  <c r="AH12" i="75" s="1"/>
  <c r="AG12" i="75" s="1"/>
  <c r="AJ10" i="75"/>
  <c r="AL10" i="75"/>
  <c r="Z11" i="75"/>
  <c r="AB11" i="75"/>
  <c r="AD11" i="75"/>
  <c r="AF11" i="75"/>
  <c r="AH11" i="75"/>
  <c r="AJ11" i="75"/>
  <c r="AL11" i="75"/>
  <c r="Y13" i="75"/>
  <c r="Z13" i="75"/>
  <c r="AA13" i="75"/>
  <c r="AB13" i="75"/>
  <c r="AC13" i="75"/>
  <c r="AD13" i="75"/>
  <c r="AD15" i="75" s="1"/>
  <c r="AC15" i="75" s="1"/>
  <c r="AE13" i="75"/>
  <c r="AF13" i="75"/>
  <c r="AG13" i="75"/>
  <c r="AH13" i="75"/>
  <c r="AI13" i="75"/>
  <c r="AJ13" i="75"/>
  <c r="AK13" i="75"/>
  <c r="AL13" i="75"/>
  <c r="AL15" i="75" s="1"/>
  <c r="AK15" i="75" s="1"/>
  <c r="Z14" i="75"/>
  <c r="AB14" i="75"/>
  <c r="AD14" i="75"/>
  <c r="AF14" i="75"/>
  <c r="AH14" i="75"/>
  <c r="AJ14" i="75"/>
  <c r="AL14" i="75"/>
  <c r="H4" i="75"/>
  <c r="D4" i="75"/>
  <c r="D13" i="43"/>
  <c r="Y19" i="46"/>
  <c r="Z19" i="46" s="1"/>
  <c r="AA19" i="46"/>
  <c r="AB19" i="46"/>
  <c r="AC19" i="46"/>
  <c r="AD19" i="46" s="1"/>
  <c r="AE19" i="46"/>
  <c r="AF19" i="46"/>
  <c r="AG19" i="46"/>
  <c r="AH19" i="46" s="1"/>
  <c r="AI19" i="46"/>
  <c r="AJ19" i="46"/>
  <c r="Y20" i="46"/>
  <c r="Z20" i="46"/>
  <c r="AA20" i="46"/>
  <c r="AB20" i="46" s="1"/>
  <c r="AC20" i="46"/>
  <c r="AD20" i="46"/>
  <c r="AE20" i="46"/>
  <c r="AF20" i="46" s="1"/>
  <c r="AG20" i="46"/>
  <c r="AH20" i="46"/>
  <c r="AI20" i="46"/>
  <c r="AJ20" i="46" s="1"/>
  <c r="Y21" i="46"/>
  <c r="Z21" i="46" s="1"/>
  <c r="AA21" i="46"/>
  <c r="AB21" i="46"/>
  <c r="AC21" i="46"/>
  <c r="AD21" i="46" s="1"/>
  <c r="AE21" i="46"/>
  <c r="AF21" i="46" s="1"/>
  <c r="AG21" i="46"/>
  <c r="AH21" i="46" s="1"/>
  <c r="AI21" i="46"/>
  <c r="AJ21" i="46"/>
  <c r="Y22" i="46"/>
  <c r="Z22" i="46"/>
  <c r="AA22" i="46"/>
  <c r="AB22" i="46" s="1"/>
  <c r="AC22" i="46"/>
  <c r="AD22" i="46"/>
  <c r="AE22" i="46"/>
  <c r="AF22" i="46" s="1"/>
  <c r="AG22" i="46"/>
  <c r="AH22" i="46" s="1"/>
  <c r="AI22" i="46"/>
  <c r="AJ22" i="46" s="1"/>
  <c r="Y23" i="46"/>
  <c r="Z23" i="46" s="1"/>
  <c r="AA23" i="46"/>
  <c r="AB23" i="46"/>
  <c r="AC23" i="46"/>
  <c r="AD23" i="46" s="1"/>
  <c r="AE23" i="46"/>
  <c r="AF23" i="46" s="1"/>
  <c r="AG23" i="46"/>
  <c r="AH23" i="46" s="1"/>
  <c r="AI23" i="46"/>
  <c r="AJ23" i="46"/>
  <c r="AL15" i="46"/>
  <c r="AL11" i="46"/>
  <c r="AL10" i="46"/>
  <c r="AL8" i="46"/>
  <c r="AL7" i="46"/>
  <c r="M14" i="46"/>
  <c r="N14" i="46" s="1"/>
  <c r="K14" i="46"/>
  <c r="L14" i="46" s="1"/>
  <c r="U14" i="46"/>
  <c r="V14" i="46" s="1"/>
  <c r="W14" i="46"/>
  <c r="X14" i="46" s="1"/>
  <c r="AK14" i="46"/>
  <c r="AL14" i="46" s="1"/>
  <c r="G14" i="46"/>
  <c r="H14" i="46" s="1"/>
  <c r="L30" i="3"/>
  <c r="N30" i="3"/>
  <c r="P30" i="3"/>
  <c r="R30" i="3"/>
  <c r="T30" i="3"/>
  <c r="V30" i="3"/>
  <c r="X30" i="3"/>
  <c r="Z30" i="3"/>
  <c r="AB30" i="3"/>
  <c r="AD30" i="3"/>
  <c r="AF30" i="3"/>
  <c r="AH30" i="3"/>
  <c r="AJ30" i="3"/>
  <c r="AL30" i="3"/>
  <c r="D14" i="46"/>
  <c r="AF12" i="75" l="1"/>
  <c r="AE12" i="75" s="1"/>
  <c r="Z12" i="43"/>
  <c r="Y12" i="43" s="1"/>
  <c r="AJ12" i="43"/>
  <c r="AI12" i="43" s="1"/>
  <c r="AB12" i="43"/>
  <c r="AA12" i="43" s="1"/>
  <c r="T12" i="43"/>
  <c r="S12" i="43" s="1"/>
  <c r="L12" i="43"/>
  <c r="K12" i="43" s="1"/>
  <c r="J12" i="43"/>
  <c r="I12" i="43" s="1"/>
  <c r="AJ12" i="75"/>
  <c r="AI12" i="75" s="1"/>
  <c r="AB12" i="75"/>
  <c r="AA12" i="75" s="1"/>
  <c r="AL12" i="43"/>
  <c r="AK12" i="43" s="1"/>
  <c r="AD12" i="43"/>
  <c r="AC12" i="43" s="1"/>
  <c r="V12" i="43"/>
  <c r="U12" i="43" s="1"/>
  <c r="N12" i="43"/>
  <c r="M12" i="43" s="1"/>
  <c r="AL12" i="46"/>
  <c r="AK12" i="46" s="1"/>
  <c r="AK22" i="46" s="1"/>
  <c r="AH12" i="43"/>
  <c r="AG12" i="43" s="1"/>
  <c r="R12" i="43"/>
  <c r="Q12" i="43" s="1"/>
  <c r="AM23" i="44"/>
  <c r="AN23" i="44" s="1"/>
  <c r="AF9" i="75"/>
  <c r="AE9" i="75" s="1"/>
  <c r="AL9" i="43"/>
  <c r="AK9" i="43" s="1"/>
  <c r="AB9" i="43"/>
  <c r="AA9" i="43" s="1"/>
  <c r="T9" i="43"/>
  <c r="S9" i="43" s="1"/>
  <c r="L9" i="43"/>
  <c r="K9" i="43" s="1"/>
  <c r="AL9" i="75"/>
  <c r="AK9" i="75" s="1"/>
  <c r="AD9" i="75"/>
  <c r="AC9" i="75" s="1"/>
  <c r="AB9" i="75"/>
  <c r="AA9" i="75" s="1"/>
  <c r="Z9" i="75"/>
  <c r="Y9" i="75" s="1"/>
  <c r="AH9" i="43"/>
  <c r="AG9" i="43" s="1"/>
  <c r="R9" i="43"/>
  <c r="Q9" i="43" s="1"/>
  <c r="J9" i="43"/>
  <c r="I9" i="43" s="1"/>
  <c r="P48" i="64"/>
  <c r="O48" i="64" s="1"/>
  <c r="O81" i="64" s="1"/>
  <c r="V38" i="66"/>
  <c r="N29" i="65"/>
  <c r="M29" i="65" s="1"/>
  <c r="M39" i="65" s="1"/>
  <c r="Z15" i="75"/>
  <c r="Y15" i="75" s="1"/>
  <c r="AN29" i="83"/>
  <c r="AM29" i="83" s="1"/>
  <c r="AM36" i="83" s="1"/>
  <c r="AL12" i="75"/>
  <c r="AK12" i="75" s="1"/>
  <c r="AD12" i="75"/>
  <c r="AC12" i="75" s="1"/>
  <c r="AH15" i="75"/>
  <c r="AG15" i="75" s="1"/>
  <c r="AN15" i="51"/>
  <c r="AM15" i="51" s="1"/>
  <c r="AM30" i="51" s="1"/>
  <c r="AL9" i="46"/>
  <c r="AK9" i="46" s="1"/>
  <c r="AK21" i="46" s="1"/>
  <c r="AF12" i="43"/>
  <c r="AE12" i="43" s="1"/>
  <c r="X12" i="43"/>
  <c r="W12" i="43" s="1"/>
  <c r="P12" i="43"/>
  <c r="O12" i="43" s="1"/>
  <c r="N22" i="65"/>
  <c r="M22" i="65" s="1"/>
  <c r="M38" i="65" s="1"/>
  <c r="W24" i="43"/>
  <c r="X24" i="43" s="1"/>
  <c r="N16" i="65"/>
  <c r="M16" i="65" s="1"/>
  <c r="AL6" i="75"/>
  <c r="AK6" i="75" s="1"/>
  <c r="O24" i="43"/>
  <c r="P24" i="43" s="1"/>
  <c r="AD6" i="75"/>
  <c r="AC6" i="75" s="1"/>
  <c r="AH6" i="75"/>
  <c r="AG6" i="75" s="1"/>
  <c r="AK24" i="43"/>
  <c r="AL24" i="43" s="1"/>
  <c r="AC24" i="43"/>
  <c r="AD24" i="43" s="1"/>
  <c r="U24" i="43"/>
  <c r="V24" i="43" s="1"/>
  <c r="Z6" i="75"/>
  <c r="Y6" i="75" s="1"/>
  <c r="AG24" i="43"/>
  <c r="AH24" i="43" s="1"/>
  <c r="AA24" i="43"/>
  <c r="AB24" i="43" s="1"/>
  <c r="S24" i="43"/>
  <c r="T24" i="43" s="1"/>
  <c r="AI24" i="43"/>
  <c r="AJ24" i="43" s="1"/>
  <c r="AM24" i="43"/>
  <c r="AE24" i="43"/>
  <c r="AF24" i="43" s="1"/>
  <c r="Y24" i="43"/>
  <c r="Z24" i="43" s="1"/>
  <c r="AN9" i="47"/>
  <c r="AJ6" i="75"/>
  <c r="AI6" i="75" s="1"/>
  <c r="AF6" i="75"/>
  <c r="AE6" i="75" s="1"/>
  <c r="AB6" i="75"/>
  <c r="AA6" i="75" s="1"/>
  <c r="AM25" i="83"/>
  <c r="AN25" i="83" s="1"/>
  <c r="AN26" i="59"/>
  <c r="AM26" i="59" s="1"/>
  <c r="AB15" i="75"/>
  <c r="AA15" i="75" s="1"/>
  <c r="N33" i="65"/>
  <c r="M33" i="65" s="1"/>
  <c r="M40" i="65" s="1"/>
  <c r="AJ15" i="75"/>
  <c r="AI15" i="75" s="1"/>
  <c r="AF15" i="75"/>
  <c r="AE15" i="75" s="1"/>
  <c r="AN19" i="83"/>
  <c r="AM19" i="83" s="1"/>
  <c r="AM34" i="83" s="1"/>
  <c r="AN21" i="51"/>
  <c r="AM21" i="51" s="1"/>
  <c r="AM31" i="51" s="1"/>
  <c r="AN18" i="44"/>
  <c r="AM18" i="44" s="1"/>
  <c r="AM32" i="44" s="1"/>
  <c r="AK18" i="43"/>
  <c r="M35" i="65" l="1"/>
  <c r="N39" i="65" s="1"/>
  <c r="M37" i="65"/>
  <c r="M36" i="65"/>
  <c r="N40" i="65" l="1"/>
  <c r="N38" i="65"/>
  <c r="N36" i="65"/>
  <c r="N37" i="65"/>
  <c r="L8" i="28"/>
  <c r="M13" i="28"/>
  <c r="I21" i="81" l="1"/>
  <c r="I19" i="81"/>
  <c r="I18" i="81"/>
  <c r="I16" i="81"/>
  <c r="I14" i="81"/>
  <c r="I13" i="81"/>
  <c r="I11" i="81"/>
  <c r="I9" i="81"/>
  <c r="I8" i="81"/>
  <c r="I6" i="81"/>
  <c r="I4" i="81"/>
  <c r="G23" i="81"/>
  <c r="G21" i="81"/>
  <c r="G19" i="81"/>
  <c r="G18" i="81"/>
  <c r="G16" i="81"/>
  <c r="G14" i="81"/>
  <c r="G13" i="81"/>
  <c r="G11" i="81"/>
  <c r="G9" i="81"/>
  <c r="G6" i="81"/>
  <c r="G8" i="81"/>
  <c r="J18" i="28"/>
  <c r="L11" i="35"/>
  <c r="X4" i="99" l="1"/>
  <c r="X22" i="99"/>
  <c r="G17" i="51" l="1"/>
  <c r="H17" i="51" s="1"/>
  <c r="I17" i="51"/>
  <c r="J17" i="51"/>
  <c r="K17" i="51"/>
  <c r="L17" i="51" s="1"/>
  <c r="M17" i="51"/>
  <c r="N17" i="51"/>
  <c r="O17" i="51"/>
  <c r="P17" i="51" s="1"/>
  <c r="Q17" i="51"/>
  <c r="R17" i="51" s="1"/>
  <c r="S17" i="51"/>
  <c r="T17" i="51" s="1"/>
  <c r="U17" i="51"/>
  <c r="V17" i="51"/>
  <c r="W17" i="51"/>
  <c r="X17" i="51" s="1"/>
  <c r="Y17" i="51"/>
  <c r="Z17" i="51"/>
  <c r="AA17" i="51"/>
  <c r="AB17" i="51" s="1"/>
  <c r="AC17" i="51"/>
  <c r="AD17" i="51" s="1"/>
  <c r="AE17" i="51"/>
  <c r="AF17" i="51" s="1"/>
  <c r="AG17" i="51"/>
  <c r="AH17" i="51" s="1"/>
  <c r="AI17" i="51"/>
  <c r="AJ17" i="51" s="1"/>
  <c r="AK17" i="51"/>
  <c r="AL17" i="51" s="1"/>
  <c r="E17" i="51"/>
  <c r="F17" i="51" s="1"/>
  <c r="E13" i="51"/>
  <c r="F13" i="51" s="1"/>
  <c r="X134" i="99" l="1"/>
  <c r="X135" i="99"/>
  <c r="X136" i="99"/>
  <c r="X137" i="99"/>
  <c r="X138" i="99"/>
  <c r="X139" i="99"/>
  <c r="X140" i="99"/>
  <c r="X141" i="99"/>
  <c r="X142" i="99"/>
  <c r="X143" i="99"/>
  <c r="T12" i="95" l="1"/>
  <c r="N32" i="96" l="1"/>
  <c r="N41" i="96"/>
  <c r="N42" i="96"/>
  <c r="N40" i="96"/>
  <c r="X69" i="28"/>
  <c r="W69" i="28"/>
  <c r="V69" i="28"/>
  <c r="U69" i="28"/>
  <c r="G6" i="64" l="1"/>
  <c r="E6" i="64"/>
  <c r="M17" i="96"/>
  <c r="O40" i="64" l="1"/>
  <c r="O39" i="64"/>
  <c r="D39" i="64"/>
  <c r="D40" i="64"/>
  <c r="N5" i="96" l="1"/>
  <c r="N4" i="96"/>
  <c r="N6" i="96"/>
  <c r="N7" i="96"/>
  <c r="G5" i="96"/>
  <c r="G36" i="96" s="1"/>
  <c r="H36" i="96" s="1"/>
  <c r="F35" i="96"/>
  <c r="E5" i="96"/>
  <c r="E36" i="96" s="1"/>
  <c r="F36" i="96" s="1"/>
  <c r="G10" i="64"/>
  <c r="C6" i="111"/>
  <c r="C7" i="111"/>
  <c r="C4" i="111"/>
  <c r="C3" i="111"/>
  <c r="E2" i="111"/>
  <c r="H5" i="96" l="1"/>
  <c r="H4" i="51"/>
  <c r="J4" i="51"/>
  <c r="L4" i="51"/>
  <c r="N4" i="51"/>
  <c r="P4" i="51"/>
  <c r="R4" i="51"/>
  <c r="T4" i="51"/>
  <c r="V4" i="51"/>
  <c r="X4" i="51"/>
  <c r="Z4" i="51"/>
  <c r="AB4" i="51"/>
  <c r="AD4" i="51"/>
  <c r="AF4" i="51"/>
  <c r="AH4" i="51"/>
  <c r="AJ4" i="51"/>
  <c r="AL4" i="51"/>
  <c r="G6" i="51"/>
  <c r="H6" i="51" s="1"/>
  <c r="I6" i="51"/>
  <c r="J6" i="51" s="1"/>
  <c r="K6" i="51"/>
  <c r="L6" i="51" s="1"/>
  <c r="M6" i="51"/>
  <c r="N6" i="51" s="1"/>
  <c r="O6" i="51"/>
  <c r="P6" i="51" s="1"/>
  <c r="Q6" i="51"/>
  <c r="R6" i="51" s="1"/>
  <c r="S6" i="51"/>
  <c r="T6" i="51" s="1"/>
  <c r="U6" i="51"/>
  <c r="V6" i="51" s="1"/>
  <c r="W6" i="51"/>
  <c r="X6" i="51" s="1"/>
  <c r="Y6" i="51"/>
  <c r="Z6" i="51" s="1"/>
  <c r="AA6" i="51"/>
  <c r="AB6" i="51" s="1"/>
  <c r="AC6" i="51"/>
  <c r="AD6" i="51" s="1"/>
  <c r="AE6" i="51"/>
  <c r="AF6" i="51" s="1"/>
  <c r="AG6" i="51"/>
  <c r="AH6" i="51" s="1"/>
  <c r="AI6" i="51"/>
  <c r="AJ6" i="51" s="1"/>
  <c r="AK6" i="51"/>
  <c r="AL6" i="51" s="1"/>
  <c r="H10" i="51"/>
  <c r="J10" i="51"/>
  <c r="L10" i="51"/>
  <c r="N10" i="51"/>
  <c r="P10" i="51"/>
  <c r="R10" i="51"/>
  <c r="T10" i="51"/>
  <c r="V10" i="51"/>
  <c r="X10" i="51"/>
  <c r="Z10" i="51"/>
  <c r="AB10" i="51"/>
  <c r="AD10" i="51"/>
  <c r="AF10" i="51"/>
  <c r="AH10" i="51"/>
  <c r="AJ10" i="51"/>
  <c r="AL10" i="51"/>
  <c r="H11" i="51"/>
  <c r="J11" i="51"/>
  <c r="L11" i="51"/>
  <c r="N11" i="51"/>
  <c r="P11" i="51"/>
  <c r="R11" i="51"/>
  <c r="T11" i="51"/>
  <c r="V11" i="51"/>
  <c r="X11" i="51"/>
  <c r="Z11" i="51"/>
  <c r="AB11" i="51"/>
  <c r="AD11" i="51"/>
  <c r="AF11" i="51"/>
  <c r="AH11" i="51"/>
  <c r="AJ11" i="51"/>
  <c r="AL11" i="51"/>
  <c r="F10" i="51"/>
  <c r="F4" i="51"/>
  <c r="E6" i="51"/>
  <c r="F6" i="51" s="1"/>
  <c r="D6" i="51"/>
  <c r="D7" i="51"/>
  <c r="D8" i="51"/>
  <c r="D9" i="51"/>
  <c r="D10" i="51"/>
  <c r="D5" i="51"/>
  <c r="G21" i="109" l="1"/>
  <c r="H21" i="109"/>
  <c r="I21" i="109"/>
  <c r="J21" i="109"/>
  <c r="K21" i="109"/>
  <c r="L21" i="109"/>
  <c r="M21" i="109"/>
  <c r="N21" i="109"/>
  <c r="O21" i="109"/>
  <c r="P21" i="109"/>
  <c r="Q21" i="109"/>
  <c r="R21" i="109"/>
  <c r="S21" i="109"/>
  <c r="T21" i="109"/>
  <c r="U21" i="109"/>
  <c r="V21" i="109"/>
  <c r="W21" i="109"/>
  <c r="O20" i="109"/>
  <c r="P20" i="109"/>
  <c r="Q20" i="109"/>
  <c r="R20" i="109"/>
  <c r="S20" i="109"/>
  <c r="T20" i="109"/>
  <c r="U20" i="109"/>
  <c r="V20" i="109"/>
  <c r="W20" i="109"/>
  <c r="G25" i="109"/>
  <c r="H25" i="109"/>
  <c r="I25" i="109"/>
  <c r="J25" i="109"/>
  <c r="K25" i="109"/>
  <c r="L25" i="109"/>
  <c r="M25" i="109"/>
  <c r="N25" i="109"/>
  <c r="O25" i="109"/>
  <c r="P25" i="109"/>
  <c r="Q25" i="109"/>
  <c r="R25" i="109"/>
  <c r="S25" i="109"/>
  <c r="T25" i="109"/>
  <c r="U25" i="109"/>
  <c r="V25" i="109"/>
  <c r="W25" i="109"/>
  <c r="P23" i="109"/>
  <c r="Q23" i="109"/>
  <c r="R23" i="109"/>
  <c r="S23" i="109"/>
  <c r="T23" i="109"/>
  <c r="U23" i="109"/>
  <c r="V23" i="109"/>
  <c r="W23" i="109"/>
  <c r="O23" i="109"/>
  <c r="C7" i="103" l="1"/>
  <c r="C6" i="103"/>
  <c r="C4" i="103"/>
  <c r="C3" i="103"/>
  <c r="E2" i="103"/>
  <c r="D18" i="87" l="1"/>
  <c r="D6" i="87"/>
  <c r="D9" i="85"/>
  <c r="D24" i="83"/>
  <c r="O29" i="96" l="1"/>
  <c r="P29" i="96" s="1"/>
  <c r="P6" i="96"/>
  <c r="P4" i="96"/>
  <c r="P38" i="96"/>
  <c r="P42" i="96"/>
  <c r="P28" i="96"/>
  <c r="O28" i="96" s="1"/>
  <c r="O48" i="96" s="1"/>
  <c r="N28" i="96"/>
  <c r="M28" i="96" s="1"/>
  <c r="N43" i="96"/>
  <c r="M43" i="96" s="1"/>
  <c r="M50" i="96" s="1"/>
  <c r="N39" i="96"/>
  <c r="M39" i="96" s="1"/>
  <c r="M49" i="96" s="1"/>
  <c r="O19" i="96"/>
  <c r="P31" i="96"/>
  <c r="P32" i="96"/>
  <c r="P33" i="96"/>
  <c r="P35" i="96"/>
  <c r="D37" i="96"/>
  <c r="O22" i="96"/>
  <c r="P22" i="96" s="1"/>
  <c r="D19" i="96"/>
  <c r="O17" i="96"/>
  <c r="O18" i="96"/>
  <c r="P18" i="96" s="1"/>
  <c r="N11" i="96"/>
  <c r="O11" i="96"/>
  <c r="P11" i="96" s="1"/>
  <c r="M12" i="96"/>
  <c r="N12" i="96" s="1"/>
  <c r="P12" i="96"/>
  <c r="M13" i="96"/>
  <c r="N13" i="96" s="1"/>
  <c r="P13" i="96"/>
  <c r="M14" i="96"/>
  <c r="N14" i="96" s="1"/>
  <c r="P14" i="96"/>
  <c r="M15" i="96"/>
  <c r="N15" i="96" s="1"/>
  <c r="P15" i="96"/>
  <c r="M16" i="96"/>
  <c r="N16" i="96" s="1"/>
  <c r="P16" i="96"/>
  <c r="N17" i="96"/>
  <c r="P17" i="96"/>
  <c r="M18" i="96"/>
  <c r="N18" i="96" s="1"/>
  <c r="N20" i="96"/>
  <c r="P20" i="96"/>
  <c r="N21" i="96"/>
  <c r="P21" i="96"/>
  <c r="D8" i="96"/>
  <c r="K5" i="96"/>
  <c r="K6" i="96"/>
  <c r="L6" i="96" s="1"/>
  <c r="K7" i="96"/>
  <c r="L7" i="96" s="1"/>
  <c r="K8" i="96"/>
  <c r="K9" i="96"/>
  <c r="K10" i="96"/>
  <c r="K11" i="96"/>
  <c r="L11" i="96" s="1"/>
  <c r="O40" i="96" l="1"/>
  <c r="O41" i="96" s="1"/>
  <c r="P41" i="96" s="1"/>
  <c r="O30" i="96"/>
  <c r="P30" i="96" s="1"/>
  <c r="O37" i="96"/>
  <c r="P37" i="96" s="1"/>
  <c r="M48" i="96"/>
  <c r="O34" i="96"/>
  <c r="P34" i="96" s="1"/>
  <c r="P19" i="96"/>
  <c r="P23" i="96" s="1"/>
  <c r="O23" i="96" s="1"/>
  <c r="O47" i="96" s="1"/>
  <c r="N23" i="96"/>
  <c r="M23" i="96" s="1"/>
  <c r="M47" i="96" s="1"/>
  <c r="K23" i="44"/>
  <c r="L23" i="44"/>
  <c r="P40" i="96" l="1"/>
  <c r="P43" i="96" s="1"/>
  <c r="O43" i="96" s="1"/>
  <c r="O50" i="96" s="1"/>
  <c r="P39" i="96"/>
  <c r="O39" i="96" s="1"/>
  <c r="O49" i="96" s="1"/>
  <c r="M45" i="96"/>
  <c r="AN25" i="35"/>
  <c r="AL24" i="35"/>
  <c r="AJ23" i="35"/>
  <c r="AH22" i="35"/>
  <c r="AF21" i="35"/>
  <c r="AD20" i="35"/>
  <c r="AB19" i="35"/>
  <c r="Z18" i="35"/>
  <c r="X17" i="35"/>
  <c r="V16" i="35"/>
  <c r="T15" i="35"/>
  <c r="R14" i="35"/>
  <c r="P13" i="35"/>
  <c r="N12" i="35"/>
  <c r="J10" i="35"/>
  <c r="H9" i="35"/>
  <c r="E8" i="35"/>
  <c r="F8" i="35" s="1"/>
  <c r="N48" i="96" l="1"/>
  <c r="E29" i="34"/>
  <c r="T69" i="28" s="1"/>
  <c r="N47" i="96"/>
  <c r="N50" i="96"/>
  <c r="O45" i="96"/>
  <c r="P47" i="96" s="1"/>
  <c r="M46" i="96"/>
  <c r="N49" i="96"/>
  <c r="L7" i="95"/>
  <c r="I23" i="94"/>
  <c r="J23" i="94" s="1"/>
  <c r="M23" i="94"/>
  <c r="N23" i="94" s="1"/>
  <c r="O23" i="94"/>
  <c r="P23" i="94" s="1"/>
  <c r="Q23" i="94"/>
  <c r="R23" i="94" s="1"/>
  <c r="U23" i="94"/>
  <c r="V23" i="94" s="1"/>
  <c r="W23" i="94"/>
  <c r="X23" i="94" s="1"/>
  <c r="Y23" i="94"/>
  <c r="Z23" i="94" s="1"/>
  <c r="AA23" i="94"/>
  <c r="AB23" i="94" s="1"/>
  <c r="AC23" i="94"/>
  <c r="AD23" i="94" s="1"/>
  <c r="AE23" i="94"/>
  <c r="AF23" i="94" s="1"/>
  <c r="AG23" i="94"/>
  <c r="AH23" i="94" s="1"/>
  <c r="AI23" i="94"/>
  <c r="AJ23" i="94" s="1"/>
  <c r="AK23" i="94"/>
  <c r="AL23" i="94" s="1"/>
  <c r="AM23" i="94"/>
  <c r="I24" i="94"/>
  <c r="J24" i="94" s="1"/>
  <c r="M24" i="94"/>
  <c r="N24" i="94" s="1"/>
  <c r="O24" i="94"/>
  <c r="P24" i="94" s="1"/>
  <c r="Q24" i="94"/>
  <c r="R24" i="94" s="1"/>
  <c r="U24" i="94"/>
  <c r="V24" i="94" s="1"/>
  <c r="W24" i="94"/>
  <c r="X24" i="94" s="1"/>
  <c r="Y24" i="94"/>
  <c r="Z24" i="94" s="1"/>
  <c r="AA24" i="94"/>
  <c r="AB24" i="94" s="1"/>
  <c r="AC24" i="94"/>
  <c r="AD24" i="94" s="1"/>
  <c r="AE24" i="94"/>
  <c r="AF24" i="94" s="1"/>
  <c r="AG24" i="94"/>
  <c r="AH24" i="94" s="1"/>
  <c r="AI24" i="94"/>
  <c r="AJ24" i="94" s="1"/>
  <c r="AK24" i="94"/>
  <c r="AL24" i="94" s="1"/>
  <c r="AM24" i="94"/>
  <c r="G24" i="94"/>
  <c r="H24" i="94" s="1"/>
  <c r="G23" i="94"/>
  <c r="H23" i="94" s="1"/>
  <c r="E24" i="94"/>
  <c r="F24" i="94" s="1"/>
  <c r="E23" i="94"/>
  <c r="O46" i="96" l="1"/>
  <c r="P50" i="96"/>
  <c r="P48" i="96"/>
  <c r="P49" i="96"/>
  <c r="L16" i="44" l="1"/>
  <c r="F16" i="109" l="1"/>
  <c r="Y29" i="109"/>
  <c r="Y28" i="109"/>
  <c r="J16" i="109"/>
  <c r="J20" i="109" l="1"/>
  <c r="J23" i="109"/>
  <c r="F23" i="109"/>
  <c r="F20" i="109"/>
  <c r="W16" i="28"/>
  <c r="B10" i="28"/>
  <c r="Y26" i="99" l="1"/>
  <c r="Z26" i="99" s="1"/>
  <c r="Y27" i="99"/>
  <c r="Z27" i="99" s="1"/>
  <c r="Y22" i="99"/>
  <c r="Z22" i="99" s="1"/>
  <c r="Y4" i="99"/>
  <c r="Z4" i="99" s="1"/>
  <c r="B19" i="28"/>
  <c r="Z35" i="8"/>
  <c r="Y35" i="8" s="1"/>
  <c r="AB35" i="8"/>
  <c r="AA35" i="8" s="1"/>
  <c r="AD35" i="8"/>
  <c r="AC35" i="8" s="1"/>
  <c r="AH35" i="8"/>
  <c r="AG35" i="8" s="1"/>
  <c r="AJ35" i="8"/>
  <c r="AI35" i="8" s="1"/>
  <c r="W29" i="109" l="1"/>
  <c r="W31" i="109" s="1"/>
  <c r="V29" i="109"/>
  <c r="V31" i="109" s="1"/>
  <c r="U29" i="109"/>
  <c r="U31" i="109" s="1"/>
  <c r="T29" i="109"/>
  <c r="T31" i="109" s="1"/>
  <c r="S29" i="109"/>
  <c r="S31" i="109" s="1"/>
  <c r="R29" i="109"/>
  <c r="R31" i="109" s="1"/>
  <c r="Q29" i="109"/>
  <c r="Q31" i="109" s="1"/>
  <c r="P29" i="109"/>
  <c r="P31" i="109" s="1"/>
  <c r="O29" i="109"/>
  <c r="O31" i="109" s="1"/>
  <c r="N29" i="109"/>
  <c r="N31" i="109" s="1"/>
  <c r="M29" i="109"/>
  <c r="M31" i="109" s="1"/>
  <c r="L29" i="109"/>
  <c r="L31" i="109" s="1"/>
  <c r="K29" i="109"/>
  <c r="K31" i="109" s="1"/>
  <c r="J29" i="109"/>
  <c r="J31" i="109" s="1"/>
  <c r="I29" i="109"/>
  <c r="I31" i="109" s="1"/>
  <c r="H29" i="109"/>
  <c r="H31" i="109" s="1"/>
  <c r="G29" i="109"/>
  <c r="G31" i="109" s="1"/>
  <c r="W28" i="109"/>
  <c r="W30" i="109" s="1"/>
  <c r="V28" i="109"/>
  <c r="V30" i="109" s="1"/>
  <c r="U28" i="109"/>
  <c r="U30" i="109" s="1"/>
  <c r="T28" i="109"/>
  <c r="T30" i="109" s="1"/>
  <c r="S28" i="109"/>
  <c r="S30" i="109" s="1"/>
  <c r="R28" i="109"/>
  <c r="R30" i="109" s="1"/>
  <c r="Q28" i="109"/>
  <c r="Q30" i="109" s="1"/>
  <c r="P28" i="109"/>
  <c r="P30" i="109" s="1"/>
  <c r="O28" i="109"/>
  <c r="O30" i="109" s="1"/>
  <c r="V18" i="109"/>
  <c r="F17" i="109"/>
  <c r="N16" i="109"/>
  <c r="M16" i="109"/>
  <c r="L16" i="109"/>
  <c r="K16" i="109"/>
  <c r="I16" i="109"/>
  <c r="H16" i="109"/>
  <c r="G16" i="109"/>
  <c r="W14" i="109"/>
  <c r="W18" i="109" s="1"/>
  <c r="U14" i="109"/>
  <c r="U18" i="109" s="1"/>
  <c r="T14" i="109"/>
  <c r="T18" i="109" s="1"/>
  <c r="S14" i="109"/>
  <c r="S18" i="109" s="1"/>
  <c r="R14" i="109"/>
  <c r="R18" i="109" s="1"/>
  <c r="Q14" i="109"/>
  <c r="Q18" i="109" s="1"/>
  <c r="P14" i="109"/>
  <c r="O14" i="109"/>
  <c r="O18" i="109" s="1"/>
  <c r="N14" i="109"/>
  <c r="N18" i="109" s="1"/>
  <c r="M14" i="109"/>
  <c r="M18" i="109" s="1"/>
  <c r="L14" i="109"/>
  <c r="L18" i="109" s="1"/>
  <c r="K14" i="109"/>
  <c r="K18" i="109" s="1"/>
  <c r="J14" i="109"/>
  <c r="J18" i="109" s="1"/>
  <c r="I14" i="109"/>
  <c r="I18" i="109" s="1"/>
  <c r="H14" i="109"/>
  <c r="H18" i="109" s="1"/>
  <c r="G14" i="109"/>
  <c r="G18" i="109" s="1"/>
  <c r="F14" i="109"/>
  <c r="F18" i="109" s="1"/>
  <c r="E14" i="109"/>
  <c r="G20" i="109" l="1"/>
  <c r="G23" i="109"/>
  <c r="L23" i="109"/>
  <c r="L20" i="109"/>
  <c r="F25" i="109"/>
  <c r="F21" i="109"/>
  <c r="H23" i="109"/>
  <c r="H20" i="109"/>
  <c r="M23" i="109"/>
  <c r="M20" i="109"/>
  <c r="K20" i="109"/>
  <c r="K23" i="109"/>
  <c r="I20" i="109"/>
  <c r="I23" i="109"/>
  <c r="N20" i="109"/>
  <c r="N23" i="109"/>
  <c r="F29" i="109"/>
  <c r="F31" i="109" s="1"/>
  <c r="F28" i="109"/>
  <c r="F30" i="109" s="1"/>
  <c r="H28" i="109"/>
  <c r="H30" i="109" s="1"/>
  <c r="M28" i="109"/>
  <c r="M30" i="109" s="1"/>
  <c r="I28" i="109"/>
  <c r="I30" i="109" s="1"/>
  <c r="L28" i="109"/>
  <c r="L30" i="109" s="1"/>
  <c r="J28" i="109"/>
  <c r="J30" i="109" s="1"/>
  <c r="N28" i="109"/>
  <c r="N30" i="109" s="1"/>
  <c r="G28" i="109"/>
  <c r="G30" i="109" s="1"/>
  <c r="K28" i="109"/>
  <c r="K30" i="109" s="1"/>
  <c r="I17" i="96"/>
  <c r="P14" i="107" l="1"/>
  <c r="T14" i="107" s="1"/>
  <c r="P15" i="107"/>
  <c r="T15" i="107" s="1"/>
  <c r="P16" i="107"/>
  <c r="T16" i="107" s="1"/>
  <c r="P17" i="107"/>
  <c r="T17" i="107" s="1"/>
  <c r="P18" i="107"/>
  <c r="T18" i="107" s="1"/>
  <c r="P19" i="107"/>
  <c r="T19" i="107" s="1"/>
  <c r="P20" i="107"/>
  <c r="T20" i="107" s="1"/>
  <c r="P21" i="107"/>
  <c r="T21" i="107" s="1"/>
  <c r="P22" i="107"/>
  <c r="T22" i="107" s="1"/>
  <c r="U6" i="107"/>
  <c r="W6" i="107" s="1"/>
  <c r="U7" i="107"/>
  <c r="W7" i="107" s="1"/>
  <c r="U8" i="107"/>
  <c r="W8" i="107" s="1"/>
  <c r="U9" i="107"/>
  <c r="W9" i="107" s="1"/>
  <c r="U10" i="107"/>
  <c r="W10" i="107" s="1"/>
  <c r="U11" i="107"/>
  <c r="W11" i="107" s="1"/>
  <c r="U12" i="107"/>
  <c r="W12" i="107" s="1"/>
  <c r="U13" i="107"/>
  <c r="W13" i="107" s="1"/>
  <c r="U14" i="107"/>
  <c r="W14" i="107" s="1"/>
  <c r="U15" i="107"/>
  <c r="W15" i="107" s="1"/>
  <c r="U16" i="107"/>
  <c r="W16" i="107" s="1"/>
  <c r="U17" i="107"/>
  <c r="W17" i="107" s="1"/>
  <c r="U18" i="107"/>
  <c r="W18" i="107" s="1"/>
  <c r="U19" i="107"/>
  <c r="W19" i="107" s="1"/>
  <c r="U20" i="107"/>
  <c r="W20" i="107" s="1"/>
  <c r="U21" i="107"/>
  <c r="W21" i="107" s="1"/>
  <c r="U22" i="107"/>
  <c r="W22" i="107" s="1"/>
  <c r="Q6" i="107"/>
  <c r="Q7" i="107"/>
  <c r="Q8" i="107"/>
  <c r="Q9" i="107"/>
  <c r="Q10" i="107"/>
  <c r="Q11" i="107"/>
  <c r="Q12" i="107"/>
  <c r="Q13" i="107"/>
  <c r="Q14" i="107"/>
  <c r="Q15" i="107"/>
  <c r="Q16" i="107"/>
  <c r="Q17" i="107"/>
  <c r="Q18" i="107"/>
  <c r="Q19" i="107"/>
  <c r="Q20" i="107"/>
  <c r="Q21" i="107"/>
  <c r="Q22" i="107"/>
  <c r="N5" i="107"/>
  <c r="S5" i="107" s="1"/>
  <c r="M6" i="107"/>
  <c r="P6" i="107" s="1"/>
  <c r="T6" i="107" s="1"/>
  <c r="M7" i="107"/>
  <c r="P7" i="107" s="1"/>
  <c r="T7" i="107" s="1"/>
  <c r="M8" i="107"/>
  <c r="P8" i="107" s="1"/>
  <c r="T8" i="107" s="1"/>
  <c r="M9" i="107"/>
  <c r="P9" i="107" s="1"/>
  <c r="T9" i="107" s="1"/>
  <c r="M10" i="107"/>
  <c r="P10" i="107" s="1"/>
  <c r="T10" i="107" s="1"/>
  <c r="M11" i="107"/>
  <c r="P11" i="107" s="1"/>
  <c r="T11" i="107" s="1"/>
  <c r="M12" i="107"/>
  <c r="P12" i="107" s="1"/>
  <c r="T12" i="107" s="1"/>
  <c r="M13" i="107"/>
  <c r="P13" i="107" s="1"/>
  <c r="T13" i="107" s="1"/>
  <c r="M5" i="107"/>
  <c r="P5" i="107" s="1"/>
  <c r="T5" i="107" s="1"/>
  <c r="U5" i="107" l="1"/>
  <c r="W5" i="107" s="1"/>
  <c r="R5" i="107"/>
  <c r="V5" i="107" s="1"/>
  <c r="R7" i="107"/>
  <c r="Q5" i="107"/>
  <c r="M28" i="99"/>
  <c r="M29" i="99"/>
  <c r="M30" i="99"/>
  <c r="S7" i="107" l="1"/>
  <c r="R8" i="107"/>
  <c r="S8" i="107"/>
  <c r="S10" i="107"/>
  <c r="S11" i="107"/>
  <c r="S12" i="107"/>
  <c r="S13" i="107"/>
  <c r="R14" i="107"/>
  <c r="S14" i="107"/>
  <c r="R15" i="107"/>
  <c r="S15" i="107"/>
  <c r="R16" i="107"/>
  <c r="S16" i="107"/>
  <c r="R17" i="107"/>
  <c r="S17" i="107"/>
  <c r="R18" i="107"/>
  <c r="S18" i="107"/>
  <c r="R19" i="107"/>
  <c r="S19" i="107"/>
  <c r="R20" i="107"/>
  <c r="S20" i="107"/>
  <c r="R21" i="107"/>
  <c r="S21" i="107"/>
  <c r="R22" i="107"/>
  <c r="S22" i="107"/>
  <c r="S9" i="107"/>
  <c r="R10" i="107"/>
  <c r="R11" i="107"/>
  <c r="R12" i="107"/>
  <c r="R13" i="107"/>
  <c r="R9" i="107"/>
  <c r="V22" i="107" l="1"/>
  <c r="V20" i="107"/>
  <c r="V18" i="107"/>
  <c r="V16" i="107"/>
  <c r="V21" i="107"/>
  <c r="V19" i="107"/>
  <c r="V15" i="107"/>
  <c r="V17" i="107"/>
  <c r="V14" i="107"/>
  <c r="V12" i="107"/>
  <c r="V11" i="107"/>
  <c r="V9" i="107"/>
  <c r="V7" i="107"/>
  <c r="V10" i="107"/>
  <c r="V13" i="107"/>
  <c r="V8" i="107"/>
  <c r="O21" i="107"/>
  <c r="K22" i="107"/>
  <c r="O22" i="107" s="1"/>
  <c r="K5" i="107"/>
  <c r="O5" i="107" s="1"/>
  <c r="K6" i="107"/>
  <c r="O6" i="107" s="1"/>
  <c r="K7" i="107"/>
  <c r="O7" i="107" s="1"/>
  <c r="K8" i="107"/>
  <c r="O8" i="107" s="1"/>
  <c r="K9" i="107"/>
  <c r="O9" i="107" s="1"/>
  <c r="K10" i="107"/>
  <c r="O10" i="107" s="1"/>
  <c r="K11" i="107"/>
  <c r="O11" i="107" s="1"/>
  <c r="K12" i="107"/>
  <c r="O12" i="107" s="1"/>
  <c r="K13" i="107"/>
  <c r="O13" i="107" s="1"/>
  <c r="K14" i="107"/>
  <c r="O14" i="107" s="1"/>
  <c r="K15" i="107"/>
  <c r="K16" i="107"/>
  <c r="O16" i="107" s="1"/>
  <c r="K17" i="107"/>
  <c r="O17" i="107" s="1"/>
  <c r="K18" i="107"/>
  <c r="O18" i="107" s="1"/>
  <c r="K19" i="107"/>
  <c r="O19" i="107" s="1"/>
  <c r="K20" i="107"/>
  <c r="O20" i="107" s="1"/>
  <c r="K4" i="107"/>
  <c r="S6" i="107"/>
  <c r="R6" i="107"/>
  <c r="V6" i="107" l="1"/>
  <c r="AA21" i="28"/>
  <c r="I19" i="80" l="1"/>
  <c r="J19" i="80"/>
  <c r="K19" i="80"/>
  <c r="L19" i="80" s="1"/>
  <c r="M19" i="80"/>
  <c r="N19" i="80" s="1"/>
  <c r="O19" i="80"/>
  <c r="P19" i="80" s="1"/>
  <c r="Q19" i="80"/>
  <c r="R19" i="80" s="1"/>
  <c r="S19" i="80"/>
  <c r="T19" i="80" s="1"/>
  <c r="U19" i="80"/>
  <c r="V19" i="80" s="1"/>
  <c r="W19" i="80"/>
  <c r="X19" i="80" s="1"/>
  <c r="Y19" i="80"/>
  <c r="Z19" i="80"/>
  <c r="AA19" i="80"/>
  <c r="AB19" i="80" s="1"/>
  <c r="AC19" i="80"/>
  <c r="AD19" i="80" s="1"/>
  <c r="AE19" i="80"/>
  <c r="AF19" i="80" s="1"/>
  <c r="AG19" i="80"/>
  <c r="AH19" i="80" s="1"/>
  <c r="AI19" i="80"/>
  <c r="AJ19" i="80" s="1"/>
  <c r="AK19" i="80"/>
  <c r="AL19" i="80" s="1"/>
  <c r="AL25" i="80" s="1"/>
  <c r="AK25" i="80" s="1"/>
  <c r="AK33" i="80" s="1"/>
  <c r="G19" i="80"/>
  <c r="I114" i="106" l="1"/>
  <c r="I113" i="106" s="1"/>
  <c r="I112" i="106" s="1"/>
  <c r="I111" i="106" s="1"/>
  <c r="I110" i="106" s="1"/>
  <c r="H114" i="106"/>
  <c r="H113" i="106" s="1"/>
  <c r="O34" i="64"/>
  <c r="P34" i="64" s="1"/>
  <c r="X171" i="99" l="1"/>
  <c r="G4" i="96"/>
  <c r="E4" i="96"/>
  <c r="G32" i="96"/>
  <c r="H32" i="96" s="1"/>
  <c r="E32" i="96"/>
  <c r="F32" i="96" s="1"/>
  <c r="K32" i="96"/>
  <c r="L32" i="96" s="1"/>
  <c r="K4" i="96"/>
  <c r="I4" i="96"/>
  <c r="I12" i="96"/>
  <c r="I31" i="96"/>
  <c r="I11" i="96"/>
  <c r="I18" i="96" l="1"/>
  <c r="I41" i="96" l="1"/>
  <c r="I40" i="96" s="1"/>
  <c r="Z62" i="28"/>
  <c r="Z64" i="28"/>
  <c r="AA64" i="28" s="1"/>
  <c r="Z63" i="28"/>
  <c r="AA63" i="28" s="1"/>
  <c r="AA81" i="28"/>
  <c r="Z42" i="8" l="1"/>
  <c r="Y42" i="8" s="1"/>
  <c r="AB42" i="8"/>
  <c r="AA42" i="8" s="1"/>
  <c r="AD42" i="8"/>
  <c r="AC42" i="8" s="1"/>
  <c r="AH42" i="8"/>
  <c r="AG42" i="8" s="1"/>
  <c r="AJ42" i="8"/>
  <c r="AI42" i="8" s="1"/>
  <c r="H112" i="106" l="1"/>
  <c r="H111" i="106" s="1"/>
  <c r="H107" i="106"/>
  <c r="H106" i="106" s="1"/>
  <c r="H105" i="106" s="1"/>
  <c r="X20" i="28" l="1"/>
  <c r="X19" i="28"/>
  <c r="X18" i="28"/>
  <c r="H82" i="28"/>
  <c r="H110" i="106" l="1"/>
  <c r="Y171" i="99" l="1"/>
  <c r="Z171" i="99" s="1"/>
  <c r="G9" i="28"/>
  <c r="C7" i="99"/>
  <c r="D7" i="99"/>
  <c r="B7" i="99"/>
  <c r="E7" i="99"/>
  <c r="E9" i="99"/>
  <c r="D9" i="99"/>
  <c r="X10" i="99"/>
  <c r="Y10" i="99" s="1"/>
  <c r="Z10" i="99" s="1"/>
  <c r="X11" i="99"/>
  <c r="Y11" i="99" s="1"/>
  <c r="Z11" i="99" s="1"/>
  <c r="X12" i="99"/>
  <c r="Y12" i="99" s="1"/>
  <c r="Z12" i="99" s="1"/>
  <c r="X13" i="99"/>
  <c r="Y13" i="99" s="1"/>
  <c r="Z13" i="99" s="1"/>
  <c r="X14" i="99"/>
  <c r="Y14" i="99" s="1"/>
  <c r="Z14" i="99" s="1"/>
  <c r="X15" i="99"/>
  <c r="Y15" i="99" s="1"/>
  <c r="Z15" i="99" s="1"/>
  <c r="X16" i="99"/>
  <c r="Y16" i="99" s="1"/>
  <c r="Z16" i="99" s="1"/>
  <c r="X6" i="99"/>
  <c r="Y6" i="99" s="1"/>
  <c r="Z6" i="99" s="1"/>
  <c r="X7" i="99"/>
  <c r="Y7" i="99" s="1"/>
  <c r="Z7" i="99" s="1"/>
  <c r="X8" i="99"/>
  <c r="Y8" i="99" s="1"/>
  <c r="Z8" i="99" s="1"/>
  <c r="X9" i="99"/>
  <c r="Y9" i="99" s="1"/>
  <c r="Z9" i="99" s="1"/>
  <c r="X166" i="99"/>
  <c r="X165" i="99"/>
  <c r="X164" i="99"/>
  <c r="X163" i="99"/>
  <c r="X162" i="99"/>
  <c r="X161" i="99"/>
  <c r="X160" i="99"/>
  <c r="X159" i="99"/>
  <c r="X158" i="99"/>
  <c r="X157" i="99"/>
  <c r="X156" i="99"/>
  <c r="X155" i="99"/>
  <c r="X154" i="99"/>
  <c r="X153" i="99"/>
  <c r="X151" i="99"/>
  <c r="X150" i="99"/>
  <c r="X149" i="99"/>
  <c r="X148" i="99"/>
  <c r="X147" i="99"/>
  <c r="X146" i="99"/>
  <c r="X145" i="99"/>
  <c r="X144" i="99"/>
  <c r="X133" i="99"/>
  <c r="X132" i="99"/>
  <c r="X130" i="99"/>
  <c r="X129" i="99"/>
  <c r="X128" i="99"/>
  <c r="X127" i="99"/>
  <c r="X126" i="99"/>
  <c r="X125" i="99"/>
  <c r="X124" i="99"/>
  <c r="X123" i="99"/>
  <c r="X122" i="99"/>
  <c r="X121" i="99"/>
  <c r="X120" i="99"/>
  <c r="X119" i="99"/>
  <c r="X118" i="99"/>
  <c r="X117" i="99"/>
  <c r="X116" i="99"/>
  <c r="X115" i="99"/>
  <c r="X114" i="99"/>
  <c r="X113" i="99"/>
  <c r="X112" i="99"/>
  <c r="X111" i="99"/>
  <c r="X110" i="99"/>
  <c r="Y110" i="99" s="1"/>
  <c r="Z110" i="99" s="1"/>
  <c r="X109" i="99"/>
  <c r="X108" i="99"/>
  <c r="X107" i="99"/>
  <c r="X106" i="99"/>
  <c r="X105" i="99"/>
  <c r="X104" i="99"/>
  <c r="X103" i="99"/>
  <c r="X101" i="99"/>
  <c r="X100" i="99"/>
  <c r="X99" i="99"/>
  <c r="X98" i="99"/>
  <c r="X97" i="99"/>
  <c r="X96" i="99"/>
  <c r="X95" i="99"/>
  <c r="X94" i="99"/>
  <c r="X93" i="99"/>
  <c r="X92" i="99"/>
  <c r="X91" i="99"/>
  <c r="X90" i="99"/>
  <c r="X89" i="99"/>
  <c r="X88" i="99"/>
  <c r="Y88" i="99" s="1"/>
  <c r="Z88" i="99" s="1"/>
  <c r="X75" i="99"/>
  <c r="X74" i="99"/>
  <c r="X73" i="99"/>
  <c r="X72" i="99"/>
  <c r="X71" i="99"/>
  <c r="X70" i="99"/>
  <c r="X69" i="99"/>
  <c r="X68" i="99"/>
  <c r="X67" i="99"/>
  <c r="X66" i="99"/>
  <c r="X65" i="99"/>
  <c r="X64" i="99"/>
  <c r="X63" i="99"/>
  <c r="X62" i="99"/>
  <c r="X61" i="99"/>
  <c r="X60" i="99"/>
  <c r="X59" i="99"/>
  <c r="X58" i="99"/>
  <c r="X57" i="99"/>
  <c r="X56" i="99"/>
  <c r="X55" i="99"/>
  <c r="X54" i="99"/>
  <c r="X53" i="99"/>
  <c r="X52" i="99"/>
  <c r="X51" i="99"/>
  <c r="X50" i="99"/>
  <c r="X49" i="99"/>
  <c r="X48" i="99"/>
  <c r="X47" i="99"/>
  <c r="X46" i="99"/>
  <c r="X45" i="99"/>
  <c r="X44" i="99"/>
  <c r="X43" i="99"/>
  <c r="X42" i="99"/>
  <c r="X41" i="99"/>
  <c r="X39" i="99"/>
  <c r="X38" i="99"/>
  <c r="X37" i="99"/>
  <c r="X36" i="99"/>
  <c r="X35" i="99"/>
  <c r="X34" i="99"/>
  <c r="X33" i="99"/>
  <c r="X32" i="99"/>
  <c r="X31" i="99"/>
  <c r="X30" i="99"/>
  <c r="X29" i="99"/>
  <c r="X28" i="99"/>
  <c r="X25" i="99"/>
  <c r="Y25" i="99" s="1"/>
  <c r="Z25" i="99" s="1"/>
  <c r="X24" i="99"/>
  <c r="Y24" i="99" s="1"/>
  <c r="Z24" i="99" s="1"/>
  <c r="X23" i="99"/>
  <c r="Y23" i="99" s="1"/>
  <c r="Z23" i="99" s="1"/>
  <c r="X21" i="99"/>
  <c r="Y21" i="99" s="1"/>
  <c r="Z21" i="99" s="1"/>
  <c r="X20" i="99"/>
  <c r="Y20" i="99" s="1"/>
  <c r="Z20" i="99" s="1"/>
  <c r="X19" i="99"/>
  <c r="Y19" i="99" s="1"/>
  <c r="Z19" i="99" s="1"/>
  <c r="X18" i="99"/>
  <c r="Y18" i="99" s="1"/>
  <c r="Z18" i="99" s="1"/>
  <c r="X17" i="99"/>
  <c r="Y17" i="99" s="1"/>
  <c r="Z17" i="99" s="1"/>
  <c r="X5" i="99"/>
  <c r="Y5" i="99" s="1"/>
  <c r="Z5" i="99" s="1"/>
  <c r="Y89" i="99" l="1"/>
  <c r="Z89" i="99" s="1"/>
  <c r="Y90" i="99"/>
  <c r="Z90" i="99" s="1"/>
  <c r="Y94" i="99"/>
  <c r="Z94" i="99" s="1"/>
  <c r="Y93" i="99"/>
  <c r="Z93" i="99" s="1"/>
  <c r="Y91" i="99"/>
  <c r="Z91" i="99" s="1"/>
  <c r="Y95" i="99"/>
  <c r="Z95" i="99" s="1"/>
  <c r="Y92" i="99"/>
  <c r="Z92" i="99" s="1"/>
  <c r="E44" i="30" l="1"/>
  <c r="W2" i="30"/>
  <c r="W61" i="30" s="1"/>
  <c r="V2" i="30"/>
  <c r="U2" i="30"/>
  <c r="T2" i="30"/>
  <c r="T60" i="30" s="1"/>
  <c r="S2" i="30"/>
  <c r="S59" i="30" s="1"/>
  <c r="R2" i="30"/>
  <c r="Q2" i="30"/>
  <c r="P2" i="30"/>
  <c r="O2" i="30"/>
  <c r="O59" i="30" s="1"/>
  <c r="N2" i="30"/>
  <c r="M2" i="30"/>
  <c r="M60" i="30" s="1"/>
  <c r="L2" i="30"/>
  <c r="L86" i="30" s="1"/>
  <c r="K2" i="30"/>
  <c r="J2" i="30"/>
  <c r="I2" i="30"/>
  <c r="H2" i="30"/>
  <c r="G2" i="30"/>
  <c r="V60" i="31"/>
  <c r="N60" i="31"/>
  <c r="V59" i="31"/>
  <c r="E44" i="31"/>
  <c r="V24" i="31"/>
  <c r="N22" i="31"/>
  <c r="W2" i="31"/>
  <c r="V2" i="31"/>
  <c r="V61" i="31" s="1"/>
  <c r="U2" i="31"/>
  <c r="T2" i="31"/>
  <c r="T24" i="31" s="1"/>
  <c r="S2" i="31"/>
  <c r="S86" i="31" s="1"/>
  <c r="R2" i="31"/>
  <c r="R59" i="31" s="1"/>
  <c r="Q2" i="31"/>
  <c r="P2" i="31"/>
  <c r="P59" i="31" s="1"/>
  <c r="O2" i="31"/>
  <c r="N2" i="31"/>
  <c r="N24" i="31" s="1"/>
  <c r="M2" i="31"/>
  <c r="L2" i="31"/>
  <c r="K2" i="31"/>
  <c r="J2" i="31"/>
  <c r="I2" i="31"/>
  <c r="H2" i="31"/>
  <c r="G2" i="31"/>
  <c r="E44" i="32"/>
  <c r="E36" i="32"/>
  <c r="E35" i="32"/>
  <c r="E34" i="32"/>
  <c r="E33" i="32"/>
  <c r="E32" i="32"/>
  <c r="W2" i="32"/>
  <c r="W61" i="32" s="1"/>
  <c r="V2" i="32"/>
  <c r="U2" i="32"/>
  <c r="U60" i="32" s="1"/>
  <c r="T2" i="32"/>
  <c r="T22" i="32" s="1"/>
  <c r="S2" i="32"/>
  <c r="S24" i="32" s="1"/>
  <c r="R2" i="32"/>
  <c r="Q2" i="32"/>
  <c r="Q86" i="32" s="1"/>
  <c r="P2" i="32"/>
  <c r="O2" i="32"/>
  <c r="O59" i="32" s="1"/>
  <c r="N2" i="32"/>
  <c r="N60" i="32" s="1"/>
  <c r="M2" i="32"/>
  <c r="M60" i="32" s="1"/>
  <c r="L2" i="32"/>
  <c r="L22" i="32" s="1"/>
  <c r="K2" i="32"/>
  <c r="J2" i="32"/>
  <c r="I2" i="32"/>
  <c r="I60" i="32" s="1"/>
  <c r="H2" i="32"/>
  <c r="G2" i="32"/>
  <c r="G59" i="32" s="1"/>
  <c r="V61" i="33"/>
  <c r="V59" i="33"/>
  <c r="E44" i="33"/>
  <c r="R24" i="33"/>
  <c r="N22" i="33"/>
  <c r="W2" i="33"/>
  <c r="V2" i="33"/>
  <c r="V22" i="33" s="1"/>
  <c r="U2" i="33"/>
  <c r="U86" i="33" s="1"/>
  <c r="T2" i="33"/>
  <c r="S2" i="33"/>
  <c r="R2" i="33"/>
  <c r="R61" i="33" s="1"/>
  <c r="Q2" i="33"/>
  <c r="Q61" i="33" s="1"/>
  <c r="P2" i="33"/>
  <c r="O2" i="33"/>
  <c r="N2" i="33"/>
  <c r="N59" i="33" s="1"/>
  <c r="M2" i="33"/>
  <c r="M86" i="33" s="1"/>
  <c r="L2" i="33"/>
  <c r="L86" i="33" s="1"/>
  <c r="K2" i="33"/>
  <c r="J2" i="33"/>
  <c r="I2" i="33"/>
  <c r="H2" i="33"/>
  <c r="G2" i="33"/>
  <c r="E44" i="34"/>
  <c r="E36" i="34"/>
  <c r="E35" i="34"/>
  <c r="X2" i="34"/>
  <c r="W2" i="34"/>
  <c r="V2" i="34"/>
  <c r="U2" i="34"/>
  <c r="T2" i="34"/>
  <c r="S2" i="34"/>
  <c r="R2" i="34"/>
  <c r="Q2" i="34"/>
  <c r="Q86" i="34" s="1"/>
  <c r="P2" i="34"/>
  <c r="O2" i="34"/>
  <c r="N2" i="34"/>
  <c r="M2" i="34"/>
  <c r="L2" i="34"/>
  <c r="K2" i="34"/>
  <c r="J2" i="34"/>
  <c r="I2" i="34"/>
  <c r="H2" i="34"/>
  <c r="G2" i="34"/>
  <c r="V61" i="3"/>
  <c r="T61" i="3"/>
  <c r="R61" i="3"/>
  <c r="P61" i="3"/>
  <c r="N61" i="3"/>
  <c r="L61" i="3"/>
  <c r="J61" i="3"/>
  <c r="H61" i="3"/>
  <c r="AM46" i="3"/>
  <c r="AL46" i="3"/>
  <c r="AK46" i="3"/>
  <c r="AJ46" i="3"/>
  <c r="AI46" i="3"/>
  <c r="AE8" i="78" s="1"/>
  <c r="AF8" i="78" s="1"/>
  <c r="AH46" i="3"/>
  <c r="AG46" i="3"/>
  <c r="AC8" i="78" s="1"/>
  <c r="AD8" i="78" s="1"/>
  <c r="AF46" i="3"/>
  <c r="AE46" i="3"/>
  <c r="AA8" i="78" s="1"/>
  <c r="AB8" i="78" s="1"/>
  <c r="AD46" i="3"/>
  <c r="AC46" i="3"/>
  <c r="AB46" i="3"/>
  <c r="AA46" i="3"/>
  <c r="W8" i="78" s="1"/>
  <c r="X8" i="78" s="1"/>
  <c r="Z46" i="3"/>
  <c r="Y46" i="3"/>
  <c r="U8" i="78" s="1"/>
  <c r="V8" i="78" s="1"/>
  <c r="X46" i="3"/>
  <c r="W46" i="3"/>
  <c r="S8" i="78" s="1"/>
  <c r="T8" i="78" s="1"/>
  <c r="V46" i="3"/>
  <c r="U46" i="3"/>
  <c r="T46" i="3"/>
  <c r="S46" i="3"/>
  <c r="R46" i="3"/>
  <c r="Q46" i="3"/>
  <c r="M8" i="78" s="1"/>
  <c r="N8" i="78" s="1"/>
  <c r="P46" i="3"/>
  <c r="O46" i="3"/>
  <c r="K8" i="78" s="1"/>
  <c r="L8" i="78" s="1"/>
  <c r="N46" i="3"/>
  <c r="M46" i="3"/>
  <c r="L46" i="3"/>
  <c r="K46" i="3"/>
  <c r="G8" i="78" s="1"/>
  <c r="H8" i="78" s="1"/>
  <c r="J46" i="3"/>
  <c r="I46" i="3"/>
  <c r="E8" i="78" s="1"/>
  <c r="F8" i="78" s="1"/>
  <c r="H46" i="3"/>
  <c r="G46" i="3"/>
  <c r="F46" i="3"/>
  <c r="E46" i="3"/>
  <c r="AM42" i="3"/>
  <c r="AL42" i="3"/>
  <c r="AK42" i="3"/>
  <c r="AJ42" i="3"/>
  <c r="AI42" i="3"/>
  <c r="AH42" i="3"/>
  <c r="AG42" i="3"/>
  <c r="AF42" i="3"/>
  <c r="AE42" i="3"/>
  <c r="AD42" i="3"/>
  <c r="AC42" i="3"/>
  <c r="AB42" i="3"/>
  <c r="AA42" i="3"/>
  <c r="Z42" i="3"/>
  <c r="Y42" i="3"/>
  <c r="X42" i="3"/>
  <c r="W42" i="3"/>
  <c r="V42" i="3"/>
  <c r="U42" i="3"/>
  <c r="T42" i="3"/>
  <c r="S42" i="3"/>
  <c r="R42" i="3"/>
  <c r="Q42" i="3"/>
  <c r="P42" i="3"/>
  <c r="O42" i="3"/>
  <c r="N42" i="3"/>
  <c r="M42" i="3"/>
  <c r="L42" i="3"/>
  <c r="K42" i="3"/>
  <c r="J42" i="3"/>
  <c r="I42" i="3"/>
  <c r="H42" i="3"/>
  <c r="G42" i="3"/>
  <c r="AM27" i="3"/>
  <c r="AM30" i="3" s="1"/>
  <c r="AK27" i="3"/>
  <c r="AI27" i="3"/>
  <c r="AG27" i="3"/>
  <c r="AE27" i="3"/>
  <c r="AE5" i="88" s="1"/>
  <c r="AE20" i="88" s="1"/>
  <c r="AF20" i="88" s="1"/>
  <c r="AC27" i="3"/>
  <c r="AA27" i="3"/>
  <c r="Y27" i="3"/>
  <c r="Y30" i="3" s="1"/>
  <c r="W27" i="3"/>
  <c r="W30" i="3" s="1"/>
  <c r="U27" i="3"/>
  <c r="S27" i="3"/>
  <c r="Q27" i="3"/>
  <c r="O27" i="3"/>
  <c r="O5" i="88" s="1"/>
  <c r="O20" i="88" s="1"/>
  <c r="P20" i="88" s="1"/>
  <c r="M27" i="3"/>
  <c r="M30" i="3" s="1"/>
  <c r="K27" i="3"/>
  <c r="K30" i="3" s="1"/>
  <c r="I27" i="3"/>
  <c r="G27" i="3"/>
  <c r="G30" i="3" s="1"/>
  <c r="E27" i="3"/>
  <c r="AM26" i="3"/>
  <c r="AK26" i="3"/>
  <c r="AI26" i="3"/>
  <c r="AI5" i="83" s="1"/>
  <c r="AJ5" i="83" s="1"/>
  <c r="AG26" i="3"/>
  <c r="AE26" i="3"/>
  <c r="AC26" i="3"/>
  <c r="AA26" i="3"/>
  <c r="AA5" i="83" s="1"/>
  <c r="AA22" i="83" s="1"/>
  <c r="AB22" i="83" s="1"/>
  <c r="Y26" i="3"/>
  <c r="W26" i="3"/>
  <c r="U26" i="3"/>
  <c r="S26" i="3"/>
  <c r="S5" i="83" s="1"/>
  <c r="S22" i="83" s="1"/>
  <c r="T22" i="83" s="1"/>
  <c r="Q26" i="3"/>
  <c r="O26" i="3"/>
  <c r="M26" i="3"/>
  <c r="K26" i="3"/>
  <c r="K4" i="84" s="1"/>
  <c r="L4" i="84" s="1"/>
  <c r="I26" i="3"/>
  <c r="G26" i="3"/>
  <c r="E26" i="3"/>
  <c r="AE25" i="3"/>
  <c r="U25" i="3"/>
  <c r="S25" i="3"/>
  <c r="Q25" i="3"/>
  <c r="O25" i="3"/>
  <c r="M25" i="3"/>
  <c r="K25" i="3"/>
  <c r="I25" i="3"/>
  <c r="G25" i="3"/>
  <c r="E25" i="3"/>
  <c r="I21" i="3"/>
  <c r="G21" i="3"/>
  <c r="I20" i="3"/>
  <c r="G20" i="3"/>
  <c r="I19" i="3"/>
  <c r="G19" i="3"/>
  <c r="I18" i="3"/>
  <c r="G18" i="3"/>
  <c r="I17" i="3"/>
  <c r="G17" i="3"/>
  <c r="E17" i="3"/>
  <c r="I16" i="3"/>
  <c r="G16" i="3"/>
  <c r="I15" i="3"/>
  <c r="G15" i="3"/>
  <c r="I14" i="3"/>
  <c r="G14" i="3"/>
  <c r="O13" i="3"/>
  <c r="I13" i="3"/>
  <c r="G13" i="3"/>
  <c r="I12" i="3"/>
  <c r="G12" i="3"/>
  <c r="E12" i="3"/>
  <c r="I11" i="3"/>
  <c r="G11" i="3"/>
  <c r="E11" i="3"/>
  <c r="I10" i="3"/>
  <c r="G10" i="3"/>
  <c r="E10" i="3"/>
  <c r="I9" i="3"/>
  <c r="G9" i="3"/>
  <c r="E9" i="3"/>
  <c r="I8" i="3"/>
  <c r="G8" i="3"/>
  <c r="E8" i="3"/>
  <c r="O7" i="3"/>
  <c r="O12" i="3" s="1"/>
  <c r="I7" i="3"/>
  <c r="G7" i="3"/>
  <c r="E7" i="3"/>
  <c r="I6" i="3"/>
  <c r="G6" i="3"/>
  <c r="E6" i="3"/>
  <c r="I5" i="3"/>
  <c r="G5" i="3"/>
  <c r="E5" i="3"/>
  <c r="I4" i="3"/>
  <c r="G4" i="3"/>
  <c r="E4" i="3"/>
  <c r="AD86" i="28"/>
  <c r="AA86" i="28"/>
  <c r="H83" i="28"/>
  <c r="Z82" i="28"/>
  <c r="G83" i="28"/>
  <c r="AA78" i="28"/>
  <c r="AA74" i="28"/>
  <c r="AA71" i="28"/>
  <c r="Z70" i="28"/>
  <c r="Z69" i="28"/>
  <c r="Z68" i="28"/>
  <c r="AB68" i="28" s="1"/>
  <c r="Z67" i="28"/>
  <c r="AB67" i="28" s="1"/>
  <c r="AA62" i="28"/>
  <c r="AA59" i="28"/>
  <c r="AA58" i="28"/>
  <c r="AA57" i="28"/>
  <c r="Z53" i="28"/>
  <c r="AA53" i="28" s="1"/>
  <c r="Z52" i="28"/>
  <c r="AA52" i="28" s="1"/>
  <c r="Z51" i="28"/>
  <c r="AA51" i="28" s="1"/>
  <c r="AA50" i="28"/>
  <c r="AA46" i="28"/>
  <c r="AA45" i="28"/>
  <c r="AA44" i="28"/>
  <c r="Z43" i="28"/>
  <c r="AA43" i="28" s="1"/>
  <c r="Z42" i="28"/>
  <c r="AA42" i="28" s="1"/>
  <c r="V42" i="28"/>
  <c r="Z41" i="28"/>
  <c r="AA41" i="28" s="1"/>
  <c r="V41" i="28"/>
  <c r="AA40" i="28"/>
  <c r="AA36" i="28"/>
  <c r="AA35" i="28"/>
  <c r="Z32" i="28"/>
  <c r="AA32" i="28" s="1"/>
  <c r="Z31" i="28"/>
  <c r="AA31" i="28" s="1"/>
  <c r="Z30" i="28"/>
  <c r="AA30" i="28" s="1"/>
  <c r="Z25" i="28"/>
  <c r="AA25" i="28" s="1"/>
  <c r="AA26" i="28" s="1"/>
  <c r="V23" i="28"/>
  <c r="U23" i="28"/>
  <c r="AB20" i="28"/>
  <c r="AA20" i="28" s="1"/>
  <c r="T20" i="28"/>
  <c r="T19" i="28"/>
  <c r="AA19" i="28" s="1"/>
  <c r="T18" i="28"/>
  <c r="AA18" i="28" s="1"/>
  <c r="J17" i="28"/>
  <c r="X16" i="28"/>
  <c r="B13" i="28"/>
  <c r="B9" i="28"/>
  <c r="AB86" i="28" s="1"/>
  <c r="N31" i="67"/>
  <c r="L31" i="67"/>
  <c r="J31" i="67"/>
  <c r="H31" i="67"/>
  <c r="F31" i="67"/>
  <c r="D31" i="67"/>
  <c r="N30" i="67"/>
  <c r="L30" i="67"/>
  <c r="J30" i="67"/>
  <c r="H30" i="67"/>
  <c r="F30" i="67"/>
  <c r="D30" i="67"/>
  <c r="N28" i="67"/>
  <c r="L28" i="67"/>
  <c r="J28" i="67"/>
  <c r="H28" i="67"/>
  <c r="F28" i="67"/>
  <c r="D28" i="67"/>
  <c r="N27" i="67"/>
  <c r="L27" i="67"/>
  <c r="J27" i="67"/>
  <c r="H27" i="67"/>
  <c r="F27" i="67"/>
  <c r="D27" i="67"/>
  <c r="N26" i="67"/>
  <c r="L26" i="67"/>
  <c r="J26" i="67"/>
  <c r="H26" i="67"/>
  <c r="F26" i="67"/>
  <c r="D26" i="67"/>
  <c r="N25" i="67"/>
  <c r="L25" i="67"/>
  <c r="J25" i="67"/>
  <c r="H25" i="67"/>
  <c r="F25" i="67"/>
  <c r="D25" i="67"/>
  <c r="N24" i="67"/>
  <c r="L24" i="67"/>
  <c r="J24" i="67"/>
  <c r="H24" i="67"/>
  <c r="F24" i="67"/>
  <c r="D24" i="67"/>
  <c r="N23" i="67"/>
  <c r="L23" i="67"/>
  <c r="J23" i="67"/>
  <c r="H23" i="67"/>
  <c r="F23" i="67"/>
  <c r="D23" i="67"/>
  <c r="N22" i="67"/>
  <c r="L22" i="67"/>
  <c r="J22" i="67"/>
  <c r="H22" i="67"/>
  <c r="F22" i="67"/>
  <c r="D22" i="67"/>
  <c r="N21" i="67"/>
  <c r="L21" i="67"/>
  <c r="J21" i="67"/>
  <c r="H21" i="67"/>
  <c r="F21" i="67"/>
  <c r="D21" i="67"/>
  <c r="N20" i="67"/>
  <c r="L20" i="67"/>
  <c r="J20" i="67"/>
  <c r="H20" i="67"/>
  <c r="F20" i="67"/>
  <c r="D20" i="67"/>
  <c r="N19" i="67"/>
  <c r="L19" i="67"/>
  <c r="J19" i="67"/>
  <c r="H19" i="67"/>
  <c r="F19" i="67"/>
  <c r="D19" i="67"/>
  <c r="N17" i="67"/>
  <c r="L17" i="67"/>
  <c r="J17" i="67"/>
  <c r="H17" i="67"/>
  <c r="F17" i="67"/>
  <c r="D17" i="67"/>
  <c r="B17" i="67"/>
  <c r="N16" i="67"/>
  <c r="L16" i="67"/>
  <c r="J16" i="67"/>
  <c r="H16" i="67"/>
  <c r="F16" i="67"/>
  <c r="D16" i="67"/>
  <c r="B16" i="67"/>
  <c r="N15" i="67"/>
  <c r="L15" i="67"/>
  <c r="J15" i="67"/>
  <c r="H15" i="67"/>
  <c r="F15" i="67"/>
  <c r="D15" i="67"/>
  <c r="N14" i="67"/>
  <c r="L14" i="67"/>
  <c r="J14" i="67"/>
  <c r="H14" i="67"/>
  <c r="F14" i="67"/>
  <c r="D14" i="67"/>
  <c r="N13" i="67"/>
  <c r="L13" i="67"/>
  <c r="J13" i="67"/>
  <c r="H13" i="67"/>
  <c r="F13" i="67"/>
  <c r="D13" i="67"/>
  <c r="N12" i="67"/>
  <c r="L12" i="67"/>
  <c r="J12" i="67"/>
  <c r="H12" i="67"/>
  <c r="F12" i="67"/>
  <c r="D12" i="67"/>
  <c r="N10" i="67"/>
  <c r="L10" i="67"/>
  <c r="J10" i="67"/>
  <c r="H10" i="67"/>
  <c r="F10" i="67"/>
  <c r="D10" i="67"/>
  <c r="N9" i="67"/>
  <c r="L9" i="67"/>
  <c r="J9" i="67"/>
  <c r="H9" i="67"/>
  <c r="F9" i="67"/>
  <c r="D9" i="67"/>
  <c r="N8" i="67"/>
  <c r="L8" i="67"/>
  <c r="J8" i="67"/>
  <c r="H8" i="67"/>
  <c r="F8" i="67"/>
  <c r="D8" i="67"/>
  <c r="N7" i="67"/>
  <c r="L7" i="67"/>
  <c r="J7" i="67"/>
  <c r="H7" i="67"/>
  <c r="F7" i="67"/>
  <c r="D7" i="67"/>
  <c r="N6" i="67"/>
  <c r="L6" i="67"/>
  <c r="J6" i="67"/>
  <c r="H6" i="67"/>
  <c r="F6" i="67"/>
  <c r="D6" i="67"/>
  <c r="N5" i="67"/>
  <c r="L5" i="67"/>
  <c r="J5" i="67"/>
  <c r="H5" i="67"/>
  <c r="F5" i="67"/>
  <c r="D5" i="67"/>
  <c r="N4" i="67"/>
  <c r="L4" i="67"/>
  <c r="J4" i="67"/>
  <c r="H4" i="67"/>
  <c r="F4" i="67"/>
  <c r="D4" i="67"/>
  <c r="L1" i="67"/>
  <c r="U34" i="95"/>
  <c r="U33" i="95"/>
  <c r="U32" i="95"/>
  <c r="U31" i="95"/>
  <c r="U30" i="95"/>
  <c r="U29" i="95"/>
  <c r="T26" i="95"/>
  <c r="R26" i="95"/>
  <c r="P26" i="95"/>
  <c r="N26" i="95"/>
  <c r="L26" i="95"/>
  <c r="J26" i="95"/>
  <c r="H26" i="95"/>
  <c r="F26" i="95"/>
  <c r="D26" i="95"/>
  <c r="T25" i="95"/>
  <c r="R25" i="95"/>
  <c r="P25" i="95"/>
  <c r="N25" i="95"/>
  <c r="L25" i="95"/>
  <c r="J25" i="95"/>
  <c r="H25" i="95"/>
  <c r="F25" i="95"/>
  <c r="D25" i="95"/>
  <c r="F23" i="95"/>
  <c r="D23" i="95"/>
  <c r="T22" i="95"/>
  <c r="R22" i="95"/>
  <c r="P22" i="95"/>
  <c r="N22" i="95"/>
  <c r="L22" i="95"/>
  <c r="J22" i="95"/>
  <c r="H22" i="95"/>
  <c r="F22" i="95"/>
  <c r="D22" i="95"/>
  <c r="T21" i="95"/>
  <c r="R21" i="95"/>
  <c r="P21" i="95"/>
  <c r="N21" i="95"/>
  <c r="L21" i="95"/>
  <c r="J21" i="95"/>
  <c r="H21" i="95"/>
  <c r="F21" i="95"/>
  <c r="D21" i="95"/>
  <c r="R20" i="95"/>
  <c r="P20" i="95"/>
  <c r="N20" i="95"/>
  <c r="J20" i="95"/>
  <c r="F20" i="95"/>
  <c r="D20" i="95"/>
  <c r="F17" i="95"/>
  <c r="D17" i="95"/>
  <c r="F16" i="95"/>
  <c r="D16" i="95"/>
  <c r="T15" i="95"/>
  <c r="R15" i="95"/>
  <c r="P15" i="95"/>
  <c r="N15" i="95"/>
  <c r="L15" i="95"/>
  <c r="J15" i="95"/>
  <c r="H15" i="95"/>
  <c r="F15" i="95"/>
  <c r="D15" i="95"/>
  <c r="T14" i="95"/>
  <c r="R14" i="95"/>
  <c r="P14" i="95"/>
  <c r="N14" i="95"/>
  <c r="L14" i="95"/>
  <c r="J14" i="95"/>
  <c r="H14" i="95"/>
  <c r="F14" i="95"/>
  <c r="D14" i="95"/>
  <c r="F12" i="95"/>
  <c r="D12" i="95"/>
  <c r="T11" i="95"/>
  <c r="R11" i="95"/>
  <c r="P11" i="95"/>
  <c r="N11" i="95"/>
  <c r="L11" i="95"/>
  <c r="J11" i="95"/>
  <c r="H11" i="95"/>
  <c r="F11" i="95"/>
  <c r="D11" i="95"/>
  <c r="T10" i="95"/>
  <c r="R10" i="95"/>
  <c r="P10" i="95"/>
  <c r="N10" i="95"/>
  <c r="L10" i="95"/>
  <c r="J10" i="95"/>
  <c r="H10" i="95"/>
  <c r="F10" i="95"/>
  <c r="D10" i="95"/>
  <c r="T9" i="95"/>
  <c r="R9" i="95"/>
  <c r="P9" i="95"/>
  <c r="N9" i="95"/>
  <c r="L9" i="95"/>
  <c r="J9" i="95"/>
  <c r="H9" i="95"/>
  <c r="F9" i="95"/>
  <c r="D9" i="95"/>
  <c r="T8" i="95"/>
  <c r="R8" i="95"/>
  <c r="P8" i="95"/>
  <c r="N8" i="95"/>
  <c r="L8" i="95"/>
  <c r="J8" i="95"/>
  <c r="H8" i="95"/>
  <c r="F8" i="95"/>
  <c r="D8" i="95"/>
  <c r="T7" i="95"/>
  <c r="R7" i="95"/>
  <c r="P7" i="95"/>
  <c r="N7" i="95"/>
  <c r="J7" i="95"/>
  <c r="H7" i="95"/>
  <c r="F7" i="95"/>
  <c r="D7" i="95"/>
  <c r="T6" i="95"/>
  <c r="R6" i="95"/>
  <c r="P6" i="95"/>
  <c r="N6" i="95"/>
  <c r="L6" i="95"/>
  <c r="J6" i="95"/>
  <c r="H6" i="95"/>
  <c r="F6" i="95"/>
  <c r="D6" i="95"/>
  <c r="T5" i="95"/>
  <c r="R5" i="95"/>
  <c r="P5" i="95"/>
  <c r="N5" i="95"/>
  <c r="L5" i="95"/>
  <c r="J5" i="95"/>
  <c r="H5" i="95"/>
  <c r="F5" i="95"/>
  <c r="D5" i="95"/>
  <c r="T4" i="95"/>
  <c r="R4" i="95"/>
  <c r="P4" i="95"/>
  <c r="N4" i="95"/>
  <c r="L4" i="95"/>
  <c r="J4" i="95"/>
  <c r="H4" i="95"/>
  <c r="F4" i="95"/>
  <c r="D4" i="95"/>
  <c r="AL29" i="78"/>
  <c r="AJ29" i="78"/>
  <c r="AH29" i="78"/>
  <c r="AF29" i="78"/>
  <c r="AD29" i="78"/>
  <c r="AB29" i="78"/>
  <c r="Z29" i="78"/>
  <c r="X29" i="78"/>
  <c r="V29" i="78"/>
  <c r="T29" i="78"/>
  <c r="R29" i="78"/>
  <c r="P29" i="78"/>
  <c r="N29" i="78"/>
  <c r="L29" i="78"/>
  <c r="J29" i="78"/>
  <c r="H29" i="78"/>
  <c r="F29" i="78"/>
  <c r="D29" i="78"/>
  <c r="F28" i="78"/>
  <c r="D28" i="78"/>
  <c r="F27" i="78"/>
  <c r="D27" i="78"/>
  <c r="AL26" i="78"/>
  <c r="AJ26" i="78"/>
  <c r="AH26" i="78"/>
  <c r="AF26" i="78"/>
  <c r="AD26" i="78"/>
  <c r="AB26" i="78"/>
  <c r="Z26" i="78"/>
  <c r="X26" i="78"/>
  <c r="V26" i="78"/>
  <c r="T26" i="78"/>
  <c r="R26" i="78"/>
  <c r="P26" i="78"/>
  <c r="N26" i="78"/>
  <c r="L26" i="78"/>
  <c r="J26" i="78"/>
  <c r="H26" i="78"/>
  <c r="F26" i="78"/>
  <c r="D26" i="78"/>
  <c r="AL24" i="78"/>
  <c r="AJ24" i="78"/>
  <c r="AH24" i="78"/>
  <c r="AF24" i="78"/>
  <c r="AD24" i="78"/>
  <c r="AB24" i="78"/>
  <c r="Z24" i="78"/>
  <c r="X24" i="78"/>
  <c r="V24" i="78"/>
  <c r="T24" i="78"/>
  <c r="R24" i="78"/>
  <c r="P24" i="78"/>
  <c r="N24" i="78"/>
  <c r="L24" i="78"/>
  <c r="J24" i="78"/>
  <c r="H24" i="78"/>
  <c r="F24" i="78"/>
  <c r="D24" i="78"/>
  <c r="AL23" i="78"/>
  <c r="AJ23" i="78"/>
  <c r="AH23" i="78"/>
  <c r="AF23" i="78"/>
  <c r="AD23" i="78"/>
  <c r="AB23" i="78"/>
  <c r="Z23" i="78"/>
  <c r="X23" i="78"/>
  <c r="V23" i="78"/>
  <c r="T23" i="78"/>
  <c r="R23" i="78"/>
  <c r="P23" i="78"/>
  <c r="N23" i="78"/>
  <c r="L23" i="78"/>
  <c r="J23" i="78"/>
  <c r="H23" i="78"/>
  <c r="F23" i="78"/>
  <c r="D23" i="78"/>
  <c r="D22" i="78"/>
  <c r="AL20" i="78"/>
  <c r="AJ20" i="78"/>
  <c r="AH20" i="78"/>
  <c r="AF20" i="78"/>
  <c r="AD20" i="78"/>
  <c r="AB20" i="78"/>
  <c r="Z20" i="78"/>
  <c r="X20" i="78"/>
  <c r="V20" i="78"/>
  <c r="T20" i="78"/>
  <c r="R20" i="78"/>
  <c r="P20" i="78"/>
  <c r="N20" i="78"/>
  <c r="L20" i="78"/>
  <c r="J20" i="78"/>
  <c r="H20" i="78"/>
  <c r="F20" i="78"/>
  <c r="D20" i="78"/>
  <c r="B20" i="78"/>
  <c r="AL17" i="78"/>
  <c r="AJ17" i="78"/>
  <c r="AH17" i="78"/>
  <c r="AF17" i="78"/>
  <c r="AD17" i="78"/>
  <c r="AB17" i="78"/>
  <c r="Z17" i="78"/>
  <c r="X17" i="78"/>
  <c r="V17" i="78"/>
  <c r="T17" i="78"/>
  <c r="R17" i="78"/>
  <c r="P17" i="78"/>
  <c r="N17" i="78"/>
  <c r="L17" i="78"/>
  <c r="J17" i="78"/>
  <c r="H17" i="78"/>
  <c r="F17" i="78"/>
  <c r="D17" i="78"/>
  <c r="AL16" i="78"/>
  <c r="AJ16" i="78"/>
  <c r="AH16" i="78"/>
  <c r="AF16" i="78"/>
  <c r="AD16" i="78"/>
  <c r="AB16" i="78"/>
  <c r="Z16" i="78"/>
  <c r="X16" i="78"/>
  <c r="V16" i="78"/>
  <c r="T16" i="78"/>
  <c r="R16" i="78"/>
  <c r="P16" i="78"/>
  <c r="N16" i="78"/>
  <c r="L16" i="78"/>
  <c r="J16" i="78"/>
  <c r="H16" i="78"/>
  <c r="F16" i="78"/>
  <c r="D16" i="78"/>
  <c r="AL15" i="78"/>
  <c r="AJ15" i="78"/>
  <c r="AH15" i="78"/>
  <c r="AF15" i="78"/>
  <c r="AD15" i="78"/>
  <c r="AB15" i="78"/>
  <c r="Z15" i="78"/>
  <c r="X15" i="78"/>
  <c r="V15" i="78"/>
  <c r="T15" i="78"/>
  <c r="R15" i="78"/>
  <c r="P15" i="78"/>
  <c r="N15" i="78"/>
  <c r="L15" i="78"/>
  <c r="J15" i="78"/>
  <c r="H15" i="78"/>
  <c r="F15" i="78"/>
  <c r="D15" i="78"/>
  <c r="AL14" i="78"/>
  <c r="AJ14" i="78"/>
  <c r="AH14" i="78"/>
  <c r="AF14" i="78"/>
  <c r="AD14" i="78"/>
  <c r="AB14" i="78"/>
  <c r="Z14" i="78"/>
  <c r="X14" i="78"/>
  <c r="V14" i="78"/>
  <c r="T14" i="78"/>
  <c r="R14" i="78"/>
  <c r="P14" i="78"/>
  <c r="N14" i="78"/>
  <c r="L14" i="78"/>
  <c r="J14" i="78"/>
  <c r="H14" i="78"/>
  <c r="F14" i="78"/>
  <c r="D14" i="78"/>
  <c r="AL13" i="78"/>
  <c r="AJ13" i="78"/>
  <c r="AH13" i="78"/>
  <c r="AF13" i="78"/>
  <c r="AD13" i="78"/>
  <c r="AB13" i="78"/>
  <c r="Z13" i="78"/>
  <c r="X13" i="78"/>
  <c r="V13" i="78"/>
  <c r="T13" i="78"/>
  <c r="R13" i="78"/>
  <c r="P13" i="78"/>
  <c r="N13" i="78"/>
  <c r="L13" i="78"/>
  <c r="J13" i="78"/>
  <c r="H13" i="78"/>
  <c r="F13" i="78"/>
  <c r="D13" i="78"/>
  <c r="D11" i="78"/>
  <c r="J10" i="78"/>
  <c r="D10" i="78"/>
  <c r="AM9" i="78"/>
  <c r="AK9" i="78"/>
  <c r="AL9" i="78" s="1"/>
  <c r="AI9" i="78"/>
  <c r="AJ9" i="78" s="1"/>
  <c r="AG9" i="78"/>
  <c r="AH9" i="78" s="1"/>
  <c r="AE9" i="78"/>
  <c r="AF9" i="78" s="1"/>
  <c r="AC9" i="78"/>
  <c r="AD9" i="78" s="1"/>
  <c r="AA9" i="78"/>
  <c r="AB9" i="78" s="1"/>
  <c r="Y9" i="78"/>
  <c r="Z9" i="78" s="1"/>
  <c r="W9" i="78"/>
  <c r="X9" i="78" s="1"/>
  <c r="U9" i="78"/>
  <c r="V9" i="78" s="1"/>
  <c r="S9" i="78"/>
  <c r="T9" i="78" s="1"/>
  <c r="Q9" i="78"/>
  <c r="R9" i="78" s="1"/>
  <c r="O9" i="78"/>
  <c r="P9" i="78" s="1"/>
  <c r="M9" i="78"/>
  <c r="N9" i="78" s="1"/>
  <c r="K9" i="78"/>
  <c r="L9" i="78" s="1"/>
  <c r="I9" i="78"/>
  <c r="J9" i="78" s="1"/>
  <c r="G9" i="78"/>
  <c r="H9" i="78" s="1"/>
  <c r="E9" i="78"/>
  <c r="F9" i="78" s="1"/>
  <c r="D9" i="78"/>
  <c r="AM8" i="78"/>
  <c r="AK8" i="78"/>
  <c r="AL8" i="78" s="1"/>
  <c r="AI8" i="78"/>
  <c r="AJ8" i="78" s="1"/>
  <c r="AG8" i="78"/>
  <c r="AH8" i="78" s="1"/>
  <c r="Y8" i="78"/>
  <c r="Z8" i="78" s="1"/>
  <c r="Q8" i="78"/>
  <c r="R8" i="78" s="1"/>
  <c r="O8" i="78"/>
  <c r="P8" i="78" s="1"/>
  <c r="I8" i="78"/>
  <c r="J8" i="78" s="1"/>
  <c r="D8" i="78"/>
  <c r="F7" i="78"/>
  <c r="D7" i="78"/>
  <c r="AL6" i="78"/>
  <c r="AJ6" i="78"/>
  <c r="AH6" i="78"/>
  <c r="AF6" i="78"/>
  <c r="AD6" i="78"/>
  <c r="AB6" i="78"/>
  <c r="Z6" i="78"/>
  <c r="X6" i="78"/>
  <c r="V6" i="78"/>
  <c r="T6" i="78"/>
  <c r="R6" i="78"/>
  <c r="P6" i="78"/>
  <c r="N6" i="78"/>
  <c r="L6" i="78"/>
  <c r="J6" i="78"/>
  <c r="H6" i="78"/>
  <c r="F6" i="78"/>
  <c r="D6" i="78"/>
  <c r="AM5" i="78"/>
  <c r="AK5" i="78"/>
  <c r="AL5" i="78" s="1"/>
  <c r="AI5" i="78"/>
  <c r="AJ5" i="78" s="1"/>
  <c r="AG5" i="78"/>
  <c r="AH5" i="78" s="1"/>
  <c r="AE5" i="78"/>
  <c r="AF5" i="78" s="1"/>
  <c r="AC5" i="78"/>
  <c r="AD5" i="78" s="1"/>
  <c r="AA5" i="78"/>
  <c r="AB5" i="78" s="1"/>
  <c r="Y5" i="78"/>
  <c r="Z5" i="78" s="1"/>
  <c r="W5" i="78"/>
  <c r="X5" i="78" s="1"/>
  <c r="U5" i="78"/>
  <c r="V5" i="78" s="1"/>
  <c r="S5" i="78"/>
  <c r="T5" i="78" s="1"/>
  <c r="Q5" i="78"/>
  <c r="R5" i="78" s="1"/>
  <c r="O5" i="78"/>
  <c r="P5" i="78" s="1"/>
  <c r="M5" i="78"/>
  <c r="N5" i="78" s="1"/>
  <c r="K5" i="78"/>
  <c r="L5" i="78" s="1"/>
  <c r="I5" i="78"/>
  <c r="J5" i="78" s="1"/>
  <c r="G5" i="78"/>
  <c r="H5" i="78" s="1"/>
  <c r="E5" i="78"/>
  <c r="F5" i="78" s="1"/>
  <c r="D5" i="78"/>
  <c r="AM4" i="78"/>
  <c r="AM22" i="78" s="1"/>
  <c r="AK4" i="78"/>
  <c r="AK22" i="78" s="1"/>
  <c r="AL22" i="78" s="1"/>
  <c r="AI4" i="78"/>
  <c r="AI22" i="78" s="1"/>
  <c r="AJ22" i="78" s="1"/>
  <c r="AG4" i="78"/>
  <c r="AG22" i="78" s="1"/>
  <c r="AH22" i="78" s="1"/>
  <c r="AE4" i="78"/>
  <c r="AE22" i="78" s="1"/>
  <c r="AF22" i="78" s="1"/>
  <c r="AC4" i="78"/>
  <c r="AC22" i="78" s="1"/>
  <c r="AD22" i="78" s="1"/>
  <c r="AA4" i="78"/>
  <c r="AB4" i="78" s="1"/>
  <c r="Y4" i="78"/>
  <c r="Y22" i="78" s="1"/>
  <c r="Z22" i="78" s="1"/>
  <c r="W4" i="78"/>
  <c r="W22" i="78" s="1"/>
  <c r="X22" i="78" s="1"/>
  <c r="U4" i="78"/>
  <c r="U22" i="78" s="1"/>
  <c r="V22" i="78" s="1"/>
  <c r="S4" i="78"/>
  <c r="S22" i="78" s="1"/>
  <c r="T22" i="78" s="1"/>
  <c r="Q4" i="78"/>
  <c r="Q22" i="78" s="1"/>
  <c r="R22" i="78" s="1"/>
  <c r="O4" i="78"/>
  <c r="O22" i="78" s="1"/>
  <c r="P22" i="78" s="1"/>
  <c r="M4" i="78"/>
  <c r="M22" i="78" s="1"/>
  <c r="N22" i="78" s="1"/>
  <c r="K4" i="78"/>
  <c r="L4" i="78" s="1"/>
  <c r="I4" i="78"/>
  <c r="I22" i="78" s="1"/>
  <c r="J22" i="78" s="1"/>
  <c r="G4" i="78"/>
  <c r="G22" i="78" s="1"/>
  <c r="H22" i="78" s="1"/>
  <c r="E4" i="78"/>
  <c r="E22" i="78" s="1"/>
  <c r="F22" i="78" s="1"/>
  <c r="D4" i="78"/>
  <c r="T1" i="78"/>
  <c r="L1" i="78"/>
  <c r="T27" i="68"/>
  <c r="R27" i="68"/>
  <c r="P27" i="68"/>
  <c r="N27" i="68"/>
  <c r="L27" i="68"/>
  <c r="J27" i="68"/>
  <c r="H27" i="68"/>
  <c r="F27" i="68"/>
  <c r="D27" i="68"/>
  <c r="F26" i="68"/>
  <c r="D26" i="68"/>
  <c r="T24" i="68"/>
  <c r="R24" i="68"/>
  <c r="P24" i="68"/>
  <c r="N24" i="68"/>
  <c r="L24" i="68"/>
  <c r="J24" i="68"/>
  <c r="H24" i="68"/>
  <c r="F24" i="68"/>
  <c r="D24" i="68"/>
  <c r="T23" i="68"/>
  <c r="R23" i="68"/>
  <c r="P23" i="68"/>
  <c r="N23" i="68"/>
  <c r="L23" i="68"/>
  <c r="J23" i="68"/>
  <c r="H23" i="68"/>
  <c r="F23" i="68"/>
  <c r="D23" i="68"/>
  <c r="F22" i="68"/>
  <c r="D22" i="68"/>
  <c r="F21" i="68"/>
  <c r="D21" i="68"/>
  <c r="F20" i="68"/>
  <c r="D20" i="68"/>
  <c r="D14" i="68"/>
  <c r="T12" i="68"/>
  <c r="R12" i="68"/>
  <c r="P12" i="68"/>
  <c r="N12" i="68"/>
  <c r="L12" i="68"/>
  <c r="J12" i="68"/>
  <c r="H12" i="68"/>
  <c r="F12" i="68"/>
  <c r="D12" i="68"/>
  <c r="D11" i="68"/>
  <c r="D9" i="68"/>
  <c r="D8" i="68"/>
  <c r="F7" i="68"/>
  <c r="D7" i="68"/>
  <c r="F6" i="68"/>
  <c r="D6" i="68"/>
  <c r="F5" i="68"/>
  <c r="D5" i="68"/>
  <c r="F4" i="68"/>
  <c r="D4" i="68"/>
  <c r="J25" i="79"/>
  <c r="H25" i="79"/>
  <c r="D25" i="79"/>
  <c r="H24" i="79"/>
  <c r="D24" i="79"/>
  <c r="J22" i="79"/>
  <c r="H22" i="79"/>
  <c r="D22" i="79"/>
  <c r="J21" i="79"/>
  <c r="H21" i="79"/>
  <c r="D21" i="79"/>
  <c r="J20" i="79"/>
  <c r="D20" i="79"/>
  <c r="J18" i="79"/>
  <c r="H18" i="79"/>
  <c r="D18" i="79"/>
  <c r="B18" i="79"/>
  <c r="H15" i="79"/>
  <c r="D15" i="79"/>
  <c r="D14" i="79"/>
  <c r="H13" i="79"/>
  <c r="D13" i="79"/>
  <c r="D11" i="79"/>
  <c r="D10" i="79"/>
  <c r="D9" i="79"/>
  <c r="H8" i="79"/>
  <c r="D8" i="79"/>
  <c r="H6" i="79"/>
  <c r="D6" i="79"/>
  <c r="D5" i="79"/>
  <c r="J4" i="79"/>
  <c r="H4" i="79"/>
  <c r="D4" i="79"/>
  <c r="AK27" i="80"/>
  <c r="X27" i="80"/>
  <c r="W27" i="80" s="1"/>
  <c r="V27" i="80"/>
  <c r="U27" i="80" s="1"/>
  <c r="N27" i="80"/>
  <c r="M27" i="80" s="1"/>
  <c r="M34" i="80" s="1"/>
  <c r="L27" i="80"/>
  <c r="K27" i="80" s="1"/>
  <c r="H27" i="80"/>
  <c r="G27" i="80" s="1"/>
  <c r="X24" i="80"/>
  <c r="V24" i="80"/>
  <c r="N24" i="80"/>
  <c r="L24" i="80"/>
  <c r="H24" i="80"/>
  <c r="D24" i="80"/>
  <c r="X23" i="80"/>
  <c r="V23" i="80"/>
  <c r="N23" i="80"/>
  <c r="L23" i="80"/>
  <c r="H23" i="80"/>
  <c r="D23" i="80"/>
  <c r="X22" i="80"/>
  <c r="V22" i="80"/>
  <c r="N22" i="80"/>
  <c r="L22" i="80"/>
  <c r="H22" i="80"/>
  <c r="D22" i="80"/>
  <c r="X20" i="80"/>
  <c r="V20" i="80"/>
  <c r="N20" i="80"/>
  <c r="L20" i="80"/>
  <c r="H20" i="80"/>
  <c r="D20" i="80"/>
  <c r="D19" i="80"/>
  <c r="X16" i="80"/>
  <c r="V16" i="80"/>
  <c r="N16" i="80"/>
  <c r="L16" i="80"/>
  <c r="H16" i="80"/>
  <c r="D16" i="80"/>
  <c r="D15" i="80"/>
  <c r="AK14" i="80"/>
  <c r="AL14" i="80" s="1"/>
  <c r="AL18" i="80" s="1"/>
  <c r="AK18" i="80" s="1"/>
  <c r="AK32" i="80" s="1"/>
  <c r="W14" i="80"/>
  <c r="X14" i="80" s="1"/>
  <c r="U14" i="80"/>
  <c r="V14" i="80" s="1"/>
  <c r="M14" i="80"/>
  <c r="N14" i="80" s="1"/>
  <c r="K14" i="80"/>
  <c r="L14" i="80" s="1"/>
  <c r="D14" i="80"/>
  <c r="X13" i="80"/>
  <c r="V13" i="80"/>
  <c r="N13" i="80"/>
  <c r="L13" i="80"/>
  <c r="H13" i="80"/>
  <c r="D13" i="80"/>
  <c r="D11" i="80"/>
  <c r="D10" i="80"/>
  <c r="D9" i="80"/>
  <c r="AK7" i="80"/>
  <c r="AL7" i="80" s="1"/>
  <c r="W7" i="80"/>
  <c r="X7" i="80" s="1"/>
  <c r="U7" i="80"/>
  <c r="V7" i="80" s="1"/>
  <c r="M7" i="80"/>
  <c r="N7" i="80" s="1"/>
  <c r="K7" i="80"/>
  <c r="L7" i="80" s="1"/>
  <c r="G7" i="80"/>
  <c r="D7" i="80"/>
  <c r="AK6" i="80"/>
  <c r="AL6" i="80" s="1"/>
  <c r="W6" i="80"/>
  <c r="X6" i="80" s="1"/>
  <c r="U6" i="80"/>
  <c r="V6" i="80" s="1"/>
  <c r="M6" i="80"/>
  <c r="N6" i="80" s="1"/>
  <c r="K6" i="80"/>
  <c r="L6" i="80" s="1"/>
  <c r="G6" i="80"/>
  <c r="H6" i="80" s="1"/>
  <c r="D6" i="80"/>
  <c r="X5" i="80"/>
  <c r="V5" i="80"/>
  <c r="N5" i="80"/>
  <c r="L5" i="80"/>
  <c r="H5" i="80"/>
  <c r="D5" i="80"/>
  <c r="AK4" i="80"/>
  <c r="AL4" i="80" s="1"/>
  <c r="W4" i="80"/>
  <c r="X4" i="80" s="1"/>
  <c r="U4" i="80"/>
  <c r="V4" i="80" s="1"/>
  <c r="M4" i="80"/>
  <c r="N4" i="80" s="1"/>
  <c r="K4" i="80"/>
  <c r="L4" i="80" s="1"/>
  <c r="G4" i="80"/>
  <c r="H4" i="80" s="1"/>
  <c r="D4" i="80"/>
  <c r="U47" i="66"/>
  <c r="U54" i="66" s="1"/>
  <c r="T46" i="66"/>
  <c r="T47" i="66" s="1"/>
  <c r="S47" i="66" s="1"/>
  <c r="R46" i="66"/>
  <c r="R47" i="66" s="1"/>
  <c r="Q47" i="66" s="1"/>
  <c r="P46" i="66"/>
  <c r="P47" i="66" s="1"/>
  <c r="O47" i="66" s="1"/>
  <c r="N46" i="66"/>
  <c r="N47" i="66" s="1"/>
  <c r="M47" i="66" s="1"/>
  <c r="M54" i="66" s="1"/>
  <c r="L46" i="66"/>
  <c r="L47" i="66" s="1"/>
  <c r="K47" i="66" s="1"/>
  <c r="J46" i="66"/>
  <c r="J47" i="66" s="1"/>
  <c r="I47" i="66" s="1"/>
  <c r="H46" i="66"/>
  <c r="H47" i="66" s="1"/>
  <c r="G47" i="66" s="1"/>
  <c r="F46" i="66"/>
  <c r="F47" i="66" s="1"/>
  <c r="E47" i="66" s="1"/>
  <c r="E54" i="66" s="1"/>
  <c r="D46" i="66"/>
  <c r="T44" i="66"/>
  <c r="R44" i="66"/>
  <c r="P44" i="66"/>
  <c r="L44" i="66"/>
  <c r="J44" i="66"/>
  <c r="H44" i="66"/>
  <c r="F44" i="66"/>
  <c r="D44" i="66"/>
  <c r="T43" i="66"/>
  <c r="R43" i="66"/>
  <c r="P43" i="66"/>
  <c r="L43" i="66"/>
  <c r="J43" i="66"/>
  <c r="H43" i="66"/>
  <c r="F43" i="66"/>
  <c r="D43" i="66"/>
  <c r="T42" i="66"/>
  <c r="R42" i="66"/>
  <c r="P42" i="66"/>
  <c r="L42" i="66"/>
  <c r="J42" i="66"/>
  <c r="H42" i="66"/>
  <c r="F42" i="66"/>
  <c r="D42" i="66"/>
  <c r="R41" i="66"/>
  <c r="P41" i="66"/>
  <c r="J41" i="66"/>
  <c r="G41" i="66"/>
  <c r="H41" i="66" s="1"/>
  <c r="F41" i="66"/>
  <c r="D41" i="66"/>
  <c r="T40" i="66"/>
  <c r="N40" i="66"/>
  <c r="L40" i="66"/>
  <c r="J40" i="66"/>
  <c r="H40" i="66"/>
  <c r="F40" i="66"/>
  <c r="D40" i="66"/>
  <c r="T39" i="66"/>
  <c r="R39" i="66"/>
  <c r="P39" i="66"/>
  <c r="N39" i="66"/>
  <c r="L39" i="66"/>
  <c r="H39" i="66"/>
  <c r="D39" i="66"/>
  <c r="T37" i="66"/>
  <c r="R37" i="66"/>
  <c r="P37" i="66"/>
  <c r="N37" i="66"/>
  <c r="L37" i="66"/>
  <c r="J37" i="66"/>
  <c r="H37" i="66"/>
  <c r="F37" i="66"/>
  <c r="D37" i="66"/>
  <c r="B37" i="66"/>
  <c r="T36" i="66"/>
  <c r="R36" i="66"/>
  <c r="P36" i="66"/>
  <c r="N36" i="66"/>
  <c r="L36" i="66"/>
  <c r="J36" i="66"/>
  <c r="H36" i="66"/>
  <c r="F36" i="66"/>
  <c r="D36" i="66"/>
  <c r="B36" i="66"/>
  <c r="T35" i="66"/>
  <c r="R35" i="66"/>
  <c r="P35" i="66"/>
  <c r="N35" i="66"/>
  <c r="L35" i="66"/>
  <c r="J35" i="66"/>
  <c r="H35" i="66"/>
  <c r="F35" i="66"/>
  <c r="D35" i="66"/>
  <c r="B35" i="66"/>
  <c r="T34" i="66"/>
  <c r="R34" i="66"/>
  <c r="P34" i="66"/>
  <c r="N34" i="66"/>
  <c r="L34" i="66"/>
  <c r="J34" i="66"/>
  <c r="H34" i="66"/>
  <c r="F34" i="66"/>
  <c r="D34" i="66"/>
  <c r="B34" i="66"/>
  <c r="T33" i="66"/>
  <c r="R33" i="66"/>
  <c r="P33" i="66"/>
  <c r="N33" i="66"/>
  <c r="L33" i="66"/>
  <c r="J33" i="66"/>
  <c r="H33" i="66"/>
  <c r="F33" i="66"/>
  <c r="D33" i="66"/>
  <c r="T32" i="66"/>
  <c r="R32" i="66"/>
  <c r="P32" i="66"/>
  <c r="N32" i="66"/>
  <c r="L32" i="66"/>
  <c r="J32" i="66"/>
  <c r="H32" i="66"/>
  <c r="F32" i="66"/>
  <c r="D32" i="66"/>
  <c r="T31" i="66"/>
  <c r="R31" i="66"/>
  <c r="P31" i="66"/>
  <c r="N31" i="66"/>
  <c r="L31" i="66"/>
  <c r="J31" i="66"/>
  <c r="H31" i="66"/>
  <c r="F31" i="66"/>
  <c r="D31" i="66"/>
  <c r="R30" i="66"/>
  <c r="P30" i="66"/>
  <c r="N30" i="66"/>
  <c r="L30" i="66"/>
  <c r="J30" i="66"/>
  <c r="D30" i="66"/>
  <c r="R29" i="66"/>
  <c r="P29" i="66"/>
  <c r="N29" i="66"/>
  <c r="L29" i="66"/>
  <c r="J29" i="66"/>
  <c r="D29" i="66"/>
  <c r="T28" i="66"/>
  <c r="R28" i="66"/>
  <c r="P28" i="66"/>
  <c r="N28" i="66"/>
  <c r="L28" i="66"/>
  <c r="J28" i="66"/>
  <c r="H28" i="66"/>
  <c r="E28" i="66"/>
  <c r="F28" i="66" s="1"/>
  <c r="D28" i="66"/>
  <c r="T27" i="66"/>
  <c r="R27" i="66"/>
  <c r="P27" i="66"/>
  <c r="N27" i="66"/>
  <c r="L27" i="66"/>
  <c r="I27" i="66"/>
  <c r="J27" i="66" s="1"/>
  <c r="H27" i="66"/>
  <c r="E27" i="66"/>
  <c r="F27" i="66" s="1"/>
  <c r="D27" i="66"/>
  <c r="T25" i="66"/>
  <c r="R25" i="66"/>
  <c r="P25" i="66"/>
  <c r="N25" i="66"/>
  <c r="L25" i="66"/>
  <c r="J25" i="66"/>
  <c r="H25" i="66"/>
  <c r="F25" i="66"/>
  <c r="D25" i="66"/>
  <c r="T24" i="66"/>
  <c r="R24" i="66"/>
  <c r="P24" i="66"/>
  <c r="N24" i="66"/>
  <c r="L24" i="66"/>
  <c r="J24" i="66"/>
  <c r="H24" i="66"/>
  <c r="F24" i="66"/>
  <c r="D24" i="66"/>
  <c r="T23" i="66"/>
  <c r="R23" i="66"/>
  <c r="P23" i="66"/>
  <c r="N23" i="66"/>
  <c r="L23" i="66"/>
  <c r="J23" i="66"/>
  <c r="H23" i="66"/>
  <c r="F23" i="66"/>
  <c r="D23" i="66"/>
  <c r="T22" i="66"/>
  <c r="R22" i="66"/>
  <c r="P22" i="66"/>
  <c r="N22" i="66"/>
  <c r="L22" i="66"/>
  <c r="J22" i="66"/>
  <c r="H22" i="66"/>
  <c r="F22" i="66"/>
  <c r="D22" i="66"/>
  <c r="T21" i="66"/>
  <c r="R21" i="66"/>
  <c r="P21" i="66"/>
  <c r="N21" i="66"/>
  <c r="L21" i="66"/>
  <c r="J21" i="66"/>
  <c r="H21" i="66"/>
  <c r="F21" i="66"/>
  <c r="D21" i="66"/>
  <c r="T20" i="66"/>
  <c r="R20" i="66"/>
  <c r="P20" i="66"/>
  <c r="N20" i="66"/>
  <c r="L20" i="66"/>
  <c r="J20" i="66"/>
  <c r="H20" i="66"/>
  <c r="F20" i="66"/>
  <c r="D20" i="66"/>
  <c r="T19" i="66"/>
  <c r="R19" i="66"/>
  <c r="P19" i="66"/>
  <c r="N19" i="66"/>
  <c r="L19" i="66"/>
  <c r="J19" i="66"/>
  <c r="H19" i="66"/>
  <c r="F19" i="66"/>
  <c r="D19" i="66"/>
  <c r="T18" i="66"/>
  <c r="R18" i="66"/>
  <c r="P18" i="66"/>
  <c r="N18" i="66"/>
  <c r="L18" i="66"/>
  <c r="J18" i="66"/>
  <c r="H18" i="66"/>
  <c r="F18" i="66"/>
  <c r="D18" i="66"/>
  <c r="T17" i="66"/>
  <c r="R17" i="66"/>
  <c r="P17" i="66"/>
  <c r="N17" i="66"/>
  <c r="L17" i="66"/>
  <c r="J17" i="66"/>
  <c r="H17" i="66"/>
  <c r="F17" i="66"/>
  <c r="D17" i="66"/>
  <c r="T16" i="66"/>
  <c r="R16" i="66"/>
  <c r="P16" i="66"/>
  <c r="N16" i="66"/>
  <c r="L16" i="66"/>
  <c r="J16" i="66"/>
  <c r="H16" i="66"/>
  <c r="F16" i="66"/>
  <c r="D16" i="66"/>
  <c r="T15" i="66"/>
  <c r="R15" i="66"/>
  <c r="P15" i="66"/>
  <c r="N15" i="66"/>
  <c r="L15" i="66"/>
  <c r="J15" i="66"/>
  <c r="H15" i="66"/>
  <c r="F15" i="66"/>
  <c r="D15" i="66"/>
  <c r="T14" i="66"/>
  <c r="R14" i="66"/>
  <c r="P14" i="66"/>
  <c r="N14" i="66"/>
  <c r="L14" i="66"/>
  <c r="J14" i="66"/>
  <c r="H14" i="66"/>
  <c r="F14" i="66"/>
  <c r="D14" i="66"/>
  <c r="T13" i="66"/>
  <c r="R13" i="66"/>
  <c r="P13" i="66"/>
  <c r="N13" i="66"/>
  <c r="L13" i="66"/>
  <c r="J13" i="66"/>
  <c r="H13" i="66"/>
  <c r="F13" i="66"/>
  <c r="D13" i="66"/>
  <c r="T12" i="66"/>
  <c r="R12" i="66"/>
  <c r="P12" i="66"/>
  <c r="N12" i="66"/>
  <c r="L12" i="66"/>
  <c r="J12" i="66"/>
  <c r="H12" i="66"/>
  <c r="F12" i="66"/>
  <c r="D12" i="66"/>
  <c r="T11" i="66"/>
  <c r="R11" i="66"/>
  <c r="P11" i="66"/>
  <c r="N11" i="66"/>
  <c r="L11" i="66"/>
  <c r="J11" i="66"/>
  <c r="H11" i="66"/>
  <c r="F11" i="66"/>
  <c r="D11" i="66"/>
  <c r="T10" i="66"/>
  <c r="R10" i="66"/>
  <c r="P10" i="66"/>
  <c r="N10" i="66"/>
  <c r="L10" i="66"/>
  <c r="J10" i="66"/>
  <c r="H10" i="66"/>
  <c r="F10" i="66"/>
  <c r="D10" i="66"/>
  <c r="T9" i="66"/>
  <c r="R9" i="66"/>
  <c r="P9" i="66"/>
  <c r="N9" i="66"/>
  <c r="L9" i="66"/>
  <c r="J9" i="66"/>
  <c r="H9" i="66"/>
  <c r="F9" i="66"/>
  <c r="D9" i="66"/>
  <c r="R8" i="66"/>
  <c r="P8" i="66"/>
  <c r="J8" i="66"/>
  <c r="H8" i="66"/>
  <c r="F8" i="66"/>
  <c r="D8" i="66"/>
  <c r="Q7" i="66"/>
  <c r="D7" i="66"/>
  <c r="Q6" i="66"/>
  <c r="R6" i="66" s="1"/>
  <c r="M6" i="66"/>
  <c r="N6" i="66" s="1"/>
  <c r="L6" i="66"/>
  <c r="J6" i="66"/>
  <c r="G6" i="66"/>
  <c r="H6" i="66" s="1"/>
  <c r="F6" i="66"/>
  <c r="D6" i="66"/>
  <c r="T5" i="66"/>
  <c r="R5" i="66"/>
  <c r="P5" i="66"/>
  <c r="N5" i="66"/>
  <c r="L5" i="66"/>
  <c r="J5" i="66"/>
  <c r="H5" i="66"/>
  <c r="F5" i="66"/>
  <c r="D5" i="66"/>
  <c r="S4" i="66"/>
  <c r="T4" i="66" s="1"/>
  <c r="R4" i="66"/>
  <c r="P4" i="66"/>
  <c r="M4" i="66"/>
  <c r="N4" i="66" s="1"/>
  <c r="L4" i="66"/>
  <c r="D4" i="66"/>
  <c r="O33" i="99"/>
  <c r="M33" i="99"/>
  <c r="O32" i="99"/>
  <c r="M32" i="99"/>
  <c r="O31" i="99"/>
  <c r="M31" i="99"/>
  <c r="O30" i="99"/>
  <c r="O29" i="99"/>
  <c r="O28" i="99"/>
  <c r="O27" i="99"/>
  <c r="M27" i="99"/>
  <c r="O26" i="99"/>
  <c r="M26" i="99"/>
  <c r="O25" i="99"/>
  <c r="M25" i="99"/>
  <c r="O24" i="99"/>
  <c r="M24" i="99"/>
  <c r="O23" i="99"/>
  <c r="M23" i="99"/>
  <c r="O22" i="99"/>
  <c r="M22" i="99"/>
  <c r="O21" i="99"/>
  <c r="M21" i="99"/>
  <c r="O20" i="99"/>
  <c r="M20" i="99"/>
  <c r="O19" i="99"/>
  <c r="M19" i="99"/>
  <c r="O18" i="99"/>
  <c r="M18" i="99"/>
  <c r="O17" i="99"/>
  <c r="M17" i="99"/>
  <c r="N13" i="99"/>
  <c r="M13" i="99"/>
  <c r="O13" i="99" s="1"/>
  <c r="N12" i="99"/>
  <c r="M12" i="99"/>
  <c r="O12" i="99" s="1"/>
  <c r="N11" i="99"/>
  <c r="M11" i="99"/>
  <c r="O11" i="99" s="1"/>
  <c r="B13" i="99"/>
  <c r="N10" i="99"/>
  <c r="M10" i="99"/>
  <c r="O10" i="99" s="1"/>
  <c r="N9" i="99"/>
  <c r="M9" i="99"/>
  <c r="O9" i="99" s="1"/>
  <c r="N8" i="99"/>
  <c r="M8" i="99"/>
  <c r="O8" i="99" s="1"/>
  <c r="N7" i="99"/>
  <c r="M7" i="99"/>
  <c r="O7" i="99" s="1"/>
  <c r="N6" i="99"/>
  <c r="M6" i="99"/>
  <c r="O6" i="99" s="1"/>
  <c r="N5" i="99"/>
  <c r="N4" i="99"/>
  <c r="M4" i="99"/>
  <c r="O4" i="99" s="1"/>
  <c r="N3" i="99"/>
  <c r="M3" i="99"/>
  <c r="O3" i="99" s="1"/>
  <c r="J42" i="96"/>
  <c r="G42" i="96"/>
  <c r="H42" i="96" s="1"/>
  <c r="E42" i="96"/>
  <c r="F42" i="96" s="1"/>
  <c r="D42" i="96"/>
  <c r="J41" i="96"/>
  <c r="H41" i="96"/>
  <c r="F41" i="96"/>
  <c r="D41" i="96"/>
  <c r="K40" i="96"/>
  <c r="L40" i="96" s="1"/>
  <c r="J40" i="96"/>
  <c r="G40" i="96"/>
  <c r="H40" i="96" s="1"/>
  <c r="E40" i="96"/>
  <c r="F40" i="96" s="1"/>
  <c r="D40" i="96"/>
  <c r="I38" i="96"/>
  <c r="J38" i="96" s="1"/>
  <c r="D38" i="96"/>
  <c r="K35" i="96"/>
  <c r="L35" i="96" s="1"/>
  <c r="D35" i="96"/>
  <c r="G34" i="96"/>
  <c r="H34" i="96" s="1"/>
  <c r="E34" i="96"/>
  <c r="F34" i="96" s="1"/>
  <c r="D34" i="96"/>
  <c r="D33" i="96"/>
  <c r="D32" i="96"/>
  <c r="L31" i="96"/>
  <c r="J31" i="96"/>
  <c r="H31" i="96"/>
  <c r="F31" i="96"/>
  <c r="D31" i="96"/>
  <c r="L30" i="96"/>
  <c r="J30" i="96"/>
  <c r="H30" i="96"/>
  <c r="F30" i="96"/>
  <c r="D30" i="96"/>
  <c r="L29" i="96"/>
  <c r="J29" i="96"/>
  <c r="H29" i="96"/>
  <c r="F29" i="96"/>
  <c r="D29" i="96"/>
  <c r="L27" i="96"/>
  <c r="J27" i="96"/>
  <c r="H27" i="96"/>
  <c r="F27" i="96"/>
  <c r="D27" i="96"/>
  <c r="L26" i="96"/>
  <c r="J26" i="96"/>
  <c r="H26" i="96"/>
  <c r="F26" i="96"/>
  <c r="D26" i="96"/>
  <c r="L25" i="96"/>
  <c r="J25" i="96"/>
  <c r="H25" i="96"/>
  <c r="F25" i="96"/>
  <c r="D25" i="96"/>
  <c r="L24" i="96"/>
  <c r="J24" i="96"/>
  <c r="H24" i="96"/>
  <c r="F24" i="96"/>
  <c r="D24" i="96"/>
  <c r="L22" i="96"/>
  <c r="H22" i="96"/>
  <c r="F22" i="96"/>
  <c r="D22" i="96"/>
  <c r="L21" i="96"/>
  <c r="J21" i="96"/>
  <c r="H21" i="96"/>
  <c r="F21" i="96"/>
  <c r="D21" i="96"/>
  <c r="L20" i="96"/>
  <c r="J20" i="96"/>
  <c r="H20" i="96"/>
  <c r="F20" i="96"/>
  <c r="D20" i="96"/>
  <c r="K18" i="96"/>
  <c r="J18" i="96"/>
  <c r="D18" i="96"/>
  <c r="K17" i="96"/>
  <c r="C12" i="99" s="1"/>
  <c r="G17" i="96"/>
  <c r="H17" i="96" s="1"/>
  <c r="E17" i="96"/>
  <c r="K16" i="96"/>
  <c r="L16" i="96" s="1"/>
  <c r="I16" i="96"/>
  <c r="I22" i="96" s="1"/>
  <c r="J22" i="96" s="1"/>
  <c r="H16" i="96"/>
  <c r="F16" i="96"/>
  <c r="D16" i="96"/>
  <c r="K15" i="96"/>
  <c r="L15" i="96" s="1"/>
  <c r="I15" i="96"/>
  <c r="J15" i="96" s="1"/>
  <c r="H15" i="96"/>
  <c r="F15" i="96"/>
  <c r="D15" i="96"/>
  <c r="K14" i="96"/>
  <c r="L14" i="96" s="1"/>
  <c r="I14" i="96"/>
  <c r="J14" i="96" s="1"/>
  <c r="H14" i="96"/>
  <c r="F14" i="96"/>
  <c r="D14" i="96"/>
  <c r="K13" i="96"/>
  <c r="L13" i="96" s="1"/>
  <c r="I13" i="96"/>
  <c r="J13" i="96" s="1"/>
  <c r="H13" i="96"/>
  <c r="F13" i="96"/>
  <c r="D13" i="96"/>
  <c r="K12" i="96"/>
  <c r="L12" i="96" s="1"/>
  <c r="J12" i="96"/>
  <c r="H12" i="96"/>
  <c r="F12" i="96"/>
  <c r="D12" i="96"/>
  <c r="J11" i="96"/>
  <c r="H11" i="96"/>
  <c r="F11" i="96"/>
  <c r="D11" i="96"/>
  <c r="F10" i="96"/>
  <c r="D10" i="96"/>
  <c r="F9" i="96"/>
  <c r="D9" i="96"/>
  <c r="F8" i="96"/>
  <c r="F7" i="96"/>
  <c r="D7" i="96"/>
  <c r="F6" i="96"/>
  <c r="F5" i="96"/>
  <c r="D5" i="96"/>
  <c r="L4" i="96"/>
  <c r="J4" i="96"/>
  <c r="H4" i="96"/>
  <c r="F4" i="96"/>
  <c r="D4" i="96"/>
  <c r="J1" i="96"/>
  <c r="L61" i="81"/>
  <c r="J61" i="81"/>
  <c r="H61" i="81"/>
  <c r="F61" i="81"/>
  <c r="D61" i="81"/>
  <c r="L60" i="81"/>
  <c r="J60" i="81"/>
  <c r="H60" i="81"/>
  <c r="F60" i="81"/>
  <c r="D60" i="81"/>
  <c r="L59" i="81"/>
  <c r="J59" i="81"/>
  <c r="H59" i="81"/>
  <c r="F59" i="81"/>
  <c r="D59" i="81"/>
  <c r="L58" i="81"/>
  <c r="J58" i="81"/>
  <c r="H58" i="81"/>
  <c r="F58" i="81"/>
  <c r="D58" i="81"/>
  <c r="L57" i="81"/>
  <c r="J57" i="81"/>
  <c r="H57" i="81"/>
  <c r="F57" i="81"/>
  <c r="D57" i="81"/>
  <c r="L56" i="81"/>
  <c r="J56" i="81"/>
  <c r="H56" i="81"/>
  <c r="F56" i="81"/>
  <c r="D56" i="81"/>
  <c r="L55" i="81"/>
  <c r="J55" i="81"/>
  <c r="H55" i="81"/>
  <c r="F55" i="81"/>
  <c r="D55" i="81"/>
  <c r="L54" i="81"/>
  <c r="J54" i="81"/>
  <c r="H54" i="81"/>
  <c r="F54" i="81"/>
  <c r="D54" i="81"/>
  <c r="L53" i="81"/>
  <c r="J53" i="81"/>
  <c r="H53" i="81"/>
  <c r="F53" i="81"/>
  <c r="D53" i="81"/>
  <c r="L52" i="81"/>
  <c r="J52" i="81"/>
  <c r="H52" i="81"/>
  <c r="F52" i="81"/>
  <c r="D52" i="81"/>
  <c r="L51" i="81"/>
  <c r="J51" i="81"/>
  <c r="H51" i="81"/>
  <c r="F51" i="81"/>
  <c r="D51" i="81"/>
  <c r="L49" i="81"/>
  <c r="J49" i="81"/>
  <c r="H49" i="81"/>
  <c r="F49" i="81"/>
  <c r="D49" i="81"/>
  <c r="L48" i="81"/>
  <c r="J48" i="81"/>
  <c r="H48" i="81"/>
  <c r="F48" i="81"/>
  <c r="D48" i="81"/>
  <c r="L47" i="81"/>
  <c r="J47" i="81"/>
  <c r="H47" i="81"/>
  <c r="F47" i="81"/>
  <c r="D47" i="81"/>
  <c r="L46" i="81"/>
  <c r="J46" i="81"/>
  <c r="H46" i="81"/>
  <c r="F46" i="81"/>
  <c r="D46" i="81"/>
  <c r="L45" i="81"/>
  <c r="J45" i="81"/>
  <c r="H45" i="81"/>
  <c r="F45" i="81"/>
  <c r="D45" i="81"/>
  <c r="L44" i="81"/>
  <c r="J44" i="81"/>
  <c r="H44" i="81"/>
  <c r="F44" i="81"/>
  <c r="D44" i="81"/>
  <c r="L43" i="81"/>
  <c r="J43" i="81"/>
  <c r="H43" i="81"/>
  <c r="F43" i="81"/>
  <c r="D43" i="81"/>
  <c r="L42" i="81"/>
  <c r="J42" i="81"/>
  <c r="H42" i="81"/>
  <c r="F42" i="81"/>
  <c r="D42" i="81"/>
  <c r="L41" i="81"/>
  <c r="J41" i="81"/>
  <c r="H41" i="81"/>
  <c r="F41" i="81"/>
  <c r="D41" i="81"/>
  <c r="L40" i="81"/>
  <c r="J40" i="81"/>
  <c r="H40" i="81"/>
  <c r="F40" i="81"/>
  <c r="D40" i="81"/>
  <c r="L39" i="81"/>
  <c r="J39" i="81"/>
  <c r="H39" i="81"/>
  <c r="F39" i="81"/>
  <c r="D39" i="81"/>
  <c r="M37" i="81"/>
  <c r="L37" i="81"/>
  <c r="K37" i="81"/>
  <c r="J37" i="81"/>
  <c r="I37" i="81"/>
  <c r="H37" i="81"/>
  <c r="G37" i="81"/>
  <c r="F37" i="81"/>
  <c r="E37" i="81"/>
  <c r="D37" i="81"/>
  <c r="B37" i="81"/>
  <c r="M36" i="81"/>
  <c r="L36" i="81"/>
  <c r="K36" i="81"/>
  <c r="J36" i="81"/>
  <c r="I36" i="81"/>
  <c r="H36" i="81"/>
  <c r="G36" i="81"/>
  <c r="F36" i="81"/>
  <c r="E36" i="81"/>
  <c r="D36" i="81"/>
  <c r="B36" i="81"/>
  <c r="M35" i="81"/>
  <c r="L35" i="81"/>
  <c r="K35" i="81"/>
  <c r="J35" i="81"/>
  <c r="I35" i="81"/>
  <c r="H35" i="81"/>
  <c r="G35" i="81"/>
  <c r="F35" i="81"/>
  <c r="E35" i="81"/>
  <c r="D35" i="81"/>
  <c r="B35" i="81"/>
  <c r="M34" i="81"/>
  <c r="L34" i="81"/>
  <c r="K34" i="81"/>
  <c r="J34" i="81"/>
  <c r="I34" i="81"/>
  <c r="H34" i="81"/>
  <c r="G34" i="81"/>
  <c r="F34" i="81"/>
  <c r="E34" i="81"/>
  <c r="D34" i="81"/>
  <c r="B34" i="81"/>
  <c r="M33" i="81"/>
  <c r="L33" i="81"/>
  <c r="K33" i="81"/>
  <c r="J33" i="81"/>
  <c r="I33" i="81"/>
  <c r="H33" i="81"/>
  <c r="G33" i="81"/>
  <c r="F33" i="81"/>
  <c r="E33" i="81"/>
  <c r="D33" i="81"/>
  <c r="B33" i="81"/>
  <c r="M32" i="81"/>
  <c r="L32" i="81"/>
  <c r="K32" i="81"/>
  <c r="J32" i="81"/>
  <c r="I32" i="81"/>
  <c r="H32" i="81"/>
  <c r="G32" i="81"/>
  <c r="F32" i="81"/>
  <c r="E32" i="81"/>
  <c r="D32" i="81"/>
  <c r="B32" i="81"/>
  <c r="M31" i="81"/>
  <c r="L31" i="81"/>
  <c r="K31" i="81"/>
  <c r="J31" i="81"/>
  <c r="I31" i="81"/>
  <c r="H31" i="81"/>
  <c r="G31" i="81"/>
  <c r="F31" i="81"/>
  <c r="E31" i="81"/>
  <c r="D31" i="81"/>
  <c r="M30" i="81"/>
  <c r="L30" i="81"/>
  <c r="K30" i="81"/>
  <c r="J30" i="81"/>
  <c r="I30" i="81"/>
  <c r="H30" i="81"/>
  <c r="G30" i="81"/>
  <c r="F30" i="81"/>
  <c r="E30" i="81"/>
  <c r="D30" i="81"/>
  <c r="M29" i="81"/>
  <c r="L29" i="81"/>
  <c r="K29" i="81"/>
  <c r="J29" i="81"/>
  <c r="I29" i="81"/>
  <c r="H29" i="81"/>
  <c r="G29" i="81"/>
  <c r="F29" i="81"/>
  <c r="E29" i="81"/>
  <c r="D29" i="81"/>
  <c r="M28" i="81"/>
  <c r="L28" i="81"/>
  <c r="K28" i="81"/>
  <c r="J28" i="81"/>
  <c r="I28" i="81"/>
  <c r="H28" i="81"/>
  <c r="G28" i="81"/>
  <c r="F28" i="81"/>
  <c r="E28" i="81"/>
  <c r="D28" i="81"/>
  <c r="M27" i="81"/>
  <c r="M38" i="81" s="1"/>
  <c r="M67" i="81" s="1"/>
  <c r="L27" i="81"/>
  <c r="I27" i="81"/>
  <c r="J27" i="81" s="1"/>
  <c r="G27" i="81"/>
  <c r="H27" i="81" s="1"/>
  <c r="F27" i="81"/>
  <c r="D27" i="81"/>
  <c r="L25" i="81"/>
  <c r="J25" i="81"/>
  <c r="H25" i="81"/>
  <c r="F25" i="81"/>
  <c r="E25" i="81"/>
  <c r="D25" i="81"/>
  <c r="L24" i="81"/>
  <c r="J24" i="81"/>
  <c r="H24" i="81"/>
  <c r="F24" i="81"/>
  <c r="E24" i="81"/>
  <c r="D24" i="81"/>
  <c r="L23" i="81"/>
  <c r="J23" i="81"/>
  <c r="H23" i="81"/>
  <c r="F23" i="81"/>
  <c r="E23" i="81"/>
  <c r="D23" i="81"/>
  <c r="L22" i="81"/>
  <c r="J22" i="81"/>
  <c r="H22" i="81"/>
  <c r="F22" i="81"/>
  <c r="E22" i="81"/>
  <c r="D22" i="81"/>
  <c r="L21" i="81"/>
  <c r="J21" i="81"/>
  <c r="H21" i="81"/>
  <c r="F21" i="81"/>
  <c r="E21" i="81"/>
  <c r="D21" i="81"/>
  <c r="L20" i="81"/>
  <c r="J20" i="81"/>
  <c r="H20" i="81"/>
  <c r="F20" i="81"/>
  <c r="E20" i="81"/>
  <c r="D20" i="81"/>
  <c r="L19" i="81"/>
  <c r="J19" i="81"/>
  <c r="H19" i="81"/>
  <c r="F19" i="81"/>
  <c r="E19" i="81"/>
  <c r="D19" i="81"/>
  <c r="L18" i="81"/>
  <c r="J18" i="81"/>
  <c r="H18" i="81"/>
  <c r="F18" i="81"/>
  <c r="E18" i="81"/>
  <c r="D18" i="81"/>
  <c r="L17" i="81"/>
  <c r="J17" i="81"/>
  <c r="H17" i="81"/>
  <c r="F17" i="81"/>
  <c r="E17" i="81"/>
  <c r="D17" i="81"/>
  <c r="L16" i="81"/>
  <c r="J16" i="81"/>
  <c r="H16" i="81"/>
  <c r="F16" i="81"/>
  <c r="E16" i="81"/>
  <c r="D16" i="81"/>
  <c r="L15" i="81"/>
  <c r="J15" i="81"/>
  <c r="H15" i="81"/>
  <c r="F15" i="81"/>
  <c r="E15" i="81"/>
  <c r="D15" i="81"/>
  <c r="L14" i="81"/>
  <c r="J14" i="81"/>
  <c r="H14" i="81"/>
  <c r="E14" i="81"/>
  <c r="F14" i="81" s="1"/>
  <c r="D14" i="81"/>
  <c r="J13" i="81"/>
  <c r="H13" i="81"/>
  <c r="E13" i="81"/>
  <c r="F13" i="81" s="1"/>
  <c r="D13" i="81"/>
  <c r="J12" i="81"/>
  <c r="H12" i="81"/>
  <c r="E12" i="81"/>
  <c r="F12" i="81" s="1"/>
  <c r="D12" i="81"/>
  <c r="J11" i="81"/>
  <c r="H11" i="81"/>
  <c r="F11" i="81"/>
  <c r="E11" i="81"/>
  <c r="D11" i="81"/>
  <c r="J10" i="81"/>
  <c r="H10" i="81"/>
  <c r="F10" i="81"/>
  <c r="E10" i="81"/>
  <c r="D10" i="81"/>
  <c r="J9" i="81"/>
  <c r="H9" i="81"/>
  <c r="E9" i="81"/>
  <c r="F9" i="81" s="1"/>
  <c r="D9" i="81"/>
  <c r="J8" i="81"/>
  <c r="H8" i="81"/>
  <c r="F8" i="81"/>
  <c r="D8" i="81"/>
  <c r="J7" i="81"/>
  <c r="H7" i="81"/>
  <c r="E7" i="81"/>
  <c r="F7" i="81" s="1"/>
  <c r="D7" i="81"/>
  <c r="J6" i="81"/>
  <c r="H6" i="81"/>
  <c r="E6" i="81"/>
  <c r="F6" i="81" s="1"/>
  <c r="D6" i="81"/>
  <c r="L5" i="81"/>
  <c r="J5" i="81"/>
  <c r="H5" i="81"/>
  <c r="F5" i="81"/>
  <c r="D5" i="81"/>
  <c r="M4" i="81"/>
  <c r="L4" i="81"/>
  <c r="J4" i="81"/>
  <c r="G4" i="81"/>
  <c r="H4" i="81" s="1"/>
  <c r="E4" i="81"/>
  <c r="F4" i="81" s="1"/>
  <c r="D4" i="81"/>
  <c r="L32" i="65"/>
  <c r="J32" i="65"/>
  <c r="H32" i="65"/>
  <c r="F32" i="65"/>
  <c r="D32" i="65"/>
  <c r="L31" i="65"/>
  <c r="J31" i="65"/>
  <c r="H31" i="65"/>
  <c r="F31" i="65"/>
  <c r="D31" i="65"/>
  <c r="L30" i="65"/>
  <c r="J30" i="65"/>
  <c r="H30" i="65"/>
  <c r="D30" i="65"/>
  <c r="L28" i="65"/>
  <c r="H28" i="65"/>
  <c r="F28" i="65"/>
  <c r="D28" i="65"/>
  <c r="L27" i="65"/>
  <c r="J27" i="65"/>
  <c r="G27" i="65"/>
  <c r="H27" i="65" s="1"/>
  <c r="F27" i="65"/>
  <c r="D27" i="65"/>
  <c r="L26" i="65"/>
  <c r="J26" i="65"/>
  <c r="F26" i="65"/>
  <c r="D26" i="65"/>
  <c r="D25" i="65"/>
  <c r="L24" i="65"/>
  <c r="J24" i="65"/>
  <c r="F24" i="65"/>
  <c r="D24" i="65"/>
  <c r="L23" i="65"/>
  <c r="H23" i="65"/>
  <c r="F23" i="65"/>
  <c r="D23" i="65"/>
  <c r="L21" i="65"/>
  <c r="J21" i="65"/>
  <c r="H21" i="65"/>
  <c r="F21" i="65"/>
  <c r="D21" i="65"/>
  <c r="G20" i="65"/>
  <c r="H20" i="65" s="1"/>
  <c r="D20" i="65"/>
  <c r="D19" i="65"/>
  <c r="L18" i="65"/>
  <c r="H18" i="65"/>
  <c r="F18" i="65"/>
  <c r="D18" i="65"/>
  <c r="L17" i="65"/>
  <c r="J17" i="65"/>
  <c r="H17" i="65"/>
  <c r="F17" i="65"/>
  <c r="D17" i="65"/>
  <c r="L15" i="65"/>
  <c r="J15" i="65"/>
  <c r="H15" i="65"/>
  <c r="F15" i="65"/>
  <c r="D15" i="65"/>
  <c r="F14" i="65"/>
  <c r="D14" i="65"/>
  <c r="F13" i="65"/>
  <c r="D13" i="65"/>
  <c r="H12" i="65"/>
  <c r="F12" i="65"/>
  <c r="D12" i="65"/>
  <c r="L11" i="65"/>
  <c r="J11" i="65"/>
  <c r="F11" i="65"/>
  <c r="D11" i="65"/>
  <c r="L10" i="65"/>
  <c r="H10" i="65"/>
  <c r="F10" i="65"/>
  <c r="D10" i="65"/>
  <c r="L9" i="65"/>
  <c r="J9" i="65"/>
  <c r="F9" i="65"/>
  <c r="D9" i="65"/>
  <c r="L8" i="65"/>
  <c r="J8" i="65"/>
  <c r="F8" i="65"/>
  <c r="D8" i="65"/>
  <c r="L7" i="65"/>
  <c r="J7" i="65"/>
  <c r="F7" i="65"/>
  <c r="D7" i="65"/>
  <c r="L6" i="65"/>
  <c r="H6" i="65"/>
  <c r="F6" i="65"/>
  <c r="D6" i="65"/>
  <c r="L5" i="65"/>
  <c r="H5" i="65"/>
  <c r="F5" i="65"/>
  <c r="D5" i="65"/>
  <c r="N76" i="64"/>
  <c r="M76" i="64" s="1"/>
  <c r="M83" i="64" s="1"/>
  <c r="L75" i="64"/>
  <c r="J75" i="64"/>
  <c r="H75" i="64"/>
  <c r="F75" i="64"/>
  <c r="D75" i="64"/>
  <c r="J74" i="64"/>
  <c r="F74" i="64"/>
  <c r="D74" i="64"/>
  <c r="J73" i="64"/>
  <c r="J72" i="64"/>
  <c r="J71" i="64"/>
  <c r="J69" i="64"/>
  <c r="H69" i="64"/>
  <c r="F69" i="64"/>
  <c r="D69" i="64"/>
  <c r="L68" i="64"/>
  <c r="J68" i="64"/>
  <c r="H68" i="64"/>
  <c r="F68" i="64"/>
  <c r="D68" i="64"/>
  <c r="N66" i="64"/>
  <c r="L66" i="64"/>
  <c r="J66" i="64"/>
  <c r="H66" i="64"/>
  <c r="F66" i="64"/>
  <c r="D66" i="64"/>
  <c r="N65" i="64"/>
  <c r="L65" i="64"/>
  <c r="J65" i="64"/>
  <c r="H65" i="64"/>
  <c r="F65" i="64"/>
  <c r="D65" i="64"/>
  <c r="N64" i="64"/>
  <c r="L64" i="64"/>
  <c r="J64" i="64"/>
  <c r="H64" i="64"/>
  <c r="F64" i="64"/>
  <c r="D64" i="64"/>
  <c r="N63" i="64"/>
  <c r="L63" i="64"/>
  <c r="J63" i="64"/>
  <c r="H63" i="64"/>
  <c r="F63" i="64"/>
  <c r="D63" i="64"/>
  <c r="N62" i="64"/>
  <c r="L62" i="64"/>
  <c r="J62" i="64"/>
  <c r="H62" i="64"/>
  <c r="F62" i="64"/>
  <c r="D62" i="64"/>
  <c r="N61" i="64"/>
  <c r="L61" i="64"/>
  <c r="J61" i="64"/>
  <c r="H61" i="64"/>
  <c r="F61" i="64"/>
  <c r="D61" i="64"/>
  <c r="N60" i="64"/>
  <c r="L60" i="64"/>
  <c r="J60" i="64"/>
  <c r="H60" i="64"/>
  <c r="F60" i="64"/>
  <c r="D60" i="64"/>
  <c r="N59" i="64"/>
  <c r="L59" i="64"/>
  <c r="J59" i="64"/>
  <c r="H59" i="64"/>
  <c r="F59" i="64"/>
  <c r="D59" i="64"/>
  <c r="N58" i="64"/>
  <c r="L58" i="64"/>
  <c r="J58" i="64"/>
  <c r="H58" i="64"/>
  <c r="F58" i="64"/>
  <c r="D58" i="64"/>
  <c r="N57" i="64"/>
  <c r="L57" i="64"/>
  <c r="J57" i="64"/>
  <c r="H57" i="64"/>
  <c r="F57" i="64"/>
  <c r="D57" i="64"/>
  <c r="N56" i="64"/>
  <c r="L56" i="64"/>
  <c r="J56" i="64"/>
  <c r="H56" i="64"/>
  <c r="F56" i="64"/>
  <c r="D56" i="64"/>
  <c r="N55" i="64"/>
  <c r="L55" i="64"/>
  <c r="J55" i="64"/>
  <c r="H55" i="64"/>
  <c r="F55" i="64"/>
  <c r="D55" i="64"/>
  <c r="N54" i="64"/>
  <c r="L54" i="64"/>
  <c r="J54" i="64"/>
  <c r="H54" i="64"/>
  <c r="F54" i="64"/>
  <c r="D54" i="64"/>
  <c r="N53" i="64"/>
  <c r="L53" i="64"/>
  <c r="J53" i="64"/>
  <c r="H53" i="64"/>
  <c r="F53" i="64"/>
  <c r="D53" i="64"/>
  <c r="N52" i="64"/>
  <c r="L52" i="64"/>
  <c r="J52" i="64"/>
  <c r="H52" i="64"/>
  <c r="F52" i="64"/>
  <c r="D52" i="64"/>
  <c r="N51" i="64"/>
  <c r="L51" i="64"/>
  <c r="J51" i="64"/>
  <c r="H51" i="64"/>
  <c r="F51" i="64"/>
  <c r="D51" i="64"/>
  <c r="N50" i="64"/>
  <c r="L50" i="64"/>
  <c r="J50" i="64"/>
  <c r="H50" i="64"/>
  <c r="F50" i="64"/>
  <c r="D50" i="64"/>
  <c r="N49" i="64"/>
  <c r="L49" i="64"/>
  <c r="J49" i="64"/>
  <c r="F49" i="64"/>
  <c r="D49" i="64"/>
  <c r="N47" i="64"/>
  <c r="L47" i="64"/>
  <c r="J47" i="64"/>
  <c r="H47" i="64"/>
  <c r="F47" i="64"/>
  <c r="D47" i="64"/>
  <c r="N46" i="64"/>
  <c r="L46" i="64"/>
  <c r="J46" i="64"/>
  <c r="H46" i="64"/>
  <c r="F46" i="64"/>
  <c r="D46" i="64"/>
  <c r="N45" i="64"/>
  <c r="L45" i="64"/>
  <c r="J45" i="64"/>
  <c r="H45" i="64"/>
  <c r="F45" i="64"/>
  <c r="D45" i="64"/>
  <c r="N44" i="64"/>
  <c r="L44" i="64"/>
  <c r="J44" i="64"/>
  <c r="H44" i="64"/>
  <c r="F44" i="64"/>
  <c r="D44" i="64"/>
  <c r="O42" i="64"/>
  <c r="N42" i="64"/>
  <c r="L42" i="64"/>
  <c r="J42" i="64"/>
  <c r="H42" i="64"/>
  <c r="F42" i="64"/>
  <c r="D42" i="64"/>
  <c r="O41" i="64"/>
  <c r="P41" i="64" s="1"/>
  <c r="N41" i="64"/>
  <c r="L41" i="64"/>
  <c r="J41" i="64"/>
  <c r="H41" i="64"/>
  <c r="F41" i="64"/>
  <c r="D41" i="64"/>
  <c r="N38" i="64"/>
  <c r="L38" i="64"/>
  <c r="J38" i="64"/>
  <c r="H38" i="64"/>
  <c r="F38" i="64"/>
  <c r="D38" i="64"/>
  <c r="H37" i="64"/>
  <c r="D37" i="64"/>
  <c r="H36" i="64"/>
  <c r="D36" i="64"/>
  <c r="H34" i="64"/>
  <c r="O33" i="64"/>
  <c r="P33" i="64" s="1"/>
  <c r="H33" i="64"/>
  <c r="D33" i="64"/>
  <c r="O32" i="64"/>
  <c r="C32" i="64"/>
  <c r="N31" i="64"/>
  <c r="L31" i="64"/>
  <c r="J31" i="64"/>
  <c r="H31" i="64"/>
  <c r="F31" i="64"/>
  <c r="D31" i="64"/>
  <c r="N30" i="64"/>
  <c r="L30" i="64"/>
  <c r="J30" i="64"/>
  <c r="H30" i="64"/>
  <c r="F30" i="64"/>
  <c r="D30" i="64"/>
  <c r="N29" i="64"/>
  <c r="L29" i="64"/>
  <c r="J29" i="64"/>
  <c r="H29" i="64"/>
  <c r="F29" i="64"/>
  <c r="D29" i="64"/>
  <c r="N28" i="64"/>
  <c r="L28" i="64"/>
  <c r="J28" i="64"/>
  <c r="H28" i="64"/>
  <c r="F28" i="64"/>
  <c r="D28" i="64"/>
  <c r="N27" i="64"/>
  <c r="L27" i="64"/>
  <c r="J27" i="64"/>
  <c r="H27" i="64"/>
  <c r="F27" i="64"/>
  <c r="D27" i="64"/>
  <c r="N26" i="64"/>
  <c r="L26" i="64"/>
  <c r="J26" i="64"/>
  <c r="H26" i="64"/>
  <c r="F26" i="64"/>
  <c r="D26" i="64"/>
  <c r="N25" i="64"/>
  <c r="L25" i="64"/>
  <c r="J25" i="64"/>
  <c r="H25" i="64"/>
  <c r="F25" i="64"/>
  <c r="D25" i="64"/>
  <c r="N24" i="64"/>
  <c r="L24" i="64"/>
  <c r="J24" i="64"/>
  <c r="H24" i="64"/>
  <c r="F24" i="64"/>
  <c r="D24" i="64"/>
  <c r="N23" i="64"/>
  <c r="L23" i="64"/>
  <c r="J23" i="64"/>
  <c r="H23" i="64"/>
  <c r="F23" i="64"/>
  <c r="D23" i="64"/>
  <c r="N22" i="64"/>
  <c r="L22" i="64"/>
  <c r="J22" i="64"/>
  <c r="H22" i="64"/>
  <c r="F22" i="64"/>
  <c r="D22" i="64"/>
  <c r="N21" i="64"/>
  <c r="L21" i="64"/>
  <c r="J21" i="64"/>
  <c r="H21" i="64"/>
  <c r="F21" i="64"/>
  <c r="D21" i="64"/>
  <c r="N20" i="64"/>
  <c r="H20" i="64"/>
  <c r="F20" i="64"/>
  <c r="D20" i="64"/>
  <c r="N19" i="64"/>
  <c r="H19" i="64"/>
  <c r="F19" i="64"/>
  <c r="D19" i="64"/>
  <c r="N18" i="64"/>
  <c r="L18" i="64"/>
  <c r="H18" i="64"/>
  <c r="F18" i="64"/>
  <c r="D18" i="64"/>
  <c r="H17" i="64"/>
  <c r="F17" i="64"/>
  <c r="D17" i="64"/>
  <c r="H16" i="64"/>
  <c r="F16" i="64"/>
  <c r="D16" i="64"/>
  <c r="H15" i="64"/>
  <c r="F15" i="64"/>
  <c r="D15" i="64"/>
  <c r="H14" i="64"/>
  <c r="F14" i="64"/>
  <c r="D14" i="64"/>
  <c r="H13" i="64"/>
  <c r="F13" i="64"/>
  <c r="H12" i="64"/>
  <c r="F12" i="64"/>
  <c r="D12" i="64"/>
  <c r="H11" i="64"/>
  <c r="F11" i="64"/>
  <c r="D11" i="64"/>
  <c r="H10" i="64"/>
  <c r="F10" i="64"/>
  <c r="D10" i="64"/>
  <c r="H9" i="64"/>
  <c r="F9" i="64"/>
  <c r="D9" i="64"/>
  <c r="H8" i="64"/>
  <c r="F8" i="64"/>
  <c r="D8" i="64"/>
  <c r="H7" i="64"/>
  <c r="F7" i="64"/>
  <c r="D7" i="64"/>
  <c r="H6" i="64"/>
  <c r="F6" i="64"/>
  <c r="D6" i="64"/>
  <c r="N5" i="64"/>
  <c r="L5" i="64"/>
  <c r="J5" i="64"/>
  <c r="H5" i="64"/>
  <c r="F5" i="64"/>
  <c r="D5" i="64"/>
  <c r="N4" i="64"/>
  <c r="L4" i="64"/>
  <c r="J4" i="64"/>
  <c r="H4" i="64"/>
  <c r="F4" i="64"/>
  <c r="D4" i="64"/>
  <c r="AM21" i="88"/>
  <c r="AK21" i="88"/>
  <c r="AL21" i="88" s="1"/>
  <c r="AI21" i="88"/>
  <c r="AJ21" i="88" s="1"/>
  <c r="AG21" i="88"/>
  <c r="AH21" i="88" s="1"/>
  <c r="AE21" i="88"/>
  <c r="AF21" i="88" s="1"/>
  <c r="AC21" i="88"/>
  <c r="AD21" i="88" s="1"/>
  <c r="AA21" i="88"/>
  <c r="AB21" i="88" s="1"/>
  <c r="Y21" i="88"/>
  <c r="Z21" i="88" s="1"/>
  <c r="W21" i="88"/>
  <c r="X21" i="88" s="1"/>
  <c r="U21" i="88"/>
  <c r="V21" i="88" s="1"/>
  <c r="S21" i="88"/>
  <c r="T21" i="88" s="1"/>
  <c r="Q21" i="88"/>
  <c r="R21" i="88" s="1"/>
  <c r="O21" i="88"/>
  <c r="P21" i="88" s="1"/>
  <c r="M21" i="88"/>
  <c r="N21" i="88" s="1"/>
  <c r="K21" i="88"/>
  <c r="L21" i="88" s="1"/>
  <c r="I21" i="88"/>
  <c r="J21" i="88" s="1"/>
  <c r="G21" i="88"/>
  <c r="H21" i="88" s="1"/>
  <c r="E21" i="88"/>
  <c r="F21" i="88" s="1"/>
  <c r="D21" i="88"/>
  <c r="D20" i="88"/>
  <c r="AL18" i="88"/>
  <c r="AJ18" i="88"/>
  <c r="AH18" i="88"/>
  <c r="AF18" i="88"/>
  <c r="AD18" i="88"/>
  <c r="AB18" i="88"/>
  <c r="Z18" i="88"/>
  <c r="X18" i="88"/>
  <c r="V18" i="88"/>
  <c r="T18" i="88"/>
  <c r="R18" i="88"/>
  <c r="P18" i="88"/>
  <c r="N18" i="88"/>
  <c r="L18" i="88"/>
  <c r="J18" i="88"/>
  <c r="H18" i="88"/>
  <c r="F18" i="88"/>
  <c r="D18" i="88"/>
  <c r="D17" i="88"/>
  <c r="AM16" i="88"/>
  <c r="AK16" i="88"/>
  <c r="AL16" i="88" s="1"/>
  <c r="AI16" i="88"/>
  <c r="AJ16" i="88" s="1"/>
  <c r="AG16" i="88"/>
  <c r="AH16" i="88" s="1"/>
  <c r="AE16" i="88"/>
  <c r="AF16" i="88" s="1"/>
  <c r="AC16" i="88"/>
  <c r="AD16" i="88" s="1"/>
  <c r="AA16" i="88"/>
  <c r="AB16" i="88" s="1"/>
  <c r="Y16" i="88"/>
  <c r="Z16" i="88" s="1"/>
  <c r="W16" i="88"/>
  <c r="X16" i="88" s="1"/>
  <c r="U16" i="88"/>
  <c r="V16" i="88" s="1"/>
  <c r="S16" i="88"/>
  <c r="T16" i="88" s="1"/>
  <c r="Q16" i="88"/>
  <c r="R16" i="88" s="1"/>
  <c r="O16" i="88"/>
  <c r="P16" i="88" s="1"/>
  <c r="M16" i="88"/>
  <c r="N16" i="88" s="1"/>
  <c r="K16" i="88"/>
  <c r="L16" i="88" s="1"/>
  <c r="I16" i="88"/>
  <c r="J16" i="88" s="1"/>
  <c r="G16" i="88"/>
  <c r="H16" i="88" s="1"/>
  <c r="E16" i="88"/>
  <c r="F16" i="88" s="1"/>
  <c r="D16" i="88"/>
  <c r="AM15" i="88"/>
  <c r="AK15" i="88"/>
  <c r="AL15" i="88" s="1"/>
  <c r="AI15" i="88"/>
  <c r="AJ15" i="88" s="1"/>
  <c r="AG15" i="88"/>
  <c r="AH15" i="88" s="1"/>
  <c r="AE15" i="88"/>
  <c r="AF15" i="88" s="1"/>
  <c r="AC15" i="88"/>
  <c r="AD15" i="88" s="1"/>
  <c r="AA15" i="88"/>
  <c r="AB15" i="88" s="1"/>
  <c r="Y15" i="88"/>
  <c r="Z15" i="88" s="1"/>
  <c r="W15" i="88"/>
  <c r="X15" i="88" s="1"/>
  <c r="U15" i="88"/>
  <c r="V15" i="88" s="1"/>
  <c r="S15" i="88"/>
  <c r="T15" i="88" s="1"/>
  <c r="Q15" i="88"/>
  <c r="R15" i="88" s="1"/>
  <c r="O15" i="88"/>
  <c r="P15" i="88" s="1"/>
  <c r="M15" i="88"/>
  <c r="N15" i="88" s="1"/>
  <c r="K15" i="88"/>
  <c r="L15" i="88" s="1"/>
  <c r="I15" i="88"/>
  <c r="J15" i="88" s="1"/>
  <c r="G15" i="88"/>
  <c r="H15" i="88" s="1"/>
  <c r="E15" i="88"/>
  <c r="F15" i="88" s="1"/>
  <c r="D15" i="88"/>
  <c r="AL13" i="88"/>
  <c r="AJ13" i="88"/>
  <c r="AH13" i="88"/>
  <c r="AF13" i="88"/>
  <c r="AD13" i="88"/>
  <c r="AB13" i="88"/>
  <c r="Z13" i="88"/>
  <c r="X13" i="88"/>
  <c r="V13" i="88"/>
  <c r="T13" i="88"/>
  <c r="R13" i="88"/>
  <c r="P13" i="88"/>
  <c r="N13" i="88"/>
  <c r="L13" i="88"/>
  <c r="J13" i="88"/>
  <c r="H13" i="88"/>
  <c r="F13" i="88"/>
  <c r="D13" i="88"/>
  <c r="D12" i="88"/>
  <c r="AL11" i="88"/>
  <c r="AJ11" i="88"/>
  <c r="AH11" i="88"/>
  <c r="AF11" i="88"/>
  <c r="AD11" i="88"/>
  <c r="AB11" i="88"/>
  <c r="Z11" i="88"/>
  <c r="X11" i="88"/>
  <c r="V11" i="88"/>
  <c r="T11" i="88"/>
  <c r="R11" i="88"/>
  <c r="P11" i="88"/>
  <c r="N11" i="88"/>
  <c r="L11" i="88"/>
  <c r="J11" i="88"/>
  <c r="H11" i="88"/>
  <c r="F11" i="88"/>
  <c r="D11" i="88"/>
  <c r="AM10" i="88"/>
  <c r="AK10" i="88"/>
  <c r="AL10" i="88" s="1"/>
  <c r="AI10" i="88"/>
  <c r="AJ10" i="88" s="1"/>
  <c r="AG10" i="88"/>
  <c r="AH10" i="88" s="1"/>
  <c r="AE10" i="88"/>
  <c r="AF10" i="88" s="1"/>
  <c r="AC10" i="88"/>
  <c r="AD10" i="88" s="1"/>
  <c r="AA10" i="88"/>
  <c r="AB10" i="88" s="1"/>
  <c r="Y10" i="88"/>
  <c r="Z10" i="88" s="1"/>
  <c r="W10" i="88"/>
  <c r="X10" i="88" s="1"/>
  <c r="U10" i="88"/>
  <c r="V10" i="88" s="1"/>
  <c r="S10" i="88"/>
  <c r="T10" i="88" s="1"/>
  <c r="Q10" i="88"/>
  <c r="R10" i="88" s="1"/>
  <c r="O10" i="88"/>
  <c r="P10" i="88" s="1"/>
  <c r="M10" i="88"/>
  <c r="N10" i="88" s="1"/>
  <c r="K10" i="88"/>
  <c r="L10" i="88" s="1"/>
  <c r="I10" i="88"/>
  <c r="J10" i="88" s="1"/>
  <c r="G10" i="88"/>
  <c r="H10" i="88" s="1"/>
  <c r="E10" i="88"/>
  <c r="F10" i="88" s="1"/>
  <c r="D10" i="88"/>
  <c r="AL8" i="88"/>
  <c r="AJ8" i="88"/>
  <c r="AH8" i="88"/>
  <c r="AF8" i="88"/>
  <c r="AD8" i="88"/>
  <c r="AB8" i="88"/>
  <c r="Z8" i="88"/>
  <c r="X8" i="88"/>
  <c r="V8" i="88"/>
  <c r="T8" i="88"/>
  <c r="R8" i="88"/>
  <c r="P8" i="88"/>
  <c r="N8" i="88"/>
  <c r="L8" i="88"/>
  <c r="J8" i="88"/>
  <c r="H8" i="88"/>
  <c r="F8" i="88"/>
  <c r="D8" i="88"/>
  <c r="D7" i="88"/>
  <c r="AM6" i="88"/>
  <c r="AK6" i="88"/>
  <c r="AL6" i="88" s="1"/>
  <c r="AI6" i="88"/>
  <c r="AJ6" i="88" s="1"/>
  <c r="AG6" i="88"/>
  <c r="AH6" i="88" s="1"/>
  <c r="AE6" i="88"/>
  <c r="AF6" i="88" s="1"/>
  <c r="AC6" i="88"/>
  <c r="AD6" i="88" s="1"/>
  <c r="AA6" i="88"/>
  <c r="AB6" i="88" s="1"/>
  <c r="Y6" i="88"/>
  <c r="Z6" i="88" s="1"/>
  <c r="W6" i="88"/>
  <c r="X6" i="88" s="1"/>
  <c r="U6" i="88"/>
  <c r="V6" i="88" s="1"/>
  <c r="S6" i="88"/>
  <c r="T6" i="88" s="1"/>
  <c r="Q6" i="88"/>
  <c r="R6" i="88" s="1"/>
  <c r="O6" i="88"/>
  <c r="P6" i="88" s="1"/>
  <c r="M6" i="88"/>
  <c r="N6" i="88" s="1"/>
  <c r="K6" i="88"/>
  <c r="L6" i="88" s="1"/>
  <c r="I6" i="88"/>
  <c r="J6" i="88" s="1"/>
  <c r="G6" i="88"/>
  <c r="H6" i="88" s="1"/>
  <c r="E6" i="88"/>
  <c r="F6" i="88" s="1"/>
  <c r="D6" i="88"/>
  <c r="AK5" i="88"/>
  <c r="AK17" i="88" s="1"/>
  <c r="AL17" i="88" s="1"/>
  <c r="AI5" i="88"/>
  <c r="AG5" i="88"/>
  <c r="AC5" i="88"/>
  <c r="AA5" i="88"/>
  <c r="AA20" i="88" s="1"/>
  <c r="AB20" i="88" s="1"/>
  <c r="Y5" i="88"/>
  <c r="U5" i="88"/>
  <c r="U20" i="88" s="1"/>
  <c r="V20" i="88" s="1"/>
  <c r="S5" i="88"/>
  <c r="Q5" i="88"/>
  <c r="M5" i="88"/>
  <c r="K5" i="88"/>
  <c r="K20" i="88" s="1"/>
  <c r="L20" i="88" s="1"/>
  <c r="I5" i="88"/>
  <c r="E5" i="88"/>
  <c r="E17" i="88" s="1"/>
  <c r="F17" i="88" s="1"/>
  <c r="D5" i="88"/>
  <c r="AM4" i="88"/>
  <c r="AK4" i="88"/>
  <c r="AL4" i="88" s="1"/>
  <c r="AI4" i="88"/>
  <c r="AJ4" i="88" s="1"/>
  <c r="AG4" i="88"/>
  <c r="AH4" i="88" s="1"/>
  <c r="AE4" i="88"/>
  <c r="AF4" i="88" s="1"/>
  <c r="AC4" i="88"/>
  <c r="AD4" i="88" s="1"/>
  <c r="AA4" i="88"/>
  <c r="AB4" i="88" s="1"/>
  <c r="Y4" i="88"/>
  <c r="Z4" i="88" s="1"/>
  <c r="W4" i="88"/>
  <c r="X4" i="88" s="1"/>
  <c r="U4" i="88"/>
  <c r="V4" i="88" s="1"/>
  <c r="S4" i="88"/>
  <c r="T4" i="88" s="1"/>
  <c r="Q4" i="88"/>
  <c r="R4" i="88" s="1"/>
  <c r="O4" i="88"/>
  <c r="P4" i="88" s="1"/>
  <c r="M4" i="88"/>
  <c r="N4" i="88" s="1"/>
  <c r="K4" i="88"/>
  <c r="L4" i="88" s="1"/>
  <c r="I4" i="88"/>
  <c r="J4" i="88" s="1"/>
  <c r="G4" i="88"/>
  <c r="H4" i="88" s="1"/>
  <c r="E4" i="88"/>
  <c r="F4" i="88" s="1"/>
  <c r="D4" i="88"/>
  <c r="T1" i="88"/>
  <c r="L1" i="88"/>
  <c r="AN61" i="63"/>
  <c r="AL61" i="63"/>
  <c r="AJ61" i="63"/>
  <c r="AH61" i="63"/>
  <c r="AF61" i="63"/>
  <c r="AD61" i="63"/>
  <c r="AB61" i="63"/>
  <c r="Z61" i="63"/>
  <c r="X61" i="63"/>
  <c r="V61" i="63"/>
  <c r="T61" i="63"/>
  <c r="R61" i="63"/>
  <c r="P61" i="63"/>
  <c r="N61" i="63"/>
  <c r="L61" i="63"/>
  <c r="J61" i="63"/>
  <c r="H61" i="63"/>
  <c r="F61" i="63"/>
  <c r="D61" i="63"/>
  <c r="AN60" i="63"/>
  <c r="AL60" i="63"/>
  <c r="AJ60" i="63"/>
  <c r="AH60" i="63"/>
  <c r="AF60" i="63"/>
  <c r="AD60" i="63"/>
  <c r="AB60" i="63"/>
  <c r="Z60" i="63"/>
  <c r="X60" i="63"/>
  <c r="V60" i="63"/>
  <c r="T60" i="63"/>
  <c r="R60" i="63"/>
  <c r="P60" i="63"/>
  <c r="N60" i="63"/>
  <c r="L60" i="63"/>
  <c r="J60" i="63"/>
  <c r="H60" i="63"/>
  <c r="F60" i="63"/>
  <c r="D60" i="63"/>
  <c r="AN59" i="63"/>
  <c r="AL59" i="63"/>
  <c r="AJ59" i="63"/>
  <c r="AH59" i="63"/>
  <c r="AF59" i="63"/>
  <c r="AD59" i="63"/>
  <c r="AB59" i="63"/>
  <c r="Z59" i="63"/>
  <c r="X59" i="63"/>
  <c r="V59" i="63"/>
  <c r="T59" i="63"/>
  <c r="R59" i="63"/>
  <c r="P59" i="63"/>
  <c r="N59" i="63"/>
  <c r="L59" i="63"/>
  <c r="J59" i="63"/>
  <c r="H59" i="63"/>
  <c r="F59" i="63"/>
  <c r="D59" i="63"/>
  <c r="AN58" i="63"/>
  <c r="AL58" i="63"/>
  <c r="AJ58" i="63"/>
  <c r="AH58" i="63"/>
  <c r="AF58" i="63"/>
  <c r="AD58" i="63"/>
  <c r="AB58" i="63"/>
  <c r="Z58" i="63"/>
  <c r="X58" i="63"/>
  <c r="V58" i="63"/>
  <c r="T58" i="63"/>
  <c r="R58" i="63"/>
  <c r="P58" i="63"/>
  <c r="N58" i="63"/>
  <c r="L58" i="63"/>
  <c r="J58" i="63"/>
  <c r="H58" i="63"/>
  <c r="F58" i="63"/>
  <c r="D58" i="63"/>
  <c r="AN57" i="63"/>
  <c r="AL57" i="63"/>
  <c r="AJ57" i="63"/>
  <c r="AH57" i="63"/>
  <c r="AF57" i="63"/>
  <c r="AD57" i="63"/>
  <c r="AB57" i="63"/>
  <c r="Z57" i="63"/>
  <c r="X57" i="63"/>
  <c r="V57" i="63"/>
  <c r="T57" i="63"/>
  <c r="R57" i="63"/>
  <c r="P57" i="63"/>
  <c r="N57" i="63"/>
  <c r="L57" i="63"/>
  <c r="J57" i="63"/>
  <c r="H57" i="63"/>
  <c r="F57" i="63"/>
  <c r="D57" i="63"/>
  <c r="AN56" i="63"/>
  <c r="AL56" i="63"/>
  <c r="AJ56" i="63"/>
  <c r="AH56" i="63"/>
  <c r="AF56" i="63"/>
  <c r="AD56" i="63"/>
  <c r="AB56" i="63"/>
  <c r="Z56" i="63"/>
  <c r="X56" i="63"/>
  <c r="V56" i="63"/>
  <c r="T56" i="63"/>
  <c r="R56" i="63"/>
  <c r="P56" i="63"/>
  <c r="N56" i="63"/>
  <c r="L56" i="63"/>
  <c r="J56" i="63"/>
  <c r="H56" i="63"/>
  <c r="F56" i="63"/>
  <c r="D56" i="63"/>
  <c r="AN55" i="63"/>
  <c r="AL55" i="63"/>
  <c r="AJ55" i="63"/>
  <c r="AH55" i="63"/>
  <c r="AF55" i="63"/>
  <c r="AD55" i="63"/>
  <c r="AB55" i="63"/>
  <c r="Z55" i="63"/>
  <c r="X55" i="63"/>
  <c r="V55" i="63"/>
  <c r="T55" i="63"/>
  <c r="R55" i="63"/>
  <c r="P55" i="63"/>
  <c r="N55" i="63"/>
  <c r="L55" i="63"/>
  <c r="J55" i="63"/>
  <c r="H55" i="63"/>
  <c r="F55" i="63"/>
  <c r="D55" i="63"/>
  <c r="AN54" i="63"/>
  <c r="AL54" i="63"/>
  <c r="AJ54" i="63"/>
  <c r="AH54" i="63"/>
  <c r="AF54" i="63"/>
  <c r="AD54" i="63"/>
  <c r="AB54" i="63"/>
  <c r="Z54" i="63"/>
  <c r="X54" i="63"/>
  <c r="V54" i="63"/>
  <c r="T54" i="63"/>
  <c r="R54" i="63"/>
  <c r="P54" i="63"/>
  <c r="N54" i="63"/>
  <c r="L54" i="63"/>
  <c r="J54" i="63"/>
  <c r="H54" i="63"/>
  <c r="F54" i="63"/>
  <c r="D54" i="63"/>
  <c r="AN53" i="63"/>
  <c r="AL53" i="63"/>
  <c r="AJ53" i="63"/>
  <c r="AH53" i="63"/>
  <c r="AF53" i="63"/>
  <c r="AD53" i="63"/>
  <c r="AB53" i="63"/>
  <c r="Z53" i="63"/>
  <c r="X53" i="63"/>
  <c r="V53" i="63"/>
  <c r="T53" i="63"/>
  <c r="R53" i="63"/>
  <c r="P53" i="63"/>
  <c r="N53" i="63"/>
  <c r="L53" i="63"/>
  <c r="J53" i="63"/>
  <c r="H53" i="63"/>
  <c r="F53" i="63"/>
  <c r="D53" i="63"/>
  <c r="AN52" i="63"/>
  <c r="AL52" i="63"/>
  <c r="AJ52" i="63"/>
  <c r="AH52" i="63"/>
  <c r="AF52" i="63"/>
  <c r="AD52" i="63"/>
  <c r="AB52" i="63"/>
  <c r="Z52" i="63"/>
  <c r="X52" i="63"/>
  <c r="V52" i="63"/>
  <c r="T52" i="63"/>
  <c r="R52" i="63"/>
  <c r="P52" i="63"/>
  <c r="N52" i="63"/>
  <c r="L52" i="63"/>
  <c r="J52" i="63"/>
  <c r="H52" i="63"/>
  <c r="F52" i="63"/>
  <c r="D52" i="63"/>
  <c r="AN51" i="63"/>
  <c r="AL51" i="63"/>
  <c r="AJ51" i="63"/>
  <c r="AH51" i="63"/>
  <c r="AF51" i="63"/>
  <c r="AD51" i="63"/>
  <c r="AB51" i="63"/>
  <c r="Z51" i="63"/>
  <c r="X51" i="63"/>
  <c r="V51" i="63"/>
  <c r="T51" i="63"/>
  <c r="R51" i="63"/>
  <c r="P51" i="63"/>
  <c r="N51" i="63"/>
  <c r="L51" i="63"/>
  <c r="J51" i="63"/>
  <c r="H51" i="63"/>
  <c r="F51" i="63"/>
  <c r="D51" i="63"/>
  <c r="AN49" i="63"/>
  <c r="AL49" i="63"/>
  <c r="AJ49" i="63"/>
  <c r="AH49" i="63"/>
  <c r="AF49" i="63"/>
  <c r="AD49" i="63"/>
  <c r="AB49" i="63"/>
  <c r="Z49" i="63"/>
  <c r="X49" i="63"/>
  <c r="V49" i="63"/>
  <c r="T49" i="63"/>
  <c r="R49" i="63"/>
  <c r="P49" i="63"/>
  <c r="N49" i="63"/>
  <c r="L49" i="63"/>
  <c r="J49" i="63"/>
  <c r="H49" i="63"/>
  <c r="F49" i="63"/>
  <c r="D49" i="63"/>
  <c r="AN48" i="63"/>
  <c r="AL48" i="63"/>
  <c r="AJ48" i="63"/>
  <c r="AH48" i="63"/>
  <c r="AF48" i="63"/>
  <c r="AD48" i="63"/>
  <c r="AB48" i="63"/>
  <c r="Z48" i="63"/>
  <c r="X48" i="63"/>
  <c r="V48" i="63"/>
  <c r="T48" i="63"/>
  <c r="R48" i="63"/>
  <c r="P48" i="63"/>
  <c r="N48" i="63"/>
  <c r="L48" i="63"/>
  <c r="J48" i="63"/>
  <c r="H48" i="63"/>
  <c r="F48" i="63"/>
  <c r="D48" i="63"/>
  <c r="AN47" i="63"/>
  <c r="AL47" i="63"/>
  <c r="AJ47" i="63"/>
  <c r="AH47" i="63"/>
  <c r="AF47" i="63"/>
  <c r="AD47" i="63"/>
  <c r="AB47" i="63"/>
  <c r="Z47" i="63"/>
  <c r="X47" i="63"/>
  <c r="V47" i="63"/>
  <c r="T47" i="63"/>
  <c r="R47" i="63"/>
  <c r="P47" i="63"/>
  <c r="N47" i="63"/>
  <c r="L47" i="63"/>
  <c r="J47" i="63"/>
  <c r="H47" i="63"/>
  <c r="F47" i="63"/>
  <c r="D47" i="63"/>
  <c r="AN46" i="63"/>
  <c r="AL46" i="63"/>
  <c r="AJ46" i="63"/>
  <c r="AH46" i="63"/>
  <c r="AF46" i="63"/>
  <c r="AD46" i="63"/>
  <c r="AB46" i="63"/>
  <c r="Z46" i="63"/>
  <c r="X46" i="63"/>
  <c r="V46" i="63"/>
  <c r="T46" i="63"/>
  <c r="R46" i="63"/>
  <c r="P46" i="63"/>
  <c r="N46" i="63"/>
  <c r="L46" i="63"/>
  <c r="J46" i="63"/>
  <c r="H46" i="63"/>
  <c r="F46" i="63"/>
  <c r="D46" i="63"/>
  <c r="AN45" i="63"/>
  <c r="AL45" i="63"/>
  <c r="AJ45" i="63"/>
  <c r="AH45" i="63"/>
  <c r="AF45" i="63"/>
  <c r="AD45" i="63"/>
  <c r="AB45" i="63"/>
  <c r="Z45" i="63"/>
  <c r="X45" i="63"/>
  <c r="V45" i="63"/>
  <c r="T45" i="63"/>
  <c r="R45" i="63"/>
  <c r="P45" i="63"/>
  <c r="N45" i="63"/>
  <c r="L45" i="63"/>
  <c r="J45" i="63"/>
  <c r="H45" i="63"/>
  <c r="F45" i="63"/>
  <c r="D45" i="63"/>
  <c r="AN44" i="63"/>
  <c r="AL44" i="63"/>
  <c r="AJ44" i="63"/>
  <c r="AH44" i="63"/>
  <c r="AF44" i="63"/>
  <c r="AD44" i="63"/>
  <c r="AB44" i="63"/>
  <c r="Z44" i="63"/>
  <c r="X44" i="63"/>
  <c r="V44" i="63"/>
  <c r="T44" i="63"/>
  <c r="R44" i="63"/>
  <c r="P44" i="63"/>
  <c r="N44" i="63"/>
  <c r="L44" i="63"/>
  <c r="J44" i="63"/>
  <c r="H44" i="63"/>
  <c r="F44" i="63"/>
  <c r="D44" i="63"/>
  <c r="AN43" i="63"/>
  <c r="AL43" i="63"/>
  <c r="AJ43" i="63"/>
  <c r="AH43" i="63"/>
  <c r="AF43" i="63"/>
  <c r="AD43" i="63"/>
  <c r="AB43" i="63"/>
  <c r="Z43" i="63"/>
  <c r="X43" i="63"/>
  <c r="V43" i="63"/>
  <c r="T43" i="63"/>
  <c r="R43" i="63"/>
  <c r="P43" i="63"/>
  <c r="N43" i="63"/>
  <c r="L43" i="63"/>
  <c r="J43" i="63"/>
  <c r="H43" i="63"/>
  <c r="F43" i="63"/>
  <c r="D43" i="63"/>
  <c r="AN42" i="63"/>
  <c r="AL42" i="63"/>
  <c r="AJ42" i="63"/>
  <c r="AH42" i="63"/>
  <c r="AF42" i="63"/>
  <c r="AD42" i="63"/>
  <c r="AB42" i="63"/>
  <c r="Z42" i="63"/>
  <c r="X42" i="63"/>
  <c r="V42" i="63"/>
  <c r="T42" i="63"/>
  <c r="R42" i="63"/>
  <c r="P42" i="63"/>
  <c r="N42" i="63"/>
  <c r="L42" i="63"/>
  <c r="J42" i="63"/>
  <c r="H42" i="63"/>
  <c r="F42" i="63"/>
  <c r="D42" i="63"/>
  <c r="AN41" i="63"/>
  <c r="AL41" i="63"/>
  <c r="AJ41" i="63"/>
  <c r="AH41" i="63"/>
  <c r="AF41" i="63"/>
  <c r="AD41" i="63"/>
  <c r="AB41" i="63"/>
  <c r="Z41" i="63"/>
  <c r="X41" i="63"/>
  <c r="V41" i="63"/>
  <c r="T41" i="63"/>
  <c r="R41" i="63"/>
  <c r="P41" i="63"/>
  <c r="N41" i="63"/>
  <c r="L41" i="63"/>
  <c r="J41" i="63"/>
  <c r="H41" i="63"/>
  <c r="F41" i="63"/>
  <c r="D41" i="63"/>
  <c r="AN40" i="63"/>
  <c r="AL40" i="63"/>
  <c r="AJ40" i="63"/>
  <c r="AH40" i="63"/>
  <c r="AF40" i="63"/>
  <c r="AD40" i="63"/>
  <c r="AB40" i="63"/>
  <c r="Z40" i="63"/>
  <c r="X40" i="63"/>
  <c r="V40" i="63"/>
  <c r="T40" i="63"/>
  <c r="R40" i="63"/>
  <c r="P40" i="63"/>
  <c r="N40" i="63"/>
  <c r="L40" i="63"/>
  <c r="J40" i="63"/>
  <c r="H40" i="63"/>
  <c r="F40" i="63"/>
  <c r="D40" i="63"/>
  <c r="AN39" i="63"/>
  <c r="AL39" i="63"/>
  <c r="AJ39" i="63"/>
  <c r="AH39" i="63"/>
  <c r="AF39" i="63"/>
  <c r="AD39" i="63"/>
  <c r="AB39" i="63"/>
  <c r="Z39" i="63"/>
  <c r="X39" i="63"/>
  <c r="V39" i="63"/>
  <c r="T39" i="63"/>
  <c r="R39" i="63"/>
  <c r="P39" i="63"/>
  <c r="N39" i="63"/>
  <c r="L39" i="63"/>
  <c r="J39" i="63"/>
  <c r="H39" i="63"/>
  <c r="F39" i="63"/>
  <c r="D39" i="63"/>
  <c r="AN37" i="63"/>
  <c r="AL37" i="63"/>
  <c r="AJ37" i="63"/>
  <c r="AH37" i="63"/>
  <c r="AF37" i="63"/>
  <c r="AD37" i="63"/>
  <c r="AB37" i="63"/>
  <c r="Z37" i="63"/>
  <c r="X37" i="63"/>
  <c r="V37" i="63"/>
  <c r="T37" i="63"/>
  <c r="R37" i="63"/>
  <c r="P37" i="63"/>
  <c r="N37" i="63"/>
  <c r="L37" i="63"/>
  <c r="J37" i="63"/>
  <c r="H37" i="63"/>
  <c r="F37" i="63"/>
  <c r="D37" i="63"/>
  <c r="B37" i="63"/>
  <c r="AN36" i="63"/>
  <c r="AL36" i="63"/>
  <c r="AJ36" i="63"/>
  <c r="AH36" i="63"/>
  <c r="AF36" i="63"/>
  <c r="AD36" i="63"/>
  <c r="AB36" i="63"/>
  <c r="Z36" i="63"/>
  <c r="X36" i="63"/>
  <c r="V36" i="63"/>
  <c r="T36" i="63"/>
  <c r="R36" i="63"/>
  <c r="P36" i="63"/>
  <c r="N36" i="63"/>
  <c r="L36" i="63"/>
  <c r="J36" i="63"/>
  <c r="H36" i="63"/>
  <c r="F36" i="63"/>
  <c r="D36" i="63"/>
  <c r="B36" i="63"/>
  <c r="AN35" i="63"/>
  <c r="AL35" i="63"/>
  <c r="AJ35" i="63"/>
  <c r="AH35" i="63"/>
  <c r="AF35" i="63"/>
  <c r="AD35" i="63"/>
  <c r="AB35" i="63"/>
  <c r="Z35" i="63"/>
  <c r="X35" i="63"/>
  <c r="V35" i="63"/>
  <c r="T35" i="63"/>
  <c r="R35" i="63"/>
  <c r="P35" i="63"/>
  <c r="N35" i="63"/>
  <c r="L35" i="63"/>
  <c r="J35" i="63"/>
  <c r="H35" i="63"/>
  <c r="F35" i="63"/>
  <c r="D35" i="63"/>
  <c r="B35" i="63"/>
  <c r="AN34" i="63"/>
  <c r="AL34" i="63"/>
  <c r="AJ34" i="63"/>
  <c r="AH34" i="63"/>
  <c r="AF34" i="63"/>
  <c r="AD34" i="63"/>
  <c r="AB34" i="63"/>
  <c r="Z34" i="63"/>
  <c r="X34" i="63"/>
  <c r="V34" i="63"/>
  <c r="T34" i="63"/>
  <c r="R34" i="63"/>
  <c r="P34" i="63"/>
  <c r="N34" i="63"/>
  <c r="L34" i="63"/>
  <c r="J34" i="63"/>
  <c r="H34" i="63"/>
  <c r="F34" i="63"/>
  <c r="D34" i="63"/>
  <c r="B34" i="63"/>
  <c r="AN33" i="63"/>
  <c r="AL33" i="63"/>
  <c r="AJ33" i="63"/>
  <c r="AH33" i="63"/>
  <c r="AF33" i="63"/>
  <c r="AD33" i="63"/>
  <c r="AB33" i="63"/>
  <c r="Z33" i="63"/>
  <c r="X33" i="63"/>
  <c r="V33" i="63"/>
  <c r="T33" i="63"/>
  <c r="R33" i="63"/>
  <c r="P33" i="63"/>
  <c r="N33" i="63"/>
  <c r="L33" i="63"/>
  <c r="J33" i="63"/>
  <c r="H33" i="63"/>
  <c r="F33" i="63"/>
  <c r="D33" i="63"/>
  <c r="B33" i="63"/>
  <c r="AN32" i="63"/>
  <c r="AL32" i="63"/>
  <c r="AJ32" i="63"/>
  <c r="AH32" i="63"/>
  <c r="AF32" i="63"/>
  <c r="AD32" i="63"/>
  <c r="AB32" i="63"/>
  <c r="Z32" i="63"/>
  <c r="X32" i="63"/>
  <c r="V32" i="63"/>
  <c r="T32" i="63"/>
  <c r="R32" i="63"/>
  <c r="P32" i="63"/>
  <c r="N32" i="63"/>
  <c r="L32" i="63"/>
  <c r="J32" i="63"/>
  <c r="H32" i="63"/>
  <c r="F32" i="63"/>
  <c r="D32" i="63"/>
  <c r="B32" i="63"/>
  <c r="AN31" i="63"/>
  <c r="AL31" i="63"/>
  <c r="AJ31" i="63"/>
  <c r="AH31" i="63"/>
  <c r="AF31" i="63"/>
  <c r="AD31" i="63"/>
  <c r="AB31" i="63"/>
  <c r="Z31" i="63"/>
  <c r="X31" i="63"/>
  <c r="V31" i="63"/>
  <c r="T31" i="63"/>
  <c r="R31" i="63"/>
  <c r="P31" i="63"/>
  <c r="N31" i="63"/>
  <c r="L31" i="63"/>
  <c r="J31" i="63"/>
  <c r="H31" i="63"/>
  <c r="F31" i="63"/>
  <c r="D31" i="63"/>
  <c r="B31" i="63"/>
  <c r="AN30" i="63"/>
  <c r="AL30" i="63"/>
  <c r="AJ30" i="63"/>
  <c r="AH30" i="63"/>
  <c r="AF30" i="63"/>
  <c r="AD30" i="63"/>
  <c r="AB30" i="63"/>
  <c r="Z30" i="63"/>
  <c r="X30" i="63"/>
  <c r="V30" i="63"/>
  <c r="T30" i="63"/>
  <c r="R30" i="63"/>
  <c r="P30" i="63"/>
  <c r="N30" i="63"/>
  <c r="L30" i="63"/>
  <c r="J30" i="63"/>
  <c r="H30" i="63"/>
  <c r="F30" i="63"/>
  <c r="D30" i="63"/>
  <c r="B30" i="63"/>
  <c r="AN29" i="63"/>
  <c r="AL29" i="63"/>
  <c r="AJ29" i="63"/>
  <c r="AH29" i="63"/>
  <c r="AF29" i="63"/>
  <c r="AD29" i="63"/>
  <c r="AB29" i="63"/>
  <c r="Z29" i="63"/>
  <c r="X29" i="63"/>
  <c r="V29" i="63"/>
  <c r="T29" i="63"/>
  <c r="R29" i="63"/>
  <c r="P29" i="63"/>
  <c r="N29" i="63"/>
  <c r="L29" i="63"/>
  <c r="J29" i="63"/>
  <c r="H29" i="63"/>
  <c r="F29" i="63"/>
  <c r="D29" i="63"/>
  <c r="B29" i="63"/>
  <c r="AN28" i="63"/>
  <c r="AL28" i="63"/>
  <c r="AJ28" i="63"/>
  <c r="AH28" i="63"/>
  <c r="AF28" i="63"/>
  <c r="AD28" i="63"/>
  <c r="AB28" i="63"/>
  <c r="Z28" i="63"/>
  <c r="X28" i="63"/>
  <c r="V28" i="63"/>
  <c r="T28" i="63"/>
  <c r="R28" i="63"/>
  <c r="P28" i="63"/>
  <c r="N28" i="63"/>
  <c r="L28" i="63"/>
  <c r="J28" i="63"/>
  <c r="H28" i="63"/>
  <c r="F28" i="63"/>
  <c r="D28" i="63"/>
  <c r="B28" i="63"/>
  <c r="AN27" i="63"/>
  <c r="AN38" i="63" s="1"/>
  <c r="AM38" i="63" s="1"/>
  <c r="AM67" i="63" s="1"/>
  <c r="AL27" i="63"/>
  <c r="AL38" i="63" s="1"/>
  <c r="AK38" i="63" s="1"/>
  <c r="AK67" i="63" s="1"/>
  <c r="W20" i="32" s="1"/>
  <c r="W107" i="32" s="1"/>
  <c r="AJ27" i="63"/>
  <c r="AJ38" i="63" s="1"/>
  <c r="AI38" i="63" s="1"/>
  <c r="AI67" i="63" s="1"/>
  <c r="AH27" i="63"/>
  <c r="AH38" i="63" s="1"/>
  <c r="AG38" i="63" s="1"/>
  <c r="AG67" i="63" s="1"/>
  <c r="AF27" i="63"/>
  <c r="AF38" i="63" s="1"/>
  <c r="AE38" i="63" s="1"/>
  <c r="AE67" i="63" s="1"/>
  <c r="AD27" i="63"/>
  <c r="AD38" i="63" s="1"/>
  <c r="AC38" i="63" s="1"/>
  <c r="AC67" i="63" s="1"/>
  <c r="S20" i="32" s="1"/>
  <c r="S107" i="32" s="1"/>
  <c r="AB27" i="63"/>
  <c r="AB38" i="63" s="1"/>
  <c r="AA38" i="63" s="1"/>
  <c r="AA67" i="63" s="1"/>
  <c r="Z27" i="63"/>
  <c r="Z38" i="63" s="1"/>
  <c r="Y38" i="63" s="1"/>
  <c r="Y67" i="63" s="1"/>
  <c r="X27" i="63"/>
  <c r="X38" i="63" s="1"/>
  <c r="W38" i="63" s="1"/>
  <c r="W67" i="63" s="1"/>
  <c r="V27" i="63"/>
  <c r="V38" i="63" s="1"/>
  <c r="U38" i="63" s="1"/>
  <c r="U67" i="63" s="1"/>
  <c r="O20" i="32" s="1"/>
  <c r="O107" i="32" s="1"/>
  <c r="T27" i="63"/>
  <c r="T38" i="63" s="1"/>
  <c r="S38" i="63" s="1"/>
  <c r="S67" i="63" s="1"/>
  <c r="R27" i="63"/>
  <c r="R38" i="63" s="1"/>
  <c r="Q38" i="63" s="1"/>
  <c r="Q67" i="63" s="1"/>
  <c r="P27" i="63"/>
  <c r="P38" i="63" s="1"/>
  <c r="O38" i="63" s="1"/>
  <c r="O67" i="63" s="1"/>
  <c r="N27" i="63"/>
  <c r="N38" i="63" s="1"/>
  <c r="M38" i="63" s="1"/>
  <c r="M67" i="63" s="1"/>
  <c r="K20" i="32" s="1"/>
  <c r="K107" i="32" s="1"/>
  <c r="L27" i="63"/>
  <c r="L38" i="63" s="1"/>
  <c r="K38" i="63" s="1"/>
  <c r="K67" i="63" s="1"/>
  <c r="J27" i="63"/>
  <c r="J38" i="63" s="1"/>
  <c r="I38" i="63" s="1"/>
  <c r="I67" i="63" s="1"/>
  <c r="H27" i="63"/>
  <c r="H38" i="63" s="1"/>
  <c r="G38" i="63" s="1"/>
  <c r="G67" i="63" s="1"/>
  <c r="F27" i="63"/>
  <c r="F38" i="63" s="1"/>
  <c r="E38" i="63" s="1"/>
  <c r="E67" i="63" s="1"/>
  <c r="G20" i="32" s="1"/>
  <c r="G107" i="32" s="1"/>
  <c r="D27" i="63"/>
  <c r="AN25" i="63"/>
  <c r="AL25" i="63"/>
  <c r="AJ25" i="63"/>
  <c r="AH25" i="63"/>
  <c r="AF25" i="63"/>
  <c r="AD25" i="63"/>
  <c r="AB25" i="63"/>
  <c r="Z25" i="63"/>
  <c r="X25" i="63"/>
  <c r="V25" i="63"/>
  <c r="T25" i="63"/>
  <c r="R25" i="63"/>
  <c r="P25" i="63"/>
  <c r="N25" i="63"/>
  <c r="L25" i="63"/>
  <c r="J25" i="63"/>
  <c r="H25" i="63"/>
  <c r="F25" i="63"/>
  <c r="D25" i="63"/>
  <c r="AN24" i="63"/>
  <c r="AL24" i="63"/>
  <c r="AJ24" i="63"/>
  <c r="AH24" i="63"/>
  <c r="AF24" i="63"/>
  <c r="AD24" i="63"/>
  <c r="AB24" i="63"/>
  <c r="Z24" i="63"/>
  <c r="X24" i="63"/>
  <c r="V24" i="63"/>
  <c r="T24" i="63"/>
  <c r="R24" i="63"/>
  <c r="P24" i="63"/>
  <c r="N24" i="63"/>
  <c r="L24" i="63"/>
  <c r="J24" i="63"/>
  <c r="H24" i="63"/>
  <c r="F24" i="63"/>
  <c r="D24" i="63"/>
  <c r="AN23" i="63"/>
  <c r="AL23" i="63"/>
  <c r="AJ23" i="63"/>
  <c r="AH23" i="63"/>
  <c r="AF23" i="63"/>
  <c r="AD23" i="63"/>
  <c r="AB23" i="63"/>
  <c r="Z23" i="63"/>
  <c r="X23" i="63"/>
  <c r="V23" i="63"/>
  <c r="T23" i="63"/>
  <c r="R23" i="63"/>
  <c r="P23" i="63"/>
  <c r="N23" i="63"/>
  <c r="L23" i="63"/>
  <c r="J23" i="63"/>
  <c r="H23" i="63"/>
  <c r="F23" i="63"/>
  <c r="D23" i="63"/>
  <c r="AN22" i="63"/>
  <c r="AL22" i="63"/>
  <c r="AJ22" i="63"/>
  <c r="AH22" i="63"/>
  <c r="AF22" i="63"/>
  <c r="AD22" i="63"/>
  <c r="AB22" i="63"/>
  <c r="Z22" i="63"/>
  <c r="X22" i="63"/>
  <c r="V22" i="63"/>
  <c r="T22" i="63"/>
  <c r="R22" i="63"/>
  <c r="P22" i="63"/>
  <c r="N22" i="63"/>
  <c r="L22" i="63"/>
  <c r="J22" i="63"/>
  <c r="H22" i="63"/>
  <c r="F22" i="63"/>
  <c r="D22" i="63"/>
  <c r="AN21" i="63"/>
  <c r="AL21" i="63"/>
  <c r="AJ21" i="63"/>
  <c r="AH21" i="63"/>
  <c r="AF21" i="63"/>
  <c r="AD21" i="63"/>
  <c r="AB21" i="63"/>
  <c r="Z21" i="63"/>
  <c r="X21" i="63"/>
  <c r="V21" i="63"/>
  <c r="T21" i="63"/>
  <c r="R21" i="63"/>
  <c r="P21" i="63"/>
  <c r="N21" i="63"/>
  <c r="L21" i="63"/>
  <c r="J21" i="63"/>
  <c r="H21" i="63"/>
  <c r="F21" i="63"/>
  <c r="D21" i="63"/>
  <c r="AN20" i="63"/>
  <c r="AL20" i="63"/>
  <c r="AJ20" i="63"/>
  <c r="AH20" i="63"/>
  <c r="AF20" i="63"/>
  <c r="AD20" i="63"/>
  <c r="AB20" i="63"/>
  <c r="Z20" i="63"/>
  <c r="X20" i="63"/>
  <c r="V20" i="63"/>
  <c r="T20" i="63"/>
  <c r="R20" i="63"/>
  <c r="P20" i="63"/>
  <c r="N20" i="63"/>
  <c r="L20" i="63"/>
  <c r="J20" i="63"/>
  <c r="H20" i="63"/>
  <c r="F20" i="63"/>
  <c r="D20" i="63"/>
  <c r="AN19" i="63"/>
  <c r="AL19" i="63"/>
  <c r="AJ19" i="63"/>
  <c r="AH19" i="63"/>
  <c r="AF19" i="63"/>
  <c r="AD19" i="63"/>
  <c r="AB19" i="63"/>
  <c r="Z19" i="63"/>
  <c r="X19" i="63"/>
  <c r="V19" i="63"/>
  <c r="T19" i="63"/>
  <c r="R19" i="63"/>
  <c r="P19" i="63"/>
  <c r="N19" i="63"/>
  <c r="L19" i="63"/>
  <c r="J19" i="63"/>
  <c r="H19" i="63"/>
  <c r="F19" i="63"/>
  <c r="D19" i="63"/>
  <c r="AN18" i="63"/>
  <c r="AL18" i="63"/>
  <c r="AJ18" i="63"/>
  <c r="AH18" i="63"/>
  <c r="AF18" i="63"/>
  <c r="AD18" i="63"/>
  <c r="AB18" i="63"/>
  <c r="Z18" i="63"/>
  <c r="X18" i="63"/>
  <c r="V18" i="63"/>
  <c r="T18" i="63"/>
  <c r="R18" i="63"/>
  <c r="P18" i="63"/>
  <c r="N18" i="63"/>
  <c r="L18" i="63"/>
  <c r="J18" i="63"/>
  <c r="H18" i="63"/>
  <c r="F18" i="63"/>
  <c r="D18" i="63"/>
  <c r="AN17" i="63"/>
  <c r="AL17" i="63"/>
  <c r="AJ17" i="63"/>
  <c r="AH17" i="63"/>
  <c r="AF17" i="63"/>
  <c r="AD17" i="63"/>
  <c r="AB17" i="63"/>
  <c r="Z17" i="63"/>
  <c r="X17" i="63"/>
  <c r="V17" i="63"/>
  <c r="T17" i="63"/>
  <c r="R17" i="63"/>
  <c r="P17" i="63"/>
  <c r="N17" i="63"/>
  <c r="L17" i="63"/>
  <c r="J17" i="63"/>
  <c r="H17" i="63"/>
  <c r="F17" i="63"/>
  <c r="D17" i="63"/>
  <c r="AN16" i="63"/>
  <c r="AL16" i="63"/>
  <c r="AJ16" i="63"/>
  <c r="AH16" i="63"/>
  <c r="AF16" i="63"/>
  <c r="AD16" i="63"/>
  <c r="AB16" i="63"/>
  <c r="Z16" i="63"/>
  <c r="X16" i="63"/>
  <c r="V16" i="63"/>
  <c r="T16" i="63"/>
  <c r="R16" i="63"/>
  <c r="P16" i="63"/>
  <c r="N16" i="63"/>
  <c r="L16" i="63"/>
  <c r="J16" i="63"/>
  <c r="H16" i="63"/>
  <c r="F16" i="63"/>
  <c r="D16" i="63"/>
  <c r="AN15" i="63"/>
  <c r="AL15" i="63"/>
  <c r="AJ15" i="63"/>
  <c r="AH15" i="63"/>
  <c r="AF15" i="63"/>
  <c r="AD15" i="63"/>
  <c r="AB15" i="63"/>
  <c r="Z15" i="63"/>
  <c r="X15" i="63"/>
  <c r="V15" i="63"/>
  <c r="T15" i="63"/>
  <c r="R15" i="63"/>
  <c r="P15" i="63"/>
  <c r="N15" i="63"/>
  <c r="L15" i="63"/>
  <c r="J15" i="63"/>
  <c r="H15" i="63"/>
  <c r="F15" i="63"/>
  <c r="D15" i="63"/>
  <c r="AN14" i="63"/>
  <c r="AL14" i="63"/>
  <c r="AJ14" i="63"/>
  <c r="AH14" i="63"/>
  <c r="AF14" i="63"/>
  <c r="AD14" i="63"/>
  <c r="AB14" i="63"/>
  <c r="Z14" i="63"/>
  <c r="X14" i="63"/>
  <c r="V14" i="63"/>
  <c r="T14" i="63"/>
  <c r="R14" i="63"/>
  <c r="P14" i="63"/>
  <c r="N14" i="63"/>
  <c r="L14" i="63"/>
  <c r="J14" i="63"/>
  <c r="H14" i="63"/>
  <c r="F14" i="63"/>
  <c r="D14" i="63"/>
  <c r="AN13" i="63"/>
  <c r="AL13" i="63"/>
  <c r="AJ13" i="63"/>
  <c r="AH13" i="63"/>
  <c r="AF13" i="63"/>
  <c r="AD13" i="63"/>
  <c r="AB13" i="63"/>
  <c r="Z13" i="63"/>
  <c r="X13" i="63"/>
  <c r="V13" i="63"/>
  <c r="T13" i="63"/>
  <c r="R13" i="63"/>
  <c r="P13" i="63"/>
  <c r="N13" i="63"/>
  <c r="L13" i="63"/>
  <c r="J13" i="63"/>
  <c r="H13" i="63"/>
  <c r="F13" i="63"/>
  <c r="D13" i="63"/>
  <c r="AN12" i="63"/>
  <c r="AL12" i="63"/>
  <c r="AJ12" i="63"/>
  <c r="AH12" i="63"/>
  <c r="AF12" i="63"/>
  <c r="AD12" i="63"/>
  <c r="AB12" i="63"/>
  <c r="Z12" i="63"/>
  <c r="X12" i="63"/>
  <c r="V12" i="63"/>
  <c r="T12" i="63"/>
  <c r="R12" i="63"/>
  <c r="P12" i="63"/>
  <c r="N12" i="63"/>
  <c r="L12" i="63"/>
  <c r="J12" i="63"/>
  <c r="H12" i="63"/>
  <c r="F12" i="63"/>
  <c r="D12" i="63"/>
  <c r="AN11" i="63"/>
  <c r="AL11" i="63"/>
  <c r="AJ11" i="63"/>
  <c r="AH11" i="63"/>
  <c r="AF11" i="63"/>
  <c r="AD11" i="63"/>
  <c r="AB11" i="63"/>
  <c r="Z11" i="63"/>
  <c r="X11" i="63"/>
  <c r="V11" i="63"/>
  <c r="T11" i="63"/>
  <c r="R11" i="63"/>
  <c r="P11" i="63"/>
  <c r="N11" i="63"/>
  <c r="L11" i="63"/>
  <c r="J11" i="63"/>
  <c r="H11" i="63"/>
  <c r="F11" i="63"/>
  <c r="D11" i="63"/>
  <c r="AN10" i="63"/>
  <c r="AL10" i="63"/>
  <c r="AJ10" i="63"/>
  <c r="AH10" i="63"/>
  <c r="AF10" i="63"/>
  <c r="AD10" i="63"/>
  <c r="AB10" i="63"/>
  <c r="Z10" i="63"/>
  <c r="X10" i="63"/>
  <c r="V10" i="63"/>
  <c r="T10" i="63"/>
  <c r="R10" i="63"/>
  <c r="P10" i="63"/>
  <c r="N10" i="63"/>
  <c r="L10" i="63"/>
  <c r="J10" i="63"/>
  <c r="H10" i="63"/>
  <c r="F10" i="63"/>
  <c r="D10" i="63"/>
  <c r="AN9" i="63"/>
  <c r="AL9" i="63"/>
  <c r="AJ9" i="63"/>
  <c r="AH9" i="63"/>
  <c r="AF9" i="63"/>
  <c r="AD9" i="63"/>
  <c r="AB9" i="63"/>
  <c r="Z9" i="63"/>
  <c r="X9" i="63"/>
  <c r="V9" i="63"/>
  <c r="T9" i="63"/>
  <c r="R9" i="63"/>
  <c r="P9" i="63"/>
  <c r="N9" i="63"/>
  <c r="L9" i="63"/>
  <c r="J9" i="63"/>
  <c r="H9" i="63"/>
  <c r="F9" i="63"/>
  <c r="D9" i="63"/>
  <c r="AN8" i="63"/>
  <c r="AL8" i="63"/>
  <c r="AJ8" i="63"/>
  <c r="AH8" i="63"/>
  <c r="AF8" i="63"/>
  <c r="AD8" i="63"/>
  <c r="AB8" i="63"/>
  <c r="Z8" i="63"/>
  <c r="X8" i="63"/>
  <c r="V8" i="63"/>
  <c r="T8" i="63"/>
  <c r="R8" i="63"/>
  <c r="P8" i="63"/>
  <c r="N8" i="63"/>
  <c r="L8" i="63"/>
  <c r="J8" i="63"/>
  <c r="H8" i="63"/>
  <c r="F8" i="63"/>
  <c r="D8" i="63"/>
  <c r="AN7" i="63"/>
  <c r="AL7" i="63"/>
  <c r="AJ7" i="63"/>
  <c r="AH7" i="63"/>
  <c r="AF7" i="63"/>
  <c r="AD7" i="63"/>
  <c r="AB7" i="63"/>
  <c r="Z7" i="63"/>
  <c r="X7" i="63"/>
  <c r="V7" i="63"/>
  <c r="T7" i="63"/>
  <c r="R7" i="63"/>
  <c r="P7" i="63"/>
  <c r="N7" i="63"/>
  <c r="L7" i="63"/>
  <c r="J7" i="63"/>
  <c r="H7" i="63"/>
  <c r="F7" i="63"/>
  <c r="D7" i="63"/>
  <c r="AN6" i="63"/>
  <c r="AL6" i="63"/>
  <c r="AJ6" i="63"/>
  <c r="AH6" i="63"/>
  <c r="AF6" i="63"/>
  <c r="AD6" i="63"/>
  <c r="AB6" i="63"/>
  <c r="Z6" i="63"/>
  <c r="X6" i="63"/>
  <c r="V6" i="63"/>
  <c r="T6" i="63"/>
  <c r="R6" i="63"/>
  <c r="P6" i="63"/>
  <c r="N6" i="63"/>
  <c r="L6" i="63"/>
  <c r="J6" i="63"/>
  <c r="H6" i="63"/>
  <c r="F6" i="63"/>
  <c r="D6" i="63"/>
  <c r="AN5" i="63"/>
  <c r="AL5" i="63"/>
  <c r="AJ5" i="63"/>
  <c r="AH5" i="63"/>
  <c r="AF5" i="63"/>
  <c r="AD5" i="63"/>
  <c r="AB5" i="63"/>
  <c r="Z5" i="63"/>
  <c r="X5" i="63"/>
  <c r="V5" i="63"/>
  <c r="T5" i="63"/>
  <c r="R5" i="63"/>
  <c r="P5" i="63"/>
  <c r="N5" i="63"/>
  <c r="L5" i="63"/>
  <c r="J5" i="63"/>
  <c r="H5" i="63"/>
  <c r="F5" i="63"/>
  <c r="D5" i="63"/>
  <c r="AN4" i="63"/>
  <c r="AL4" i="63"/>
  <c r="AJ4" i="63"/>
  <c r="AH4" i="63"/>
  <c r="AF4" i="63"/>
  <c r="AD4" i="63"/>
  <c r="AB4" i="63"/>
  <c r="Z4" i="63"/>
  <c r="X4" i="63"/>
  <c r="V4" i="63"/>
  <c r="T4" i="63"/>
  <c r="R4" i="63"/>
  <c r="P4" i="63"/>
  <c r="N4" i="63"/>
  <c r="L4" i="63"/>
  <c r="J4" i="63"/>
  <c r="H4" i="63"/>
  <c r="F4" i="63"/>
  <c r="D4" i="63"/>
  <c r="T1" i="63"/>
  <c r="L1" i="63"/>
  <c r="AN61" i="62"/>
  <c r="AL61" i="62"/>
  <c r="AJ61" i="62"/>
  <c r="AH61" i="62"/>
  <c r="AF61" i="62"/>
  <c r="AD61" i="62"/>
  <c r="AB61" i="62"/>
  <c r="Z61" i="62"/>
  <c r="X61" i="62"/>
  <c r="V61" i="62"/>
  <c r="T61" i="62"/>
  <c r="R61" i="62"/>
  <c r="P61" i="62"/>
  <c r="N61" i="62"/>
  <c r="L61" i="62"/>
  <c r="J61" i="62"/>
  <c r="H61" i="62"/>
  <c r="F61" i="62"/>
  <c r="D61" i="62"/>
  <c r="AN60" i="62"/>
  <c r="AL60" i="62"/>
  <c r="AJ60" i="62"/>
  <c r="AH60" i="62"/>
  <c r="AF60" i="62"/>
  <c r="AD60" i="62"/>
  <c r="AB60" i="62"/>
  <c r="Z60" i="62"/>
  <c r="X60" i="62"/>
  <c r="V60" i="62"/>
  <c r="T60" i="62"/>
  <c r="R60" i="62"/>
  <c r="P60" i="62"/>
  <c r="N60" i="62"/>
  <c r="L60" i="62"/>
  <c r="J60" i="62"/>
  <c r="H60" i="62"/>
  <c r="F60" i="62"/>
  <c r="D60" i="62"/>
  <c r="AN59" i="62"/>
  <c r="AL59" i="62"/>
  <c r="AJ59" i="62"/>
  <c r="AH59" i="62"/>
  <c r="AF59" i="62"/>
  <c r="AD59" i="62"/>
  <c r="AB59" i="62"/>
  <c r="Z59" i="62"/>
  <c r="X59" i="62"/>
  <c r="V59" i="62"/>
  <c r="T59" i="62"/>
  <c r="R59" i="62"/>
  <c r="P59" i="62"/>
  <c r="N59" i="62"/>
  <c r="L59" i="62"/>
  <c r="J59" i="62"/>
  <c r="H59" i="62"/>
  <c r="F59" i="62"/>
  <c r="D59" i="62"/>
  <c r="AN58" i="62"/>
  <c r="AL58" i="62"/>
  <c r="AJ58" i="62"/>
  <c r="AH58" i="62"/>
  <c r="AF58" i="62"/>
  <c r="AD58" i="62"/>
  <c r="AB58" i="62"/>
  <c r="Z58" i="62"/>
  <c r="X58" i="62"/>
  <c r="V58" i="62"/>
  <c r="T58" i="62"/>
  <c r="R58" i="62"/>
  <c r="P58" i="62"/>
  <c r="N58" i="62"/>
  <c r="L58" i="62"/>
  <c r="J58" i="62"/>
  <c r="H58" i="62"/>
  <c r="F58" i="62"/>
  <c r="D58" i="62"/>
  <c r="AN57" i="62"/>
  <c r="AL57" i="62"/>
  <c r="AJ57" i="62"/>
  <c r="AH57" i="62"/>
  <c r="AF57" i="62"/>
  <c r="AD57" i="62"/>
  <c r="AB57" i="62"/>
  <c r="Z57" i="62"/>
  <c r="X57" i="62"/>
  <c r="V57" i="62"/>
  <c r="T57" i="62"/>
  <c r="R57" i="62"/>
  <c r="P57" i="62"/>
  <c r="N57" i="62"/>
  <c r="L57" i="62"/>
  <c r="J57" i="62"/>
  <c r="H57" i="62"/>
  <c r="F57" i="62"/>
  <c r="D57" i="62"/>
  <c r="AN56" i="62"/>
  <c r="AL56" i="62"/>
  <c r="AJ56" i="62"/>
  <c r="AH56" i="62"/>
  <c r="AF56" i="62"/>
  <c r="AD56" i="62"/>
  <c r="AB56" i="62"/>
  <c r="Z56" i="62"/>
  <c r="X56" i="62"/>
  <c r="V56" i="62"/>
  <c r="T56" i="62"/>
  <c r="R56" i="62"/>
  <c r="P56" i="62"/>
  <c r="N56" i="62"/>
  <c r="L56" i="62"/>
  <c r="J56" i="62"/>
  <c r="H56" i="62"/>
  <c r="F56" i="62"/>
  <c r="D56" i="62"/>
  <c r="AN55" i="62"/>
  <c r="AL55" i="62"/>
  <c r="AJ55" i="62"/>
  <c r="AH55" i="62"/>
  <c r="AF55" i="62"/>
  <c r="AD55" i="62"/>
  <c r="AB55" i="62"/>
  <c r="Z55" i="62"/>
  <c r="X55" i="62"/>
  <c r="V55" i="62"/>
  <c r="T55" i="62"/>
  <c r="R55" i="62"/>
  <c r="P55" i="62"/>
  <c r="N55" i="62"/>
  <c r="L55" i="62"/>
  <c r="J55" i="62"/>
  <c r="H55" i="62"/>
  <c r="F55" i="62"/>
  <c r="D55" i="62"/>
  <c r="AN54" i="62"/>
  <c r="AL54" i="62"/>
  <c r="AJ54" i="62"/>
  <c r="AH54" i="62"/>
  <c r="AF54" i="62"/>
  <c r="AD54" i="62"/>
  <c r="AB54" i="62"/>
  <c r="Z54" i="62"/>
  <c r="X54" i="62"/>
  <c r="V54" i="62"/>
  <c r="T54" i="62"/>
  <c r="R54" i="62"/>
  <c r="P54" i="62"/>
  <c r="N54" i="62"/>
  <c r="L54" i="62"/>
  <c r="J54" i="62"/>
  <c r="H54" i="62"/>
  <c r="F54" i="62"/>
  <c r="D54" i="62"/>
  <c r="AN53" i="62"/>
  <c r="AL53" i="62"/>
  <c r="AJ53" i="62"/>
  <c r="AH53" i="62"/>
  <c r="AF53" i="62"/>
  <c r="AD53" i="62"/>
  <c r="AB53" i="62"/>
  <c r="Z53" i="62"/>
  <c r="X53" i="62"/>
  <c r="V53" i="62"/>
  <c r="T53" i="62"/>
  <c r="R53" i="62"/>
  <c r="P53" i="62"/>
  <c r="N53" i="62"/>
  <c r="L53" i="62"/>
  <c r="J53" i="62"/>
  <c r="H53" i="62"/>
  <c r="F53" i="62"/>
  <c r="D53" i="62"/>
  <c r="AN52" i="62"/>
  <c r="AL52" i="62"/>
  <c r="AJ52" i="62"/>
  <c r="AH52" i="62"/>
  <c r="AF52" i="62"/>
  <c r="AD52" i="62"/>
  <c r="AB52" i="62"/>
  <c r="Z52" i="62"/>
  <c r="X52" i="62"/>
  <c r="V52" i="62"/>
  <c r="T52" i="62"/>
  <c r="R52" i="62"/>
  <c r="P52" i="62"/>
  <c r="N52" i="62"/>
  <c r="L52" i="62"/>
  <c r="J52" i="62"/>
  <c r="H52" i="62"/>
  <c r="F52" i="62"/>
  <c r="D52" i="62"/>
  <c r="AN51" i="62"/>
  <c r="AL51" i="62"/>
  <c r="AJ51" i="62"/>
  <c r="AH51" i="62"/>
  <c r="AF51" i="62"/>
  <c r="AD51" i="62"/>
  <c r="AB51" i="62"/>
  <c r="Z51" i="62"/>
  <c r="X51" i="62"/>
  <c r="V51" i="62"/>
  <c r="T51" i="62"/>
  <c r="R51" i="62"/>
  <c r="P51" i="62"/>
  <c r="N51" i="62"/>
  <c r="L51" i="62"/>
  <c r="J51" i="62"/>
  <c r="H51" i="62"/>
  <c r="F51" i="62"/>
  <c r="D51" i="62"/>
  <c r="AN49" i="62"/>
  <c r="AL49" i="62"/>
  <c r="AJ49" i="62"/>
  <c r="AH49" i="62"/>
  <c r="AF49" i="62"/>
  <c r="AD49" i="62"/>
  <c r="AB49" i="62"/>
  <c r="Z49" i="62"/>
  <c r="X49" i="62"/>
  <c r="V49" i="62"/>
  <c r="T49" i="62"/>
  <c r="R49" i="62"/>
  <c r="P49" i="62"/>
  <c r="N49" i="62"/>
  <c r="L49" i="62"/>
  <c r="J49" i="62"/>
  <c r="H49" i="62"/>
  <c r="F49" i="62"/>
  <c r="D49" i="62"/>
  <c r="AN48" i="62"/>
  <c r="AL48" i="62"/>
  <c r="AJ48" i="62"/>
  <c r="AH48" i="62"/>
  <c r="AF48" i="62"/>
  <c r="AD48" i="62"/>
  <c r="AB48" i="62"/>
  <c r="Z48" i="62"/>
  <c r="X48" i="62"/>
  <c r="V48" i="62"/>
  <c r="T48" i="62"/>
  <c r="R48" i="62"/>
  <c r="P48" i="62"/>
  <c r="N48" i="62"/>
  <c r="L48" i="62"/>
  <c r="J48" i="62"/>
  <c r="H48" i="62"/>
  <c r="F48" i="62"/>
  <c r="D48" i="62"/>
  <c r="AN47" i="62"/>
  <c r="AL47" i="62"/>
  <c r="AJ47" i="62"/>
  <c r="AH47" i="62"/>
  <c r="AF47" i="62"/>
  <c r="AD47" i="62"/>
  <c r="AB47" i="62"/>
  <c r="Z47" i="62"/>
  <c r="X47" i="62"/>
  <c r="V47" i="62"/>
  <c r="T47" i="62"/>
  <c r="R47" i="62"/>
  <c r="P47" i="62"/>
  <c r="N47" i="62"/>
  <c r="L47" i="62"/>
  <c r="J47" i="62"/>
  <c r="H47" i="62"/>
  <c r="F47" i="62"/>
  <c r="D47" i="62"/>
  <c r="AN46" i="62"/>
  <c r="AL46" i="62"/>
  <c r="AJ46" i="62"/>
  <c r="AH46" i="62"/>
  <c r="AF46" i="62"/>
  <c r="AD46" i="62"/>
  <c r="AB46" i="62"/>
  <c r="Z46" i="62"/>
  <c r="X46" i="62"/>
  <c r="V46" i="62"/>
  <c r="T46" i="62"/>
  <c r="R46" i="62"/>
  <c r="P46" i="62"/>
  <c r="N46" i="62"/>
  <c r="L46" i="62"/>
  <c r="J46" i="62"/>
  <c r="H46" i="62"/>
  <c r="F46" i="62"/>
  <c r="D46" i="62"/>
  <c r="AN45" i="62"/>
  <c r="AL45" i="62"/>
  <c r="AJ45" i="62"/>
  <c r="AH45" i="62"/>
  <c r="AF45" i="62"/>
  <c r="AD45" i="62"/>
  <c r="AB45" i="62"/>
  <c r="Z45" i="62"/>
  <c r="X45" i="62"/>
  <c r="V45" i="62"/>
  <c r="T45" i="62"/>
  <c r="R45" i="62"/>
  <c r="P45" i="62"/>
  <c r="N45" i="62"/>
  <c r="L45" i="62"/>
  <c r="J45" i="62"/>
  <c r="H45" i="62"/>
  <c r="F45" i="62"/>
  <c r="D45" i="62"/>
  <c r="AN44" i="62"/>
  <c r="AL44" i="62"/>
  <c r="AJ44" i="62"/>
  <c r="AH44" i="62"/>
  <c r="AF44" i="62"/>
  <c r="AD44" i="62"/>
  <c r="AB44" i="62"/>
  <c r="Z44" i="62"/>
  <c r="X44" i="62"/>
  <c r="V44" i="62"/>
  <c r="T44" i="62"/>
  <c r="R44" i="62"/>
  <c r="P44" i="62"/>
  <c r="N44" i="62"/>
  <c r="L44" i="62"/>
  <c r="J44" i="62"/>
  <c r="H44" i="62"/>
  <c r="F44" i="62"/>
  <c r="D44" i="62"/>
  <c r="AN43" i="62"/>
  <c r="AL43" i="62"/>
  <c r="AJ43" i="62"/>
  <c r="AH43" i="62"/>
  <c r="AF43" i="62"/>
  <c r="AD43" i="62"/>
  <c r="AB43" i="62"/>
  <c r="Z43" i="62"/>
  <c r="X43" i="62"/>
  <c r="V43" i="62"/>
  <c r="T43" i="62"/>
  <c r="R43" i="62"/>
  <c r="P43" i="62"/>
  <c r="N43" i="62"/>
  <c r="L43" i="62"/>
  <c r="J43" i="62"/>
  <c r="H43" i="62"/>
  <c r="F43" i="62"/>
  <c r="D43" i="62"/>
  <c r="AN42" i="62"/>
  <c r="AL42" i="62"/>
  <c r="AJ42" i="62"/>
  <c r="AH42" i="62"/>
  <c r="AF42" i="62"/>
  <c r="AD42" i="62"/>
  <c r="AB42" i="62"/>
  <c r="Z42" i="62"/>
  <c r="X42" i="62"/>
  <c r="V42" i="62"/>
  <c r="T42" i="62"/>
  <c r="R42" i="62"/>
  <c r="P42" i="62"/>
  <c r="N42" i="62"/>
  <c r="L42" i="62"/>
  <c r="J42" i="62"/>
  <c r="H42" i="62"/>
  <c r="F42" i="62"/>
  <c r="D42" i="62"/>
  <c r="AN41" i="62"/>
  <c r="AL41" i="62"/>
  <c r="AJ41" i="62"/>
  <c r="AH41" i="62"/>
  <c r="AF41" i="62"/>
  <c r="AD41" i="62"/>
  <c r="AB41" i="62"/>
  <c r="Z41" i="62"/>
  <c r="X41" i="62"/>
  <c r="V41" i="62"/>
  <c r="T41" i="62"/>
  <c r="R41" i="62"/>
  <c r="P41" i="62"/>
  <c r="N41" i="62"/>
  <c r="L41" i="62"/>
  <c r="J41" i="62"/>
  <c r="H41" i="62"/>
  <c r="F41" i="62"/>
  <c r="D41" i="62"/>
  <c r="AN40" i="62"/>
  <c r="AL40" i="62"/>
  <c r="AJ40" i="62"/>
  <c r="AH40" i="62"/>
  <c r="AF40" i="62"/>
  <c r="AD40" i="62"/>
  <c r="AB40" i="62"/>
  <c r="Z40" i="62"/>
  <c r="X40" i="62"/>
  <c r="V40" i="62"/>
  <c r="T40" i="62"/>
  <c r="R40" i="62"/>
  <c r="P40" i="62"/>
  <c r="N40" i="62"/>
  <c r="L40" i="62"/>
  <c r="J40" i="62"/>
  <c r="H40" i="62"/>
  <c r="F40" i="62"/>
  <c r="D40" i="62"/>
  <c r="AN39" i="62"/>
  <c r="AL39" i="62"/>
  <c r="AJ39" i="62"/>
  <c r="AH39" i="62"/>
  <c r="AF39" i="62"/>
  <c r="AD39" i="62"/>
  <c r="AB39" i="62"/>
  <c r="Z39" i="62"/>
  <c r="X39" i="62"/>
  <c r="V39" i="62"/>
  <c r="T39" i="62"/>
  <c r="R39" i="62"/>
  <c r="P39" i="62"/>
  <c r="N39" i="62"/>
  <c r="L39" i="62"/>
  <c r="J39" i="62"/>
  <c r="H39" i="62"/>
  <c r="F39" i="62"/>
  <c r="D39" i="62"/>
  <c r="AN37" i="62"/>
  <c r="AL37" i="62"/>
  <c r="AJ37" i="62"/>
  <c r="AH37" i="62"/>
  <c r="AF37" i="62"/>
  <c r="AD37" i="62"/>
  <c r="AB37" i="62"/>
  <c r="Z37" i="62"/>
  <c r="X37" i="62"/>
  <c r="V37" i="62"/>
  <c r="T37" i="62"/>
  <c r="R37" i="62"/>
  <c r="P37" i="62"/>
  <c r="N37" i="62"/>
  <c r="L37" i="62"/>
  <c r="J37" i="62"/>
  <c r="H37" i="62"/>
  <c r="F37" i="62"/>
  <c r="D37" i="62"/>
  <c r="B37" i="62"/>
  <c r="AN36" i="62"/>
  <c r="AL36" i="62"/>
  <c r="AJ36" i="62"/>
  <c r="AH36" i="62"/>
  <c r="AF36" i="62"/>
  <c r="AD36" i="62"/>
  <c r="AB36" i="62"/>
  <c r="Z36" i="62"/>
  <c r="X36" i="62"/>
  <c r="V36" i="62"/>
  <c r="T36" i="62"/>
  <c r="R36" i="62"/>
  <c r="P36" i="62"/>
  <c r="N36" i="62"/>
  <c r="L36" i="62"/>
  <c r="J36" i="62"/>
  <c r="H36" i="62"/>
  <c r="F36" i="62"/>
  <c r="D36" i="62"/>
  <c r="B36" i="62"/>
  <c r="AN35" i="62"/>
  <c r="AL35" i="62"/>
  <c r="AJ35" i="62"/>
  <c r="AH35" i="62"/>
  <c r="AF35" i="62"/>
  <c r="AD35" i="62"/>
  <c r="AB35" i="62"/>
  <c r="Z35" i="62"/>
  <c r="X35" i="62"/>
  <c r="V35" i="62"/>
  <c r="T35" i="62"/>
  <c r="R35" i="62"/>
  <c r="P35" i="62"/>
  <c r="N35" i="62"/>
  <c r="L35" i="62"/>
  <c r="J35" i="62"/>
  <c r="H35" i="62"/>
  <c r="F35" i="62"/>
  <c r="D35" i="62"/>
  <c r="B35" i="62"/>
  <c r="AN34" i="62"/>
  <c r="AL34" i="62"/>
  <c r="AJ34" i="62"/>
  <c r="AH34" i="62"/>
  <c r="AF34" i="62"/>
  <c r="AD34" i="62"/>
  <c r="AB34" i="62"/>
  <c r="Z34" i="62"/>
  <c r="X34" i="62"/>
  <c r="V34" i="62"/>
  <c r="T34" i="62"/>
  <c r="R34" i="62"/>
  <c r="P34" i="62"/>
  <c r="N34" i="62"/>
  <c r="L34" i="62"/>
  <c r="J34" i="62"/>
  <c r="H34" i="62"/>
  <c r="F34" i="62"/>
  <c r="D34" i="62"/>
  <c r="B34" i="62"/>
  <c r="AN33" i="62"/>
  <c r="AL33" i="62"/>
  <c r="AJ33" i="62"/>
  <c r="AH33" i="62"/>
  <c r="AF33" i="62"/>
  <c r="AD33" i="62"/>
  <c r="AB33" i="62"/>
  <c r="Z33" i="62"/>
  <c r="X33" i="62"/>
  <c r="V33" i="62"/>
  <c r="T33" i="62"/>
  <c r="R33" i="62"/>
  <c r="P33" i="62"/>
  <c r="N33" i="62"/>
  <c r="L33" i="62"/>
  <c r="J33" i="62"/>
  <c r="H33" i="62"/>
  <c r="F33" i="62"/>
  <c r="D33" i="62"/>
  <c r="B33" i="62"/>
  <c r="AN32" i="62"/>
  <c r="AL32" i="62"/>
  <c r="AJ32" i="62"/>
  <c r="AH32" i="62"/>
  <c r="AF32" i="62"/>
  <c r="AD32" i="62"/>
  <c r="AB32" i="62"/>
  <c r="Z32" i="62"/>
  <c r="X32" i="62"/>
  <c r="V32" i="62"/>
  <c r="T32" i="62"/>
  <c r="R32" i="62"/>
  <c r="P32" i="62"/>
  <c r="N32" i="62"/>
  <c r="L32" i="62"/>
  <c r="J32" i="62"/>
  <c r="H32" i="62"/>
  <c r="F32" i="62"/>
  <c r="D32" i="62"/>
  <c r="B32" i="62"/>
  <c r="AN31" i="62"/>
  <c r="AL31" i="62"/>
  <c r="AJ31" i="62"/>
  <c r="AH31" i="62"/>
  <c r="AF31" i="62"/>
  <c r="AD31" i="62"/>
  <c r="AB31" i="62"/>
  <c r="Z31" i="62"/>
  <c r="X31" i="62"/>
  <c r="V31" i="62"/>
  <c r="T31" i="62"/>
  <c r="R31" i="62"/>
  <c r="P31" i="62"/>
  <c r="N31" i="62"/>
  <c r="L31" i="62"/>
  <c r="J31" i="62"/>
  <c r="H31" i="62"/>
  <c r="F31" i="62"/>
  <c r="D31" i="62"/>
  <c r="B31" i="62"/>
  <c r="AN30" i="62"/>
  <c r="AL30" i="62"/>
  <c r="AJ30" i="62"/>
  <c r="AH30" i="62"/>
  <c r="AF30" i="62"/>
  <c r="AD30" i="62"/>
  <c r="AB30" i="62"/>
  <c r="Z30" i="62"/>
  <c r="X30" i="62"/>
  <c r="V30" i="62"/>
  <c r="T30" i="62"/>
  <c r="R30" i="62"/>
  <c r="P30" i="62"/>
  <c r="N30" i="62"/>
  <c r="L30" i="62"/>
  <c r="J30" i="62"/>
  <c r="H30" i="62"/>
  <c r="F30" i="62"/>
  <c r="D30" i="62"/>
  <c r="B30" i="62"/>
  <c r="AN29" i="62"/>
  <c r="AL29" i="62"/>
  <c r="AJ29" i="62"/>
  <c r="AH29" i="62"/>
  <c r="AF29" i="62"/>
  <c r="AD29" i="62"/>
  <c r="AB29" i="62"/>
  <c r="Z29" i="62"/>
  <c r="X29" i="62"/>
  <c r="V29" i="62"/>
  <c r="T29" i="62"/>
  <c r="R29" i="62"/>
  <c r="P29" i="62"/>
  <c r="N29" i="62"/>
  <c r="L29" i="62"/>
  <c r="J29" i="62"/>
  <c r="H29" i="62"/>
  <c r="F29" i="62"/>
  <c r="D29" i="62"/>
  <c r="B29" i="62"/>
  <c r="AN28" i="62"/>
  <c r="AL28" i="62"/>
  <c r="AJ28" i="62"/>
  <c r="AH28" i="62"/>
  <c r="AF28" i="62"/>
  <c r="AD28" i="62"/>
  <c r="AB28" i="62"/>
  <c r="Z28" i="62"/>
  <c r="X28" i="62"/>
  <c r="V28" i="62"/>
  <c r="T28" i="62"/>
  <c r="R28" i="62"/>
  <c r="P28" i="62"/>
  <c r="N28" i="62"/>
  <c r="L28" i="62"/>
  <c r="J28" i="62"/>
  <c r="H28" i="62"/>
  <c r="F28" i="62"/>
  <c r="D28" i="62"/>
  <c r="B28" i="62"/>
  <c r="AN27" i="62"/>
  <c r="AN38" i="62" s="1"/>
  <c r="AM38" i="62" s="1"/>
  <c r="AM67" i="62" s="1"/>
  <c r="AL27" i="62"/>
  <c r="AL38" i="62" s="1"/>
  <c r="AK38" i="62" s="1"/>
  <c r="AK67" i="62" s="1"/>
  <c r="AJ27" i="62"/>
  <c r="AJ38" i="62" s="1"/>
  <c r="AI38" i="62" s="1"/>
  <c r="AI67" i="62" s="1"/>
  <c r="AH27" i="62"/>
  <c r="AH38" i="62" s="1"/>
  <c r="AG38" i="62" s="1"/>
  <c r="AG67" i="62" s="1"/>
  <c r="AF27" i="62"/>
  <c r="AF38" i="62" s="1"/>
  <c r="AE38" i="62" s="1"/>
  <c r="AE67" i="62" s="1"/>
  <c r="AD27" i="62"/>
  <c r="AD38" i="62" s="1"/>
  <c r="AC38" i="62" s="1"/>
  <c r="AC67" i="62" s="1"/>
  <c r="AB27" i="62"/>
  <c r="AB38" i="62" s="1"/>
  <c r="AA38" i="62" s="1"/>
  <c r="AA67" i="62" s="1"/>
  <c r="Z27" i="62"/>
  <c r="Z38" i="62" s="1"/>
  <c r="Y38" i="62" s="1"/>
  <c r="Y67" i="62" s="1"/>
  <c r="X27" i="62"/>
  <c r="X38" i="62" s="1"/>
  <c r="W38" i="62" s="1"/>
  <c r="W67" i="62" s="1"/>
  <c r="V27" i="62"/>
  <c r="V38" i="62" s="1"/>
  <c r="U38" i="62" s="1"/>
  <c r="U67" i="62" s="1"/>
  <c r="T27" i="62"/>
  <c r="T38" i="62" s="1"/>
  <c r="S38" i="62" s="1"/>
  <c r="S67" i="62" s="1"/>
  <c r="R27" i="62"/>
  <c r="R38" i="62" s="1"/>
  <c r="Q38" i="62" s="1"/>
  <c r="Q67" i="62" s="1"/>
  <c r="P27" i="62"/>
  <c r="P38" i="62" s="1"/>
  <c r="O38" i="62" s="1"/>
  <c r="O67" i="62" s="1"/>
  <c r="N27" i="62"/>
  <c r="N38" i="62" s="1"/>
  <c r="M38" i="62" s="1"/>
  <c r="M67" i="62" s="1"/>
  <c r="L27" i="62"/>
  <c r="L38" i="62" s="1"/>
  <c r="K38" i="62" s="1"/>
  <c r="K67" i="62" s="1"/>
  <c r="J27" i="62"/>
  <c r="J38" i="62" s="1"/>
  <c r="I38" i="62" s="1"/>
  <c r="I67" i="62" s="1"/>
  <c r="H27" i="62"/>
  <c r="H38" i="62" s="1"/>
  <c r="G38" i="62" s="1"/>
  <c r="G67" i="62" s="1"/>
  <c r="F27" i="62"/>
  <c r="F38" i="62" s="1"/>
  <c r="E38" i="62" s="1"/>
  <c r="E67" i="62" s="1"/>
  <c r="D27" i="62"/>
  <c r="AN25" i="62"/>
  <c r="AL25" i="62"/>
  <c r="AJ25" i="62"/>
  <c r="AH25" i="62"/>
  <c r="AF25" i="62"/>
  <c r="AD25" i="62"/>
  <c r="AB25" i="62"/>
  <c r="Z25" i="62"/>
  <c r="X25" i="62"/>
  <c r="V25" i="62"/>
  <c r="T25" i="62"/>
  <c r="R25" i="62"/>
  <c r="P25" i="62"/>
  <c r="N25" i="62"/>
  <c r="L25" i="62"/>
  <c r="J25" i="62"/>
  <c r="H25" i="62"/>
  <c r="F25" i="62"/>
  <c r="D25" i="62"/>
  <c r="AN24" i="62"/>
  <c r="AL24" i="62"/>
  <c r="AJ24" i="62"/>
  <c r="AH24" i="62"/>
  <c r="AF24" i="62"/>
  <c r="AD24" i="62"/>
  <c r="AB24" i="62"/>
  <c r="Z24" i="62"/>
  <c r="X24" i="62"/>
  <c r="V24" i="62"/>
  <c r="T24" i="62"/>
  <c r="R24" i="62"/>
  <c r="P24" i="62"/>
  <c r="N24" i="62"/>
  <c r="L24" i="62"/>
  <c r="J24" i="62"/>
  <c r="H24" i="62"/>
  <c r="F24" i="62"/>
  <c r="D24" i="62"/>
  <c r="AN23" i="62"/>
  <c r="AL23" i="62"/>
  <c r="AJ23" i="62"/>
  <c r="AH23" i="62"/>
  <c r="AF23" i="62"/>
  <c r="AD23" i="62"/>
  <c r="AB23" i="62"/>
  <c r="Z23" i="62"/>
  <c r="X23" i="62"/>
  <c r="V23" i="62"/>
  <c r="T23" i="62"/>
  <c r="R23" i="62"/>
  <c r="P23" i="62"/>
  <c r="N23" i="62"/>
  <c r="L23" i="62"/>
  <c r="J23" i="62"/>
  <c r="H23" i="62"/>
  <c r="F23" i="62"/>
  <c r="D23" i="62"/>
  <c r="AN22" i="62"/>
  <c r="AL22" i="62"/>
  <c r="AJ22" i="62"/>
  <c r="AH22" i="62"/>
  <c r="AF22" i="62"/>
  <c r="AD22" i="62"/>
  <c r="AB22" i="62"/>
  <c r="Z22" i="62"/>
  <c r="X22" i="62"/>
  <c r="V22" i="62"/>
  <c r="T22" i="62"/>
  <c r="R22" i="62"/>
  <c r="P22" i="62"/>
  <c r="N22" i="62"/>
  <c r="L22" i="62"/>
  <c r="J22" i="62"/>
  <c r="H22" i="62"/>
  <c r="F22" i="62"/>
  <c r="D22" i="62"/>
  <c r="AN21" i="62"/>
  <c r="AL21" i="62"/>
  <c r="AJ21" i="62"/>
  <c r="AH21" i="62"/>
  <c r="AF21" i="62"/>
  <c r="AD21" i="62"/>
  <c r="AB21" i="62"/>
  <c r="Z21" i="62"/>
  <c r="X21" i="62"/>
  <c r="V21" i="62"/>
  <c r="T21" i="62"/>
  <c r="R21" i="62"/>
  <c r="P21" i="62"/>
  <c r="N21" i="62"/>
  <c r="L21" i="62"/>
  <c r="J21" i="62"/>
  <c r="H21" i="62"/>
  <c r="F21" i="62"/>
  <c r="D21" i="62"/>
  <c r="AN20" i="62"/>
  <c r="AL20" i="62"/>
  <c r="AJ20" i="62"/>
  <c r="AH20" i="62"/>
  <c r="AF20" i="62"/>
  <c r="AD20" i="62"/>
  <c r="AB20" i="62"/>
  <c r="Z20" i="62"/>
  <c r="X20" i="62"/>
  <c r="V20" i="62"/>
  <c r="T20" i="62"/>
  <c r="R20" i="62"/>
  <c r="P20" i="62"/>
  <c r="N20" i="62"/>
  <c r="L20" i="62"/>
  <c r="J20" i="62"/>
  <c r="H20" i="62"/>
  <c r="F20" i="62"/>
  <c r="D20" i="62"/>
  <c r="AN19" i="62"/>
  <c r="AL19" i="62"/>
  <c r="AJ19" i="62"/>
  <c r="AH19" i="62"/>
  <c r="AF19" i="62"/>
  <c r="AD19" i="62"/>
  <c r="AB19" i="62"/>
  <c r="Z19" i="62"/>
  <c r="X19" i="62"/>
  <c r="V19" i="62"/>
  <c r="T19" i="62"/>
  <c r="R19" i="62"/>
  <c r="P19" i="62"/>
  <c r="N19" i="62"/>
  <c r="L19" i="62"/>
  <c r="J19" i="62"/>
  <c r="H19" i="62"/>
  <c r="F19" i="62"/>
  <c r="D19" i="62"/>
  <c r="AN18" i="62"/>
  <c r="AL18" i="62"/>
  <c r="AJ18" i="62"/>
  <c r="AH18" i="62"/>
  <c r="AF18" i="62"/>
  <c r="AD18" i="62"/>
  <c r="AB18" i="62"/>
  <c r="Z18" i="62"/>
  <c r="X18" i="62"/>
  <c r="V18" i="62"/>
  <c r="T18" i="62"/>
  <c r="R18" i="62"/>
  <c r="P18" i="62"/>
  <c r="N18" i="62"/>
  <c r="L18" i="62"/>
  <c r="J18" i="62"/>
  <c r="H18" i="62"/>
  <c r="F18" i="62"/>
  <c r="D18" i="62"/>
  <c r="AN17" i="62"/>
  <c r="AL17" i="62"/>
  <c r="AJ17" i="62"/>
  <c r="AH17" i="62"/>
  <c r="AF17" i="62"/>
  <c r="AD17" i="62"/>
  <c r="AB17" i="62"/>
  <c r="Z17" i="62"/>
  <c r="X17" i="62"/>
  <c r="V17" i="62"/>
  <c r="T17" i="62"/>
  <c r="R17" i="62"/>
  <c r="P17" i="62"/>
  <c r="N17" i="62"/>
  <c r="L17" i="62"/>
  <c r="J17" i="62"/>
  <c r="H17" i="62"/>
  <c r="F17" i="62"/>
  <c r="D17" i="62"/>
  <c r="AN16" i="62"/>
  <c r="AL16" i="62"/>
  <c r="AJ16" i="62"/>
  <c r="AH16" i="62"/>
  <c r="AF16" i="62"/>
  <c r="AD16" i="62"/>
  <c r="AB16" i="62"/>
  <c r="Z16" i="62"/>
  <c r="X16" i="62"/>
  <c r="V16" i="62"/>
  <c r="T16" i="62"/>
  <c r="R16" i="62"/>
  <c r="P16" i="62"/>
  <c r="N16" i="62"/>
  <c r="L16" i="62"/>
  <c r="J16" i="62"/>
  <c r="H16" i="62"/>
  <c r="F16" i="62"/>
  <c r="D16" i="62"/>
  <c r="AN15" i="62"/>
  <c r="AL15" i="62"/>
  <c r="AJ15" i="62"/>
  <c r="AH15" i="62"/>
  <c r="AF15" i="62"/>
  <c r="AD15" i="62"/>
  <c r="AB15" i="62"/>
  <c r="Z15" i="62"/>
  <c r="X15" i="62"/>
  <c r="V15" i="62"/>
  <c r="T15" i="62"/>
  <c r="R15" i="62"/>
  <c r="P15" i="62"/>
  <c r="N15" i="62"/>
  <c r="L15" i="62"/>
  <c r="J15" i="62"/>
  <c r="H15" i="62"/>
  <c r="F15" i="62"/>
  <c r="D15" i="62"/>
  <c r="AN14" i="62"/>
  <c r="AL14" i="62"/>
  <c r="AJ14" i="62"/>
  <c r="AH14" i="62"/>
  <c r="AF14" i="62"/>
  <c r="AD14" i="62"/>
  <c r="AB14" i="62"/>
  <c r="Z14" i="62"/>
  <c r="X14" i="62"/>
  <c r="V14" i="62"/>
  <c r="T14" i="62"/>
  <c r="R14" i="62"/>
  <c r="P14" i="62"/>
  <c r="N14" i="62"/>
  <c r="L14" i="62"/>
  <c r="J14" i="62"/>
  <c r="H14" i="62"/>
  <c r="F14" i="62"/>
  <c r="D14" i="62"/>
  <c r="AN13" i="62"/>
  <c r="AL13" i="62"/>
  <c r="AJ13" i="62"/>
  <c r="AH13" i="62"/>
  <c r="AF13" i="62"/>
  <c r="AD13" i="62"/>
  <c r="AB13" i="62"/>
  <c r="Z13" i="62"/>
  <c r="X13" i="62"/>
  <c r="V13" i="62"/>
  <c r="T13" i="62"/>
  <c r="R13" i="62"/>
  <c r="P13" i="62"/>
  <c r="N13" i="62"/>
  <c r="L13" i="62"/>
  <c r="J13" i="62"/>
  <c r="H13" i="62"/>
  <c r="F13" i="62"/>
  <c r="D13" i="62"/>
  <c r="AN12" i="62"/>
  <c r="AL12" i="62"/>
  <c r="AJ12" i="62"/>
  <c r="AH12" i="62"/>
  <c r="AF12" i="62"/>
  <c r="AD12" i="62"/>
  <c r="AB12" i="62"/>
  <c r="Z12" i="62"/>
  <c r="X12" i="62"/>
  <c r="V12" i="62"/>
  <c r="T12" i="62"/>
  <c r="R12" i="62"/>
  <c r="P12" i="62"/>
  <c r="N12" i="62"/>
  <c r="L12" i="62"/>
  <c r="J12" i="62"/>
  <c r="H12" i="62"/>
  <c r="F12" i="62"/>
  <c r="D12" i="62"/>
  <c r="AN11" i="62"/>
  <c r="AL11" i="62"/>
  <c r="AJ11" i="62"/>
  <c r="AH11" i="62"/>
  <c r="AF11" i="62"/>
  <c r="AD11" i="62"/>
  <c r="AB11" i="62"/>
  <c r="Z11" i="62"/>
  <c r="X11" i="62"/>
  <c r="V11" i="62"/>
  <c r="T11" i="62"/>
  <c r="R11" i="62"/>
  <c r="P11" i="62"/>
  <c r="N11" i="62"/>
  <c r="L11" i="62"/>
  <c r="J11" i="62"/>
  <c r="H11" i="62"/>
  <c r="F11" i="62"/>
  <c r="D11" i="62"/>
  <c r="AN10" i="62"/>
  <c r="AL10" i="62"/>
  <c r="AJ10" i="62"/>
  <c r="AH10" i="62"/>
  <c r="AF10" i="62"/>
  <c r="AD10" i="62"/>
  <c r="AB10" i="62"/>
  <c r="Z10" i="62"/>
  <c r="X10" i="62"/>
  <c r="V10" i="62"/>
  <c r="T10" i="62"/>
  <c r="R10" i="62"/>
  <c r="P10" i="62"/>
  <c r="N10" i="62"/>
  <c r="L10" i="62"/>
  <c r="J10" i="62"/>
  <c r="H10" i="62"/>
  <c r="F10" i="62"/>
  <c r="D10" i="62"/>
  <c r="AN9" i="62"/>
  <c r="AL9" i="62"/>
  <c r="AJ9" i="62"/>
  <c r="AH9" i="62"/>
  <c r="AF9" i="62"/>
  <c r="AD9" i="62"/>
  <c r="AB9" i="62"/>
  <c r="Z9" i="62"/>
  <c r="X9" i="62"/>
  <c r="V9" i="62"/>
  <c r="T9" i="62"/>
  <c r="R9" i="62"/>
  <c r="P9" i="62"/>
  <c r="N9" i="62"/>
  <c r="L9" i="62"/>
  <c r="J9" i="62"/>
  <c r="H9" i="62"/>
  <c r="F9" i="62"/>
  <c r="D9" i="62"/>
  <c r="AN8" i="62"/>
  <c r="AL8" i="62"/>
  <c r="AJ8" i="62"/>
  <c r="AH8" i="62"/>
  <c r="AF8" i="62"/>
  <c r="AD8" i="62"/>
  <c r="AB8" i="62"/>
  <c r="Z8" i="62"/>
  <c r="X8" i="62"/>
  <c r="V8" i="62"/>
  <c r="T8" i="62"/>
  <c r="R8" i="62"/>
  <c r="P8" i="62"/>
  <c r="N8" i="62"/>
  <c r="L8" i="62"/>
  <c r="J8" i="62"/>
  <c r="H8" i="62"/>
  <c r="F8" i="62"/>
  <c r="D8" i="62"/>
  <c r="AN7" i="62"/>
  <c r="AL7" i="62"/>
  <c r="AJ7" i="62"/>
  <c r="AH7" i="62"/>
  <c r="AF7" i="62"/>
  <c r="AD7" i="62"/>
  <c r="AB7" i="62"/>
  <c r="Z7" i="62"/>
  <c r="X7" i="62"/>
  <c r="V7" i="62"/>
  <c r="T7" i="62"/>
  <c r="R7" i="62"/>
  <c r="P7" i="62"/>
  <c r="N7" i="62"/>
  <c r="L7" i="62"/>
  <c r="J7" i="62"/>
  <c r="H7" i="62"/>
  <c r="F7" i="62"/>
  <c r="D7" i="62"/>
  <c r="AN6" i="62"/>
  <c r="AL6" i="62"/>
  <c r="AJ6" i="62"/>
  <c r="AH6" i="62"/>
  <c r="AF6" i="62"/>
  <c r="AD6" i="62"/>
  <c r="AB6" i="62"/>
  <c r="Z6" i="62"/>
  <c r="X6" i="62"/>
  <c r="V6" i="62"/>
  <c r="T6" i="62"/>
  <c r="R6" i="62"/>
  <c r="P6" i="62"/>
  <c r="N6" i="62"/>
  <c r="L6" i="62"/>
  <c r="J6" i="62"/>
  <c r="H6" i="62"/>
  <c r="F6" i="62"/>
  <c r="D6" i="62"/>
  <c r="AN5" i="62"/>
  <c r="AL5" i="62"/>
  <c r="AJ5" i="62"/>
  <c r="AH5" i="62"/>
  <c r="AF5" i="62"/>
  <c r="AD5" i="62"/>
  <c r="AB5" i="62"/>
  <c r="Z5" i="62"/>
  <c r="X5" i="62"/>
  <c r="V5" i="62"/>
  <c r="T5" i="62"/>
  <c r="R5" i="62"/>
  <c r="P5" i="62"/>
  <c r="N5" i="62"/>
  <c r="L5" i="62"/>
  <c r="J5" i="62"/>
  <c r="H5" i="62"/>
  <c r="F5" i="62"/>
  <c r="D5" i="62"/>
  <c r="AN4" i="62"/>
  <c r="AL4" i="62"/>
  <c r="AJ4" i="62"/>
  <c r="AH4" i="62"/>
  <c r="AF4" i="62"/>
  <c r="AD4" i="62"/>
  <c r="AB4" i="62"/>
  <c r="Z4" i="62"/>
  <c r="X4" i="62"/>
  <c r="V4" i="62"/>
  <c r="T4" i="62"/>
  <c r="R4" i="62"/>
  <c r="P4" i="62"/>
  <c r="N4" i="62"/>
  <c r="L4" i="62"/>
  <c r="J4" i="62"/>
  <c r="H4" i="62"/>
  <c r="F4" i="62"/>
  <c r="D4" i="62"/>
  <c r="T1" i="62"/>
  <c r="L1" i="62"/>
  <c r="AN61" i="61"/>
  <c r="AL61" i="61"/>
  <c r="AJ61" i="61"/>
  <c r="AH61" i="61"/>
  <c r="AF61" i="61"/>
  <c r="AD61" i="61"/>
  <c r="AB61" i="61"/>
  <c r="Z61" i="61"/>
  <c r="X61" i="61"/>
  <c r="V61" i="61"/>
  <c r="T61" i="61"/>
  <c r="R61" i="61"/>
  <c r="P61" i="61"/>
  <c r="N61" i="61"/>
  <c r="L61" i="61"/>
  <c r="J61" i="61"/>
  <c r="H61" i="61"/>
  <c r="F61" i="61"/>
  <c r="D61" i="61"/>
  <c r="AN60" i="61"/>
  <c r="AL60" i="61"/>
  <c r="AJ60" i="61"/>
  <c r="AH60" i="61"/>
  <c r="AF60" i="61"/>
  <c r="AD60" i="61"/>
  <c r="AB60" i="61"/>
  <c r="Z60" i="61"/>
  <c r="X60" i="61"/>
  <c r="V60" i="61"/>
  <c r="T60" i="61"/>
  <c r="R60" i="61"/>
  <c r="P60" i="61"/>
  <c r="N60" i="61"/>
  <c r="L60" i="61"/>
  <c r="J60" i="61"/>
  <c r="H60" i="61"/>
  <c r="F60" i="61"/>
  <c r="D60" i="61"/>
  <c r="AN59" i="61"/>
  <c r="AL59" i="61"/>
  <c r="AJ59" i="61"/>
  <c r="AH59" i="61"/>
  <c r="AF59" i="61"/>
  <c r="AD59" i="61"/>
  <c r="AB59" i="61"/>
  <c r="Z59" i="61"/>
  <c r="X59" i="61"/>
  <c r="V59" i="61"/>
  <c r="T59" i="61"/>
  <c r="R59" i="61"/>
  <c r="P59" i="61"/>
  <c r="N59" i="61"/>
  <c r="L59" i="61"/>
  <c r="J59" i="61"/>
  <c r="H59" i="61"/>
  <c r="F59" i="61"/>
  <c r="D59" i="61"/>
  <c r="AN58" i="61"/>
  <c r="AL58" i="61"/>
  <c r="AJ58" i="61"/>
  <c r="AH58" i="61"/>
  <c r="AF58" i="61"/>
  <c r="AD58" i="61"/>
  <c r="AB58" i="61"/>
  <c r="Z58" i="61"/>
  <c r="X58" i="61"/>
  <c r="V58" i="61"/>
  <c r="T58" i="61"/>
  <c r="R58" i="61"/>
  <c r="P58" i="61"/>
  <c r="N58" i="61"/>
  <c r="L58" i="61"/>
  <c r="J58" i="61"/>
  <c r="H58" i="61"/>
  <c r="F58" i="61"/>
  <c r="D58" i="61"/>
  <c r="AN57" i="61"/>
  <c r="AL57" i="61"/>
  <c r="AJ57" i="61"/>
  <c r="AH57" i="61"/>
  <c r="AF57" i="61"/>
  <c r="AD57" i="61"/>
  <c r="AB57" i="61"/>
  <c r="Z57" i="61"/>
  <c r="X57" i="61"/>
  <c r="V57" i="61"/>
  <c r="T57" i="61"/>
  <c r="R57" i="61"/>
  <c r="P57" i="61"/>
  <c r="N57" i="61"/>
  <c r="L57" i="61"/>
  <c r="J57" i="61"/>
  <c r="H57" i="61"/>
  <c r="F57" i="61"/>
  <c r="D57" i="61"/>
  <c r="AN56" i="61"/>
  <c r="AL56" i="61"/>
  <c r="AJ56" i="61"/>
  <c r="AH56" i="61"/>
  <c r="AF56" i="61"/>
  <c r="AD56" i="61"/>
  <c r="AB56" i="61"/>
  <c r="Z56" i="61"/>
  <c r="X56" i="61"/>
  <c r="V56" i="61"/>
  <c r="T56" i="61"/>
  <c r="R56" i="61"/>
  <c r="P56" i="61"/>
  <c r="N56" i="61"/>
  <c r="L56" i="61"/>
  <c r="J56" i="61"/>
  <c r="H56" i="61"/>
  <c r="F56" i="61"/>
  <c r="D56" i="61"/>
  <c r="AN55" i="61"/>
  <c r="AL55" i="61"/>
  <c r="AJ55" i="61"/>
  <c r="AH55" i="61"/>
  <c r="AF55" i="61"/>
  <c r="AD55" i="61"/>
  <c r="AB55" i="61"/>
  <c r="Z55" i="61"/>
  <c r="X55" i="61"/>
  <c r="V55" i="61"/>
  <c r="T55" i="61"/>
  <c r="R55" i="61"/>
  <c r="P55" i="61"/>
  <c r="N55" i="61"/>
  <c r="L55" i="61"/>
  <c r="J55" i="61"/>
  <c r="H55" i="61"/>
  <c r="F55" i="61"/>
  <c r="D55" i="61"/>
  <c r="AN54" i="61"/>
  <c r="AL54" i="61"/>
  <c r="AJ54" i="61"/>
  <c r="AH54" i="61"/>
  <c r="AF54" i="61"/>
  <c r="AD54" i="61"/>
  <c r="AB54" i="61"/>
  <c r="Z54" i="61"/>
  <c r="X54" i="61"/>
  <c r="V54" i="61"/>
  <c r="T54" i="61"/>
  <c r="R54" i="61"/>
  <c r="P54" i="61"/>
  <c r="N54" i="61"/>
  <c r="L54" i="61"/>
  <c r="J54" i="61"/>
  <c r="H54" i="61"/>
  <c r="F54" i="61"/>
  <c r="D54" i="61"/>
  <c r="AN53" i="61"/>
  <c r="AL53" i="61"/>
  <c r="AJ53" i="61"/>
  <c r="AH53" i="61"/>
  <c r="AF53" i="61"/>
  <c r="AD53" i="61"/>
  <c r="AB53" i="61"/>
  <c r="Z53" i="61"/>
  <c r="X53" i="61"/>
  <c r="V53" i="61"/>
  <c r="T53" i="61"/>
  <c r="R53" i="61"/>
  <c r="P53" i="61"/>
  <c r="N53" i="61"/>
  <c r="L53" i="61"/>
  <c r="J53" i="61"/>
  <c r="H53" i="61"/>
  <c r="F53" i="61"/>
  <c r="D53" i="61"/>
  <c r="AN52" i="61"/>
  <c r="AL52" i="61"/>
  <c r="AJ52" i="61"/>
  <c r="AH52" i="61"/>
  <c r="AF52" i="61"/>
  <c r="AD52" i="61"/>
  <c r="AB52" i="61"/>
  <c r="Z52" i="61"/>
  <c r="X52" i="61"/>
  <c r="V52" i="61"/>
  <c r="T52" i="61"/>
  <c r="R52" i="61"/>
  <c r="P52" i="61"/>
  <c r="N52" i="61"/>
  <c r="L52" i="61"/>
  <c r="J52" i="61"/>
  <c r="H52" i="61"/>
  <c r="F52" i="61"/>
  <c r="D52" i="61"/>
  <c r="AN51" i="61"/>
  <c r="AL51" i="61"/>
  <c r="AJ51" i="61"/>
  <c r="AH51" i="61"/>
  <c r="AF51" i="61"/>
  <c r="AD51" i="61"/>
  <c r="AB51" i="61"/>
  <c r="Z51" i="61"/>
  <c r="X51" i="61"/>
  <c r="V51" i="61"/>
  <c r="T51" i="61"/>
  <c r="R51" i="61"/>
  <c r="P51" i="61"/>
  <c r="N51" i="61"/>
  <c r="L51" i="61"/>
  <c r="J51" i="61"/>
  <c r="H51" i="61"/>
  <c r="F51" i="61"/>
  <c r="D51" i="61"/>
  <c r="AN49" i="61"/>
  <c r="AL49" i="61"/>
  <c r="AJ49" i="61"/>
  <c r="AH49" i="61"/>
  <c r="AF49" i="61"/>
  <c r="AD49" i="61"/>
  <c r="AB49" i="61"/>
  <c r="Z49" i="61"/>
  <c r="X49" i="61"/>
  <c r="V49" i="61"/>
  <c r="T49" i="61"/>
  <c r="R49" i="61"/>
  <c r="P49" i="61"/>
  <c r="N49" i="61"/>
  <c r="L49" i="61"/>
  <c r="J49" i="61"/>
  <c r="H49" i="61"/>
  <c r="F49" i="61"/>
  <c r="D49" i="61"/>
  <c r="AN48" i="61"/>
  <c r="AL48" i="61"/>
  <c r="AJ48" i="61"/>
  <c r="AH48" i="61"/>
  <c r="AF48" i="61"/>
  <c r="AD48" i="61"/>
  <c r="AB48" i="61"/>
  <c r="Z48" i="61"/>
  <c r="X48" i="61"/>
  <c r="V48" i="61"/>
  <c r="T48" i="61"/>
  <c r="R48" i="61"/>
  <c r="P48" i="61"/>
  <c r="N48" i="61"/>
  <c r="L48" i="61"/>
  <c r="J48" i="61"/>
  <c r="H48" i="61"/>
  <c r="F48" i="61"/>
  <c r="D48" i="61"/>
  <c r="AN47" i="61"/>
  <c r="AL47" i="61"/>
  <c r="AJ47" i="61"/>
  <c r="AH47" i="61"/>
  <c r="AF47" i="61"/>
  <c r="AD47" i="61"/>
  <c r="AB47" i="61"/>
  <c r="Z47" i="61"/>
  <c r="X47" i="61"/>
  <c r="V47" i="61"/>
  <c r="T47" i="61"/>
  <c r="R47" i="61"/>
  <c r="P47" i="61"/>
  <c r="N47" i="61"/>
  <c r="L47" i="61"/>
  <c r="J47" i="61"/>
  <c r="H47" i="61"/>
  <c r="F47" i="61"/>
  <c r="D47" i="61"/>
  <c r="AN46" i="61"/>
  <c r="AL46" i="61"/>
  <c r="AJ46" i="61"/>
  <c r="AH46" i="61"/>
  <c r="AF46" i="61"/>
  <c r="AD46" i="61"/>
  <c r="AB46" i="61"/>
  <c r="Z46" i="61"/>
  <c r="X46" i="61"/>
  <c r="V46" i="61"/>
  <c r="T46" i="61"/>
  <c r="R46" i="61"/>
  <c r="P46" i="61"/>
  <c r="N46" i="61"/>
  <c r="L46" i="61"/>
  <c r="J46" i="61"/>
  <c r="H46" i="61"/>
  <c r="F46" i="61"/>
  <c r="D46" i="61"/>
  <c r="AN45" i="61"/>
  <c r="AL45" i="61"/>
  <c r="AJ45" i="61"/>
  <c r="AH45" i="61"/>
  <c r="AF45" i="61"/>
  <c r="AD45" i="61"/>
  <c r="AB45" i="61"/>
  <c r="Z45" i="61"/>
  <c r="X45" i="61"/>
  <c r="V45" i="61"/>
  <c r="T45" i="61"/>
  <c r="R45" i="61"/>
  <c r="P45" i="61"/>
  <c r="N45" i="61"/>
  <c r="L45" i="61"/>
  <c r="J45" i="61"/>
  <c r="H45" i="61"/>
  <c r="F45" i="61"/>
  <c r="D45" i="61"/>
  <c r="AN44" i="61"/>
  <c r="AL44" i="61"/>
  <c r="AJ44" i="61"/>
  <c r="AH44" i="61"/>
  <c r="AF44" i="61"/>
  <c r="AD44" i="61"/>
  <c r="AB44" i="61"/>
  <c r="Z44" i="61"/>
  <c r="X44" i="61"/>
  <c r="V44" i="61"/>
  <c r="T44" i="61"/>
  <c r="R44" i="61"/>
  <c r="P44" i="61"/>
  <c r="N44" i="61"/>
  <c r="L44" i="61"/>
  <c r="J44" i="61"/>
  <c r="H44" i="61"/>
  <c r="F44" i="61"/>
  <c r="D44" i="61"/>
  <c r="AN43" i="61"/>
  <c r="AL43" i="61"/>
  <c r="AJ43" i="61"/>
  <c r="AH43" i="61"/>
  <c r="AF43" i="61"/>
  <c r="AD43" i="61"/>
  <c r="AB43" i="61"/>
  <c r="Z43" i="61"/>
  <c r="X43" i="61"/>
  <c r="V43" i="61"/>
  <c r="T43" i="61"/>
  <c r="R43" i="61"/>
  <c r="P43" i="61"/>
  <c r="N43" i="61"/>
  <c r="L43" i="61"/>
  <c r="J43" i="61"/>
  <c r="H43" i="61"/>
  <c r="F43" i="61"/>
  <c r="D43" i="61"/>
  <c r="AN42" i="61"/>
  <c r="AL42" i="61"/>
  <c r="AJ42" i="61"/>
  <c r="AH42" i="61"/>
  <c r="AF42" i="61"/>
  <c r="AD42" i="61"/>
  <c r="AB42" i="61"/>
  <c r="Z42" i="61"/>
  <c r="X42" i="61"/>
  <c r="V42" i="61"/>
  <c r="T42" i="61"/>
  <c r="R42" i="61"/>
  <c r="P42" i="61"/>
  <c r="N42" i="61"/>
  <c r="L42" i="61"/>
  <c r="J42" i="61"/>
  <c r="H42" i="61"/>
  <c r="F42" i="61"/>
  <c r="D42" i="61"/>
  <c r="AN41" i="61"/>
  <c r="AL41" i="61"/>
  <c r="AJ41" i="61"/>
  <c r="AH41" i="61"/>
  <c r="AF41" i="61"/>
  <c r="AD41" i="61"/>
  <c r="AB41" i="61"/>
  <c r="Z41" i="61"/>
  <c r="X41" i="61"/>
  <c r="V41" i="61"/>
  <c r="T41" i="61"/>
  <c r="R41" i="61"/>
  <c r="P41" i="61"/>
  <c r="N41" i="61"/>
  <c r="L41" i="61"/>
  <c r="J41" i="61"/>
  <c r="H41" i="61"/>
  <c r="F41" i="61"/>
  <c r="D41" i="61"/>
  <c r="AN40" i="61"/>
  <c r="AL40" i="61"/>
  <c r="AJ40" i="61"/>
  <c r="AH40" i="61"/>
  <c r="AF40" i="61"/>
  <c r="AD40" i="61"/>
  <c r="AB40" i="61"/>
  <c r="Z40" i="61"/>
  <c r="X40" i="61"/>
  <c r="V40" i="61"/>
  <c r="T40" i="61"/>
  <c r="R40" i="61"/>
  <c r="P40" i="61"/>
  <c r="N40" i="61"/>
  <c r="L40" i="61"/>
  <c r="J40" i="61"/>
  <c r="H40" i="61"/>
  <c r="F40" i="61"/>
  <c r="D40" i="61"/>
  <c r="AN39" i="61"/>
  <c r="AL39" i="61"/>
  <c r="AJ39" i="61"/>
  <c r="AH39" i="61"/>
  <c r="AF39" i="61"/>
  <c r="AD39" i="61"/>
  <c r="AB39" i="61"/>
  <c r="Z39" i="61"/>
  <c r="X39" i="61"/>
  <c r="V39" i="61"/>
  <c r="T39" i="61"/>
  <c r="R39" i="61"/>
  <c r="P39" i="61"/>
  <c r="N39" i="61"/>
  <c r="L39" i="61"/>
  <c r="J39" i="61"/>
  <c r="H39" i="61"/>
  <c r="F39" i="61"/>
  <c r="D39" i="61"/>
  <c r="AN37" i="61"/>
  <c r="AL37" i="61"/>
  <c r="AJ37" i="61"/>
  <c r="AH37" i="61"/>
  <c r="AF37" i="61"/>
  <c r="AD37" i="61"/>
  <c r="AB37" i="61"/>
  <c r="Z37" i="61"/>
  <c r="X37" i="61"/>
  <c r="V37" i="61"/>
  <c r="T37" i="61"/>
  <c r="R37" i="61"/>
  <c r="P37" i="61"/>
  <c r="N37" i="61"/>
  <c r="L37" i="61"/>
  <c r="J37" i="61"/>
  <c r="H37" i="61"/>
  <c r="F37" i="61"/>
  <c r="D37" i="61"/>
  <c r="B37" i="61"/>
  <c r="AN36" i="61"/>
  <c r="AL36" i="61"/>
  <c r="AJ36" i="61"/>
  <c r="AH36" i="61"/>
  <c r="AF36" i="61"/>
  <c r="AD36" i="61"/>
  <c r="AB36" i="61"/>
  <c r="Z36" i="61"/>
  <c r="X36" i="61"/>
  <c r="V36" i="61"/>
  <c r="T36" i="61"/>
  <c r="R36" i="61"/>
  <c r="P36" i="61"/>
  <c r="N36" i="61"/>
  <c r="L36" i="61"/>
  <c r="J36" i="61"/>
  <c r="H36" i="61"/>
  <c r="F36" i="61"/>
  <c r="D36" i="61"/>
  <c r="B36" i="61"/>
  <c r="AN35" i="61"/>
  <c r="AL35" i="61"/>
  <c r="AJ35" i="61"/>
  <c r="AH35" i="61"/>
  <c r="AF35" i="61"/>
  <c r="AD35" i="61"/>
  <c r="AB35" i="61"/>
  <c r="Z35" i="61"/>
  <c r="X35" i="61"/>
  <c r="V35" i="61"/>
  <c r="T35" i="61"/>
  <c r="R35" i="61"/>
  <c r="P35" i="61"/>
  <c r="N35" i="61"/>
  <c r="L35" i="61"/>
  <c r="J35" i="61"/>
  <c r="H35" i="61"/>
  <c r="F35" i="61"/>
  <c r="D35" i="61"/>
  <c r="B35" i="61"/>
  <c r="AN34" i="61"/>
  <c r="AL34" i="61"/>
  <c r="AJ34" i="61"/>
  <c r="AH34" i="61"/>
  <c r="AF34" i="61"/>
  <c r="AD34" i="61"/>
  <c r="AB34" i="61"/>
  <c r="Z34" i="61"/>
  <c r="X34" i="61"/>
  <c r="V34" i="61"/>
  <c r="T34" i="61"/>
  <c r="R34" i="61"/>
  <c r="P34" i="61"/>
  <c r="N34" i="61"/>
  <c r="L34" i="61"/>
  <c r="J34" i="61"/>
  <c r="H34" i="61"/>
  <c r="F34" i="61"/>
  <c r="D34" i="61"/>
  <c r="B34" i="61"/>
  <c r="AN33" i="61"/>
  <c r="AL33" i="61"/>
  <c r="AJ33" i="61"/>
  <c r="AH33" i="61"/>
  <c r="AF33" i="61"/>
  <c r="AD33" i="61"/>
  <c r="AB33" i="61"/>
  <c r="Z33" i="61"/>
  <c r="X33" i="61"/>
  <c r="V33" i="61"/>
  <c r="T33" i="61"/>
  <c r="R33" i="61"/>
  <c r="P33" i="61"/>
  <c r="N33" i="61"/>
  <c r="L33" i="61"/>
  <c r="J33" i="61"/>
  <c r="H33" i="61"/>
  <c r="F33" i="61"/>
  <c r="D33" i="61"/>
  <c r="B33" i="61"/>
  <c r="AN32" i="61"/>
  <c r="AL32" i="61"/>
  <c r="AJ32" i="61"/>
  <c r="AH32" i="61"/>
  <c r="AF32" i="61"/>
  <c r="AD32" i="61"/>
  <c r="AB32" i="61"/>
  <c r="Z32" i="61"/>
  <c r="X32" i="61"/>
  <c r="V32" i="61"/>
  <c r="T32" i="61"/>
  <c r="R32" i="61"/>
  <c r="P32" i="61"/>
  <c r="N32" i="61"/>
  <c r="L32" i="61"/>
  <c r="J32" i="61"/>
  <c r="H32" i="61"/>
  <c r="F32" i="61"/>
  <c r="D32" i="61"/>
  <c r="B32" i="61"/>
  <c r="AN31" i="61"/>
  <c r="AL31" i="61"/>
  <c r="AJ31" i="61"/>
  <c r="AH31" i="61"/>
  <c r="AF31" i="61"/>
  <c r="AD31" i="61"/>
  <c r="AB31" i="61"/>
  <c r="Z31" i="61"/>
  <c r="X31" i="61"/>
  <c r="V31" i="61"/>
  <c r="T31" i="61"/>
  <c r="R31" i="61"/>
  <c r="P31" i="61"/>
  <c r="N31" i="61"/>
  <c r="L31" i="61"/>
  <c r="J31" i="61"/>
  <c r="H31" i="61"/>
  <c r="F31" i="61"/>
  <c r="D31" i="61"/>
  <c r="B31" i="61"/>
  <c r="AN30" i="61"/>
  <c r="AL30" i="61"/>
  <c r="AJ30" i="61"/>
  <c r="AH30" i="61"/>
  <c r="AF30" i="61"/>
  <c r="AD30" i="61"/>
  <c r="AB30" i="61"/>
  <c r="Z30" i="61"/>
  <c r="X30" i="61"/>
  <c r="V30" i="61"/>
  <c r="T30" i="61"/>
  <c r="R30" i="61"/>
  <c r="P30" i="61"/>
  <c r="N30" i="61"/>
  <c r="L30" i="61"/>
  <c r="J30" i="61"/>
  <c r="H30" i="61"/>
  <c r="F30" i="61"/>
  <c r="D30" i="61"/>
  <c r="B30" i="61"/>
  <c r="AN29" i="61"/>
  <c r="AL29" i="61"/>
  <c r="AJ29" i="61"/>
  <c r="AH29" i="61"/>
  <c r="AF29" i="61"/>
  <c r="AD29" i="61"/>
  <c r="AB29" i="61"/>
  <c r="Z29" i="61"/>
  <c r="X29" i="61"/>
  <c r="V29" i="61"/>
  <c r="T29" i="61"/>
  <c r="R29" i="61"/>
  <c r="P29" i="61"/>
  <c r="N29" i="61"/>
  <c r="L29" i="61"/>
  <c r="J29" i="61"/>
  <c r="H29" i="61"/>
  <c r="F29" i="61"/>
  <c r="D29" i="61"/>
  <c r="B29" i="61"/>
  <c r="AN28" i="61"/>
  <c r="AL28" i="61"/>
  <c r="AJ28" i="61"/>
  <c r="AH28" i="61"/>
  <c r="AF28" i="61"/>
  <c r="AD28" i="61"/>
  <c r="AB28" i="61"/>
  <c r="Z28" i="61"/>
  <c r="X28" i="61"/>
  <c r="V28" i="61"/>
  <c r="T28" i="61"/>
  <c r="R28" i="61"/>
  <c r="P28" i="61"/>
  <c r="N28" i="61"/>
  <c r="L28" i="61"/>
  <c r="J28" i="61"/>
  <c r="H28" i="61"/>
  <c r="F28" i="61"/>
  <c r="D28" i="61"/>
  <c r="B28" i="61"/>
  <c r="AN27" i="61"/>
  <c r="AN38" i="61" s="1"/>
  <c r="AM38" i="61" s="1"/>
  <c r="AM67" i="61" s="1"/>
  <c r="AL27" i="61"/>
  <c r="AL38" i="61" s="1"/>
  <c r="AK38" i="61" s="1"/>
  <c r="AK67" i="61" s="1"/>
  <c r="AJ27" i="61"/>
  <c r="AJ38" i="61" s="1"/>
  <c r="AI38" i="61" s="1"/>
  <c r="AI67" i="61" s="1"/>
  <c r="AH27" i="61"/>
  <c r="AH38" i="61" s="1"/>
  <c r="AG38" i="61" s="1"/>
  <c r="AG67" i="61" s="1"/>
  <c r="AF27" i="61"/>
  <c r="AF38" i="61" s="1"/>
  <c r="AE38" i="61" s="1"/>
  <c r="AE67" i="61" s="1"/>
  <c r="AD27" i="61"/>
  <c r="AD38" i="61" s="1"/>
  <c r="AC38" i="61" s="1"/>
  <c r="AC67" i="61" s="1"/>
  <c r="AB27" i="61"/>
  <c r="AB38" i="61" s="1"/>
  <c r="AA38" i="61" s="1"/>
  <c r="AA67" i="61" s="1"/>
  <c r="Z27" i="61"/>
  <c r="Z38" i="61" s="1"/>
  <c r="Y38" i="61" s="1"/>
  <c r="Y67" i="61" s="1"/>
  <c r="X27" i="61"/>
  <c r="X38" i="61" s="1"/>
  <c r="W38" i="61" s="1"/>
  <c r="W67" i="61" s="1"/>
  <c r="V27" i="61"/>
  <c r="V38" i="61" s="1"/>
  <c r="U38" i="61" s="1"/>
  <c r="U67" i="61" s="1"/>
  <c r="T27" i="61"/>
  <c r="T38" i="61" s="1"/>
  <c r="S38" i="61" s="1"/>
  <c r="S67" i="61" s="1"/>
  <c r="R27" i="61"/>
  <c r="R38" i="61" s="1"/>
  <c r="Q38" i="61" s="1"/>
  <c r="Q67" i="61" s="1"/>
  <c r="P27" i="61"/>
  <c r="P38" i="61" s="1"/>
  <c r="O38" i="61" s="1"/>
  <c r="O67" i="61" s="1"/>
  <c r="L18" i="32" s="1"/>
  <c r="L105" i="32" s="1"/>
  <c r="N27" i="61"/>
  <c r="N38" i="61" s="1"/>
  <c r="M38" i="61" s="1"/>
  <c r="M67" i="61" s="1"/>
  <c r="L27" i="61"/>
  <c r="L38" i="61" s="1"/>
  <c r="K38" i="61" s="1"/>
  <c r="K67" i="61" s="1"/>
  <c r="J27" i="61"/>
  <c r="J38" i="61" s="1"/>
  <c r="I38" i="61" s="1"/>
  <c r="I67" i="61" s="1"/>
  <c r="H27" i="61"/>
  <c r="H38" i="61" s="1"/>
  <c r="G38" i="61" s="1"/>
  <c r="G67" i="61" s="1"/>
  <c r="F27" i="61"/>
  <c r="F38" i="61" s="1"/>
  <c r="E38" i="61" s="1"/>
  <c r="E67" i="61" s="1"/>
  <c r="D27" i="61"/>
  <c r="AN25" i="61"/>
  <c r="AL25" i="61"/>
  <c r="AJ25" i="61"/>
  <c r="AH25" i="61"/>
  <c r="AF25" i="61"/>
  <c r="AD25" i="61"/>
  <c r="AB25" i="61"/>
  <c r="Z25" i="61"/>
  <c r="X25" i="61"/>
  <c r="V25" i="61"/>
  <c r="T25" i="61"/>
  <c r="R25" i="61"/>
  <c r="P25" i="61"/>
  <c r="N25" i="61"/>
  <c r="L25" i="61"/>
  <c r="J25" i="61"/>
  <c r="H25" i="61"/>
  <c r="F25" i="61"/>
  <c r="D25" i="61"/>
  <c r="AN24" i="61"/>
  <c r="AL24" i="61"/>
  <c r="AJ24" i="61"/>
  <c r="AH24" i="61"/>
  <c r="AF24" i="61"/>
  <c r="AD24" i="61"/>
  <c r="AB24" i="61"/>
  <c r="Z24" i="61"/>
  <c r="X24" i="61"/>
  <c r="V24" i="61"/>
  <c r="T24" i="61"/>
  <c r="R24" i="61"/>
  <c r="P24" i="61"/>
  <c r="N24" i="61"/>
  <c r="L24" i="61"/>
  <c r="J24" i="61"/>
  <c r="H24" i="61"/>
  <c r="F24" i="61"/>
  <c r="D24" i="61"/>
  <c r="AN23" i="61"/>
  <c r="AL23" i="61"/>
  <c r="AJ23" i="61"/>
  <c r="AH23" i="61"/>
  <c r="AF23" i="61"/>
  <c r="AD23" i="61"/>
  <c r="AB23" i="61"/>
  <c r="Z23" i="61"/>
  <c r="X23" i="61"/>
  <c r="V23" i="61"/>
  <c r="T23" i="61"/>
  <c r="R23" i="61"/>
  <c r="P23" i="61"/>
  <c r="N23" i="61"/>
  <c r="L23" i="61"/>
  <c r="J23" i="61"/>
  <c r="H23" i="61"/>
  <c r="F23" i="61"/>
  <c r="D23" i="61"/>
  <c r="AN22" i="61"/>
  <c r="AL22" i="61"/>
  <c r="AJ22" i="61"/>
  <c r="AH22" i="61"/>
  <c r="AF22" i="61"/>
  <c r="AD22" i="61"/>
  <c r="AB22" i="61"/>
  <c r="Z22" i="61"/>
  <c r="X22" i="61"/>
  <c r="V22" i="61"/>
  <c r="T22" i="61"/>
  <c r="R22" i="61"/>
  <c r="P22" i="61"/>
  <c r="N22" i="61"/>
  <c r="L22" i="61"/>
  <c r="J22" i="61"/>
  <c r="H22" i="61"/>
  <c r="F22" i="61"/>
  <c r="D22" i="61"/>
  <c r="AN21" i="61"/>
  <c r="AL21" i="61"/>
  <c r="AJ21" i="61"/>
  <c r="AH21" i="61"/>
  <c r="AF21" i="61"/>
  <c r="AD21" i="61"/>
  <c r="AB21" i="61"/>
  <c r="Z21" i="61"/>
  <c r="X21" i="61"/>
  <c r="V21" i="61"/>
  <c r="T21" i="61"/>
  <c r="R21" i="61"/>
  <c r="P21" i="61"/>
  <c r="N21" i="61"/>
  <c r="L21" i="61"/>
  <c r="J21" i="61"/>
  <c r="H21" i="61"/>
  <c r="F21" i="61"/>
  <c r="D21" i="61"/>
  <c r="AN20" i="61"/>
  <c r="AL20" i="61"/>
  <c r="AJ20" i="61"/>
  <c r="AH20" i="61"/>
  <c r="AF20" i="61"/>
  <c r="AD20" i="61"/>
  <c r="AB20" i="61"/>
  <c r="Z20" i="61"/>
  <c r="X20" i="61"/>
  <c r="V20" i="61"/>
  <c r="T20" i="61"/>
  <c r="R20" i="61"/>
  <c r="P20" i="61"/>
  <c r="N20" i="61"/>
  <c r="L20" i="61"/>
  <c r="J20" i="61"/>
  <c r="H20" i="61"/>
  <c r="F20" i="61"/>
  <c r="D20" i="61"/>
  <c r="AN19" i="61"/>
  <c r="AL19" i="61"/>
  <c r="AJ19" i="61"/>
  <c r="AH19" i="61"/>
  <c r="AF19" i="61"/>
  <c r="AD19" i="61"/>
  <c r="AB19" i="61"/>
  <c r="Z19" i="61"/>
  <c r="X19" i="61"/>
  <c r="V19" i="61"/>
  <c r="T19" i="61"/>
  <c r="R19" i="61"/>
  <c r="P19" i="61"/>
  <c r="N19" i="61"/>
  <c r="L19" i="61"/>
  <c r="J19" i="61"/>
  <c r="H19" i="61"/>
  <c r="F19" i="61"/>
  <c r="D19" i="61"/>
  <c r="AN18" i="61"/>
  <c r="AL18" i="61"/>
  <c r="AJ18" i="61"/>
  <c r="AH18" i="61"/>
  <c r="AF18" i="61"/>
  <c r="AD18" i="61"/>
  <c r="AB18" i="61"/>
  <c r="Z18" i="61"/>
  <c r="X18" i="61"/>
  <c r="V18" i="61"/>
  <c r="T18" i="61"/>
  <c r="R18" i="61"/>
  <c r="P18" i="61"/>
  <c r="N18" i="61"/>
  <c r="L18" i="61"/>
  <c r="J18" i="61"/>
  <c r="H18" i="61"/>
  <c r="F18" i="61"/>
  <c r="D18" i="61"/>
  <c r="AN17" i="61"/>
  <c r="AL17" i="61"/>
  <c r="AJ17" i="61"/>
  <c r="AH17" i="61"/>
  <c r="AF17" i="61"/>
  <c r="AD17" i="61"/>
  <c r="AB17" i="61"/>
  <c r="Z17" i="61"/>
  <c r="X17" i="61"/>
  <c r="V17" i="61"/>
  <c r="T17" i="61"/>
  <c r="R17" i="61"/>
  <c r="P17" i="61"/>
  <c r="N17" i="61"/>
  <c r="L17" i="61"/>
  <c r="J17" i="61"/>
  <c r="H17" i="61"/>
  <c r="F17" i="61"/>
  <c r="D17" i="61"/>
  <c r="AN16" i="61"/>
  <c r="AL16" i="61"/>
  <c r="AJ16" i="61"/>
  <c r="AH16" i="61"/>
  <c r="AF16" i="61"/>
  <c r="AD16" i="61"/>
  <c r="AB16" i="61"/>
  <c r="Z16" i="61"/>
  <c r="X16" i="61"/>
  <c r="V16" i="61"/>
  <c r="T16" i="61"/>
  <c r="R16" i="61"/>
  <c r="P16" i="61"/>
  <c r="N16" i="61"/>
  <c r="L16" i="61"/>
  <c r="J16" i="61"/>
  <c r="H16" i="61"/>
  <c r="F16" i="61"/>
  <c r="D16" i="61"/>
  <c r="AN15" i="61"/>
  <c r="AL15" i="61"/>
  <c r="AJ15" i="61"/>
  <c r="AH15" i="61"/>
  <c r="AF15" i="61"/>
  <c r="AD15" i="61"/>
  <c r="AB15" i="61"/>
  <c r="Z15" i="61"/>
  <c r="X15" i="61"/>
  <c r="V15" i="61"/>
  <c r="T15" i="61"/>
  <c r="R15" i="61"/>
  <c r="P15" i="61"/>
  <c r="N15" i="61"/>
  <c r="L15" i="61"/>
  <c r="J15" i="61"/>
  <c r="H15" i="61"/>
  <c r="F15" i="61"/>
  <c r="D15" i="61"/>
  <c r="AN14" i="61"/>
  <c r="AL14" i="61"/>
  <c r="AJ14" i="61"/>
  <c r="AH14" i="61"/>
  <c r="AF14" i="61"/>
  <c r="AD14" i="61"/>
  <c r="AB14" i="61"/>
  <c r="Z14" i="61"/>
  <c r="X14" i="61"/>
  <c r="V14" i="61"/>
  <c r="T14" i="61"/>
  <c r="R14" i="61"/>
  <c r="P14" i="61"/>
  <c r="N14" i="61"/>
  <c r="L14" i="61"/>
  <c r="J14" i="61"/>
  <c r="H14" i="61"/>
  <c r="F14" i="61"/>
  <c r="D14" i="61"/>
  <c r="AN13" i="61"/>
  <c r="AL13" i="61"/>
  <c r="AJ13" i="61"/>
  <c r="AH13" i="61"/>
  <c r="AF13" i="61"/>
  <c r="AD13" i="61"/>
  <c r="AB13" i="61"/>
  <c r="Z13" i="61"/>
  <c r="X13" i="61"/>
  <c r="V13" i="61"/>
  <c r="T13" i="61"/>
  <c r="R13" i="61"/>
  <c r="P13" i="61"/>
  <c r="N13" i="61"/>
  <c r="L13" i="61"/>
  <c r="J13" i="61"/>
  <c r="H13" i="61"/>
  <c r="F13" i="61"/>
  <c r="D13" i="61"/>
  <c r="AN12" i="61"/>
  <c r="AL12" i="61"/>
  <c r="AJ12" i="61"/>
  <c r="AH12" i="61"/>
  <c r="AF12" i="61"/>
  <c r="AD12" i="61"/>
  <c r="AB12" i="61"/>
  <c r="Z12" i="61"/>
  <c r="X12" i="61"/>
  <c r="V12" i="61"/>
  <c r="T12" i="61"/>
  <c r="R12" i="61"/>
  <c r="P12" i="61"/>
  <c r="N12" i="61"/>
  <c r="L12" i="61"/>
  <c r="J12" i="61"/>
  <c r="H12" i="61"/>
  <c r="F12" i="61"/>
  <c r="D12" i="61"/>
  <c r="AN11" i="61"/>
  <c r="AL11" i="61"/>
  <c r="AJ11" i="61"/>
  <c r="AH11" i="61"/>
  <c r="AF11" i="61"/>
  <c r="AD11" i="61"/>
  <c r="AB11" i="61"/>
  <c r="Z11" i="61"/>
  <c r="X11" i="61"/>
  <c r="V11" i="61"/>
  <c r="T11" i="61"/>
  <c r="R11" i="61"/>
  <c r="P11" i="61"/>
  <c r="N11" i="61"/>
  <c r="L11" i="61"/>
  <c r="J11" i="61"/>
  <c r="H11" i="61"/>
  <c r="F11" i="61"/>
  <c r="D11" i="61"/>
  <c r="AN10" i="61"/>
  <c r="AL10" i="61"/>
  <c r="AJ10" i="61"/>
  <c r="AH10" i="61"/>
  <c r="AF10" i="61"/>
  <c r="AD10" i="61"/>
  <c r="AB10" i="61"/>
  <c r="Z10" i="61"/>
  <c r="X10" i="61"/>
  <c r="V10" i="61"/>
  <c r="T10" i="61"/>
  <c r="R10" i="61"/>
  <c r="P10" i="61"/>
  <c r="N10" i="61"/>
  <c r="L10" i="61"/>
  <c r="J10" i="61"/>
  <c r="H10" i="61"/>
  <c r="F10" i="61"/>
  <c r="D10" i="61"/>
  <c r="AN9" i="61"/>
  <c r="AL9" i="61"/>
  <c r="AJ9" i="61"/>
  <c r="AH9" i="61"/>
  <c r="AF9" i="61"/>
  <c r="AD9" i="61"/>
  <c r="AB9" i="61"/>
  <c r="Z9" i="61"/>
  <c r="X9" i="61"/>
  <c r="V9" i="61"/>
  <c r="T9" i="61"/>
  <c r="R9" i="61"/>
  <c r="P9" i="61"/>
  <c r="N9" i="61"/>
  <c r="L9" i="61"/>
  <c r="J9" i="61"/>
  <c r="H9" i="61"/>
  <c r="F9" i="61"/>
  <c r="D9" i="61"/>
  <c r="AN8" i="61"/>
  <c r="AL8" i="61"/>
  <c r="AJ8" i="61"/>
  <c r="AH8" i="61"/>
  <c r="AF8" i="61"/>
  <c r="AD8" i="61"/>
  <c r="AB8" i="61"/>
  <c r="Z8" i="61"/>
  <c r="X8" i="61"/>
  <c r="V8" i="61"/>
  <c r="T8" i="61"/>
  <c r="R8" i="61"/>
  <c r="P8" i="61"/>
  <c r="N8" i="61"/>
  <c r="L8" i="61"/>
  <c r="J8" i="61"/>
  <c r="H8" i="61"/>
  <c r="F8" i="61"/>
  <c r="D8" i="61"/>
  <c r="AN7" i="61"/>
  <c r="AL7" i="61"/>
  <c r="AJ7" i="61"/>
  <c r="AH7" i="61"/>
  <c r="AF7" i="61"/>
  <c r="AD7" i="61"/>
  <c r="AB7" i="61"/>
  <c r="Z7" i="61"/>
  <c r="X7" i="61"/>
  <c r="V7" i="61"/>
  <c r="T7" i="61"/>
  <c r="R7" i="61"/>
  <c r="P7" i="61"/>
  <c r="N7" i="61"/>
  <c r="L7" i="61"/>
  <c r="J7" i="61"/>
  <c r="H7" i="61"/>
  <c r="F7" i="61"/>
  <c r="D7" i="61"/>
  <c r="AN6" i="61"/>
  <c r="AL6" i="61"/>
  <c r="AJ6" i="61"/>
  <c r="AH6" i="61"/>
  <c r="AF6" i="61"/>
  <c r="AD6" i="61"/>
  <c r="AB6" i="61"/>
  <c r="Z6" i="61"/>
  <c r="X6" i="61"/>
  <c r="V6" i="61"/>
  <c r="T6" i="61"/>
  <c r="R6" i="61"/>
  <c r="P6" i="61"/>
  <c r="N6" i="61"/>
  <c r="L6" i="61"/>
  <c r="J6" i="61"/>
  <c r="H6" i="61"/>
  <c r="F6" i="61"/>
  <c r="D6" i="61"/>
  <c r="AN5" i="61"/>
  <c r="AL5" i="61"/>
  <c r="AJ5" i="61"/>
  <c r="AH5" i="61"/>
  <c r="AF5" i="61"/>
  <c r="AD5" i="61"/>
  <c r="AB5" i="61"/>
  <c r="Z5" i="61"/>
  <c r="X5" i="61"/>
  <c r="V5" i="61"/>
  <c r="T5" i="61"/>
  <c r="R5" i="61"/>
  <c r="P5" i="61"/>
  <c r="N5" i="61"/>
  <c r="L5" i="61"/>
  <c r="J5" i="61"/>
  <c r="H5" i="61"/>
  <c r="F5" i="61"/>
  <c r="D5" i="61"/>
  <c r="AN4" i="61"/>
  <c r="AL4" i="61"/>
  <c r="AJ4" i="61"/>
  <c r="AH4" i="61"/>
  <c r="AF4" i="61"/>
  <c r="AD4" i="61"/>
  <c r="AB4" i="61"/>
  <c r="Z4" i="61"/>
  <c r="X4" i="61"/>
  <c r="V4" i="61"/>
  <c r="T4" i="61"/>
  <c r="R4" i="61"/>
  <c r="P4" i="61"/>
  <c r="N4" i="61"/>
  <c r="L4" i="61"/>
  <c r="J4" i="61"/>
  <c r="H4" i="61"/>
  <c r="F4" i="61"/>
  <c r="D4" i="61"/>
  <c r="T1" i="61"/>
  <c r="L1" i="61"/>
  <c r="AN61" i="60"/>
  <c r="AL61" i="60"/>
  <c r="AJ61" i="60"/>
  <c r="AH61" i="60"/>
  <c r="AF61" i="60"/>
  <c r="AD61" i="60"/>
  <c r="AB61" i="60"/>
  <c r="Z61" i="60"/>
  <c r="X61" i="60"/>
  <c r="V61" i="60"/>
  <c r="T61" i="60"/>
  <c r="R61" i="60"/>
  <c r="P61" i="60"/>
  <c r="N61" i="60"/>
  <c r="L61" i="60"/>
  <c r="J61" i="60"/>
  <c r="H61" i="60"/>
  <c r="F61" i="60"/>
  <c r="D61" i="60"/>
  <c r="AN60" i="60"/>
  <c r="AL60" i="60"/>
  <c r="AJ60" i="60"/>
  <c r="AH60" i="60"/>
  <c r="AF60" i="60"/>
  <c r="AD60" i="60"/>
  <c r="AB60" i="60"/>
  <c r="Z60" i="60"/>
  <c r="X60" i="60"/>
  <c r="V60" i="60"/>
  <c r="T60" i="60"/>
  <c r="R60" i="60"/>
  <c r="P60" i="60"/>
  <c r="N60" i="60"/>
  <c r="L60" i="60"/>
  <c r="J60" i="60"/>
  <c r="H60" i="60"/>
  <c r="F60" i="60"/>
  <c r="D60" i="60"/>
  <c r="AN59" i="60"/>
  <c r="AL59" i="60"/>
  <c r="AJ59" i="60"/>
  <c r="AH59" i="60"/>
  <c r="AF59" i="60"/>
  <c r="AD59" i="60"/>
  <c r="AB59" i="60"/>
  <c r="Z59" i="60"/>
  <c r="X59" i="60"/>
  <c r="V59" i="60"/>
  <c r="T59" i="60"/>
  <c r="R59" i="60"/>
  <c r="P59" i="60"/>
  <c r="N59" i="60"/>
  <c r="L59" i="60"/>
  <c r="J59" i="60"/>
  <c r="H59" i="60"/>
  <c r="F59" i="60"/>
  <c r="D59" i="60"/>
  <c r="AN58" i="60"/>
  <c r="AL58" i="60"/>
  <c r="AJ58" i="60"/>
  <c r="AH58" i="60"/>
  <c r="AF58" i="60"/>
  <c r="AD58" i="60"/>
  <c r="AB58" i="60"/>
  <c r="Z58" i="60"/>
  <c r="X58" i="60"/>
  <c r="V58" i="60"/>
  <c r="T58" i="60"/>
  <c r="R58" i="60"/>
  <c r="P58" i="60"/>
  <c r="N58" i="60"/>
  <c r="L58" i="60"/>
  <c r="J58" i="60"/>
  <c r="H58" i="60"/>
  <c r="F58" i="60"/>
  <c r="D58" i="60"/>
  <c r="AN57" i="60"/>
  <c r="AL57" i="60"/>
  <c r="AJ57" i="60"/>
  <c r="AH57" i="60"/>
  <c r="AF57" i="60"/>
  <c r="AD57" i="60"/>
  <c r="AB57" i="60"/>
  <c r="Z57" i="60"/>
  <c r="X57" i="60"/>
  <c r="V57" i="60"/>
  <c r="T57" i="60"/>
  <c r="R57" i="60"/>
  <c r="P57" i="60"/>
  <c r="N57" i="60"/>
  <c r="L57" i="60"/>
  <c r="J57" i="60"/>
  <c r="H57" i="60"/>
  <c r="F57" i="60"/>
  <c r="D57" i="60"/>
  <c r="AN56" i="60"/>
  <c r="AL56" i="60"/>
  <c r="AJ56" i="60"/>
  <c r="AH56" i="60"/>
  <c r="AF56" i="60"/>
  <c r="AD56" i="60"/>
  <c r="AB56" i="60"/>
  <c r="Z56" i="60"/>
  <c r="X56" i="60"/>
  <c r="V56" i="60"/>
  <c r="T56" i="60"/>
  <c r="R56" i="60"/>
  <c r="P56" i="60"/>
  <c r="N56" i="60"/>
  <c r="L56" i="60"/>
  <c r="J56" i="60"/>
  <c r="H56" i="60"/>
  <c r="F56" i="60"/>
  <c r="D56" i="60"/>
  <c r="AN55" i="60"/>
  <c r="AL55" i="60"/>
  <c r="AJ55" i="60"/>
  <c r="AH55" i="60"/>
  <c r="AF55" i="60"/>
  <c r="AD55" i="60"/>
  <c r="AB55" i="60"/>
  <c r="Z55" i="60"/>
  <c r="X55" i="60"/>
  <c r="V55" i="60"/>
  <c r="T55" i="60"/>
  <c r="R55" i="60"/>
  <c r="P55" i="60"/>
  <c r="N55" i="60"/>
  <c r="L55" i="60"/>
  <c r="J55" i="60"/>
  <c r="H55" i="60"/>
  <c r="F55" i="60"/>
  <c r="D55" i="60"/>
  <c r="AN54" i="60"/>
  <c r="AL54" i="60"/>
  <c r="AJ54" i="60"/>
  <c r="AH54" i="60"/>
  <c r="AF54" i="60"/>
  <c r="AD54" i="60"/>
  <c r="AB54" i="60"/>
  <c r="Z54" i="60"/>
  <c r="X54" i="60"/>
  <c r="V54" i="60"/>
  <c r="T54" i="60"/>
  <c r="R54" i="60"/>
  <c r="P54" i="60"/>
  <c r="N54" i="60"/>
  <c r="L54" i="60"/>
  <c r="J54" i="60"/>
  <c r="H54" i="60"/>
  <c r="F54" i="60"/>
  <c r="D54" i="60"/>
  <c r="AN53" i="60"/>
  <c r="AL53" i="60"/>
  <c r="AJ53" i="60"/>
  <c r="AH53" i="60"/>
  <c r="AF53" i="60"/>
  <c r="AD53" i="60"/>
  <c r="AB53" i="60"/>
  <c r="Z53" i="60"/>
  <c r="X53" i="60"/>
  <c r="V53" i="60"/>
  <c r="T53" i="60"/>
  <c r="R53" i="60"/>
  <c r="P53" i="60"/>
  <c r="N53" i="60"/>
  <c r="L53" i="60"/>
  <c r="J53" i="60"/>
  <c r="H53" i="60"/>
  <c r="F53" i="60"/>
  <c r="D53" i="60"/>
  <c r="AN52" i="60"/>
  <c r="AL52" i="60"/>
  <c r="AJ52" i="60"/>
  <c r="AH52" i="60"/>
  <c r="AF52" i="60"/>
  <c r="AD52" i="60"/>
  <c r="AB52" i="60"/>
  <c r="Z52" i="60"/>
  <c r="X52" i="60"/>
  <c r="V52" i="60"/>
  <c r="T52" i="60"/>
  <c r="R52" i="60"/>
  <c r="P52" i="60"/>
  <c r="N52" i="60"/>
  <c r="L52" i="60"/>
  <c r="J52" i="60"/>
  <c r="H52" i="60"/>
  <c r="F52" i="60"/>
  <c r="D52" i="60"/>
  <c r="AN51" i="60"/>
  <c r="AL51" i="60"/>
  <c r="AJ51" i="60"/>
  <c r="AH51" i="60"/>
  <c r="AF51" i="60"/>
  <c r="AD51" i="60"/>
  <c r="AB51" i="60"/>
  <c r="Z51" i="60"/>
  <c r="X51" i="60"/>
  <c r="V51" i="60"/>
  <c r="T51" i="60"/>
  <c r="R51" i="60"/>
  <c r="P51" i="60"/>
  <c r="N51" i="60"/>
  <c r="L51" i="60"/>
  <c r="J51" i="60"/>
  <c r="H51" i="60"/>
  <c r="F51" i="60"/>
  <c r="D51" i="60"/>
  <c r="AN49" i="60"/>
  <c r="AL49" i="60"/>
  <c r="AJ49" i="60"/>
  <c r="AH49" i="60"/>
  <c r="AF49" i="60"/>
  <c r="AD49" i="60"/>
  <c r="AB49" i="60"/>
  <c r="Z49" i="60"/>
  <c r="X49" i="60"/>
  <c r="V49" i="60"/>
  <c r="T49" i="60"/>
  <c r="R49" i="60"/>
  <c r="P49" i="60"/>
  <c r="N49" i="60"/>
  <c r="L49" i="60"/>
  <c r="J49" i="60"/>
  <c r="H49" i="60"/>
  <c r="F49" i="60"/>
  <c r="D49" i="60"/>
  <c r="AN48" i="60"/>
  <c r="AL48" i="60"/>
  <c r="AJ48" i="60"/>
  <c r="AH48" i="60"/>
  <c r="AF48" i="60"/>
  <c r="AD48" i="60"/>
  <c r="AB48" i="60"/>
  <c r="Z48" i="60"/>
  <c r="X48" i="60"/>
  <c r="V48" i="60"/>
  <c r="T48" i="60"/>
  <c r="R48" i="60"/>
  <c r="P48" i="60"/>
  <c r="N48" i="60"/>
  <c r="L48" i="60"/>
  <c r="J48" i="60"/>
  <c r="H48" i="60"/>
  <c r="F48" i="60"/>
  <c r="D48" i="60"/>
  <c r="AN47" i="60"/>
  <c r="AL47" i="60"/>
  <c r="AJ47" i="60"/>
  <c r="AH47" i="60"/>
  <c r="AF47" i="60"/>
  <c r="AD47" i="60"/>
  <c r="AB47" i="60"/>
  <c r="Z47" i="60"/>
  <c r="X47" i="60"/>
  <c r="V47" i="60"/>
  <c r="T47" i="60"/>
  <c r="R47" i="60"/>
  <c r="P47" i="60"/>
  <c r="N47" i="60"/>
  <c r="L47" i="60"/>
  <c r="J47" i="60"/>
  <c r="H47" i="60"/>
  <c r="F47" i="60"/>
  <c r="D47" i="60"/>
  <c r="AN46" i="60"/>
  <c r="AL46" i="60"/>
  <c r="AJ46" i="60"/>
  <c r="AH46" i="60"/>
  <c r="AF46" i="60"/>
  <c r="AD46" i="60"/>
  <c r="AB46" i="60"/>
  <c r="Z46" i="60"/>
  <c r="X46" i="60"/>
  <c r="V46" i="60"/>
  <c r="T46" i="60"/>
  <c r="R46" i="60"/>
  <c r="P46" i="60"/>
  <c r="N46" i="60"/>
  <c r="L46" i="60"/>
  <c r="J46" i="60"/>
  <c r="H46" i="60"/>
  <c r="F46" i="60"/>
  <c r="D46" i="60"/>
  <c r="AN45" i="60"/>
  <c r="AL45" i="60"/>
  <c r="AJ45" i="60"/>
  <c r="AH45" i="60"/>
  <c r="AF45" i="60"/>
  <c r="AD45" i="60"/>
  <c r="AB45" i="60"/>
  <c r="Z45" i="60"/>
  <c r="X45" i="60"/>
  <c r="V45" i="60"/>
  <c r="T45" i="60"/>
  <c r="R45" i="60"/>
  <c r="P45" i="60"/>
  <c r="N45" i="60"/>
  <c r="L45" i="60"/>
  <c r="J45" i="60"/>
  <c r="H45" i="60"/>
  <c r="F45" i="60"/>
  <c r="D45" i="60"/>
  <c r="AN44" i="60"/>
  <c r="AL44" i="60"/>
  <c r="AJ44" i="60"/>
  <c r="AH44" i="60"/>
  <c r="AF44" i="60"/>
  <c r="AD44" i="60"/>
  <c r="AB44" i="60"/>
  <c r="Z44" i="60"/>
  <c r="X44" i="60"/>
  <c r="V44" i="60"/>
  <c r="T44" i="60"/>
  <c r="R44" i="60"/>
  <c r="P44" i="60"/>
  <c r="N44" i="60"/>
  <c r="L44" i="60"/>
  <c r="J44" i="60"/>
  <c r="H44" i="60"/>
  <c r="F44" i="60"/>
  <c r="D44" i="60"/>
  <c r="AN43" i="60"/>
  <c r="AL43" i="60"/>
  <c r="AJ43" i="60"/>
  <c r="AH43" i="60"/>
  <c r="AF43" i="60"/>
  <c r="AD43" i="60"/>
  <c r="AB43" i="60"/>
  <c r="Z43" i="60"/>
  <c r="X43" i="60"/>
  <c r="V43" i="60"/>
  <c r="T43" i="60"/>
  <c r="R43" i="60"/>
  <c r="P43" i="60"/>
  <c r="N43" i="60"/>
  <c r="L43" i="60"/>
  <c r="J43" i="60"/>
  <c r="H43" i="60"/>
  <c r="F43" i="60"/>
  <c r="D43" i="60"/>
  <c r="AN42" i="60"/>
  <c r="AL42" i="60"/>
  <c r="AJ42" i="60"/>
  <c r="AH42" i="60"/>
  <c r="AF42" i="60"/>
  <c r="AD42" i="60"/>
  <c r="AB42" i="60"/>
  <c r="Z42" i="60"/>
  <c r="X42" i="60"/>
  <c r="V42" i="60"/>
  <c r="T42" i="60"/>
  <c r="R42" i="60"/>
  <c r="P42" i="60"/>
  <c r="N42" i="60"/>
  <c r="L42" i="60"/>
  <c r="J42" i="60"/>
  <c r="H42" i="60"/>
  <c r="F42" i="60"/>
  <c r="D42" i="60"/>
  <c r="AN41" i="60"/>
  <c r="AL41" i="60"/>
  <c r="AJ41" i="60"/>
  <c r="AH41" i="60"/>
  <c r="AF41" i="60"/>
  <c r="AD41" i="60"/>
  <c r="AB41" i="60"/>
  <c r="Z41" i="60"/>
  <c r="X41" i="60"/>
  <c r="V41" i="60"/>
  <c r="T41" i="60"/>
  <c r="R41" i="60"/>
  <c r="P41" i="60"/>
  <c r="N41" i="60"/>
  <c r="L41" i="60"/>
  <c r="J41" i="60"/>
  <c r="H41" i="60"/>
  <c r="F41" i="60"/>
  <c r="D41" i="60"/>
  <c r="AN40" i="60"/>
  <c r="AL40" i="60"/>
  <c r="AJ40" i="60"/>
  <c r="AH40" i="60"/>
  <c r="AF40" i="60"/>
  <c r="AD40" i="60"/>
  <c r="AB40" i="60"/>
  <c r="Z40" i="60"/>
  <c r="X40" i="60"/>
  <c r="V40" i="60"/>
  <c r="T40" i="60"/>
  <c r="R40" i="60"/>
  <c r="P40" i="60"/>
  <c r="N40" i="60"/>
  <c r="L40" i="60"/>
  <c r="J40" i="60"/>
  <c r="H40" i="60"/>
  <c r="F40" i="60"/>
  <c r="D40" i="60"/>
  <c r="AN39" i="60"/>
  <c r="AL39" i="60"/>
  <c r="AJ39" i="60"/>
  <c r="AH39" i="60"/>
  <c r="AF39" i="60"/>
  <c r="AD39" i="60"/>
  <c r="AB39" i="60"/>
  <c r="Z39" i="60"/>
  <c r="X39" i="60"/>
  <c r="V39" i="60"/>
  <c r="T39" i="60"/>
  <c r="R39" i="60"/>
  <c r="P39" i="60"/>
  <c r="N39" i="60"/>
  <c r="L39" i="60"/>
  <c r="J39" i="60"/>
  <c r="H39" i="60"/>
  <c r="F39" i="60"/>
  <c r="D39" i="60"/>
  <c r="AN37" i="60"/>
  <c r="AL37" i="60"/>
  <c r="AJ37" i="60"/>
  <c r="AH37" i="60"/>
  <c r="AF37" i="60"/>
  <c r="AD37" i="60"/>
  <c r="AB37" i="60"/>
  <c r="Z37" i="60"/>
  <c r="X37" i="60"/>
  <c r="V37" i="60"/>
  <c r="T37" i="60"/>
  <c r="R37" i="60"/>
  <c r="P37" i="60"/>
  <c r="N37" i="60"/>
  <c r="L37" i="60"/>
  <c r="J37" i="60"/>
  <c r="H37" i="60"/>
  <c r="F37" i="60"/>
  <c r="D37" i="60"/>
  <c r="B37" i="60"/>
  <c r="AN36" i="60"/>
  <c r="AL36" i="60"/>
  <c r="AJ36" i="60"/>
  <c r="AH36" i="60"/>
  <c r="AF36" i="60"/>
  <c r="AD36" i="60"/>
  <c r="AB36" i="60"/>
  <c r="Z36" i="60"/>
  <c r="X36" i="60"/>
  <c r="V36" i="60"/>
  <c r="T36" i="60"/>
  <c r="R36" i="60"/>
  <c r="P36" i="60"/>
  <c r="N36" i="60"/>
  <c r="L36" i="60"/>
  <c r="J36" i="60"/>
  <c r="H36" i="60"/>
  <c r="F36" i="60"/>
  <c r="D36" i="60"/>
  <c r="B36" i="60"/>
  <c r="AN35" i="60"/>
  <c r="AL35" i="60"/>
  <c r="AJ35" i="60"/>
  <c r="AH35" i="60"/>
  <c r="AF35" i="60"/>
  <c r="AD35" i="60"/>
  <c r="AB35" i="60"/>
  <c r="Z35" i="60"/>
  <c r="X35" i="60"/>
  <c r="V35" i="60"/>
  <c r="T35" i="60"/>
  <c r="R35" i="60"/>
  <c r="P35" i="60"/>
  <c r="N35" i="60"/>
  <c r="L35" i="60"/>
  <c r="J35" i="60"/>
  <c r="H35" i="60"/>
  <c r="F35" i="60"/>
  <c r="D35" i="60"/>
  <c r="B35" i="60"/>
  <c r="AN34" i="60"/>
  <c r="AL34" i="60"/>
  <c r="AJ34" i="60"/>
  <c r="AH34" i="60"/>
  <c r="AF34" i="60"/>
  <c r="AD34" i="60"/>
  <c r="AB34" i="60"/>
  <c r="Z34" i="60"/>
  <c r="X34" i="60"/>
  <c r="V34" i="60"/>
  <c r="T34" i="60"/>
  <c r="R34" i="60"/>
  <c r="P34" i="60"/>
  <c r="N34" i="60"/>
  <c r="L34" i="60"/>
  <c r="J34" i="60"/>
  <c r="H34" i="60"/>
  <c r="F34" i="60"/>
  <c r="D34" i="60"/>
  <c r="B34" i="60"/>
  <c r="AN33" i="60"/>
  <c r="AL33" i="60"/>
  <c r="AJ33" i="60"/>
  <c r="AH33" i="60"/>
  <c r="AF33" i="60"/>
  <c r="AD33" i="60"/>
  <c r="AB33" i="60"/>
  <c r="Z33" i="60"/>
  <c r="X33" i="60"/>
  <c r="V33" i="60"/>
  <c r="T33" i="60"/>
  <c r="R33" i="60"/>
  <c r="P33" i="60"/>
  <c r="N33" i="60"/>
  <c r="L33" i="60"/>
  <c r="J33" i="60"/>
  <c r="H33" i="60"/>
  <c r="F33" i="60"/>
  <c r="D33" i="60"/>
  <c r="B33" i="60"/>
  <c r="AN32" i="60"/>
  <c r="AL32" i="60"/>
  <c r="AJ32" i="60"/>
  <c r="AH32" i="60"/>
  <c r="AF32" i="60"/>
  <c r="AD32" i="60"/>
  <c r="AB32" i="60"/>
  <c r="Z32" i="60"/>
  <c r="X32" i="60"/>
  <c r="V32" i="60"/>
  <c r="T32" i="60"/>
  <c r="R32" i="60"/>
  <c r="P32" i="60"/>
  <c r="N32" i="60"/>
  <c r="L32" i="60"/>
  <c r="J32" i="60"/>
  <c r="H32" i="60"/>
  <c r="F32" i="60"/>
  <c r="D32" i="60"/>
  <c r="B32" i="60"/>
  <c r="AN31" i="60"/>
  <c r="AL31" i="60"/>
  <c r="AJ31" i="60"/>
  <c r="AH31" i="60"/>
  <c r="AF31" i="60"/>
  <c r="AD31" i="60"/>
  <c r="AB31" i="60"/>
  <c r="Z31" i="60"/>
  <c r="X31" i="60"/>
  <c r="V31" i="60"/>
  <c r="T31" i="60"/>
  <c r="R31" i="60"/>
  <c r="P31" i="60"/>
  <c r="N31" i="60"/>
  <c r="L31" i="60"/>
  <c r="J31" i="60"/>
  <c r="H31" i="60"/>
  <c r="F31" i="60"/>
  <c r="D31" i="60"/>
  <c r="B31" i="60"/>
  <c r="AN30" i="60"/>
  <c r="AL30" i="60"/>
  <c r="AJ30" i="60"/>
  <c r="AH30" i="60"/>
  <c r="AF30" i="60"/>
  <c r="AD30" i="60"/>
  <c r="AB30" i="60"/>
  <c r="Z30" i="60"/>
  <c r="X30" i="60"/>
  <c r="V30" i="60"/>
  <c r="T30" i="60"/>
  <c r="R30" i="60"/>
  <c r="P30" i="60"/>
  <c r="N30" i="60"/>
  <c r="L30" i="60"/>
  <c r="J30" i="60"/>
  <c r="H30" i="60"/>
  <c r="F30" i="60"/>
  <c r="D30" i="60"/>
  <c r="B30" i="60"/>
  <c r="AN29" i="60"/>
  <c r="AL29" i="60"/>
  <c r="AJ29" i="60"/>
  <c r="AH29" i="60"/>
  <c r="AF29" i="60"/>
  <c r="AD29" i="60"/>
  <c r="AB29" i="60"/>
  <c r="Z29" i="60"/>
  <c r="X29" i="60"/>
  <c r="V29" i="60"/>
  <c r="T29" i="60"/>
  <c r="R29" i="60"/>
  <c r="P29" i="60"/>
  <c r="N29" i="60"/>
  <c r="L29" i="60"/>
  <c r="J29" i="60"/>
  <c r="H29" i="60"/>
  <c r="F29" i="60"/>
  <c r="D29" i="60"/>
  <c r="B29" i="60"/>
  <c r="AN28" i="60"/>
  <c r="AL28" i="60"/>
  <c r="AJ28" i="60"/>
  <c r="AH28" i="60"/>
  <c r="AF28" i="60"/>
  <c r="AD28" i="60"/>
  <c r="AB28" i="60"/>
  <c r="Z28" i="60"/>
  <c r="X28" i="60"/>
  <c r="V28" i="60"/>
  <c r="T28" i="60"/>
  <c r="R28" i="60"/>
  <c r="P28" i="60"/>
  <c r="N28" i="60"/>
  <c r="L28" i="60"/>
  <c r="J28" i="60"/>
  <c r="H28" i="60"/>
  <c r="F28" i="60"/>
  <c r="D28" i="60"/>
  <c r="B28" i="60"/>
  <c r="AN27" i="60"/>
  <c r="AN38" i="60" s="1"/>
  <c r="AM38" i="60" s="1"/>
  <c r="AM67" i="60" s="1"/>
  <c r="AL27" i="60"/>
  <c r="AL38" i="60" s="1"/>
  <c r="AK38" i="60" s="1"/>
  <c r="AK67" i="60" s="1"/>
  <c r="AJ27" i="60"/>
  <c r="AJ38" i="60" s="1"/>
  <c r="AI38" i="60" s="1"/>
  <c r="AI67" i="60" s="1"/>
  <c r="AH27" i="60"/>
  <c r="AH38" i="60" s="1"/>
  <c r="AG38" i="60" s="1"/>
  <c r="AG67" i="60" s="1"/>
  <c r="AF27" i="60"/>
  <c r="AF38" i="60" s="1"/>
  <c r="AE38" i="60" s="1"/>
  <c r="AE67" i="60" s="1"/>
  <c r="AD27" i="60"/>
  <c r="AD38" i="60" s="1"/>
  <c r="AC38" i="60" s="1"/>
  <c r="AC67" i="60" s="1"/>
  <c r="AB27" i="60"/>
  <c r="AB38" i="60" s="1"/>
  <c r="AA38" i="60" s="1"/>
  <c r="AA67" i="60" s="1"/>
  <c r="Z27" i="60"/>
  <c r="Z38" i="60" s="1"/>
  <c r="Y38" i="60" s="1"/>
  <c r="Y67" i="60" s="1"/>
  <c r="X27" i="60"/>
  <c r="X38" i="60" s="1"/>
  <c r="W38" i="60" s="1"/>
  <c r="W67" i="60" s="1"/>
  <c r="V27" i="60"/>
  <c r="V38" i="60" s="1"/>
  <c r="U38" i="60" s="1"/>
  <c r="U67" i="60" s="1"/>
  <c r="T27" i="60"/>
  <c r="T38" i="60" s="1"/>
  <c r="S38" i="60" s="1"/>
  <c r="S67" i="60" s="1"/>
  <c r="R27" i="60"/>
  <c r="R38" i="60" s="1"/>
  <c r="Q38" i="60" s="1"/>
  <c r="Q67" i="60" s="1"/>
  <c r="P27" i="60"/>
  <c r="P38" i="60" s="1"/>
  <c r="O38" i="60" s="1"/>
  <c r="O67" i="60" s="1"/>
  <c r="N27" i="60"/>
  <c r="N38" i="60" s="1"/>
  <c r="M38" i="60" s="1"/>
  <c r="M67" i="60" s="1"/>
  <c r="L27" i="60"/>
  <c r="L38" i="60" s="1"/>
  <c r="K38" i="60" s="1"/>
  <c r="K67" i="60" s="1"/>
  <c r="J27" i="60"/>
  <c r="J38" i="60" s="1"/>
  <c r="I38" i="60" s="1"/>
  <c r="I67" i="60" s="1"/>
  <c r="H27" i="60"/>
  <c r="H38" i="60" s="1"/>
  <c r="G38" i="60" s="1"/>
  <c r="G67" i="60" s="1"/>
  <c r="F27" i="60"/>
  <c r="F38" i="60" s="1"/>
  <c r="E38" i="60" s="1"/>
  <c r="E67" i="60" s="1"/>
  <c r="D27" i="60"/>
  <c r="AN25" i="60"/>
  <c r="AL25" i="60"/>
  <c r="AJ25" i="60"/>
  <c r="AH25" i="60"/>
  <c r="AF25" i="60"/>
  <c r="AD25" i="60"/>
  <c r="AB25" i="60"/>
  <c r="Z25" i="60"/>
  <c r="X25" i="60"/>
  <c r="V25" i="60"/>
  <c r="T25" i="60"/>
  <c r="R25" i="60"/>
  <c r="P25" i="60"/>
  <c r="N25" i="60"/>
  <c r="L25" i="60"/>
  <c r="J25" i="60"/>
  <c r="H25" i="60"/>
  <c r="F25" i="60"/>
  <c r="D25" i="60"/>
  <c r="AN24" i="60"/>
  <c r="AL24" i="60"/>
  <c r="AJ24" i="60"/>
  <c r="AH24" i="60"/>
  <c r="AF24" i="60"/>
  <c r="AD24" i="60"/>
  <c r="AB24" i="60"/>
  <c r="Z24" i="60"/>
  <c r="X24" i="60"/>
  <c r="V24" i="60"/>
  <c r="T24" i="60"/>
  <c r="R24" i="60"/>
  <c r="P24" i="60"/>
  <c r="N24" i="60"/>
  <c r="L24" i="60"/>
  <c r="J24" i="60"/>
  <c r="H24" i="60"/>
  <c r="F24" i="60"/>
  <c r="D24" i="60"/>
  <c r="AN23" i="60"/>
  <c r="AL23" i="60"/>
  <c r="AJ23" i="60"/>
  <c r="AH23" i="60"/>
  <c r="AF23" i="60"/>
  <c r="AD23" i="60"/>
  <c r="AB23" i="60"/>
  <c r="Z23" i="60"/>
  <c r="X23" i="60"/>
  <c r="V23" i="60"/>
  <c r="T23" i="60"/>
  <c r="R23" i="60"/>
  <c r="P23" i="60"/>
  <c r="N23" i="60"/>
  <c r="L23" i="60"/>
  <c r="J23" i="60"/>
  <c r="H23" i="60"/>
  <c r="F23" i="60"/>
  <c r="D23" i="60"/>
  <c r="AN22" i="60"/>
  <c r="AL22" i="60"/>
  <c r="AJ22" i="60"/>
  <c r="AH22" i="60"/>
  <c r="AF22" i="60"/>
  <c r="AD22" i="60"/>
  <c r="AB22" i="60"/>
  <c r="Z22" i="60"/>
  <c r="X22" i="60"/>
  <c r="V22" i="60"/>
  <c r="T22" i="60"/>
  <c r="R22" i="60"/>
  <c r="P22" i="60"/>
  <c r="N22" i="60"/>
  <c r="L22" i="60"/>
  <c r="J22" i="60"/>
  <c r="H22" i="60"/>
  <c r="F22" i="60"/>
  <c r="D22" i="60"/>
  <c r="AN21" i="60"/>
  <c r="AL21" i="60"/>
  <c r="AJ21" i="60"/>
  <c r="AH21" i="60"/>
  <c r="AF21" i="60"/>
  <c r="AD21" i="60"/>
  <c r="AB21" i="60"/>
  <c r="Z21" i="60"/>
  <c r="X21" i="60"/>
  <c r="V21" i="60"/>
  <c r="T21" i="60"/>
  <c r="R21" i="60"/>
  <c r="P21" i="60"/>
  <c r="N21" i="60"/>
  <c r="L21" i="60"/>
  <c r="J21" i="60"/>
  <c r="H21" i="60"/>
  <c r="F21" i="60"/>
  <c r="D21" i="60"/>
  <c r="AN20" i="60"/>
  <c r="AL20" i="60"/>
  <c r="AJ20" i="60"/>
  <c r="AH20" i="60"/>
  <c r="AF20" i="60"/>
  <c r="AD20" i="60"/>
  <c r="AB20" i="60"/>
  <c r="Z20" i="60"/>
  <c r="X20" i="60"/>
  <c r="V20" i="60"/>
  <c r="T20" i="60"/>
  <c r="R20" i="60"/>
  <c r="P20" i="60"/>
  <c r="N20" i="60"/>
  <c r="L20" i="60"/>
  <c r="J20" i="60"/>
  <c r="H20" i="60"/>
  <c r="F20" i="60"/>
  <c r="D20" i="60"/>
  <c r="AN19" i="60"/>
  <c r="AL19" i="60"/>
  <c r="AJ19" i="60"/>
  <c r="AH19" i="60"/>
  <c r="AF19" i="60"/>
  <c r="AD19" i="60"/>
  <c r="AB19" i="60"/>
  <c r="Z19" i="60"/>
  <c r="X19" i="60"/>
  <c r="V19" i="60"/>
  <c r="T19" i="60"/>
  <c r="R19" i="60"/>
  <c r="P19" i="60"/>
  <c r="N19" i="60"/>
  <c r="L19" i="60"/>
  <c r="J19" i="60"/>
  <c r="H19" i="60"/>
  <c r="F19" i="60"/>
  <c r="D19" i="60"/>
  <c r="AN18" i="60"/>
  <c r="AL18" i="60"/>
  <c r="AJ18" i="60"/>
  <c r="AH18" i="60"/>
  <c r="AF18" i="60"/>
  <c r="AD18" i="60"/>
  <c r="AB18" i="60"/>
  <c r="Z18" i="60"/>
  <c r="X18" i="60"/>
  <c r="V18" i="60"/>
  <c r="T18" i="60"/>
  <c r="R18" i="60"/>
  <c r="P18" i="60"/>
  <c r="N18" i="60"/>
  <c r="L18" i="60"/>
  <c r="J18" i="60"/>
  <c r="H18" i="60"/>
  <c r="F18" i="60"/>
  <c r="D18" i="60"/>
  <c r="AN17" i="60"/>
  <c r="AL17" i="60"/>
  <c r="AJ17" i="60"/>
  <c r="AH17" i="60"/>
  <c r="AF17" i="60"/>
  <c r="AD17" i="60"/>
  <c r="AB17" i="60"/>
  <c r="Z17" i="60"/>
  <c r="X17" i="60"/>
  <c r="V17" i="60"/>
  <c r="T17" i="60"/>
  <c r="R17" i="60"/>
  <c r="P17" i="60"/>
  <c r="N17" i="60"/>
  <c r="L17" i="60"/>
  <c r="J17" i="60"/>
  <c r="H17" i="60"/>
  <c r="F17" i="60"/>
  <c r="D17" i="60"/>
  <c r="AN16" i="60"/>
  <c r="AL16" i="60"/>
  <c r="AJ16" i="60"/>
  <c r="AH16" i="60"/>
  <c r="AF16" i="60"/>
  <c r="AD16" i="60"/>
  <c r="AB16" i="60"/>
  <c r="Z16" i="60"/>
  <c r="X16" i="60"/>
  <c r="V16" i="60"/>
  <c r="T16" i="60"/>
  <c r="R16" i="60"/>
  <c r="P16" i="60"/>
  <c r="N16" i="60"/>
  <c r="L16" i="60"/>
  <c r="J16" i="60"/>
  <c r="H16" i="60"/>
  <c r="F16" i="60"/>
  <c r="D16" i="60"/>
  <c r="AN15" i="60"/>
  <c r="AL15" i="60"/>
  <c r="AJ15" i="60"/>
  <c r="AH15" i="60"/>
  <c r="AF15" i="60"/>
  <c r="AD15" i="60"/>
  <c r="AB15" i="60"/>
  <c r="Z15" i="60"/>
  <c r="X15" i="60"/>
  <c r="V15" i="60"/>
  <c r="T15" i="60"/>
  <c r="R15" i="60"/>
  <c r="P15" i="60"/>
  <c r="N15" i="60"/>
  <c r="L15" i="60"/>
  <c r="J15" i="60"/>
  <c r="H15" i="60"/>
  <c r="F15" i="60"/>
  <c r="D15" i="60"/>
  <c r="AN14" i="60"/>
  <c r="AL14" i="60"/>
  <c r="AJ14" i="60"/>
  <c r="AH14" i="60"/>
  <c r="AF14" i="60"/>
  <c r="AD14" i="60"/>
  <c r="AB14" i="60"/>
  <c r="Z14" i="60"/>
  <c r="X14" i="60"/>
  <c r="V14" i="60"/>
  <c r="T14" i="60"/>
  <c r="R14" i="60"/>
  <c r="P14" i="60"/>
  <c r="N14" i="60"/>
  <c r="L14" i="60"/>
  <c r="J14" i="60"/>
  <c r="H14" i="60"/>
  <c r="F14" i="60"/>
  <c r="D14" i="60"/>
  <c r="AN13" i="60"/>
  <c r="AL13" i="60"/>
  <c r="AJ13" i="60"/>
  <c r="AH13" i="60"/>
  <c r="AF13" i="60"/>
  <c r="AD13" i="60"/>
  <c r="AB13" i="60"/>
  <c r="Z13" i="60"/>
  <c r="X13" i="60"/>
  <c r="V13" i="60"/>
  <c r="T13" i="60"/>
  <c r="R13" i="60"/>
  <c r="P13" i="60"/>
  <c r="N13" i="60"/>
  <c r="L13" i="60"/>
  <c r="J13" i="60"/>
  <c r="H13" i="60"/>
  <c r="F13" i="60"/>
  <c r="D13" i="60"/>
  <c r="AN12" i="60"/>
  <c r="AL12" i="60"/>
  <c r="AJ12" i="60"/>
  <c r="AH12" i="60"/>
  <c r="AF12" i="60"/>
  <c r="AD12" i="60"/>
  <c r="AB12" i="60"/>
  <c r="Z12" i="60"/>
  <c r="X12" i="60"/>
  <c r="V12" i="60"/>
  <c r="T12" i="60"/>
  <c r="R12" i="60"/>
  <c r="P12" i="60"/>
  <c r="N12" i="60"/>
  <c r="L12" i="60"/>
  <c r="J12" i="60"/>
  <c r="H12" i="60"/>
  <c r="F12" i="60"/>
  <c r="D12" i="60"/>
  <c r="AN11" i="60"/>
  <c r="AL11" i="60"/>
  <c r="AJ11" i="60"/>
  <c r="AH11" i="60"/>
  <c r="AF11" i="60"/>
  <c r="AD11" i="60"/>
  <c r="AB11" i="60"/>
  <c r="Z11" i="60"/>
  <c r="X11" i="60"/>
  <c r="V11" i="60"/>
  <c r="T11" i="60"/>
  <c r="R11" i="60"/>
  <c r="P11" i="60"/>
  <c r="N11" i="60"/>
  <c r="L11" i="60"/>
  <c r="J11" i="60"/>
  <c r="H11" i="60"/>
  <c r="F11" i="60"/>
  <c r="D11" i="60"/>
  <c r="AN10" i="60"/>
  <c r="AL10" i="60"/>
  <c r="AJ10" i="60"/>
  <c r="AH10" i="60"/>
  <c r="AF10" i="60"/>
  <c r="AD10" i="60"/>
  <c r="AB10" i="60"/>
  <c r="Z10" i="60"/>
  <c r="X10" i="60"/>
  <c r="V10" i="60"/>
  <c r="T10" i="60"/>
  <c r="R10" i="60"/>
  <c r="P10" i="60"/>
  <c r="N10" i="60"/>
  <c r="L10" i="60"/>
  <c r="J10" i="60"/>
  <c r="H10" i="60"/>
  <c r="F10" i="60"/>
  <c r="D10" i="60"/>
  <c r="AN9" i="60"/>
  <c r="AL9" i="60"/>
  <c r="AJ9" i="60"/>
  <c r="AH9" i="60"/>
  <c r="AF9" i="60"/>
  <c r="AD9" i="60"/>
  <c r="AB9" i="60"/>
  <c r="Z9" i="60"/>
  <c r="X9" i="60"/>
  <c r="V9" i="60"/>
  <c r="T9" i="60"/>
  <c r="R9" i="60"/>
  <c r="P9" i="60"/>
  <c r="N9" i="60"/>
  <c r="L9" i="60"/>
  <c r="J9" i="60"/>
  <c r="H9" i="60"/>
  <c r="F9" i="60"/>
  <c r="D9" i="60"/>
  <c r="AN8" i="60"/>
  <c r="AL8" i="60"/>
  <c r="AJ8" i="60"/>
  <c r="AH8" i="60"/>
  <c r="AF8" i="60"/>
  <c r="AD8" i="60"/>
  <c r="AB8" i="60"/>
  <c r="Z8" i="60"/>
  <c r="X8" i="60"/>
  <c r="V8" i="60"/>
  <c r="T8" i="60"/>
  <c r="R8" i="60"/>
  <c r="P8" i="60"/>
  <c r="N8" i="60"/>
  <c r="L8" i="60"/>
  <c r="J8" i="60"/>
  <c r="H8" i="60"/>
  <c r="F8" i="60"/>
  <c r="D8" i="60"/>
  <c r="AN7" i="60"/>
  <c r="AL7" i="60"/>
  <c r="AJ7" i="60"/>
  <c r="AH7" i="60"/>
  <c r="AF7" i="60"/>
  <c r="AD7" i="60"/>
  <c r="AB7" i="60"/>
  <c r="Z7" i="60"/>
  <c r="X7" i="60"/>
  <c r="V7" i="60"/>
  <c r="T7" i="60"/>
  <c r="R7" i="60"/>
  <c r="P7" i="60"/>
  <c r="N7" i="60"/>
  <c r="L7" i="60"/>
  <c r="J7" i="60"/>
  <c r="H7" i="60"/>
  <c r="F7" i="60"/>
  <c r="D7" i="60"/>
  <c r="AN6" i="60"/>
  <c r="AL6" i="60"/>
  <c r="AJ6" i="60"/>
  <c r="AH6" i="60"/>
  <c r="AF6" i="60"/>
  <c r="AD6" i="60"/>
  <c r="AB6" i="60"/>
  <c r="Z6" i="60"/>
  <c r="X6" i="60"/>
  <c r="V6" i="60"/>
  <c r="T6" i="60"/>
  <c r="R6" i="60"/>
  <c r="P6" i="60"/>
  <c r="N6" i="60"/>
  <c r="L6" i="60"/>
  <c r="J6" i="60"/>
  <c r="H6" i="60"/>
  <c r="F6" i="60"/>
  <c r="D6" i="60"/>
  <c r="AN5" i="60"/>
  <c r="AL5" i="60"/>
  <c r="AJ5" i="60"/>
  <c r="AH5" i="60"/>
  <c r="AF5" i="60"/>
  <c r="AD5" i="60"/>
  <c r="AB5" i="60"/>
  <c r="Z5" i="60"/>
  <c r="X5" i="60"/>
  <c r="V5" i="60"/>
  <c r="T5" i="60"/>
  <c r="R5" i="60"/>
  <c r="P5" i="60"/>
  <c r="N5" i="60"/>
  <c r="L5" i="60"/>
  <c r="J5" i="60"/>
  <c r="H5" i="60"/>
  <c r="F5" i="60"/>
  <c r="D5" i="60"/>
  <c r="AN4" i="60"/>
  <c r="AL4" i="60"/>
  <c r="AJ4" i="60"/>
  <c r="AH4" i="60"/>
  <c r="AF4" i="60"/>
  <c r="AD4" i="60"/>
  <c r="AB4" i="60"/>
  <c r="Z4" i="60"/>
  <c r="X4" i="60"/>
  <c r="V4" i="60"/>
  <c r="T4" i="60"/>
  <c r="R4" i="60"/>
  <c r="P4" i="60"/>
  <c r="N4" i="60"/>
  <c r="L4" i="60"/>
  <c r="J4" i="60"/>
  <c r="H4" i="60"/>
  <c r="F4" i="60"/>
  <c r="D4" i="60"/>
  <c r="T1" i="60"/>
  <c r="L1" i="60"/>
  <c r="AN61" i="53"/>
  <c r="AL61" i="53"/>
  <c r="AJ61" i="53"/>
  <c r="AH61" i="53"/>
  <c r="AF61" i="53"/>
  <c r="AD61" i="53"/>
  <c r="AB61" i="53"/>
  <c r="Z61" i="53"/>
  <c r="X61" i="53"/>
  <c r="V61" i="53"/>
  <c r="T61" i="53"/>
  <c r="R61" i="53"/>
  <c r="P61" i="53"/>
  <c r="N61" i="53"/>
  <c r="L61" i="53"/>
  <c r="J61" i="53"/>
  <c r="H61" i="53"/>
  <c r="F61" i="53"/>
  <c r="D61" i="53"/>
  <c r="AN60" i="53"/>
  <c r="AL60" i="53"/>
  <c r="AJ60" i="53"/>
  <c r="AH60" i="53"/>
  <c r="AF60" i="53"/>
  <c r="AD60" i="53"/>
  <c r="AB60" i="53"/>
  <c r="Z60" i="53"/>
  <c r="X60" i="53"/>
  <c r="V60" i="53"/>
  <c r="T60" i="53"/>
  <c r="R60" i="53"/>
  <c r="P60" i="53"/>
  <c r="N60" i="53"/>
  <c r="L60" i="53"/>
  <c r="J60" i="53"/>
  <c r="H60" i="53"/>
  <c r="F60" i="53"/>
  <c r="D60" i="53"/>
  <c r="AN59" i="53"/>
  <c r="AL59" i="53"/>
  <c r="AJ59" i="53"/>
  <c r="AH59" i="53"/>
  <c r="AF59" i="53"/>
  <c r="AD59" i="53"/>
  <c r="AB59" i="53"/>
  <c r="Z59" i="53"/>
  <c r="X59" i="53"/>
  <c r="V59" i="53"/>
  <c r="T59" i="53"/>
  <c r="R59" i="53"/>
  <c r="P59" i="53"/>
  <c r="N59" i="53"/>
  <c r="L59" i="53"/>
  <c r="J59" i="53"/>
  <c r="H59" i="53"/>
  <c r="F59" i="53"/>
  <c r="D59" i="53"/>
  <c r="AN58" i="53"/>
  <c r="AL58" i="53"/>
  <c r="AJ58" i="53"/>
  <c r="AH58" i="53"/>
  <c r="AF58" i="53"/>
  <c r="AD58" i="53"/>
  <c r="AB58" i="53"/>
  <c r="Z58" i="53"/>
  <c r="X58" i="53"/>
  <c r="V58" i="53"/>
  <c r="T58" i="53"/>
  <c r="R58" i="53"/>
  <c r="P58" i="53"/>
  <c r="N58" i="53"/>
  <c r="L58" i="53"/>
  <c r="J58" i="53"/>
  <c r="H58" i="53"/>
  <c r="F58" i="53"/>
  <c r="D58" i="53"/>
  <c r="AN57" i="53"/>
  <c r="AL57" i="53"/>
  <c r="AJ57" i="53"/>
  <c r="AH57" i="53"/>
  <c r="AF57" i="53"/>
  <c r="AD57" i="53"/>
  <c r="AB57" i="53"/>
  <c r="Z57" i="53"/>
  <c r="X57" i="53"/>
  <c r="V57" i="53"/>
  <c r="T57" i="53"/>
  <c r="R57" i="53"/>
  <c r="P57" i="53"/>
  <c r="N57" i="53"/>
  <c r="L57" i="53"/>
  <c r="J57" i="53"/>
  <c r="H57" i="53"/>
  <c r="F57" i="53"/>
  <c r="D57" i="53"/>
  <c r="AN56" i="53"/>
  <c r="AL56" i="53"/>
  <c r="AJ56" i="53"/>
  <c r="AH56" i="53"/>
  <c r="AF56" i="53"/>
  <c r="AD56" i="53"/>
  <c r="AB56" i="53"/>
  <c r="Z56" i="53"/>
  <c r="X56" i="53"/>
  <c r="V56" i="53"/>
  <c r="T56" i="53"/>
  <c r="R56" i="53"/>
  <c r="P56" i="53"/>
  <c r="N56" i="53"/>
  <c r="L56" i="53"/>
  <c r="J56" i="53"/>
  <c r="H56" i="53"/>
  <c r="F56" i="53"/>
  <c r="D56" i="53"/>
  <c r="AN55" i="53"/>
  <c r="AL55" i="53"/>
  <c r="AJ55" i="53"/>
  <c r="AH55" i="53"/>
  <c r="AF55" i="53"/>
  <c r="AD55" i="53"/>
  <c r="AB55" i="53"/>
  <c r="Z55" i="53"/>
  <c r="X55" i="53"/>
  <c r="V55" i="53"/>
  <c r="T55" i="53"/>
  <c r="R55" i="53"/>
  <c r="P55" i="53"/>
  <c r="N55" i="53"/>
  <c r="L55" i="53"/>
  <c r="J55" i="53"/>
  <c r="H55" i="53"/>
  <c r="F55" i="53"/>
  <c r="D55" i="53"/>
  <c r="AN54" i="53"/>
  <c r="AL54" i="53"/>
  <c r="AJ54" i="53"/>
  <c r="AH54" i="53"/>
  <c r="AF54" i="53"/>
  <c r="AD54" i="53"/>
  <c r="AB54" i="53"/>
  <c r="Z54" i="53"/>
  <c r="X54" i="53"/>
  <c r="V54" i="53"/>
  <c r="T54" i="53"/>
  <c r="R54" i="53"/>
  <c r="P54" i="53"/>
  <c r="N54" i="53"/>
  <c r="L54" i="53"/>
  <c r="J54" i="53"/>
  <c r="H54" i="53"/>
  <c r="F54" i="53"/>
  <c r="D54" i="53"/>
  <c r="AN53" i="53"/>
  <c r="AL53" i="53"/>
  <c r="AJ53" i="53"/>
  <c r="AH53" i="53"/>
  <c r="AF53" i="53"/>
  <c r="AD53" i="53"/>
  <c r="AB53" i="53"/>
  <c r="Z53" i="53"/>
  <c r="X53" i="53"/>
  <c r="V53" i="53"/>
  <c r="T53" i="53"/>
  <c r="R53" i="53"/>
  <c r="P53" i="53"/>
  <c r="N53" i="53"/>
  <c r="L53" i="53"/>
  <c r="J53" i="53"/>
  <c r="H53" i="53"/>
  <c r="F53" i="53"/>
  <c r="D53" i="53"/>
  <c r="AN52" i="53"/>
  <c r="AL52" i="53"/>
  <c r="AJ52" i="53"/>
  <c r="AH52" i="53"/>
  <c r="AF52" i="53"/>
  <c r="AD52" i="53"/>
  <c r="AB52" i="53"/>
  <c r="Z52" i="53"/>
  <c r="X52" i="53"/>
  <c r="V52" i="53"/>
  <c r="T52" i="53"/>
  <c r="R52" i="53"/>
  <c r="P52" i="53"/>
  <c r="N52" i="53"/>
  <c r="L52" i="53"/>
  <c r="J52" i="53"/>
  <c r="H52" i="53"/>
  <c r="F52" i="53"/>
  <c r="D52" i="53"/>
  <c r="AN51" i="53"/>
  <c r="AL51" i="53"/>
  <c r="AJ51" i="53"/>
  <c r="AH51" i="53"/>
  <c r="AF51" i="53"/>
  <c r="AD51" i="53"/>
  <c r="AB51" i="53"/>
  <c r="Z51" i="53"/>
  <c r="X51" i="53"/>
  <c r="V51" i="53"/>
  <c r="T51" i="53"/>
  <c r="R51" i="53"/>
  <c r="P51" i="53"/>
  <c r="N51" i="53"/>
  <c r="L51" i="53"/>
  <c r="J51" i="53"/>
  <c r="H51" i="53"/>
  <c r="F51" i="53"/>
  <c r="D51" i="53"/>
  <c r="AN49" i="53"/>
  <c r="AL49" i="53"/>
  <c r="AJ49" i="53"/>
  <c r="AH49" i="53"/>
  <c r="AF49" i="53"/>
  <c r="AD49" i="53"/>
  <c r="AB49" i="53"/>
  <c r="Z49" i="53"/>
  <c r="X49" i="53"/>
  <c r="V49" i="53"/>
  <c r="T49" i="53"/>
  <c r="R49" i="53"/>
  <c r="P49" i="53"/>
  <c r="N49" i="53"/>
  <c r="L49" i="53"/>
  <c r="J49" i="53"/>
  <c r="H49" i="53"/>
  <c r="F49" i="53"/>
  <c r="D49" i="53"/>
  <c r="AN48" i="53"/>
  <c r="AL48" i="53"/>
  <c r="AJ48" i="53"/>
  <c r="AH48" i="53"/>
  <c r="AF48" i="53"/>
  <c r="AD48" i="53"/>
  <c r="AB48" i="53"/>
  <c r="Z48" i="53"/>
  <c r="X48" i="53"/>
  <c r="V48" i="53"/>
  <c r="T48" i="53"/>
  <c r="R48" i="53"/>
  <c r="P48" i="53"/>
  <c r="N48" i="53"/>
  <c r="L48" i="53"/>
  <c r="J48" i="53"/>
  <c r="H48" i="53"/>
  <c r="F48" i="53"/>
  <c r="D48" i="53"/>
  <c r="AN47" i="53"/>
  <c r="AL47" i="53"/>
  <c r="AJ47" i="53"/>
  <c r="AH47" i="53"/>
  <c r="AF47" i="53"/>
  <c r="AD47" i="53"/>
  <c r="AB47" i="53"/>
  <c r="Z47" i="53"/>
  <c r="X47" i="53"/>
  <c r="V47" i="53"/>
  <c r="T47" i="53"/>
  <c r="R47" i="53"/>
  <c r="P47" i="53"/>
  <c r="N47" i="53"/>
  <c r="L47" i="53"/>
  <c r="J47" i="53"/>
  <c r="H47" i="53"/>
  <c r="F47" i="53"/>
  <c r="D47" i="53"/>
  <c r="AN46" i="53"/>
  <c r="AL46" i="53"/>
  <c r="AJ46" i="53"/>
  <c r="AH46" i="53"/>
  <c r="AF46" i="53"/>
  <c r="AD46" i="53"/>
  <c r="AB46" i="53"/>
  <c r="Z46" i="53"/>
  <c r="X46" i="53"/>
  <c r="V46" i="53"/>
  <c r="T46" i="53"/>
  <c r="R46" i="53"/>
  <c r="P46" i="53"/>
  <c r="N46" i="53"/>
  <c r="L46" i="53"/>
  <c r="J46" i="53"/>
  <c r="H46" i="53"/>
  <c r="F46" i="53"/>
  <c r="D46" i="53"/>
  <c r="AN45" i="53"/>
  <c r="AL45" i="53"/>
  <c r="AJ45" i="53"/>
  <c r="AH45" i="53"/>
  <c r="AF45" i="53"/>
  <c r="AD45" i="53"/>
  <c r="AB45" i="53"/>
  <c r="Z45" i="53"/>
  <c r="X45" i="53"/>
  <c r="V45" i="53"/>
  <c r="T45" i="53"/>
  <c r="R45" i="53"/>
  <c r="P45" i="53"/>
  <c r="N45" i="53"/>
  <c r="L45" i="53"/>
  <c r="J45" i="53"/>
  <c r="H45" i="53"/>
  <c r="F45" i="53"/>
  <c r="D45" i="53"/>
  <c r="AN44" i="53"/>
  <c r="AL44" i="53"/>
  <c r="AJ44" i="53"/>
  <c r="AH44" i="53"/>
  <c r="AF44" i="53"/>
  <c r="AD44" i="53"/>
  <c r="AB44" i="53"/>
  <c r="Z44" i="53"/>
  <c r="X44" i="53"/>
  <c r="V44" i="53"/>
  <c r="T44" i="53"/>
  <c r="R44" i="53"/>
  <c r="P44" i="53"/>
  <c r="N44" i="53"/>
  <c r="L44" i="53"/>
  <c r="J44" i="53"/>
  <c r="H44" i="53"/>
  <c r="F44" i="53"/>
  <c r="D44" i="53"/>
  <c r="AN43" i="53"/>
  <c r="AL43" i="53"/>
  <c r="AJ43" i="53"/>
  <c r="AH43" i="53"/>
  <c r="AF43" i="53"/>
  <c r="AD43" i="53"/>
  <c r="AB43" i="53"/>
  <c r="Z43" i="53"/>
  <c r="X43" i="53"/>
  <c r="V43" i="53"/>
  <c r="T43" i="53"/>
  <c r="R43" i="53"/>
  <c r="P43" i="53"/>
  <c r="N43" i="53"/>
  <c r="L43" i="53"/>
  <c r="J43" i="53"/>
  <c r="H43" i="53"/>
  <c r="F43" i="53"/>
  <c r="D43" i="53"/>
  <c r="AN42" i="53"/>
  <c r="AL42" i="53"/>
  <c r="AJ42" i="53"/>
  <c r="AH42" i="53"/>
  <c r="AF42" i="53"/>
  <c r="AD42" i="53"/>
  <c r="AB42" i="53"/>
  <c r="Z42" i="53"/>
  <c r="X42" i="53"/>
  <c r="V42" i="53"/>
  <c r="T42" i="53"/>
  <c r="R42" i="53"/>
  <c r="P42" i="53"/>
  <c r="N42" i="53"/>
  <c r="L42" i="53"/>
  <c r="J42" i="53"/>
  <c r="H42" i="53"/>
  <c r="F42" i="53"/>
  <c r="D42" i="53"/>
  <c r="AN41" i="53"/>
  <c r="AL41" i="53"/>
  <c r="AJ41" i="53"/>
  <c r="AH41" i="53"/>
  <c r="AF41" i="53"/>
  <c r="AD41" i="53"/>
  <c r="AB41" i="53"/>
  <c r="Z41" i="53"/>
  <c r="X41" i="53"/>
  <c r="V41" i="53"/>
  <c r="T41" i="53"/>
  <c r="R41" i="53"/>
  <c r="P41" i="53"/>
  <c r="N41" i="53"/>
  <c r="L41" i="53"/>
  <c r="J41" i="53"/>
  <c r="H41" i="53"/>
  <c r="F41" i="53"/>
  <c r="D41" i="53"/>
  <c r="AN40" i="53"/>
  <c r="AL40" i="53"/>
  <c r="AJ40" i="53"/>
  <c r="AH40" i="53"/>
  <c r="AF40" i="53"/>
  <c r="AD40" i="53"/>
  <c r="AB40" i="53"/>
  <c r="Z40" i="53"/>
  <c r="X40" i="53"/>
  <c r="V40" i="53"/>
  <c r="T40" i="53"/>
  <c r="R40" i="53"/>
  <c r="P40" i="53"/>
  <c r="N40" i="53"/>
  <c r="L40" i="53"/>
  <c r="J40" i="53"/>
  <c r="H40" i="53"/>
  <c r="F40" i="53"/>
  <c r="D40" i="53"/>
  <c r="AN39" i="53"/>
  <c r="AL39" i="53"/>
  <c r="AJ39" i="53"/>
  <c r="AH39" i="53"/>
  <c r="AF39" i="53"/>
  <c r="AD39" i="53"/>
  <c r="AB39" i="53"/>
  <c r="Z39" i="53"/>
  <c r="X39" i="53"/>
  <c r="V39" i="53"/>
  <c r="T39" i="53"/>
  <c r="R39" i="53"/>
  <c r="P39" i="53"/>
  <c r="N39" i="53"/>
  <c r="L39" i="53"/>
  <c r="J39" i="53"/>
  <c r="H39" i="53"/>
  <c r="F39" i="53"/>
  <c r="D39" i="53"/>
  <c r="AN37" i="53"/>
  <c r="AL37" i="53"/>
  <c r="AJ37" i="53"/>
  <c r="AH37" i="53"/>
  <c r="AF37" i="53"/>
  <c r="AD37" i="53"/>
  <c r="AB37" i="53"/>
  <c r="Z37" i="53"/>
  <c r="X37" i="53"/>
  <c r="V37" i="53"/>
  <c r="T37" i="53"/>
  <c r="R37" i="53"/>
  <c r="P37" i="53"/>
  <c r="N37" i="53"/>
  <c r="L37" i="53"/>
  <c r="J37" i="53"/>
  <c r="H37" i="53"/>
  <c r="F37" i="53"/>
  <c r="D37" i="53"/>
  <c r="B37" i="53"/>
  <c r="AN36" i="53"/>
  <c r="AL36" i="53"/>
  <c r="AJ36" i="53"/>
  <c r="AH36" i="53"/>
  <c r="AF36" i="53"/>
  <c r="AD36" i="53"/>
  <c r="AB36" i="53"/>
  <c r="Z36" i="53"/>
  <c r="X36" i="53"/>
  <c r="V36" i="53"/>
  <c r="T36" i="53"/>
  <c r="R36" i="53"/>
  <c r="P36" i="53"/>
  <c r="N36" i="53"/>
  <c r="L36" i="53"/>
  <c r="J36" i="53"/>
  <c r="H36" i="53"/>
  <c r="F36" i="53"/>
  <c r="D36" i="53"/>
  <c r="B36" i="53"/>
  <c r="AN35" i="53"/>
  <c r="AL35" i="53"/>
  <c r="AJ35" i="53"/>
  <c r="AH35" i="53"/>
  <c r="AF35" i="53"/>
  <c r="AD35" i="53"/>
  <c r="AB35" i="53"/>
  <c r="Z35" i="53"/>
  <c r="X35" i="53"/>
  <c r="V35" i="53"/>
  <c r="T35" i="53"/>
  <c r="R35" i="53"/>
  <c r="P35" i="53"/>
  <c r="N35" i="53"/>
  <c r="L35" i="53"/>
  <c r="J35" i="53"/>
  <c r="H35" i="53"/>
  <c r="F35" i="53"/>
  <c r="D35" i="53"/>
  <c r="B35" i="53"/>
  <c r="AN34" i="53"/>
  <c r="AL34" i="53"/>
  <c r="AJ34" i="53"/>
  <c r="AH34" i="53"/>
  <c r="AF34" i="53"/>
  <c r="AD34" i="53"/>
  <c r="AB34" i="53"/>
  <c r="Z34" i="53"/>
  <c r="X34" i="53"/>
  <c r="V34" i="53"/>
  <c r="T34" i="53"/>
  <c r="R34" i="53"/>
  <c r="P34" i="53"/>
  <c r="N34" i="53"/>
  <c r="L34" i="53"/>
  <c r="J34" i="53"/>
  <c r="H34" i="53"/>
  <c r="F34" i="53"/>
  <c r="D34" i="53"/>
  <c r="B34" i="53"/>
  <c r="AN33" i="53"/>
  <c r="AL33" i="53"/>
  <c r="AJ33" i="53"/>
  <c r="AH33" i="53"/>
  <c r="AF33" i="53"/>
  <c r="AD33" i="53"/>
  <c r="AB33" i="53"/>
  <c r="Z33" i="53"/>
  <c r="X33" i="53"/>
  <c r="V33" i="53"/>
  <c r="T33" i="53"/>
  <c r="R33" i="53"/>
  <c r="P33" i="53"/>
  <c r="N33" i="53"/>
  <c r="L33" i="53"/>
  <c r="J33" i="53"/>
  <c r="H33" i="53"/>
  <c r="F33" i="53"/>
  <c r="D33" i="53"/>
  <c r="B33" i="53"/>
  <c r="AN32" i="53"/>
  <c r="AL32" i="53"/>
  <c r="AJ32" i="53"/>
  <c r="AH32" i="53"/>
  <c r="AF32" i="53"/>
  <c r="AD32" i="53"/>
  <c r="AB32" i="53"/>
  <c r="Z32" i="53"/>
  <c r="X32" i="53"/>
  <c r="V32" i="53"/>
  <c r="T32" i="53"/>
  <c r="R32" i="53"/>
  <c r="P32" i="53"/>
  <c r="N32" i="53"/>
  <c r="L32" i="53"/>
  <c r="J32" i="53"/>
  <c r="H32" i="53"/>
  <c r="F32" i="53"/>
  <c r="D32" i="53"/>
  <c r="B32" i="53"/>
  <c r="AN31" i="53"/>
  <c r="AL31" i="53"/>
  <c r="AJ31" i="53"/>
  <c r="AH31" i="53"/>
  <c r="AF31" i="53"/>
  <c r="AD31" i="53"/>
  <c r="AB31" i="53"/>
  <c r="Z31" i="53"/>
  <c r="X31" i="53"/>
  <c r="V31" i="53"/>
  <c r="T31" i="53"/>
  <c r="R31" i="53"/>
  <c r="P31" i="53"/>
  <c r="N31" i="53"/>
  <c r="L31" i="53"/>
  <c r="J31" i="53"/>
  <c r="H31" i="53"/>
  <c r="F31" i="53"/>
  <c r="D31" i="53"/>
  <c r="B31" i="53"/>
  <c r="AN30" i="53"/>
  <c r="AL30" i="53"/>
  <c r="AJ30" i="53"/>
  <c r="AH30" i="53"/>
  <c r="AF30" i="53"/>
  <c r="AD30" i="53"/>
  <c r="AB30" i="53"/>
  <c r="Z30" i="53"/>
  <c r="X30" i="53"/>
  <c r="V30" i="53"/>
  <c r="T30" i="53"/>
  <c r="R30" i="53"/>
  <c r="P30" i="53"/>
  <c r="N30" i="53"/>
  <c r="L30" i="53"/>
  <c r="J30" i="53"/>
  <c r="H30" i="53"/>
  <c r="F30" i="53"/>
  <c r="D30" i="53"/>
  <c r="B30" i="53"/>
  <c r="AN29" i="53"/>
  <c r="AL29" i="53"/>
  <c r="AJ29" i="53"/>
  <c r="AH29" i="53"/>
  <c r="AF29" i="53"/>
  <c r="AD29" i="53"/>
  <c r="AB29" i="53"/>
  <c r="Z29" i="53"/>
  <c r="X29" i="53"/>
  <c r="V29" i="53"/>
  <c r="T29" i="53"/>
  <c r="R29" i="53"/>
  <c r="P29" i="53"/>
  <c r="N29" i="53"/>
  <c r="L29" i="53"/>
  <c r="J29" i="53"/>
  <c r="H29" i="53"/>
  <c r="F29" i="53"/>
  <c r="D29" i="53"/>
  <c r="B29" i="53"/>
  <c r="AN28" i="53"/>
  <c r="AL28" i="53"/>
  <c r="AJ28" i="53"/>
  <c r="AH28" i="53"/>
  <c r="AF28" i="53"/>
  <c r="AD28" i="53"/>
  <c r="AB28" i="53"/>
  <c r="Z28" i="53"/>
  <c r="X28" i="53"/>
  <c r="V28" i="53"/>
  <c r="T28" i="53"/>
  <c r="R28" i="53"/>
  <c r="P28" i="53"/>
  <c r="N28" i="53"/>
  <c r="L28" i="53"/>
  <c r="J28" i="53"/>
  <c r="H28" i="53"/>
  <c r="F28" i="53"/>
  <c r="D28" i="53"/>
  <c r="B28" i="53"/>
  <c r="AN27" i="53"/>
  <c r="AN38" i="53" s="1"/>
  <c r="AM38" i="53" s="1"/>
  <c r="AM67" i="53" s="1"/>
  <c r="AL27" i="53"/>
  <c r="AL38" i="53" s="1"/>
  <c r="AK38" i="53" s="1"/>
  <c r="AK67" i="53" s="1"/>
  <c r="AJ27" i="53"/>
  <c r="AJ38" i="53" s="1"/>
  <c r="AI38" i="53" s="1"/>
  <c r="AI67" i="53" s="1"/>
  <c r="AH27" i="53"/>
  <c r="AH38" i="53" s="1"/>
  <c r="AG38" i="53" s="1"/>
  <c r="AG67" i="53" s="1"/>
  <c r="AF27" i="53"/>
  <c r="AF38" i="53" s="1"/>
  <c r="AE38" i="53" s="1"/>
  <c r="AE67" i="53" s="1"/>
  <c r="AD27" i="53"/>
  <c r="AD38" i="53" s="1"/>
  <c r="AC38" i="53" s="1"/>
  <c r="AC67" i="53" s="1"/>
  <c r="AB27" i="53"/>
  <c r="AB38" i="53" s="1"/>
  <c r="AA38" i="53" s="1"/>
  <c r="AA67" i="53" s="1"/>
  <c r="Z27" i="53"/>
  <c r="Z38" i="53" s="1"/>
  <c r="Y38" i="53" s="1"/>
  <c r="Y67" i="53" s="1"/>
  <c r="X27" i="53"/>
  <c r="X38" i="53" s="1"/>
  <c r="W38" i="53" s="1"/>
  <c r="W67" i="53" s="1"/>
  <c r="V27" i="53"/>
  <c r="V38" i="53" s="1"/>
  <c r="U38" i="53" s="1"/>
  <c r="U67" i="53" s="1"/>
  <c r="T27" i="53"/>
  <c r="T38" i="53" s="1"/>
  <c r="S38" i="53" s="1"/>
  <c r="S67" i="53" s="1"/>
  <c r="R27" i="53"/>
  <c r="R38" i="53" s="1"/>
  <c r="Q38" i="53" s="1"/>
  <c r="Q67" i="53" s="1"/>
  <c r="P27" i="53"/>
  <c r="P38" i="53" s="1"/>
  <c r="O38" i="53" s="1"/>
  <c r="O67" i="53" s="1"/>
  <c r="N27" i="53"/>
  <c r="N38" i="53" s="1"/>
  <c r="M38" i="53" s="1"/>
  <c r="M67" i="53" s="1"/>
  <c r="L27" i="53"/>
  <c r="L38" i="53" s="1"/>
  <c r="K38" i="53" s="1"/>
  <c r="K67" i="53" s="1"/>
  <c r="J27" i="53"/>
  <c r="J38" i="53" s="1"/>
  <c r="I38" i="53" s="1"/>
  <c r="I67" i="53" s="1"/>
  <c r="H27" i="53"/>
  <c r="H38" i="53" s="1"/>
  <c r="G38" i="53" s="1"/>
  <c r="G67" i="53" s="1"/>
  <c r="F27" i="53"/>
  <c r="F38" i="53" s="1"/>
  <c r="E38" i="53" s="1"/>
  <c r="E67" i="53" s="1"/>
  <c r="D27" i="53"/>
  <c r="AN25" i="53"/>
  <c r="AL25" i="53"/>
  <c r="AJ25" i="53"/>
  <c r="AH25" i="53"/>
  <c r="AF25" i="53"/>
  <c r="AD25" i="53"/>
  <c r="AB25" i="53"/>
  <c r="Z25" i="53"/>
  <c r="X25" i="53"/>
  <c r="V25" i="53"/>
  <c r="T25" i="53"/>
  <c r="R25" i="53"/>
  <c r="P25" i="53"/>
  <c r="N25" i="53"/>
  <c r="L25" i="53"/>
  <c r="J25" i="53"/>
  <c r="H25" i="53"/>
  <c r="F25" i="53"/>
  <c r="D25" i="53"/>
  <c r="AN24" i="53"/>
  <c r="AL24" i="53"/>
  <c r="AJ24" i="53"/>
  <c r="AH24" i="53"/>
  <c r="AF24" i="53"/>
  <c r="AD24" i="53"/>
  <c r="AB24" i="53"/>
  <c r="Z24" i="53"/>
  <c r="X24" i="53"/>
  <c r="V24" i="53"/>
  <c r="T24" i="53"/>
  <c r="R24" i="53"/>
  <c r="P24" i="53"/>
  <c r="N24" i="53"/>
  <c r="L24" i="53"/>
  <c r="J24" i="53"/>
  <c r="H24" i="53"/>
  <c r="F24" i="53"/>
  <c r="D24" i="53"/>
  <c r="AN23" i="53"/>
  <c r="AL23" i="53"/>
  <c r="AJ23" i="53"/>
  <c r="AH23" i="53"/>
  <c r="AF23" i="53"/>
  <c r="AD23" i="53"/>
  <c r="AB23" i="53"/>
  <c r="Z23" i="53"/>
  <c r="X23" i="53"/>
  <c r="V23" i="53"/>
  <c r="T23" i="53"/>
  <c r="R23" i="53"/>
  <c r="P23" i="53"/>
  <c r="N23" i="53"/>
  <c r="L23" i="53"/>
  <c r="J23" i="53"/>
  <c r="H23" i="53"/>
  <c r="F23" i="53"/>
  <c r="D23" i="53"/>
  <c r="AN22" i="53"/>
  <c r="AL22" i="53"/>
  <c r="AJ22" i="53"/>
  <c r="AH22" i="53"/>
  <c r="AF22" i="53"/>
  <c r="AD22" i="53"/>
  <c r="AB22" i="53"/>
  <c r="Z22" i="53"/>
  <c r="X22" i="53"/>
  <c r="V22" i="53"/>
  <c r="T22" i="53"/>
  <c r="R22" i="53"/>
  <c r="P22" i="53"/>
  <c r="N22" i="53"/>
  <c r="L22" i="53"/>
  <c r="J22" i="53"/>
  <c r="H22" i="53"/>
  <c r="F22" i="53"/>
  <c r="D22" i="53"/>
  <c r="AN21" i="53"/>
  <c r="AL21" i="53"/>
  <c r="AJ21" i="53"/>
  <c r="AH21" i="53"/>
  <c r="AF21" i="53"/>
  <c r="AD21" i="53"/>
  <c r="AB21" i="53"/>
  <c r="Z21" i="53"/>
  <c r="X21" i="53"/>
  <c r="V21" i="53"/>
  <c r="T21" i="53"/>
  <c r="R21" i="53"/>
  <c r="P21" i="53"/>
  <c r="N21" i="53"/>
  <c r="L21" i="53"/>
  <c r="J21" i="53"/>
  <c r="H21" i="53"/>
  <c r="F21" i="53"/>
  <c r="D21" i="53"/>
  <c r="AN20" i="53"/>
  <c r="AL20" i="53"/>
  <c r="AJ20" i="53"/>
  <c r="AH20" i="53"/>
  <c r="AF20" i="53"/>
  <c r="AD20" i="53"/>
  <c r="AB20" i="53"/>
  <c r="Z20" i="53"/>
  <c r="X20" i="53"/>
  <c r="V20" i="53"/>
  <c r="T20" i="53"/>
  <c r="R20" i="53"/>
  <c r="P20" i="53"/>
  <c r="N20" i="53"/>
  <c r="L20" i="53"/>
  <c r="J20" i="53"/>
  <c r="H20" i="53"/>
  <c r="F20" i="53"/>
  <c r="D20" i="53"/>
  <c r="AN19" i="53"/>
  <c r="AL19" i="53"/>
  <c r="AJ19" i="53"/>
  <c r="AH19" i="53"/>
  <c r="AF19" i="53"/>
  <c r="AD19" i="53"/>
  <c r="AB19" i="53"/>
  <c r="Z19" i="53"/>
  <c r="X19" i="53"/>
  <c r="V19" i="53"/>
  <c r="T19" i="53"/>
  <c r="R19" i="53"/>
  <c r="P19" i="53"/>
  <c r="N19" i="53"/>
  <c r="L19" i="53"/>
  <c r="J19" i="53"/>
  <c r="H19" i="53"/>
  <c r="F19" i="53"/>
  <c r="D19" i="53"/>
  <c r="AN18" i="53"/>
  <c r="AL18" i="53"/>
  <c r="AJ18" i="53"/>
  <c r="AH18" i="53"/>
  <c r="AF18" i="53"/>
  <c r="AD18" i="53"/>
  <c r="AB18" i="53"/>
  <c r="Z18" i="53"/>
  <c r="X18" i="53"/>
  <c r="V18" i="53"/>
  <c r="T18" i="53"/>
  <c r="R18" i="53"/>
  <c r="P18" i="53"/>
  <c r="N18" i="53"/>
  <c r="L18" i="53"/>
  <c r="J18" i="53"/>
  <c r="H18" i="53"/>
  <c r="F18" i="53"/>
  <c r="D18" i="53"/>
  <c r="AN17" i="53"/>
  <c r="AL17" i="53"/>
  <c r="AJ17" i="53"/>
  <c r="AH17" i="53"/>
  <c r="AF17" i="53"/>
  <c r="AD17" i="53"/>
  <c r="AB17" i="53"/>
  <c r="Z17" i="53"/>
  <c r="X17" i="53"/>
  <c r="V17" i="53"/>
  <c r="T17" i="53"/>
  <c r="R17" i="53"/>
  <c r="P17" i="53"/>
  <c r="N17" i="53"/>
  <c r="L17" i="53"/>
  <c r="J17" i="53"/>
  <c r="H17" i="53"/>
  <c r="F17" i="53"/>
  <c r="D17" i="53"/>
  <c r="AN16" i="53"/>
  <c r="AL16" i="53"/>
  <c r="AJ16" i="53"/>
  <c r="AH16" i="53"/>
  <c r="AF16" i="53"/>
  <c r="AD16" i="53"/>
  <c r="AB16" i="53"/>
  <c r="Z16" i="53"/>
  <c r="X16" i="53"/>
  <c r="V16" i="53"/>
  <c r="T16" i="53"/>
  <c r="R16" i="53"/>
  <c r="P16" i="53"/>
  <c r="N16" i="53"/>
  <c r="L16" i="53"/>
  <c r="J16" i="53"/>
  <c r="H16" i="53"/>
  <c r="F16" i="53"/>
  <c r="D16" i="53"/>
  <c r="AN15" i="53"/>
  <c r="AL15" i="53"/>
  <c r="AJ15" i="53"/>
  <c r="AH15" i="53"/>
  <c r="AF15" i="53"/>
  <c r="AD15" i="53"/>
  <c r="AB15" i="53"/>
  <c r="Z15" i="53"/>
  <c r="X15" i="53"/>
  <c r="V15" i="53"/>
  <c r="T15" i="53"/>
  <c r="R15" i="53"/>
  <c r="P15" i="53"/>
  <c r="N15" i="53"/>
  <c r="L15" i="53"/>
  <c r="J15" i="53"/>
  <c r="H15" i="53"/>
  <c r="F15" i="53"/>
  <c r="D15" i="53"/>
  <c r="AN14" i="53"/>
  <c r="AL14" i="53"/>
  <c r="AJ14" i="53"/>
  <c r="AH14" i="53"/>
  <c r="AF14" i="53"/>
  <c r="AD14" i="53"/>
  <c r="AB14" i="53"/>
  <c r="Z14" i="53"/>
  <c r="X14" i="53"/>
  <c r="V14" i="53"/>
  <c r="T14" i="53"/>
  <c r="R14" i="53"/>
  <c r="P14" i="53"/>
  <c r="N14" i="53"/>
  <c r="L14" i="53"/>
  <c r="J14" i="53"/>
  <c r="H14" i="53"/>
  <c r="F14" i="53"/>
  <c r="D14" i="53"/>
  <c r="AN13" i="53"/>
  <c r="AL13" i="53"/>
  <c r="AJ13" i="53"/>
  <c r="AH13" i="53"/>
  <c r="AF13" i="53"/>
  <c r="AD13" i="53"/>
  <c r="AB13" i="53"/>
  <c r="Z13" i="53"/>
  <c r="X13" i="53"/>
  <c r="V13" i="53"/>
  <c r="T13" i="53"/>
  <c r="R13" i="53"/>
  <c r="P13" i="53"/>
  <c r="N13" i="53"/>
  <c r="L13" i="53"/>
  <c r="J13" i="53"/>
  <c r="H13" i="53"/>
  <c r="F13" i="53"/>
  <c r="D13" i="53"/>
  <c r="AN12" i="53"/>
  <c r="AL12" i="53"/>
  <c r="AJ12" i="53"/>
  <c r="AH12" i="53"/>
  <c r="AF12" i="53"/>
  <c r="AD12" i="53"/>
  <c r="AB12" i="53"/>
  <c r="Z12" i="53"/>
  <c r="X12" i="53"/>
  <c r="V12" i="53"/>
  <c r="T12" i="53"/>
  <c r="R12" i="53"/>
  <c r="P12" i="53"/>
  <c r="N12" i="53"/>
  <c r="L12" i="53"/>
  <c r="J12" i="53"/>
  <c r="H12" i="53"/>
  <c r="F12" i="53"/>
  <c r="D12" i="53"/>
  <c r="AN11" i="53"/>
  <c r="AL11" i="53"/>
  <c r="AJ11" i="53"/>
  <c r="AH11" i="53"/>
  <c r="AF11" i="53"/>
  <c r="AD11" i="53"/>
  <c r="AB11" i="53"/>
  <c r="Z11" i="53"/>
  <c r="X11" i="53"/>
  <c r="V11" i="53"/>
  <c r="T11" i="53"/>
  <c r="R11" i="53"/>
  <c r="P11" i="53"/>
  <c r="N11" i="53"/>
  <c r="L11" i="53"/>
  <c r="J11" i="53"/>
  <c r="H11" i="53"/>
  <c r="F11" i="53"/>
  <c r="D11" i="53"/>
  <c r="AN10" i="53"/>
  <c r="AL10" i="53"/>
  <c r="AJ10" i="53"/>
  <c r="AH10" i="53"/>
  <c r="AF10" i="53"/>
  <c r="AD10" i="53"/>
  <c r="AB10" i="53"/>
  <c r="Z10" i="53"/>
  <c r="X10" i="53"/>
  <c r="V10" i="53"/>
  <c r="T10" i="53"/>
  <c r="R10" i="53"/>
  <c r="P10" i="53"/>
  <c r="N10" i="53"/>
  <c r="L10" i="53"/>
  <c r="J10" i="53"/>
  <c r="H10" i="53"/>
  <c r="F10" i="53"/>
  <c r="D10" i="53"/>
  <c r="AN9" i="53"/>
  <c r="AL9" i="53"/>
  <c r="AJ9" i="53"/>
  <c r="AH9" i="53"/>
  <c r="AF9" i="53"/>
  <c r="AD9" i="53"/>
  <c r="AB9" i="53"/>
  <c r="Z9" i="53"/>
  <c r="X9" i="53"/>
  <c r="V9" i="53"/>
  <c r="T9" i="53"/>
  <c r="R9" i="53"/>
  <c r="P9" i="53"/>
  <c r="N9" i="53"/>
  <c r="L9" i="53"/>
  <c r="J9" i="53"/>
  <c r="H9" i="53"/>
  <c r="F9" i="53"/>
  <c r="D9" i="53"/>
  <c r="AN8" i="53"/>
  <c r="AL8" i="53"/>
  <c r="AJ8" i="53"/>
  <c r="AH8" i="53"/>
  <c r="AF8" i="53"/>
  <c r="AD8" i="53"/>
  <c r="AB8" i="53"/>
  <c r="Z8" i="53"/>
  <c r="X8" i="53"/>
  <c r="V8" i="53"/>
  <c r="T8" i="53"/>
  <c r="R8" i="53"/>
  <c r="P8" i="53"/>
  <c r="N8" i="53"/>
  <c r="L8" i="53"/>
  <c r="J8" i="53"/>
  <c r="H8" i="53"/>
  <c r="F8" i="53"/>
  <c r="D8" i="53"/>
  <c r="AN7" i="53"/>
  <c r="AL7" i="53"/>
  <c r="AJ7" i="53"/>
  <c r="AH7" i="53"/>
  <c r="AF7" i="53"/>
  <c r="AD7" i="53"/>
  <c r="AB7" i="53"/>
  <c r="Z7" i="53"/>
  <c r="X7" i="53"/>
  <c r="V7" i="53"/>
  <c r="T7" i="53"/>
  <c r="R7" i="53"/>
  <c r="P7" i="53"/>
  <c r="N7" i="53"/>
  <c r="L7" i="53"/>
  <c r="J7" i="53"/>
  <c r="H7" i="53"/>
  <c r="F7" i="53"/>
  <c r="D7" i="53"/>
  <c r="AN6" i="53"/>
  <c r="AL6" i="53"/>
  <c r="AJ6" i="53"/>
  <c r="AH6" i="53"/>
  <c r="AF6" i="53"/>
  <c r="AD6" i="53"/>
  <c r="AB6" i="53"/>
  <c r="Z6" i="53"/>
  <c r="X6" i="53"/>
  <c r="V6" i="53"/>
  <c r="T6" i="53"/>
  <c r="R6" i="53"/>
  <c r="P6" i="53"/>
  <c r="N6" i="53"/>
  <c r="L6" i="53"/>
  <c r="J6" i="53"/>
  <c r="H6" i="53"/>
  <c r="F6" i="53"/>
  <c r="D6" i="53"/>
  <c r="AN5" i="53"/>
  <c r="AL5" i="53"/>
  <c r="AJ5" i="53"/>
  <c r="AH5" i="53"/>
  <c r="AF5" i="53"/>
  <c r="AD5" i="53"/>
  <c r="AB5" i="53"/>
  <c r="Z5" i="53"/>
  <c r="X5" i="53"/>
  <c r="V5" i="53"/>
  <c r="T5" i="53"/>
  <c r="R5" i="53"/>
  <c r="P5" i="53"/>
  <c r="N5" i="53"/>
  <c r="L5" i="53"/>
  <c r="J5" i="53"/>
  <c r="H5" i="53"/>
  <c r="F5" i="53"/>
  <c r="D5" i="53"/>
  <c r="AN4" i="53"/>
  <c r="AL4" i="53"/>
  <c r="AJ4" i="53"/>
  <c r="AH4" i="53"/>
  <c r="AF4" i="53"/>
  <c r="AD4" i="53"/>
  <c r="AB4" i="53"/>
  <c r="Z4" i="53"/>
  <c r="X4" i="53"/>
  <c r="V4" i="53"/>
  <c r="T4" i="53"/>
  <c r="R4" i="53"/>
  <c r="P4" i="53"/>
  <c r="N4" i="53"/>
  <c r="L4" i="53"/>
  <c r="J4" i="53"/>
  <c r="H4" i="53"/>
  <c r="F4" i="53"/>
  <c r="D4" i="53"/>
  <c r="T1" i="53"/>
  <c r="L1" i="53"/>
  <c r="AN61" i="52"/>
  <c r="AL61" i="52"/>
  <c r="AJ61" i="52"/>
  <c r="AH61" i="52"/>
  <c r="AF61" i="52"/>
  <c r="AD61" i="52"/>
  <c r="AB61" i="52"/>
  <c r="Z61" i="52"/>
  <c r="X61" i="52"/>
  <c r="V61" i="52"/>
  <c r="T61" i="52"/>
  <c r="R61" i="52"/>
  <c r="P61" i="52"/>
  <c r="N61" i="52"/>
  <c r="L61" i="52"/>
  <c r="J61" i="52"/>
  <c r="H61" i="52"/>
  <c r="F61" i="52"/>
  <c r="D61" i="52"/>
  <c r="AN60" i="52"/>
  <c r="AL60" i="52"/>
  <c r="AJ60" i="52"/>
  <c r="AH60" i="52"/>
  <c r="AF60" i="52"/>
  <c r="AD60" i="52"/>
  <c r="AB60" i="52"/>
  <c r="Z60" i="52"/>
  <c r="X60" i="52"/>
  <c r="V60" i="52"/>
  <c r="T60" i="52"/>
  <c r="R60" i="52"/>
  <c r="P60" i="52"/>
  <c r="N60" i="52"/>
  <c r="L60" i="52"/>
  <c r="J60" i="52"/>
  <c r="H60" i="52"/>
  <c r="F60" i="52"/>
  <c r="D60" i="52"/>
  <c r="AN59" i="52"/>
  <c r="AL59" i="52"/>
  <c r="AJ59" i="52"/>
  <c r="AH59" i="52"/>
  <c r="AF59" i="52"/>
  <c r="AD59" i="52"/>
  <c r="AB59" i="52"/>
  <c r="Z59" i="52"/>
  <c r="X59" i="52"/>
  <c r="V59" i="52"/>
  <c r="T59" i="52"/>
  <c r="R59" i="52"/>
  <c r="P59" i="52"/>
  <c r="N59" i="52"/>
  <c r="L59" i="52"/>
  <c r="J59" i="52"/>
  <c r="H59" i="52"/>
  <c r="F59" i="52"/>
  <c r="D59" i="52"/>
  <c r="AN58" i="52"/>
  <c r="AL58" i="52"/>
  <c r="AJ58" i="52"/>
  <c r="AH58" i="52"/>
  <c r="AF58" i="52"/>
  <c r="AD58" i="52"/>
  <c r="AB58" i="52"/>
  <c r="Z58" i="52"/>
  <c r="X58" i="52"/>
  <c r="V58" i="52"/>
  <c r="T58" i="52"/>
  <c r="R58" i="52"/>
  <c r="P58" i="52"/>
  <c r="N58" i="52"/>
  <c r="L58" i="52"/>
  <c r="J58" i="52"/>
  <c r="H58" i="52"/>
  <c r="F58" i="52"/>
  <c r="D58" i="52"/>
  <c r="AN57" i="52"/>
  <c r="AL57" i="52"/>
  <c r="AJ57" i="52"/>
  <c r="AH57" i="52"/>
  <c r="AF57" i="52"/>
  <c r="AD57" i="52"/>
  <c r="AB57" i="52"/>
  <c r="Z57" i="52"/>
  <c r="X57" i="52"/>
  <c r="V57" i="52"/>
  <c r="T57" i="52"/>
  <c r="R57" i="52"/>
  <c r="P57" i="52"/>
  <c r="N57" i="52"/>
  <c r="L57" i="52"/>
  <c r="J57" i="52"/>
  <c r="H57" i="52"/>
  <c r="F57" i="52"/>
  <c r="D57" i="52"/>
  <c r="AN56" i="52"/>
  <c r="AL56" i="52"/>
  <c r="AJ56" i="52"/>
  <c r="AH56" i="52"/>
  <c r="AF56" i="52"/>
  <c r="AD56" i="52"/>
  <c r="AB56" i="52"/>
  <c r="Z56" i="52"/>
  <c r="X56" i="52"/>
  <c r="V56" i="52"/>
  <c r="T56" i="52"/>
  <c r="R56" i="52"/>
  <c r="P56" i="52"/>
  <c r="N56" i="52"/>
  <c r="L56" i="52"/>
  <c r="J56" i="52"/>
  <c r="H56" i="52"/>
  <c r="F56" i="52"/>
  <c r="D56" i="52"/>
  <c r="AN55" i="52"/>
  <c r="AL55" i="52"/>
  <c r="AJ55" i="52"/>
  <c r="AH55" i="52"/>
  <c r="AF55" i="52"/>
  <c r="AD55" i="52"/>
  <c r="AB55" i="52"/>
  <c r="Z55" i="52"/>
  <c r="X55" i="52"/>
  <c r="V55" i="52"/>
  <c r="T55" i="52"/>
  <c r="R55" i="52"/>
  <c r="P55" i="52"/>
  <c r="N55" i="52"/>
  <c r="L55" i="52"/>
  <c r="J55" i="52"/>
  <c r="H55" i="52"/>
  <c r="F55" i="52"/>
  <c r="D55" i="52"/>
  <c r="AN54" i="52"/>
  <c r="AL54" i="52"/>
  <c r="AJ54" i="52"/>
  <c r="AH54" i="52"/>
  <c r="AF54" i="52"/>
  <c r="AD54" i="52"/>
  <c r="AB54" i="52"/>
  <c r="Z54" i="52"/>
  <c r="X54" i="52"/>
  <c r="V54" i="52"/>
  <c r="T54" i="52"/>
  <c r="R54" i="52"/>
  <c r="P54" i="52"/>
  <c r="N54" i="52"/>
  <c r="L54" i="52"/>
  <c r="J54" i="52"/>
  <c r="H54" i="52"/>
  <c r="F54" i="52"/>
  <c r="D54" i="52"/>
  <c r="AN53" i="52"/>
  <c r="AL53" i="52"/>
  <c r="AJ53" i="52"/>
  <c r="AH53" i="52"/>
  <c r="AF53" i="52"/>
  <c r="AD53" i="52"/>
  <c r="AB53" i="52"/>
  <c r="Z53" i="52"/>
  <c r="X53" i="52"/>
  <c r="V53" i="52"/>
  <c r="T53" i="52"/>
  <c r="R53" i="52"/>
  <c r="P53" i="52"/>
  <c r="N53" i="52"/>
  <c r="L53" i="52"/>
  <c r="J53" i="52"/>
  <c r="H53" i="52"/>
  <c r="F53" i="52"/>
  <c r="D53" i="52"/>
  <c r="AN52" i="52"/>
  <c r="AL52" i="52"/>
  <c r="AJ52" i="52"/>
  <c r="AH52" i="52"/>
  <c r="AF52" i="52"/>
  <c r="AD52" i="52"/>
  <c r="AB52" i="52"/>
  <c r="Z52" i="52"/>
  <c r="X52" i="52"/>
  <c r="V52" i="52"/>
  <c r="T52" i="52"/>
  <c r="R52" i="52"/>
  <c r="P52" i="52"/>
  <c r="N52" i="52"/>
  <c r="L52" i="52"/>
  <c r="J52" i="52"/>
  <c r="H52" i="52"/>
  <c r="F52" i="52"/>
  <c r="D52" i="52"/>
  <c r="AN51" i="52"/>
  <c r="AL51" i="52"/>
  <c r="AJ51" i="52"/>
  <c r="AH51" i="52"/>
  <c r="AF51" i="52"/>
  <c r="AD51" i="52"/>
  <c r="AB51" i="52"/>
  <c r="Z51" i="52"/>
  <c r="X51" i="52"/>
  <c r="V51" i="52"/>
  <c r="T51" i="52"/>
  <c r="R51" i="52"/>
  <c r="P51" i="52"/>
  <c r="N51" i="52"/>
  <c r="L51" i="52"/>
  <c r="J51" i="52"/>
  <c r="H51" i="52"/>
  <c r="F51" i="52"/>
  <c r="D51" i="52"/>
  <c r="AN49" i="52"/>
  <c r="AL49" i="52"/>
  <c r="AJ49" i="52"/>
  <c r="AH49" i="52"/>
  <c r="AF49" i="52"/>
  <c r="AD49" i="52"/>
  <c r="AB49" i="52"/>
  <c r="Z49" i="52"/>
  <c r="X49" i="52"/>
  <c r="V49" i="52"/>
  <c r="T49" i="52"/>
  <c r="R49" i="52"/>
  <c r="P49" i="52"/>
  <c r="N49" i="52"/>
  <c r="L49" i="52"/>
  <c r="J49" i="52"/>
  <c r="H49" i="52"/>
  <c r="F49" i="52"/>
  <c r="D49" i="52"/>
  <c r="AN48" i="52"/>
  <c r="AL48" i="52"/>
  <c r="AJ48" i="52"/>
  <c r="AH48" i="52"/>
  <c r="AF48" i="52"/>
  <c r="AD48" i="52"/>
  <c r="AB48" i="52"/>
  <c r="Z48" i="52"/>
  <c r="X48" i="52"/>
  <c r="V48" i="52"/>
  <c r="T48" i="52"/>
  <c r="R48" i="52"/>
  <c r="P48" i="52"/>
  <c r="N48" i="52"/>
  <c r="L48" i="52"/>
  <c r="J48" i="52"/>
  <c r="H48" i="52"/>
  <c r="F48" i="52"/>
  <c r="D48" i="52"/>
  <c r="AN47" i="52"/>
  <c r="AL47" i="52"/>
  <c r="AJ47" i="52"/>
  <c r="AH47" i="52"/>
  <c r="AF47" i="52"/>
  <c r="AD47" i="52"/>
  <c r="AB47" i="52"/>
  <c r="Z47" i="52"/>
  <c r="X47" i="52"/>
  <c r="V47" i="52"/>
  <c r="T47" i="52"/>
  <c r="R47" i="52"/>
  <c r="P47" i="52"/>
  <c r="N47" i="52"/>
  <c r="L47" i="52"/>
  <c r="J47" i="52"/>
  <c r="H47" i="52"/>
  <c r="F47" i="52"/>
  <c r="D47" i="52"/>
  <c r="AN46" i="52"/>
  <c r="AL46" i="52"/>
  <c r="AJ46" i="52"/>
  <c r="AH46" i="52"/>
  <c r="AF46" i="52"/>
  <c r="AD46" i="52"/>
  <c r="AB46" i="52"/>
  <c r="Z46" i="52"/>
  <c r="X46" i="52"/>
  <c r="V46" i="52"/>
  <c r="T46" i="52"/>
  <c r="R46" i="52"/>
  <c r="P46" i="52"/>
  <c r="N46" i="52"/>
  <c r="L46" i="52"/>
  <c r="J46" i="52"/>
  <c r="H46" i="52"/>
  <c r="F46" i="52"/>
  <c r="D46" i="52"/>
  <c r="AN45" i="52"/>
  <c r="AL45" i="52"/>
  <c r="AJ45" i="52"/>
  <c r="AH45" i="52"/>
  <c r="AF45" i="52"/>
  <c r="AD45" i="52"/>
  <c r="AB45" i="52"/>
  <c r="Z45" i="52"/>
  <c r="X45" i="52"/>
  <c r="V45" i="52"/>
  <c r="T45" i="52"/>
  <c r="R45" i="52"/>
  <c r="P45" i="52"/>
  <c r="N45" i="52"/>
  <c r="L45" i="52"/>
  <c r="J45" i="52"/>
  <c r="H45" i="52"/>
  <c r="F45" i="52"/>
  <c r="D45" i="52"/>
  <c r="AN44" i="52"/>
  <c r="AL44" i="52"/>
  <c r="AJ44" i="52"/>
  <c r="AH44" i="52"/>
  <c r="AF44" i="52"/>
  <c r="AD44" i="52"/>
  <c r="AB44" i="52"/>
  <c r="Z44" i="52"/>
  <c r="X44" i="52"/>
  <c r="V44" i="52"/>
  <c r="T44" i="52"/>
  <c r="R44" i="52"/>
  <c r="P44" i="52"/>
  <c r="N44" i="52"/>
  <c r="L44" i="52"/>
  <c r="J44" i="52"/>
  <c r="H44" i="52"/>
  <c r="F44" i="52"/>
  <c r="D44" i="52"/>
  <c r="AN43" i="52"/>
  <c r="AL43" i="52"/>
  <c r="AJ43" i="52"/>
  <c r="AH43" i="52"/>
  <c r="AF43" i="52"/>
  <c r="AD43" i="52"/>
  <c r="AB43" i="52"/>
  <c r="Z43" i="52"/>
  <c r="X43" i="52"/>
  <c r="V43" i="52"/>
  <c r="T43" i="52"/>
  <c r="R43" i="52"/>
  <c r="P43" i="52"/>
  <c r="N43" i="52"/>
  <c r="L43" i="52"/>
  <c r="J43" i="52"/>
  <c r="H43" i="52"/>
  <c r="F43" i="52"/>
  <c r="D43" i="52"/>
  <c r="AN42" i="52"/>
  <c r="AL42" i="52"/>
  <c r="AJ42" i="52"/>
  <c r="AH42" i="52"/>
  <c r="AF42" i="52"/>
  <c r="AD42" i="52"/>
  <c r="AB42" i="52"/>
  <c r="Z42" i="52"/>
  <c r="X42" i="52"/>
  <c r="V42" i="52"/>
  <c r="T42" i="52"/>
  <c r="R42" i="52"/>
  <c r="P42" i="52"/>
  <c r="N42" i="52"/>
  <c r="L42" i="52"/>
  <c r="J42" i="52"/>
  <c r="H42" i="52"/>
  <c r="F42" i="52"/>
  <c r="D42" i="52"/>
  <c r="AN41" i="52"/>
  <c r="AL41" i="52"/>
  <c r="AJ41" i="52"/>
  <c r="AH41" i="52"/>
  <c r="AF41" i="52"/>
  <c r="AD41" i="52"/>
  <c r="AB41" i="52"/>
  <c r="Z41" i="52"/>
  <c r="X41" i="52"/>
  <c r="V41" i="52"/>
  <c r="T41" i="52"/>
  <c r="R41" i="52"/>
  <c r="P41" i="52"/>
  <c r="N41" i="52"/>
  <c r="L41" i="52"/>
  <c r="J41" i="52"/>
  <c r="H41" i="52"/>
  <c r="F41" i="52"/>
  <c r="D41" i="52"/>
  <c r="AN40" i="52"/>
  <c r="AL40" i="52"/>
  <c r="AJ40" i="52"/>
  <c r="AH40" i="52"/>
  <c r="AF40" i="52"/>
  <c r="AD40" i="52"/>
  <c r="AB40" i="52"/>
  <c r="Z40" i="52"/>
  <c r="X40" i="52"/>
  <c r="V40" i="52"/>
  <c r="T40" i="52"/>
  <c r="R40" i="52"/>
  <c r="P40" i="52"/>
  <c r="N40" i="52"/>
  <c r="L40" i="52"/>
  <c r="J40" i="52"/>
  <c r="H40" i="52"/>
  <c r="F40" i="52"/>
  <c r="D40" i="52"/>
  <c r="AN39" i="52"/>
  <c r="AL39" i="52"/>
  <c r="AJ39" i="52"/>
  <c r="AH39" i="52"/>
  <c r="AF39" i="52"/>
  <c r="AD39" i="52"/>
  <c r="AB39" i="52"/>
  <c r="Z39" i="52"/>
  <c r="X39" i="52"/>
  <c r="V39" i="52"/>
  <c r="T39" i="52"/>
  <c r="R39" i="52"/>
  <c r="P39" i="52"/>
  <c r="N39" i="52"/>
  <c r="L39" i="52"/>
  <c r="J39" i="52"/>
  <c r="H39" i="52"/>
  <c r="F39" i="52"/>
  <c r="D39" i="52"/>
  <c r="AN37" i="52"/>
  <c r="AL37" i="52"/>
  <c r="AJ37" i="52"/>
  <c r="AH37" i="52"/>
  <c r="AF37" i="52"/>
  <c r="AD37" i="52"/>
  <c r="AB37" i="52"/>
  <c r="Z37" i="52"/>
  <c r="X37" i="52"/>
  <c r="V37" i="52"/>
  <c r="T37" i="52"/>
  <c r="R37" i="52"/>
  <c r="P37" i="52"/>
  <c r="N37" i="52"/>
  <c r="L37" i="52"/>
  <c r="J37" i="52"/>
  <c r="H37" i="52"/>
  <c r="F37" i="52"/>
  <c r="D37" i="52"/>
  <c r="B37" i="52"/>
  <c r="AN36" i="52"/>
  <c r="AL36" i="52"/>
  <c r="AJ36" i="52"/>
  <c r="AH36" i="52"/>
  <c r="AF36" i="52"/>
  <c r="AD36" i="52"/>
  <c r="AB36" i="52"/>
  <c r="Z36" i="52"/>
  <c r="X36" i="52"/>
  <c r="V36" i="52"/>
  <c r="T36" i="52"/>
  <c r="R36" i="52"/>
  <c r="P36" i="52"/>
  <c r="N36" i="52"/>
  <c r="L36" i="52"/>
  <c r="J36" i="52"/>
  <c r="H36" i="52"/>
  <c r="F36" i="52"/>
  <c r="D36" i="52"/>
  <c r="B36" i="52"/>
  <c r="AN35" i="52"/>
  <c r="AL35" i="52"/>
  <c r="AJ35" i="52"/>
  <c r="AH35" i="52"/>
  <c r="AF35" i="52"/>
  <c r="AD35" i="52"/>
  <c r="AB35" i="52"/>
  <c r="Z35" i="52"/>
  <c r="X35" i="52"/>
  <c r="V35" i="52"/>
  <c r="T35" i="52"/>
  <c r="R35" i="52"/>
  <c r="P35" i="52"/>
  <c r="N35" i="52"/>
  <c r="L35" i="52"/>
  <c r="J35" i="52"/>
  <c r="H35" i="52"/>
  <c r="F35" i="52"/>
  <c r="D35" i="52"/>
  <c r="B35" i="52"/>
  <c r="AN34" i="52"/>
  <c r="AL34" i="52"/>
  <c r="AJ34" i="52"/>
  <c r="AH34" i="52"/>
  <c r="AF34" i="52"/>
  <c r="AD34" i="52"/>
  <c r="AB34" i="52"/>
  <c r="Z34" i="52"/>
  <c r="X34" i="52"/>
  <c r="V34" i="52"/>
  <c r="T34" i="52"/>
  <c r="R34" i="52"/>
  <c r="P34" i="52"/>
  <c r="N34" i="52"/>
  <c r="L34" i="52"/>
  <c r="J34" i="52"/>
  <c r="H34" i="52"/>
  <c r="F34" i="52"/>
  <c r="D34" i="52"/>
  <c r="B34" i="52"/>
  <c r="AN33" i="52"/>
  <c r="AL33" i="52"/>
  <c r="AJ33" i="52"/>
  <c r="AH33" i="52"/>
  <c r="AF33" i="52"/>
  <c r="AD33" i="52"/>
  <c r="AB33" i="52"/>
  <c r="Z33" i="52"/>
  <c r="X33" i="52"/>
  <c r="V33" i="52"/>
  <c r="T33" i="52"/>
  <c r="R33" i="52"/>
  <c r="P33" i="52"/>
  <c r="N33" i="52"/>
  <c r="L33" i="52"/>
  <c r="J33" i="52"/>
  <c r="H33" i="52"/>
  <c r="F33" i="52"/>
  <c r="D33" i="52"/>
  <c r="B33" i="52"/>
  <c r="AN32" i="52"/>
  <c r="AL32" i="52"/>
  <c r="AJ32" i="52"/>
  <c r="AH32" i="52"/>
  <c r="AF32" i="52"/>
  <c r="AD32" i="52"/>
  <c r="AB32" i="52"/>
  <c r="Z32" i="52"/>
  <c r="X32" i="52"/>
  <c r="V32" i="52"/>
  <c r="T32" i="52"/>
  <c r="R32" i="52"/>
  <c r="P32" i="52"/>
  <c r="N32" i="52"/>
  <c r="L32" i="52"/>
  <c r="J32" i="52"/>
  <c r="H32" i="52"/>
  <c r="F32" i="52"/>
  <c r="D32" i="52"/>
  <c r="B32" i="52"/>
  <c r="AN31" i="52"/>
  <c r="AL31" i="52"/>
  <c r="AJ31" i="52"/>
  <c r="AH31" i="52"/>
  <c r="AF31" i="52"/>
  <c r="AD31" i="52"/>
  <c r="AB31" i="52"/>
  <c r="Z31" i="52"/>
  <c r="X31" i="52"/>
  <c r="V31" i="52"/>
  <c r="T31" i="52"/>
  <c r="R31" i="52"/>
  <c r="P31" i="52"/>
  <c r="N31" i="52"/>
  <c r="L31" i="52"/>
  <c r="J31" i="52"/>
  <c r="H31" i="52"/>
  <c r="F31" i="52"/>
  <c r="D31" i="52"/>
  <c r="B31" i="52"/>
  <c r="AN30" i="52"/>
  <c r="AL30" i="52"/>
  <c r="AJ30" i="52"/>
  <c r="AH30" i="52"/>
  <c r="AF30" i="52"/>
  <c r="AD30" i="52"/>
  <c r="AB30" i="52"/>
  <c r="Z30" i="52"/>
  <c r="X30" i="52"/>
  <c r="V30" i="52"/>
  <c r="T30" i="52"/>
  <c r="R30" i="52"/>
  <c r="P30" i="52"/>
  <c r="N30" i="52"/>
  <c r="L30" i="52"/>
  <c r="J30" i="52"/>
  <c r="H30" i="52"/>
  <c r="F30" i="52"/>
  <c r="D30" i="52"/>
  <c r="B30" i="52"/>
  <c r="AN29" i="52"/>
  <c r="AL29" i="52"/>
  <c r="AJ29" i="52"/>
  <c r="AH29" i="52"/>
  <c r="AF29" i="52"/>
  <c r="AD29" i="52"/>
  <c r="AB29" i="52"/>
  <c r="Z29" i="52"/>
  <c r="X29" i="52"/>
  <c r="V29" i="52"/>
  <c r="T29" i="52"/>
  <c r="R29" i="52"/>
  <c r="P29" i="52"/>
  <c r="N29" i="52"/>
  <c r="L29" i="52"/>
  <c r="J29" i="52"/>
  <c r="H29" i="52"/>
  <c r="F29" i="52"/>
  <c r="D29" i="52"/>
  <c r="B29" i="52"/>
  <c r="AN28" i="52"/>
  <c r="AL28" i="52"/>
  <c r="AJ28" i="52"/>
  <c r="AH28" i="52"/>
  <c r="AF28" i="52"/>
  <c r="AD28" i="52"/>
  <c r="AB28" i="52"/>
  <c r="Z28" i="52"/>
  <c r="X28" i="52"/>
  <c r="V28" i="52"/>
  <c r="T28" i="52"/>
  <c r="R28" i="52"/>
  <c r="P28" i="52"/>
  <c r="N28" i="52"/>
  <c r="L28" i="52"/>
  <c r="J28" i="52"/>
  <c r="H28" i="52"/>
  <c r="F28" i="52"/>
  <c r="D28" i="52"/>
  <c r="B28" i="52"/>
  <c r="AN27" i="52"/>
  <c r="AN38" i="52" s="1"/>
  <c r="AM38" i="52" s="1"/>
  <c r="AM67" i="52" s="1"/>
  <c r="AL27" i="52"/>
  <c r="AL38" i="52" s="1"/>
  <c r="AK38" i="52" s="1"/>
  <c r="AK67" i="52" s="1"/>
  <c r="AJ27" i="52"/>
  <c r="AJ38" i="52" s="1"/>
  <c r="AI38" i="52" s="1"/>
  <c r="AI67" i="52" s="1"/>
  <c r="AH27" i="52"/>
  <c r="AH38" i="52" s="1"/>
  <c r="AG38" i="52" s="1"/>
  <c r="AG67" i="52" s="1"/>
  <c r="AF27" i="52"/>
  <c r="AF38" i="52" s="1"/>
  <c r="AE38" i="52" s="1"/>
  <c r="AE67" i="52" s="1"/>
  <c r="AD27" i="52"/>
  <c r="AD38" i="52" s="1"/>
  <c r="AC38" i="52" s="1"/>
  <c r="AC67" i="52" s="1"/>
  <c r="AB27" i="52"/>
  <c r="AB38" i="52" s="1"/>
  <c r="AA38" i="52" s="1"/>
  <c r="AA67" i="52" s="1"/>
  <c r="Z27" i="52"/>
  <c r="Z38" i="52" s="1"/>
  <c r="Y38" i="52" s="1"/>
  <c r="Y67" i="52" s="1"/>
  <c r="X27" i="52"/>
  <c r="X38" i="52" s="1"/>
  <c r="W38" i="52" s="1"/>
  <c r="W67" i="52" s="1"/>
  <c r="V27" i="52"/>
  <c r="V38" i="52" s="1"/>
  <c r="U38" i="52" s="1"/>
  <c r="U67" i="52" s="1"/>
  <c r="T27" i="52"/>
  <c r="T38" i="52" s="1"/>
  <c r="S38" i="52" s="1"/>
  <c r="S67" i="52" s="1"/>
  <c r="R27" i="52"/>
  <c r="R38" i="52" s="1"/>
  <c r="Q38" i="52" s="1"/>
  <c r="Q67" i="52" s="1"/>
  <c r="P27" i="52"/>
  <c r="P38" i="52" s="1"/>
  <c r="O38" i="52" s="1"/>
  <c r="O67" i="52" s="1"/>
  <c r="N27" i="52"/>
  <c r="N38" i="52" s="1"/>
  <c r="M38" i="52" s="1"/>
  <c r="M67" i="52" s="1"/>
  <c r="L27" i="52"/>
  <c r="L38" i="52" s="1"/>
  <c r="K38" i="52" s="1"/>
  <c r="K67" i="52" s="1"/>
  <c r="J27" i="52"/>
  <c r="J38" i="52" s="1"/>
  <c r="I38" i="52" s="1"/>
  <c r="I67" i="52" s="1"/>
  <c r="H27" i="52"/>
  <c r="H38" i="52" s="1"/>
  <c r="G38" i="52" s="1"/>
  <c r="G67" i="52" s="1"/>
  <c r="F27" i="52"/>
  <c r="F38" i="52" s="1"/>
  <c r="E38" i="52" s="1"/>
  <c r="E67" i="52" s="1"/>
  <c r="D27" i="52"/>
  <c r="AN25" i="52"/>
  <c r="AL25" i="52"/>
  <c r="AJ25" i="52"/>
  <c r="AH25" i="52"/>
  <c r="AF25" i="52"/>
  <c r="AD25" i="52"/>
  <c r="AB25" i="52"/>
  <c r="Z25" i="52"/>
  <c r="X25" i="52"/>
  <c r="V25" i="52"/>
  <c r="T25" i="52"/>
  <c r="R25" i="52"/>
  <c r="P25" i="52"/>
  <c r="N25" i="52"/>
  <c r="L25" i="52"/>
  <c r="J25" i="52"/>
  <c r="H25" i="52"/>
  <c r="F25" i="52"/>
  <c r="D25" i="52"/>
  <c r="AN24" i="52"/>
  <c r="AL24" i="52"/>
  <c r="AJ24" i="52"/>
  <c r="AH24" i="52"/>
  <c r="AF24" i="52"/>
  <c r="AD24" i="52"/>
  <c r="AB24" i="52"/>
  <c r="Z24" i="52"/>
  <c r="X24" i="52"/>
  <c r="V24" i="52"/>
  <c r="T24" i="52"/>
  <c r="R24" i="52"/>
  <c r="P24" i="52"/>
  <c r="N24" i="52"/>
  <c r="L24" i="52"/>
  <c r="J24" i="52"/>
  <c r="H24" i="52"/>
  <c r="F24" i="52"/>
  <c r="D24" i="52"/>
  <c r="AN23" i="52"/>
  <c r="AL23" i="52"/>
  <c r="AJ23" i="52"/>
  <c r="AH23" i="52"/>
  <c r="AF23" i="52"/>
  <c r="AD23" i="52"/>
  <c r="AB23" i="52"/>
  <c r="Z23" i="52"/>
  <c r="X23" i="52"/>
  <c r="V23" i="52"/>
  <c r="T23" i="52"/>
  <c r="R23" i="52"/>
  <c r="P23" i="52"/>
  <c r="N23" i="52"/>
  <c r="L23" i="52"/>
  <c r="J23" i="52"/>
  <c r="H23" i="52"/>
  <c r="F23" i="52"/>
  <c r="D23" i="52"/>
  <c r="AN22" i="52"/>
  <c r="AL22" i="52"/>
  <c r="AJ22" i="52"/>
  <c r="AH22" i="52"/>
  <c r="AF22" i="52"/>
  <c r="AD22" i="52"/>
  <c r="AB22" i="52"/>
  <c r="Z22" i="52"/>
  <c r="X22" i="52"/>
  <c r="V22" i="52"/>
  <c r="T22" i="52"/>
  <c r="R22" i="52"/>
  <c r="P22" i="52"/>
  <c r="N22" i="52"/>
  <c r="L22" i="52"/>
  <c r="J22" i="52"/>
  <c r="H22" i="52"/>
  <c r="F22" i="52"/>
  <c r="D22" i="52"/>
  <c r="AN21" i="52"/>
  <c r="AL21" i="52"/>
  <c r="AJ21" i="52"/>
  <c r="AH21" i="52"/>
  <c r="AF21" i="52"/>
  <c r="AD21" i="52"/>
  <c r="AB21" i="52"/>
  <c r="Z21" i="52"/>
  <c r="X21" i="52"/>
  <c r="V21" i="52"/>
  <c r="T21" i="52"/>
  <c r="R21" i="52"/>
  <c r="P21" i="52"/>
  <c r="N21" i="52"/>
  <c r="L21" i="52"/>
  <c r="J21" i="52"/>
  <c r="H21" i="52"/>
  <c r="F21" i="52"/>
  <c r="D21" i="52"/>
  <c r="AN20" i="52"/>
  <c r="AL20" i="52"/>
  <c r="AJ20" i="52"/>
  <c r="AH20" i="52"/>
  <c r="AF20" i="52"/>
  <c r="AD20" i="52"/>
  <c r="AB20" i="52"/>
  <c r="Z20" i="52"/>
  <c r="X20" i="52"/>
  <c r="V20" i="52"/>
  <c r="T20" i="52"/>
  <c r="R20" i="52"/>
  <c r="P20" i="52"/>
  <c r="N20" i="52"/>
  <c r="L20" i="52"/>
  <c r="J20" i="52"/>
  <c r="H20" i="52"/>
  <c r="F20" i="52"/>
  <c r="D20" i="52"/>
  <c r="AN19" i="52"/>
  <c r="AL19" i="52"/>
  <c r="AJ19" i="52"/>
  <c r="AH19" i="52"/>
  <c r="AF19" i="52"/>
  <c r="AD19" i="52"/>
  <c r="AB19" i="52"/>
  <c r="Z19" i="52"/>
  <c r="X19" i="52"/>
  <c r="V19" i="52"/>
  <c r="T19" i="52"/>
  <c r="R19" i="52"/>
  <c r="P19" i="52"/>
  <c r="N19" i="52"/>
  <c r="L19" i="52"/>
  <c r="J19" i="52"/>
  <c r="H19" i="52"/>
  <c r="F19" i="52"/>
  <c r="D19" i="52"/>
  <c r="AN18" i="52"/>
  <c r="AL18" i="52"/>
  <c r="AJ18" i="52"/>
  <c r="AH18" i="52"/>
  <c r="AF18" i="52"/>
  <c r="AD18" i="52"/>
  <c r="AB18" i="52"/>
  <c r="Z18" i="52"/>
  <c r="X18" i="52"/>
  <c r="V18" i="52"/>
  <c r="T18" i="52"/>
  <c r="R18" i="52"/>
  <c r="P18" i="52"/>
  <c r="N18" i="52"/>
  <c r="L18" i="52"/>
  <c r="J18" i="52"/>
  <c r="H18" i="52"/>
  <c r="F18" i="52"/>
  <c r="D18" i="52"/>
  <c r="AN17" i="52"/>
  <c r="AL17" i="52"/>
  <c r="AJ17" i="52"/>
  <c r="AH17" i="52"/>
  <c r="AF17" i="52"/>
  <c r="AD17" i="52"/>
  <c r="AB17" i="52"/>
  <c r="Z17" i="52"/>
  <c r="X17" i="52"/>
  <c r="V17" i="52"/>
  <c r="T17" i="52"/>
  <c r="R17" i="52"/>
  <c r="P17" i="52"/>
  <c r="N17" i="52"/>
  <c r="L17" i="52"/>
  <c r="J17" i="52"/>
  <c r="H17" i="52"/>
  <c r="F17" i="52"/>
  <c r="D17" i="52"/>
  <c r="AN16" i="52"/>
  <c r="AL16" i="52"/>
  <c r="AJ16" i="52"/>
  <c r="AH16" i="52"/>
  <c r="AF16" i="52"/>
  <c r="AD16" i="52"/>
  <c r="AB16" i="52"/>
  <c r="Z16" i="52"/>
  <c r="X16" i="52"/>
  <c r="V16" i="52"/>
  <c r="T16" i="52"/>
  <c r="R16" i="52"/>
  <c r="P16" i="52"/>
  <c r="N16" i="52"/>
  <c r="L16" i="52"/>
  <c r="J16" i="52"/>
  <c r="H16" i="52"/>
  <c r="F16" i="52"/>
  <c r="D16" i="52"/>
  <c r="AN15" i="52"/>
  <c r="AL15" i="52"/>
  <c r="AJ15" i="52"/>
  <c r="AH15" i="52"/>
  <c r="AF15" i="52"/>
  <c r="AD15" i="52"/>
  <c r="AB15" i="52"/>
  <c r="Z15" i="52"/>
  <c r="X15" i="52"/>
  <c r="V15" i="52"/>
  <c r="T15" i="52"/>
  <c r="R15" i="52"/>
  <c r="P15" i="52"/>
  <c r="N15" i="52"/>
  <c r="L15" i="52"/>
  <c r="J15" i="52"/>
  <c r="H15" i="52"/>
  <c r="F15" i="52"/>
  <c r="D15" i="52"/>
  <c r="AN14" i="52"/>
  <c r="AL14" i="52"/>
  <c r="AJ14" i="52"/>
  <c r="AH14" i="52"/>
  <c r="AF14" i="52"/>
  <c r="AD14" i="52"/>
  <c r="AB14" i="52"/>
  <c r="Z14" i="52"/>
  <c r="X14" i="52"/>
  <c r="V14" i="52"/>
  <c r="T14" i="52"/>
  <c r="R14" i="52"/>
  <c r="P14" i="52"/>
  <c r="N14" i="52"/>
  <c r="L14" i="52"/>
  <c r="J14" i="52"/>
  <c r="H14" i="52"/>
  <c r="F14" i="52"/>
  <c r="D14" i="52"/>
  <c r="AN13" i="52"/>
  <c r="AL13" i="52"/>
  <c r="AJ13" i="52"/>
  <c r="AH13" i="52"/>
  <c r="AF13" i="52"/>
  <c r="AD13" i="52"/>
  <c r="AB13" i="52"/>
  <c r="Z13" i="52"/>
  <c r="X13" i="52"/>
  <c r="V13" i="52"/>
  <c r="T13" i="52"/>
  <c r="R13" i="52"/>
  <c r="P13" i="52"/>
  <c r="N13" i="52"/>
  <c r="L13" i="52"/>
  <c r="J13" i="52"/>
  <c r="H13" i="52"/>
  <c r="F13" i="52"/>
  <c r="D13" i="52"/>
  <c r="AN12" i="52"/>
  <c r="AL12" i="52"/>
  <c r="AJ12" i="52"/>
  <c r="AH12" i="52"/>
  <c r="AF12" i="52"/>
  <c r="AD12" i="52"/>
  <c r="AB12" i="52"/>
  <c r="Z12" i="52"/>
  <c r="X12" i="52"/>
  <c r="V12" i="52"/>
  <c r="T12" i="52"/>
  <c r="R12" i="52"/>
  <c r="P12" i="52"/>
  <c r="N12" i="52"/>
  <c r="L12" i="52"/>
  <c r="J12" i="52"/>
  <c r="H12" i="52"/>
  <c r="F12" i="52"/>
  <c r="D12" i="52"/>
  <c r="AN11" i="52"/>
  <c r="AL11" i="52"/>
  <c r="AJ11" i="52"/>
  <c r="AH11" i="52"/>
  <c r="AF11" i="52"/>
  <c r="AD11" i="52"/>
  <c r="AB11" i="52"/>
  <c r="Z11" i="52"/>
  <c r="X11" i="52"/>
  <c r="V11" i="52"/>
  <c r="T11" i="52"/>
  <c r="R11" i="52"/>
  <c r="P11" i="52"/>
  <c r="N11" i="52"/>
  <c r="L11" i="52"/>
  <c r="J11" i="52"/>
  <c r="H11" i="52"/>
  <c r="F11" i="52"/>
  <c r="D11" i="52"/>
  <c r="AN10" i="52"/>
  <c r="AL10" i="52"/>
  <c r="AJ10" i="52"/>
  <c r="AH10" i="52"/>
  <c r="AF10" i="52"/>
  <c r="AD10" i="52"/>
  <c r="AB10" i="52"/>
  <c r="Z10" i="52"/>
  <c r="X10" i="52"/>
  <c r="V10" i="52"/>
  <c r="T10" i="52"/>
  <c r="R10" i="52"/>
  <c r="P10" i="52"/>
  <c r="N10" i="52"/>
  <c r="L10" i="52"/>
  <c r="J10" i="52"/>
  <c r="H10" i="52"/>
  <c r="F10" i="52"/>
  <c r="D10" i="52"/>
  <c r="AN9" i="52"/>
  <c r="AL9" i="52"/>
  <c r="AJ9" i="52"/>
  <c r="AH9" i="52"/>
  <c r="AF9" i="52"/>
  <c r="AD9" i="52"/>
  <c r="AB9" i="52"/>
  <c r="Z9" i="52"/>
  <c r="X9" i="52"/>
  <c r="V9" i="52"/>
  <c r="T9" i="52"/>
  <c r="R9" i="52"/>
  <c r="P9" i="52"/>
  <c r="N9" i="52"/>
  <c r="L9" i="52"/>
  <c r="J9" i="52"/>
  <c r="H9" i="52"/>
  <c r="F9" i="52"/>
  <c r="D9" i="52"/>
  <c r="AN8" i="52"/>
  <c r="AL8" i="52"/>
  <c r="AJ8" i="52"/>
  <c r="AH8" i="52"/>
  <c r="AF8" i="52"/>
  <c r="AD8" i="52"/>
  <c r="AB8" i="52"/>
  <c r="Z8" i="52"/>
  <c r="X8" i="52"/>
  <c r="V8" i="52"/>
  <c r="T8" i="52"/>
  <c r="R8" i="52"/>
  <c r="P8" i="52"/>
  <c r="N8" i="52"/>
  <c r="L8" i="52"/>
  <c r="J8" i="52"/>
  <c r="H8" i="52"/>
  <c r="F8" i="52"/>
  <c r="D8" i="52"/>
  <c r="AN7" i="52"/>
  <c r="AL7" i="52"/>
  <c r="AJ7" i="52"/>
  <c r="AH7" i="52"/>
  <c r="AF7" i="52"/>
  <c r="AD7" i="52"/>
  <c r="AB7" i="52"/>
  <c r="Z7" i="52"/>
  <c r="X7" i="52"/>
  <c r="V7" i="52"/>
  <c r="T7" i="52"/>
  <c r="R7" i="52"/>
  <c r="P7" i="52"/>
  <c r="N7" i="52"/>
  <c r="L7" i="52"/>
  <c r="J7" i="52"/>
  <c r="H7" i="52"/>
  <c r="F7" i="52"/>
  <c r="D7" i="52"/>
  <c r="AN6" i="52"/>
  <c r="AL6" i="52"/>
  <c r="AJ6" i="52"/>
  <c r="AH6" i="52"/>
  <c r="AF6" i="52"/>
  <c r="AD6" i="52"/>
  <c r="AB6" i="52"/>
  <c r="Z6" i="52"/>
  <c r="X6" i="52"/>
  <c r="V6" i="52"/>
  <c r="T6" i="52"/>
  <c r="R6" i="52"/>
  <c r="P6" i="52"/>
  <c r="N6" i="52"/>
  <c r="L6" i="52"/>
  <c r="J6" i="52"/>
  <c r="H6" i="52"/>
  <c r="F6" i="52"/>
  <c r="D6" i="52"/>
  <c r="AN5" i="52"/>
  <c r="AL5" i="52"/>
  <c r="AJ5" i="52"/>
  <c r="AH5" i="52"/>
  <c r="AF5" i="52"/>
  <c r="AD5" i="52"/>
  <c r="AB5" i="52"/>
  <c r="Z5" i="52"/>
  <c r="X5" i="52"/>
  <c r="V5" i="52"/>
  <c r="T5" i="52"/>
  <c r="R5" i="52"/>
  <c r="P5" i="52"/>
  <c r="N5" i="52"/>
  <c r="L5" i="52"/>
  <c r="J5" i="52"/>
  <c r="H5" i="52"/>
  <c r="F5" i="52"/>
  <c r="D5" i="52"/>
  <c r="AN4" i="52"/>
  <c r="AL4" i="52"/>
  <c r="AJ4" i="52"/>
  <c r="AH4" i="52"/>
  <c r="AF4" i="52"/>
  <c r="AD4" i="52"/>
  <c r="AB4" i="52"/>
  <c r="Z4" i="52"/>
  <c r="X4" i="52"/>
  <c r="V4" i="52"/>
  <c r="T4" i="52"/>
  <c r="R4" i="52"/>
  <c r="P4" i="52"/>
  <c r="N4" i="52"/>
  <c r="L4" i="52"/>
  <c r="J4" i="52"/>
  <c r="H4" i="52"/>
  <c r="F4" i="52"/>
  <c r="D4" i="52"/>
  <c r="T1" i="52"/>
  <c r="L1" i="52"/>
  <c r="AN61" i="48"/>
  <c r="AL61" i="48"/>
  <c r="AJ61" i="48"/>
  <c r="AH61" i="48"/>
  <c r="AF61" i="48"/>
  <c r="AD61" i="48"/>
  <c r="AB61" i="48"/>
  <c r="Z61" i="48"/>
  <c r="X61" i="48"/>
  <c r="V61" i="48"/>
  <c r="T61" i="48"/>
  <c r="R61" i="48"/>
  <c r="P61" i="48"/>
  <c r="N61" i="48"/>
  <c r="L61" i="48"/>
  <c r="J61" i="48"/>
  <c r="H61" i="48"/>
  <c r="F61" i="48"/>
  <c r="D61" i="48"/>
  <c r="AN60" i="48"/>
  <c r="AL60" i="48"/>
  <c r="AJ60" i="48"/>
  <c r="AH60" i="48"/>
  <c r="AF60" i="48"/>
  <c r="AD60" i="48"/>
  <c r="AB60" i="48"/>
  <c r="Z60" i="48"/>
  <c r="X60" i="48"/>
  <c r="V60" i="48"/>
  <c r="T60" i="48"/>
  <c r="R60" i="48"/>
  <c r="P60" i="48"/>
  <c r="N60" i="48"/>
  <c r="L60" i="48"/>
  <c r="J60" i="48"/>
  <c r="H60" i="48"/>
  <c r="F60" i="48"/>
  <c r="D60" i="48"/>
  <c r="AN59" i="48"/>
  <c r="AL59" i="48"/>
  <c r="AJ59" i="48"/>
  <c r="AH59" i="48"/>
  <c r="AF59" i="48"/>
  <c r="AD59" i="48"/>
  <c r="AB59" i="48"/>
  <c r="Z59" i="48"/>
  <c r="X59" i="48"/>
  <c r="V59" i="48"/>
  <c r="T59" i="48"/>
  <c r="R59" i="48"/>
  <c r="P59" i="48"/>
  <c r="N59" i="48"/>
  <c r="L59" i="48"/>
  <c r="J59" i="48"/>
  <c r="H59" i="48"/>
  <c r="F59" i="48"/>
  <c r="D59" i="48"/>
  <c r="AN58" i="48"/>
  <c r="AL58" i="48"/>
  <c r="AJ58" i="48"/>
  <c r="AH58" i="48"/>
  <c r="AF58" i="48"/>
  <c r="AD58" i="48"/>
  <c r="AB58" i="48"/>
  <c r="Z58" i="48"/>
  <c r="X58" i="48"/>
  <c r="V58" i="48"/>
  <c r="T58" i="48"/>
  <c r="R58" i="48"/>
  <c r="P58" i="48"/>
  <c r="N58" i="48"/>
  <c r="L58" i="48"/>
  <c r="J58" i="48"/>
  <c r="H58" i="48"/>
  <c r="F58" i="48"/>
  <c r="D58" i="48"/>
  <c r="AN57" i="48"/>
  <c r="AL57" i="48"/>
  <c r="AJ57" i="48"/>
  <c r="AH57" i="48"/>
  <c r="AF57" i="48"/>
  <c r="AD57" i="48"/>
  <c r="AB57" i="48"/>
  <c r="Z57" i="48"/>
  <c r="X57" i="48"/>
  <c r="V57" i="48"/>
  <c r="T57" i="48"/>
  <c r="R57" i="48"/>
  <c r="P57" i="48"/>
  <c r="N57" i="48"/>
  <c r="L57" i="48"/>
  <c r="J57" i="48"/>
  <c r="H57" i="48"/>
  <c r="F57" i="48"/>
  <c r="D57" i="48"/>
  <c r="AN56" i="48"/>
  <c r="AL56" i="48"/>
  <c r="AJ56" i="48"/>
  <c r="AH56" i="48"/>
  <c r="AF56" i="48"/>
  <c r="AD56" i="48"/>
  <c r="AB56" i="48"/>
  <c r="Z56" i="48"/>
  <c r="X56" i="48"/>
  <c r="V56" i="48"/>
  <c r="T56" i="48"/>
  <c r="R56" i="48"/>
  <c r="P56" i="48"/>
  <c r="N56" i="48"/>
  <c r="L56" i="48"/>
  <c r="J56" i="48"/>
  <c r="H56" i="48"/>
  <c r="F56" i="48"/>
  <c r="D56" i="48"/>
  <c r="AN55" i="48"/>
  <c r="AL55" i="48"/>
  <c r="AJ55" i="48"/>
  <c r="AH55" i="48"/>
  <c r="AF55" i="48"/>
  <c r="AD55" i="48"/>
  <c r="AB55" i="48"/>
  <c r="Z55" i="48"/>
  <c r="X55" i="48"/>
  <c r="V55" i="48"/>
  <c r="T55" i="48"/>
  <c r="R55" i="48"/>
  <c r="P55" i="48"/>
  <c r="N55" i="48"/>
  <c r="L55" i="48"/>
  <c r="J55" i="48"/>
  <c r="H55" i="48"/>
  <c r="F55" i="48"/>
  <c r="D55" i="48"/>
  <c r="AN54" i="48"/>
  <c r="AL54" i="48"/>
  <c r="AJ54" i="48"/>
  <c r="AH54" i="48"/>
  <c r="AF54" i="48"/>
  <c r="AD54" i="48"/>
  <c r="AB54" i="48"/>
  <c r="Z54" i="48"/>
  <c r="X54" i="48"/>
  <c r="V54" i="48"/>
  <c r="T54" i="48"/>
  <c r="R54" i="48"/>
  <c r="P54" i="48"/>
  <c r="N54" i="48"/>
  <c r="L54" i="48"/>
  <c r="J54" i="48"/>
  <c r="H54" i="48"/>
  <c r="F54" i="48"/>
  <c r="D54" i="48"/>
  <c r="AN53" i="48"/>
  <c r="AL53" i="48"/>
  <c r="AJ53" i="48"/>
  <c r="AH53" i="48"/>
  <c r="AF53" i="48"/>
  <c r="AD53" i="48"/>
  <c r="AB53" i="48"/>
  <c r="Z53" i="48"/>
  <c r="X53" i="48"/>
  <c r="V53" i="48"/>
  <c r="T53" i="48"/>
  <c r="R53" i="48"/>
  <c r="P53" i="48"/>
  <c r="N53" i="48"/>
  <c r="L53" i="48"/>
  <c r="J53" i="48"/>
  <c r="H53" i="48"/>
  <c r="F53" i="48"/>
  <c r="D53" i="48"/>
  <c r="AN52" i="48"/>
  <c r="AL52" i="48"/>
  <c r="AJ52" i="48"/>
  <c r="AH52" i="48"/>
  <c r="AF52" i="48"/>
  <c r="AD52" i="48"/>
  <c r="AB52" i="48"/>
  <c r="Z52" i="48"/>
  <c r="X52" i="48"/>
  <c r="V52" i="48"/>
  <c r="T52" i="48"/>
  <c r="R52" i="48"/>
  <c r="P52" i="48"/>
  <c r="N52" i="48"/>
  <c r="L52" i="48"/>
  <c r="J52" i="48"/>
  <c r="H52" i="48"/>
  <c r="F52" i="48"/>
  <c r="D52" i="48"/>
  <c r="AN51" i="48"/>
  <c r="AL51" i="48"/>
  <c r="AJ51" i="48"/>
  <c r="AH51" i="48"/>
  <c r="AF51" i="48"/>
  <c r="AD51" i="48"/>
  <c r="AB51" i="48"/>
  <c r="Z51" i="48"/>
  <c r="X51" i="48"/>
  <c r="V51" i="48"/>
  <c r="T51" i="48"/>
  <c r="R51" i="48"/>
  <c r="P51" i="48"/>
  <c r="N51" i="48"/>
  <c r="L51" i="48"/>
  <c r="J51" i="48"/>
  <c r="H51" i="48"/>
  <c r="F51" i="48"/>
  <c r="D51" i="48"/>
  <c r="AN49" i="48"/>
  <c r="AL49" i="48"/>
  <c r="AJ49" i="48"/>
  <c r="AH49" i="48"/>
  <c r="AF49" i="48"/>
  <c r="AD49" i="48"/>
  <c r="AB49" i="48"/>
  <c r="Z49" i="48"/>
  <c r="X49" i="48"/>
  <c r="V49" i="48"/>
  <c r="T49" i="48"/>
  <c r="R49" i="48"/>
  <c r="P49" i="48"/>
  <c r="N49" i="48"/>
  <c r="L49" i="48"/>
  <c r="J49" i="48"/>
  <c r="H49" i="48"/>
  <c r="F49" i="48"/>
  <c r="D49" i="48"/>
  <c r="AN48" i="48"/>
  <c r="AL48" i="48"/>
  <c r="AJ48" i="48"/>
  <c r="AH48" i="48"/>
  <c r="AF48" i="48"/>
  <c r="AD48" i="48"/>
  <c r="AB48" i="48"/>
  <c r="Z48" i="48"/>
  <c r="X48" i="48"/>
  <c r="V48" i="48"/>
  <c r="T48" i="48"/>
  <c r="R48" i="48"/>
  <c r="P48" i="48"/>
  <c r="N48" i="48"/>
  <c r="L48" i="48"/>
  <c r="J48" i="48"/>
  <c r="H48" i="48"/>
  <c r="F48" i="48"/>
  <c r="D48" i="48"/>
  <c r="AN47" i="48"/>
  <c r="AL47" i="48"/>
  <c r="AJ47" i="48"/>
  <c r="AH47" i="48"/>
  <c r="AF47" i="48"/>
  <c r="AD47" i="48"/>
  <c r="AB47" i="48"/>
  <c r="Z47" i="48"/>
  <c r="X47" i="48"/>
  <c r="V47" i="48"/>
  <c r="T47" i="48"/>
  <c r="R47" i="48"/>
  <c r="P47" i="48"/>
  <c r="N47" i="48"/>
  <c r="L47" i="48"/>
  <c r="J47" i="48"/>
  <c r="H47" i="48"/>
  <c r="F47" i="48"/>
  <c r="D47" i="48"/>
  <c r="AN46" i="48"/>
  <c r="AL46" i="48"/>
  <c r="AJ46" i="48"/>
  <c r="AH46" i="48"/>
  <c r="AF46" i="48"/>
  <c r="AD46" i="48"/>
  <c r="AB46" i="48"/>
  <c r="Z46" i="48"/>
  <c r="X46" i="48"/>
  <c r="V46" i="48"/>
  <c r="T46" i="48"/>
  <c r="R46" i="48"/>
  <c r="P46" i="48"/>
  <c r="N46" i="48"/>
  <c r="L46" i="48"/>
  <c r="J46" i="48"/>
  <c r="H46" i="48"/>
  <c r="F46" i="48"/>
  <c r="D46" i="48"/>
  <c r="AN45" i="48"/>
  <c r="AL45" i="48"/>
  <c r="AJ45" i="48"/>
  <c r="AH45" i="48"/>
  <c r="AF45" i="48"/>
  <c r="AD45" i="48"/>
  <c r="AB45" i="48"/>
  <c r="Z45" i="48"/>
  <c r="X45" i="48"/>
  <c r="V45" i="48"/>
  <c r="T45" i="48"/>
  <c r="R45" i="48"/>
  <c r="P45" i="48"/>
  <c r="N45" i="48"/>
  <c r="L45" i="48"/>
  <c r="J45" i="48"/>
  <c r="H45" i="48"/>
  <c r="F45" i="48"/>
  <c r="D45" i="48"/>
  <c r="AN44" i="48"/>
  <c r="AL44" i="48"/>
  <c r="AJ44" i="48"/>
  <c r="AH44" i="48"/>
  <c r="AF44" i="48"/>
  <c r="AD44" i="48"/>
  <c r="AB44" i="48"/>
  <c r="Z44" i="48"/>
  <c r="X44" i="48"/>
  <c r="V44" i="48"/>
  <c r="T44" i="48"/>
  <c r="R44" i="48"/>
  <c r="P44" i="48"/>
  <c r="N44" i="48"/>
  <c r="L44" i="48"/>
  <c r="J44" i="48"/>
  <c r="H44" i="48"/>
  <c r="F44" i="48"/>
  <c r="D44" i="48"/>
  <c r="AN43" i="48"/>
  <c r="AL43" i="48"/>
  <c r="AJ43" i="48"/>
  <c r="AH43" i="48"/>
  <c r="AF43" i="48"/>
  <c r="AD43" i="48"/>
  <c r="AB43" i="48"/>
  <c r="Z43" i="48"/>
  <c r="X43" i="48"/>
  <c r="V43" i="48"/>
  <c r="T43" i="48"/>
  <c r="R43" i="48"/>
  <c r="P43" i="48"/>
  <c r="N43" i="48"/>
  <c r="L43" i="48"/>
  <c r="J43" i="48"/>
  <c r="H43" i="48"/>
  <c r="F43" i="48"/>
  <c r="D43" i="48"/>
  <c r="AN42" i="48"/>
  <c r="AL42" i="48"/>
  <c r="AJ42" i="48"/>
  <c r="AH42" i="48"/>
  <c r="AF42" i="48"/>
  <c r="AD42" i="48"/>
  <c r="AB42" i="48"/>
  <c r="Z42" i="48"/>
  <c r="X42" i="48"/>
  <c r="V42" i="48"/>
  <c r="T42" i="48"/>
  <c r="R42" i="48"/>
  <c r="P42" i="48"/>
  <c r="N42" i="48"/>
  <c r="L42" i="48"/>
  <c r="J42" i="48"/>
  <c r="H42" i="48"/>
  <c r="F42" i="48"/>
  <c r="D42" i="48"/>
  <c r="AN41" i="48"/>
  <c r="AL41" i="48"/>
  <c r="AJ41" i="48"/>
  <c r="AH41" i="48"/>
  <c r="AF41" i="48"/>
  <c r="AD41" i="48"/>
  <c r="AB41" i="48"/>
  <c r="Z41" i="48"/>
  <c r="X41" i="48"/>
  <c r="V41" i="48"/>
  <c r="T41" i="48"/>
  <c r="R41" i="48"/>
  <c r="P41" i="48"/>
  <c r="N41" i="48"/>
  <c r="L41" i="48"/>
  <c r="J41" i="48"/>
  <c r="H41" i="48"/>
  <c r="F41" i="48"/>
  <c r="D41" i="48"/>
  <c r="AN40" i="48"/>
  <c r="AL40" i="48"/>
  <c r="AJ40" i="48"/>
  <c r="AH40" i="48"/>
  <c r="AF40" i="48"/>
  <c r="AD40" i="48"/>
  <c r="AB40" i="48"/>
  <c r="Z40" i="48"/>
  <c r="X40" i="48"/>
  <c r="V40" i="48"/>
  <c r="T40" i="48"/>
  <c r="R40" i="48"/>
  <c r="P40" i="48"/>
  <c r="N40" i="48"/>
  <c r="L40" i="48"/>
  <c r="J40" i="48"/>
  <c r="H40" i="48"/>
  <c r="F40" i="48"/>
  <c r="D40" i="48"/>
  <c r="AN39" i="48"/>
  <c r="AL39" i="48"/>
  <c r="AJ39" i="48"/>
  <c r="AH39" i="48"/>
  <c r="AF39" i="48"/>
  <c r="AD39" i="48"/>
  <c r="AB39" i="48"/>
  <c r="Z39" i="48"/>
  <c r="X39" i="48"/>
  <c r="V39" i="48"/>
  <c r="T39" i="48"/>
  <c r="R39" i="48"/>
  <c r="P39" i="48"/>
  <c r="N39" i="48"/>
  <c r="L39" i="48"/>
  <c r="J39" i="48"/>
  <c r="H39" i="48"/>
  <c r="F39" i="48"/>
  <c r="D39" i="48"/>
  <c r="AN37" i="48"/>
  <c r="AL37" i="48"/>
  <c r="AJ37" i="48"/>
  <c r="AH37" i="48"/>
  <c r="AF37" i="48"/>
  <c r="AD37" i="48"/>
  <c r="AB37" i="48"/>
  <c r="Z37" i="48"/>
  <c r="X37" i="48"/>
  <c r="V37" i="48"/>
  <c r="T37" i="48"/>
  <c r="R37" i="48"/>
  <c r="P37" i="48"/>
  <c r="N37" i="48"/>
  <c r="L37" i="48"/>
  <c r="J37" i="48"/>
  <c r="H37" i="48"/>
  <c r="F37" i="48"/>
  <c r="D37" i="48"/>
  <c r="B37" i="48"/>
  <c r="AN36" i="48"/>
  <c r="AL36" i="48"/>
  <c r="AJ36" i="48"/>
  <c r="AH36" i="48"/>
  <c r="AF36" i="48"/>
  <c r="AD36" i="48"/>
  <c r="AB36" i="48"/>
  <c r="Z36" i="48"/>
  <c r="X36" i="48"/>
  <c r="V36" i="48"/>
  <c r="T36" i="48"/>
  <c r="R36" i="48"/>
  <c r="P36" i="48"/>
  <c r="N36" i="48"/>
  <c r="L36" i="48"/>
  <c r="J36" i="48"/>
  <c r="H36" i="48"/>
  <c r="F36" i="48"/>
  <c r="D36" i="48"/>
  <c r="B36" i="48"/>
  <c r="AN35" i="48"/>
  <c r="AL35" i="48"/>
  <c r="AJ35" i="48"/>
  <c r="AH35" i="48"/>
  <c r="AF35" i="48"/>
  <c r="AD35" i="48"/>
  <c r="AB35" i="48"/>
  <c r="Z35" i="48"/>
  <c r="X35" i="48"/>
  <c r="V35" i="48"/>
  <c r="T35" i="48"/>
  <c r="R35" i="48"/>
  <c r="P35" i="48"/>
  <c r="N35" i="48"/>
  <c r="L35" i="48"/>
  <c r="J35" i="48"/>
  <c r="H35" i="48"/>
  <c r="F35" i="48"/>
  <c r="D35" i="48"/>
  <c r="B35" i="48"/>
  <c r="AN34" i="48"/>
  <c r="AL34" i="48"/>
  <c r="AJ34" i="48"/>
  <c r="AH34" i="48"/>
  <c r="AF34" i="48"/>
  <c r="AD34" i="48"/>
  <c r="AB34" i="48"/>
  <c r="Z34" i="48"/>
  <c r="X34" i="48"/>
  <c r="V34" i="48"/>
  <c r="T34" i="48"/>
  <c r="R34" i="48"/>
  <c r="P34" i="48"/>
  <c r="N34" i="48"/>
  <c r="L34" i="48"/>
  <c r="J34" i="48"/>
  <c r="H34" i="48"/>
  <c r="F34" i="48"/>
  <c r="D34" i="48"/>
  <c r="B34" i="48"/>
  <c r="AN33" i="48"/>
  <c r="AL33" i="48"/>
  <c r="AJ33" i="48"/>
  <c r="AH33" i="48"/>
  <c r="AF33" i="48"/>
  <c r="AD33" i="48"/>
  <c r="AB33" i="48"/>
  <c r="Z33" i="48"/>
  <c r="X33" i="48"/>
  <c r="V33" i="48"/>
  <c r="T33" i="48"/>
  <c r="R33" i="48"/>
  <c r="P33" i="48"/>
  <c r="N33" i="48"/>
  <c r="L33" i="48"/>
  <c r="J33" i="48"/>
  <c r="H33" i="48"/>
  <c r="F33" i="48"/>
  <c r="D33" i="48"/>
  <c r="B33" i="48"/>
  <c r="AN32" i="48"/>
  <c r="AL32" i="48"/>
  <c r="AJ32" i="48"/>
  <c r="AH32" i="48"/>
  <c r="AF32" i="48"/>
  <c r="AD32" i="48"/>
  <c r="AB32" i="48"/>
  <c r="Z32" i="48"/>
  <c r="X32" i="48"/>
  <c r="V32" i="48"/>
  <c r="T32" i="48"/>
  <c r="R32" i="48"/>
  <c r="P32" i="48"/>
  <c r="N32" i="48"/>
  <c r="L32" i="48"/>
  <c r="J32" i="48"/>
  <c r="H32" i="48"/>
  <c r="F32" i="48"/>
  <c r="D32" i="48"/>
  <c r="B32" i="48"/>
  <c r="AN31" i="48"/>
  <c r="AL31" i="48"/>
  <c r="AJ31" i="48"/>
  <c r="AH31" i="48"/>
  <c r="AF31" i="48"/>
  <c r="AD31" i="48"/>
  <c r="AB31" i="48"/>
  <c r="Z31" i="48"/>
  <c r="X31" i="48"/>
  <c r="V31" i="48"/>
  <c r="T31" i="48"/>
  <c r="R31" i="48"/>
  <c r="P31" i="48"/>
  <c r="N31" i="48"/>
  <c r="L31" i="48"/>
  <c r="J31" i="48"/>
  <c r="H31" i="48"/>
  <c r="F31" i="48"/>
  <c r="D31" i="48"/>
  <c r="B31" i="48"/>
  <c r="AN30" i="48"/>
  <c r="AL30" i="48"/>
  <c r="AJ30" i="48"/>
  <c r="AH30" i="48"/>
  <c r="AF30" i="48"/>
  <c r="AD30" i="48"/>
  <c r="AB30" i="48"/>
  <c r="Z30" i="48"/>
  <c r="X30" i="48"/>
  <c r="V30" i="48"/>
  <c r="T30" i="48"/>
  <c r="R30" i="48"/>
  <c r="P30" i="48"/>
  <c r="N30" i="48"/>
  <c r="L30" i="48"/>
  <c r="J30" i="48"/>
  <c r="H30" i="48"/>
  <c r="F30" i="48"/>
  <c r="D30" i="48"/>
  <c r="B30" i="48"/>
  <c r="AN29" i="48"/>
  <c r="AL29" i="48"/>
  <c r="AJ29" i="48"/>
  <c r="AH29" i="48"/>
  <c r="AF29" i="48"/>
  <c r="AD29" i="48"/>
  <c r="AB29" i="48"/>
  <c r="Z29" i="48"/>
  <c r="X29" i="48"/>
  <c r="V29" i="48"/>
  <c r="T29" i="48"/>
  <c r="R29" i="48"/>
  <c r="P29" i="48"/>
  <c r="N29" i="48"/>
  <c r="L29" i="48"/>
  <c r="J29" i="48"/>
  <c r="H29" i="48"/>
  <c r="F29" i="48"/>
  <c r="D29" i="48"/>
  <c r="B29" i="48"/>
  <c r="AN28" i="48"/>
  <c r="AL28" i="48"/>
  <c r="AJ28" i="48"/>
  <c r="AH28" i="48"/>
  <c r="AF28" i="48"/>
  <c r="AD28" i="48"/>
  <c r="AB28" i="48"/>
  <c r="Z28" i="48"/>
  <c r="X28" i="48"/>
  <c r="V28" i="48"/>
  <c r="T28" i="48"/>
  <c r="R28" i="48"/>
  <c r="P28" i="48"/>
  <c r="N28" i="48"/>
  <c r="L28" i="48"/>
  <c r="J28" i="48"/>
  <c r="H28" i="48"/>
  <c r="F28" i="48"/>
  <c r="D28" i="48"/>
  <c r="B28" i="48"/>
  <c r="AN27" i="48"/>
  <c r="AN38" i="48" s="1"/>
  <c r="AM38" i="48" s="1"/>
  <c r="AM67" i="48" s="1"/>
  <c r="AL27" i="48"/>
  <c r="AL38" i="48" s="1"/>
  <c r="AK38" i="48" s="1"/>
  <c r="AK67" i="48" s="1"/>
  <c r="AJ27" i="48"/>
  <c r="AJ38" i="48" s="1"/>
  <c r="AI38" i="48" s="1"/>
  <c r="AI67" i="48" s="1"/>
  <c r="AH27" i="48"/>
  <c r="AH38" i="48" s="1"/>
  <c r="AG38" i="48" s="1"/>
  <c r="AG67" i="48" s="1"/>
  <c r="AF27" i="48"/>
  <c r="AF38" i="48" s="1"/>
  <c r="AE38" i="48" s="1"/>
  <c r="AE67" i="48" s="1"/>
  <c r="AD27" i="48"/>
  <c r="AD38" i="48" s="1"/>
  <c r="AC38" i="48" s="1"/>
  <c r="AC67" i="48" s="1"/>
  <c r="AB27" i="48"/>
  <c r="AB38" i="48" s="1"/>
  <c r="AA38" i="48" s="1"/>
  <c r="AA67" i="48" s="1"/>
  <c r="Z27" i="48"/>
  <c r="Z38" i="48" s="1"/>
  <c r="Y38" i="48" s="1"/>
  <c r="Y67" i="48" s="1"/>
  <c r="X27" i="48"/>
  <c r="X38" i="48" s="1"/>
  <c r="W38" i="48" s="1"/>
  <c r="W67" i="48" s="1"/>
  <c r="V27" i="48"/>
  <c r="V38" i="48" s="1"/>
  <c r="U38" i="48" s="1"/>
  <c r="U67" i="48" s="1"/>
  <c r="T27" i="48"/>
  <c r="T38" i="48" s="1"/>
  <c r="S38" i="48" s="1"/>
  <c r="S67" i="48" s="1"/>
  <c r="R27" i="48"/>
  <c r="R38" i="48" s="1"/>
  <c r="Q38" i="48" s="1"/>
  <c r="Q67" i="48" s="1"/>
  <c r="P27" i="48"/>
  <c r="P38" i="48" s="1"/>
  <c r="O38" i="48" s="1"/>
  <c r="O67" i="48" s="1"/>
  <c r="N27" i="48"/>
  <c r="N38" i="48" s="1"/>
  <c r="M38" i="48" s="1"/>
  <c r="M67" i="48" s="1"/>
  <c r="L27" i="48"/>
  <c r="L38" i="48" s="1"/>
  <c r="K38" i="48" s="1"/>
  <c r="K67" i="48" s="1"/>
  <c r="J27" i="48"/>
  <c r="J38" i="48" s="1"/>
  <c r="I38" i="48" s="1"/>
  <c r="I67" i="48" s="1"/>
  <c r="H27" i="48"/>
  <c r="H38" i="48" s="1"/>
  <c r="G38" i="48" s="1"/>
  <c r="G67" i="48" s="1"/>
  <c r="F27" i="48"/>
  <c r="F38" i="48" s="1"/>
  <c r="E38" i="48" s="1"/>
  <c r="E67" i="48" s="1"/>
  <c r="D27" i="48"/>
  <c r="AN25" i="48"/>
  <c r="AL25" i="48"/>
  <c r="AJ25" i="48"/>
  <c r="AH25" i="48"/>
  <c r="AF25" i="48"/>
  <c r="AD25" i="48"/>
  <c r="AB25" i="48"/>
  <c r="Z25" i="48"/>
  <c r="X25" i="48"/>
  <c r="V25" i="48"/>
  <c r="T25" i="48"/>
  <c r="R25" i="48"/>
  <c r="P25" i="48"/>
  <c r="N25" i="48"/>
  <c r="L25" i="48"/>
  <c r="J25" i="48"/>
  <c r="H25" i="48"/>
  <c r="F25" i="48"/>
  <c r="D25" i="48"/>
  <c r="AN24" i="48"/>
  <c r="AL24" i="48"/>
  <c r="AJ24" i="48"/>
  <c r="AH24" i="48"/>
  <c r="AF24" i="48"/>
  <c r="AD24" i="48"/>
  <c r="AB24" i="48"/>
  <c r="Z24" i="48"/>
  <c r="X24" i="48"/>
  <c r="V24" i="48"/>
  <c r="T24" i="48"/>
  <c r="R24" i="48"/>
  <c r="P24" i="48"/>
  <c r="N24" i="48"/>
  <c r="L24" i="48"/>
  <c r="J24" i="48"/>
  <c r="H24" i="48"/>
  <c r="F24" i="48"/>
  <c r="D24" i="48"/>
  <c r="AN23" i="48"/>
  <c r="AL23" i="48"/>
  <c r="AJ23" i="48"/>
  <c r="AH23" i="48"/>
  <c r="AF23" i="48"/>
  <c r="AD23" i="48"/>
  <c r="AB23" i="48"/>
  <c r="Z23" i="48"/>
  <c r="X23" i="48"/>
  <c r="V23" i="48"/>
  <c r="T23" i="48"/>
  <c r="R23" i="48"/>
  <c r="P23" i="48"/>
  <c r="N23" i="48"/>
  <c r="L23" i="48"/>
  <c r="J23" i="48"/>
  <c r="H23" i="48"/>
  <c r="F23" i="48"/>
  <c r="D23" i="48"/>
  <c r="AN22" i="48"/>
  <c r="AL22" i="48"/>
  <c r="AJ22" i="48"/>
  <c r="AH22" i="48"/>
  <c r="AF22" i="48"/>
  <c r="AD22" i="48"/>
  <c r="AB22" i="48"/>
  <c r="Z22" i="48"/>
  <c r="X22" i="48"/>
  <c r="V22" i="48"/>
  <c r="T22" i="48"/>
  <c r="R22" i="48"/>
  <c r="P22" i="48"/>
  <c r="N22" i="48"/>
  <c r="L22" i="48"/>
  <c r="J22" i="48"/>
  <c r="H22" i="48"/>
  <c r="F22" i="48"/>
  <c r="D22" i="48"/>
  <c r="AN21" i="48"/>
  <c r="AL21" i="48"/>
  <c r="AJ21" i="48"/>
  <c r="AH21" i="48"/>
  <c r="AF21" i="48"/>
  <c r="AD21" i="48"/>
  <c r="AB21" i="48"/>
  <c r="Z21" i="48"/>
  <c r="X21" i="48"/>
  <c r="V21" i="48"/>
  <c r="T21" i="48"/>
  <c r="R21" i="48"/>
  <c r="P21" i="48"/>
  <c r="N21" i="48"/>
  <c r="L21" i="48"/>
  <c r="J21" i="48"/>
  <c r="H21" i="48"/>
  <c r="F21" i="48"/>
  <c r="D21" i="48"/>
  <c r="AN20" i="48"/>
  <c r="AL20" i="48"/>
  <c r="AJ20" i="48"/>
  <c r="AH20" i="48"/>
  <c r="AF20" i="48"/>
  <c r="AD20" i="48"/>
  <c r="AB20" i="48"/>
  <c r="Z20" i="48"/>
  <c r="X20" i="48"/>
  <c r="V20" i="48"/>
  <c r="T20" i="48"/>
  <c r="R20" i="48"/>
  <c r="P20" i="48"/>
  <c r="N20" i="48"/>
  <c r="L20" i="48"/>
  <c r="J20" i="48"/>
  <c r="H20" i="48"/>
  <c r="F20" i="48"/>
  <c r="D20" i="48"/>
  <c r="AN19" i="48"/>
  <c r="AL19" i="48"/>
  <c r="AJ19" i="48"/>
  <c r="AH19" i="48"/>
  <c r="AF19" i="48"/>
  <c r="AD19" i="48"/>
  <c r="AB19" i="48"/>
  <c r="Z19" i="48"/>
  <c r="X19" i="48"/>
  <c r="V19" i="48"/>
  <c r="T19" i="48"/>
  <c r="R19" i="48"/>
  <c r="P19" i="48"/>
  <c r="N19" i="48"/>
  <c r="L19" i="48"/>
  <c r="J19" i="48"/>
  <c r="H19" i="48"/>
  <c r="F19" i="48"/>
  <c r="D19" i="48"/>
  <c r="AN18" i="48"/>
  <c r="AL18" i="48"/>
  <c r="AJ18" i="48"/>
  <c r="AH18" i="48"/>
  <c r="AF18" i="48"/>
  <c r="AD18" i="48"/>
  <c r="AB18" i="48"/>
  <c r="Z18" i="48"/>
  <c r="X18" i="48"/>
  <c r="V18" i="48"/>
  <c r="T18" i="48"/>
  <c r="R18" i="48"/>
  <c r="P18" i="48"/>
  <c r="N18" i="48"/>
  <c r="L18" i="48"/>
  <c r="J18" i="48"/>
  <c r="H18" i="48"/>
  <c r="F18" i="48"/>
  <c r="D18" i="48"/>
  <c r="AN17" i="48"/>
  <c r="AL17" i="48"/>
  <c r="AJ17" i="48"/>
  <c r="AH17" i="48"/>
  <c r="AF17" i="48"/>
  <c r="AD17" i="48"/>
  <c r="AB17" i="48"/>
  <c r="Z17" i="48"/>
  <c r="X17" i="48"/>
  <c r="V17" i="48"/>
  <c r="T17" i="48"/>
  <c r="R17" i="48"/>
  <c r="P17" i="48"/>
  <c r="N17" i="48"/>
  <c r="L17" i="48"/>
  <c r="J17" i="48"/>
  <c r="H17" i="48"/>
  <c r="F17" i="48"/>
  <c r="D17" i="48"/>
  <c r="AN16" i="48"/>
  <c r="AL16" i="48"/>
  <c r="AJ16" i="48"/>
  <c r="AH16" i="48"/>
  <c r="AF16" i="48"/>
  <c r="AD16" i="48"/>
  <c r="AB16" i="48"/>
  <c r="Z16" i="48"/>
  <c r="X16" i="48"/>
  <c r="V16" i="48"/>
  <c r="T16" i="48"/>
  <c r="R16" i="48"/>
  <c r="P16" i="48"/>
  <c r="N16" i="48"/>
  <c r="L16" i="48"/>
  <c r="J16" i="48"/>
  <c r="H16" i="48"/>
  <c r="F16" i="48"/>
  <c r="D16" i="48"/>
  <c r="AN15" i="48"/>
  <c r="AL15" i="48"/>
  <c r="AJ15" i="48"/>
  <c r="AH15" i="48"/>
  <c r="AF15" i="48"/>
  <c r="AD15" i="48"/>
  <c r="AB15" i="48"/>
  <c r="Z15" i="48"/>
  <c r="X15" i="48"/>
  <c r="V15" i="48"/>
  <c r="T15" i="48"/>
  <c r="R15" i="48"/>
  <c r="P15" i="48"/>
  <c r="N15" i="48"/>
  <c r="L15" i="48"/>
  <c r="J15" i="48"/>
  <c r="H15" i="48"/>
  <c r="F15" i="48"/>
  <c r="D15" i="48"/>
  <c r="AN14" i="48"/>
  <c r="AL14" i="48"/>
  <c r="AJ14" i="48"/>
  <c r="AH14" i="48"/>
  <c r="AF14" i="48"/>
  <c r="AD14" i="48"/>
  <c r="AB14" i="48"/>
  <c r="Z14" i="48"/>
  <c r="X14" i="48"/>
  <c r="V14" i="48"/>
  <c r="T14" i="48"/>
  <c r="R14" i="48"/>
  <c r="P14" i="48"/>
  <c r="N14" i="48"/>
  <c r="L14" i="48"/>
  <c r="J14" i="48"/>
  <c r="H14" i="48"/>
  <c r="F14" i="48"/>
  <c r="D14" i="48"/>
  <c r="AN13" i="48"/>
  <c r="AL13" i="48"/>
  <c r="AJ13" i="48"/>
  <c r="AH13" i="48"/>
  <c r="AF13" i="48"/>
  <c r="AD13" i="48"/>
  <c r="AB13" i="48"/>
  <c r="Z13" i="48"/>
  <c r="X13" i="48"/>
  <c r="V13" i="48"/>
  <c r="T13" i="48"/>
  <c r="R13" i="48"/>
  <c r="P13" i="48"/>
  <c r="N13" i="48"/>
  <c r="L13" i="48"/>
  <c r="J13" i="48"/>
  <c r="H13" i="48"/>
  <c r="F13" i="48"/>
  <c r="D13" i="48"/>
  <c r="AN12" i="48"/>
  <c r="AL12" i="48"/>
  <c r="AJ12" i="48"/>
  <c r="AH12" i="48"/>
  <c r="AF12" i="48"/>
  <c r="AD12" i="48"/>
  <c r="AB12" i="48"/>
  <c r="Z12" i="48"/>
  <c r="X12" i="48"/>
  <c r="V12" i="48"/>
  <c r="T12" i="48"/>
  <c r="R12" i="48"/>
  <c r="P12" i="48"/>
  <c r="N12" i="48"/>
  <c r="L12" i="48"/>
  <c r="J12" i="48"/>
  <c r="H12" i="48"/>
  <c r="F12" i="48"/>
  <c r="D12" i="48"/>
  <c r="AN11" i="48"/>
  <c r="AL11" i="48"/>
  <c r="AJ11" i="48"/>
  <c r="AH11" i="48"/>
  <c r="AF11" i="48"/>
  <c r="AD11" i="48"/>
  <c r="AB11" i="48"/>
  <c r="Z11" i="48"/>
  <c r="X11" i="48"/>
  <c r="V11" i="48"/>
  <c r="T11" i="48"/>
  <c r="R11" i="48"/>
  <c r="P11" i="48"/>
  <c r="N11" i="48"/>
  <c r="L11" i="48"/>
  <c r="J11" i="48"/>
  <c r="H11" i="48"/>
  <c r="F11" i="48"/>
  <c r="D11" i="48"/>
  <c r="AN10" i="48"/>
  <c r="AL10" i="48"/>
  <c r="AJ10" i="48"/>
  <c r="AH10" i="48"/>
  <c r="AF10" i="48"/>
  <c r="AD10" i="48"/>
  <c r="AB10" i="48"/>
  <c r="Z10" i="48"/>
  <c r="X10" i="48"/>
  <c r="V10" i="48"/>
  <c r="T10" i="48"/>
  <c r="R10" i="48"/>
  <c r="P10" i="48"/>
  <c r="N10" i="48"/>
  <c r="L10" i="48"/>
  <c r="J10" i="48"/>
  <c r="H10" i="48"/>
  <c r="F10" i="48"/>
  <c r="D10" i="48"/>
  <c r="AN9" i="48"/>
  <c r="AL9" i="48"/>
  <c r="AJ9" i="48"/>
  <c r="AH9" i="48"/>
  <c r="AF9" i="48"/>
  <c r="AD9" i="48"/>
  <c r="AB9" i="48"/>
  <c r="Z9" i="48"/>
  <c r="X9" i="48"/>
  <c r="V9" i="48"/>
  <c r="T9" i="48"/>
  <c r="R9" i="48"/>
  <c r="P9" i="48"/>
  <c r="N9" i="48"/>
  <c r="L9" i="48"/>
  <c r="J9" i="48"/>
  <c r="H9" i="48"/>
  <c r="F9" i="48"/>
  <c r="D9" i="48"/>
  <c r="AN8" i="48"/>
  <c r="AL8" i="48"/>
  <c r="AJ8" i="48"/>
  <c r="AH8" i="48"/>
  <c r="AF8" i="48"/>
  <c r="AD8" i="48"/>
  <c r="AB8" i="48"/>
  <c r="Z8" i="48"/>
  <c r="X8" i="48"/>
  <c r="V8" i="48"/>
  <c r="T8" i="48"/>
  <c r="R8" i="48"/>
  <c r="P8" i="48"/>
  <c r="N8" i="48"/>
  <c r="L8" i="48"/>
  <c r="J8" i="48"/>
  <c r="H8" i="48"/>
  <c r="F8" i="48"/>
  <c r="D8" i="48"/>
  <c r="AN7" i="48"/>
  <c r="AL7" i="48"/>
  <c r="AJ7" i="48"/>
  <c r="AH7" i="48"/>
  <c r="AF7" i="48"/>
  <c r="AD7" i="48"/>
  <c r="AB7" i="48"/>
  <c r="Z7" i="48"/>
  <c r="X7" i="48"/>
  <c r="V7" i="48"/>
  <c r="T7" i="48"/>
  <c r="R7" i="48"/>
  <c r="P7" i="48"/>
  <c r="N7" i="48"/>
  <c r="L7" i="48"/>
  <c r="J7" i="48"/>
  <c r="H7" i="48"/>
  <c r="F7" i="48"/>
  <c r="D7" i="48"/>
  <c r="AN6" i="48"/>
  <c r="AL6" i="48"/>
  <c r="AJ6" i="48"/>
  <c r="AH6" i="48"/>
  <c r="AF6" i="48"/>
  <c r="AD6" i="48"/>
  <c r="AB6" i="48"/>
  <c r="Z6" i="48"/>
  <c r="X6" i="48"/>
  <c r="V6" i="48"/>
  <c r="T6" i="48"/>
  <c r="R6" i="48"/>
  <c r="P6" i="48"/>
  <c r="N6" i="48"/>
  <c r="L6" i="48"/>
  <c r="J6" i="48"/>
  <c r="H6" i="48"/>
  <c r="F6" i="48"/>
  <c r="D6" i="48"/>
  <c r="AN5" i="48"/>
  <c r="AL5" i="48"/>
  <c r="AJ5" i="48"/>
  <c r="AH5" i="48"/>
  <c r="AF5" i="48"/>
  <c r="AD5" i="48"/>
  <c r="AB5" i="48"/>
  <c r="Z5" i="48"/>
  <c r="X5" i="48"/>
  <c r="V5" i="48"/>
  <c r="T5" i="48"/>
  <c r="R5" i="48"/>
  <c r="P5" i="48"/>
  <c r="N5" i="48"/>
  <c r="L5" i="48"/>
  <c r="J5" i="48"/>
  <c r="H5" i="48"/>
  <c r="F5" i="48"/>
  <c r="D5" i="48"/>
  <c r="AN4" i="48"/>
  <c r="AL4" i="48"/>
  <c r="AJ4" i="48"/>
  <c r="AH4" i="48"/>
  <c r="AF4" i="48"/>
  <c r="AD4" i="48"/>
  <c r="AB4" i="48"/>
  <c r="Z4" i="48"/>
  <c r="X4" i="48"/>
  <c r="V4" i="48"/>
  <c r="T4" i="48"/>
  <c r="R4" i="48"/>
  <c r="P4" i="48"/>
  <c r="N4" i="48"/>
  <c r="L4" i="48"/>
  <c r="J4" i="48"/>
  <c r="H4" i="48"/>
  <c r="F4" i="48"/>
  <c r="D4" i="48"/>
  <c r="T1" i="48"/>
  <c r="L1" i="48"/>
  <c r="AN61" i="45"/>
  <c r="AL61" i="45"/>
  <c r="AJ61" i="45"/>
  <c r="AH61" i="45"/>
  <c r="AF61" i="45"/>
  <c r="AD61" i="45"/>
  <c r="AB61" i="45"/>
  <c r="Z61" i="45"/>
  <c r="X61" i="45"/>
  <c r="V61" i="45"/>
  <c r="T61" i="45"/>
  <c r="R61" i="45"/>
  <c r="P61" i="45"/>
  <c r="N61" i="45"/>
  <c r="L61" i="45"/>
  <c r="J61" i="45"/>
  <c r="H61" i="45"/>
  <c r="F61" i="45"/>
  <c r="D61" i="45"/>
  <c r="AN60" i="45"/>
  <c r="AL60" i="45"/>
  <c r="AJ60" i="45"/>
  <c r="AH60" i="45"/>
  <c r="AF60" i="45"/>
  <c r="AD60" i="45"/>
  <c r="AB60" i="45"/>
  <c r="Z60" i="45"/>
  <c r="X60" i="45"/>
  <c r="V60" i="45"/>
  <c r="T60" i="45"/>
  <c r="R60" i="45"/>
  <c r="P60" i="45"/>
  <c r="N60" i="45"/>
  <c r="L60" i="45"/>
  <c r="J60" i="45"/>
  <c r="H60" i="45"/>
  <c r="F60" i="45"/>
  <c r="D60" i="45"/>
  <c r="AN59" i="45"/>
  <c r="AL59" i="45"/>
  <c r="AJ59" i="45"/>
  <c r="AH59" i="45"/>
  <c r="AF59" i="45"/>
  <c r="AD59" i="45"/>
  <c r="AB59" i="45"/>
  <c r="Z59" i="45"/>
  <c r="X59" i="45"/>
  <c r="V59" i="45"/>
  <c r="T59" i="45"/>
  <c r="R59" i="45"/>
  <c r="P59" i="45"/>
  <c r="N59" i="45"/>
  <c r="L59" i="45"/>
  <c r="J59" i="45"/>
  <c r="H59" i="45"/>
  <c r="F59" i="45"/>
  <c r="D59" i="45"/>
  <c r="AN58" i="45"/>
  <c r="AL58" i="45"/>
  <c r="AJ58" i="45"/>
  <c r="AH58" i="45"/>
  <c r="AF58" i="45"/>
  <c r="AD58" i="45"/>
  <c r="AB58" i="45"/>
  <c r="Z58" i="45"/>
  <c r="X58" i="45"/>
  <c r="V58" i="45"/>
  <c r="T58" i="45"/>
  <c r="R58" i="45"/>
  <c r="P58" i="45"/>
  <c r="N58" i="45"/>
  <c r="L58" i="45"/>
  <c r="J58" i="45"/>
  <c r="H58" i="45"/>
  <c r="F58" i="45"/>
  <c r="D58" i="45"/>
  <c r="AN57" i="45"/>
  <c r="AL57" i="45"/>
  <c r="AJ57" i="45"/>
  <c r="AH57" i="45"/>
  <c r="AF57" i="45"/>
  <c r="AD57" i="45"/>
  <c r="AB57" i="45"/>
  <c r="Z57" i="45"/>
  <c r="X57" i="45"/>
  <c r="V57" i="45"/>
  <c r="T57" i="45"/>
  <c r="R57" i="45"/>
  <c r="P57" i="45"/>
  <c r="N57" i="45"/>
  <c r="L57" i="45"/>
  <c r="J57" i="45"/>
  <c r="H57" i="45"/>
  <c r="F57" i="45"/>
  <c r="D57" i="45"/>
  <c r="AN56" i="45"/>
  <c r="AL56" i="45"/>
  <c r="AJ56" i="45"/>
  <c r="AH56" i="45"/>
  <c r="AF56" i="45"/>
  <c r="AD56" i="45"/>
  <c r="AB56" i="45"/>
  <c r="Z56" i="45"/>
  <c r="X56" i="45"/>
  <c r="V56" i="45"/>
  <c r="T56" i="45"/>
  <c r="R56" i="45"/>
  <c r="P56" i="45"/>
  <c r="N56" i="45"/>
  <c r="L56" i="45"/>
  <c r="J56" i="45"/>
  <c r="H56" i="45"/>
  <c r="F56" i="45"/>
  <c r="D56" i="45"/>
  <c r="AN55" i="45"/>
  <c r="AL55" i="45"/>
  <c r="AJ55" i="45"/>
  <c r="AH55" i="45"/>
  <c r="AF55" i="45"/>
  <c r="AD55" i="45"/>
  <c r="AB55" i="45"/>
  <c r="Z55" i="45"/>
  <c r="X55" i="45"/>
  <c r="V55" i="45"/>
  <c r="T55" i="45"/>
  <c r="R55" i="45"/>
  <c r="P55" i="45"/>
  <c r="N55" i="45"/>
  <c r="L55" i="45"/>
  <c r="J55" i="45"/>
  <c r="H55" i="45"/>
  <c r="F55" i="45"/>
  <c r="D55" i="45"/>
  <c r="AN54" i="45"/>
  <c r="AL54" i="45"/>
  <c r="AJ54" i="45"/>
  <c r="AH54" i="45"/>
  <c r="AF54" i="45"/>
  <c r="AD54" i="45"/>
  <c r="AB54" i="45"/>
  <c r="Z54" i="45"/>
  <c r="X54" i="45"/>
  <c r="V54" i="45"/>
  <c r="T54" i="45"/>
  <c r="R54" i="45"/>
  <c r="P54" i="45"/>
  <c r="N54" i="45"/>
  <c r="L54" i="45"/>
  <c r="J54" i="45"/>
  <c r="H54" i="45"/>
  <c r="F54" i="45"/>
  <c r="D54" i="45"/>
  <c r="AN53" i="45"/>
  <c r="AL53" i="45"/>
  <c r="AJ53" i="45"/>
  <c r="AH53" i="45"/>
  <c r="AF53" i="45"/>
  <c r="AD53" i="45"/>
  <c r="AB53" i="45"/>
  <c r="Z53" i="45"/>
  <c r="X53" i="45"/>
  <c r="V53" i="45"/>
  <c r="T53" i="45"/>
  <c r="R53" i="45"/>
  <c r="P53" i="45"/>
  <c r="N53" i="45"/>
  <c r="L53" i="45"/>
  <c r="J53" i="45"/>
  <c r="H53" i="45"/>
  <c r="F53" i="45"/>
  <c r="D53" i="45"/>
  <c r="AN52" i="45"/>
  <c r="AL52" i="45"/>
  <c r="AJ52" i="45"/>
  <c r="AH52" i="45"/>
  <c r="AF52" i="45"/>
  <c r="AD52" i="45"/>
  <c r="AB52" i="45"/>
  <c r="Z52" i="45"/>
  <c r="X52" i="45"/>
  <c r="V52" i="45"/>
  <c r="T52" i="45"/>
  <c r="R52" i="45"/>
  <c r="P52" i="45"/>
  <c r="N52" i="45"/>
  <c r="L52" i="45"/>
  <c r="J52" i="45"/>
  <c r="H52" i="45"/>
  <c r="F52" i="45"/>
  <c r="D52" i="45"/>
  <c r="AN51" i="45"/>
  <c r="AL51" i="45"/>
  <c r="AJ51" i="45"/>
  <c r="AH51" i="45"/>
  <c r="AF51" i="45"/>
  <c r="AD51" i="45"/>
  <c r="AB51" i="45"/>
  <c r="Z51" i="45"/>
  <c r="X51" i="45"/>
  <c r="V51" i="45"/>
  <c r="T51" i="45"/>
  <c r="R51" i="45"/>
  <c r="P51" i="45"/>
  <c r="N51" i="45"/>
  <c r="L51" i="45"/>
  <c r="J51" i="45"/>
  <c r="H51" i="45"/>
  <c r="F51" i="45"/>
  <c r="D51" i="45"/>
  <c r="AN49" i="45"/>
  <c r="AL49" i="45"/>
  <c r="AJ49" i="45"/>
  <c r="AH49" i="45"/>
  <c r="AF49" i="45"/>
  <c r="AD49" i="45"/>
  <c r="AB49" i="45"/>
  <c r="Z49" i="45"/>
  <c r="X49" i="45"/>
  <c r="V49" i="45"/>
  <c r="T49" i="45"/>
  <c r="R49" i="45"/>
  <c r="P49" i="45"/>
  <c r="N49" i="45"/>
  <c r="L49" i="45"/>
  <c r="J49" i="45"/>
  <c r="H49" i="45"/>
  <c r="F49" i="45"/>
  <c r="D49" i="45"/>
  <c r="AN48" i="45"/>
  <c r="AL48" i="45"/>
  <c r="AJ48" i="45"/>
  <c r="AH48" i="45"/>
  <c r="AF48" i="45"/>
  <c r="AD48" i="45"/>
  <c r="AB48" i="45"/>
  <c r="Z48" i="45"/>
  <c r="X48" i="45"/>
  <c r="V48" i="45"/>
  <c r="T48" i="45"/>
  <c r="R48" i="45"/>
  <c r="P48" i="45"/>
  <c r="N48" i="45"/>
  <c r="L48" i="45"/>
  <c r="J48" i="45"/>
  <c r="H48" i="45"/>
  <c r="F48" i="45"/>
  <c r="D48" i="45"/>
  <c r="AN47" i="45"/>
  <c r="AL47" i="45"/>
  <c r="AJ47" i="45"/>
  <c r="AH47" i="45"/>
  <c r="AF47" i="45"/>
  <c r="AD47" i="45"/>
  <c r="AB47" i="45"/>
  <c r="Z47" i="45"/>
  <c r="X47" i="45"/>
  <c r="V47" i="45"/>
  <c r="T47" i="45"/>
  <c r="R47" i="45"/>
  <c r="P47" i="45"/>
  <c r="N47" i="45"/>
  <c r="L47" i="45"/>
  <c r="J47" i="45"/>
  <c r="H47" i="45"/>
  <c r="F47" i="45"/>
  <c r="D47" i="45"/>
  <c r="AN46" i="45"/>
  <c r="AL46" i="45"/>
  <c r="AJ46" i="45"/>
  <c r="AH46" i="45"/>
  <c r="AF46" i="45"/>
  <c r="AD46" i="45"/>
  <c r="AB46" i="45"/>
  <c r="Z46" i="45"/>
  <c r="X46" i="45"/>
  <c r="V46" i="45"/>
  <c r="T46" i="45"/>
  <c r="R46" i="45"/>
  <c r="P46" i="45"/>
  <c r="N46" i="45"/>
  <c r="L46" i="45"/>
  <c r="J46" i="45"/>
  <c r="H46" i="45"/>
  <c r="F46" i="45"/>
  <c r="D46" i="45"/>
  <c r="AN45" i="45"/>
  <c r="AL45" i="45"/>
  <c r="AJ45" i="45"/>
  <c r="AH45" i="45"/>
  <c r="AF45" i="45"/>
  <c r="AD45" i="45"/>
  <c r="AB45" i="45"/>
  <c r="Z45" i="45"/>
  <c r="X45" i="45"/>
  <c r="V45" i="45"/>
  <c r="T45" i="45"/>
  <c r="R45" i="45"/>
  <c r="P45" i="45"/>
  <c r="N45" i="45"/>
  <c r="L45" i="45"/>
  <c r="J45" i="45"/>
  <c r="H45" i="45"/>
  <c r="F45" i="45"/>
  <c r="D45" i="45"/>
  <c r="AN44" i="45"/>
  <c r="AL44" i="45"/>
  <c r="AJ44" i="45"/>
  <c r="AH44" i="45"/>
  <c r="AF44" i="45"/>
  <c r="AD44" i="45"/>
  <c r="AB44" i="45"/>
  <c r="Z44" i="45"/>
  <c r="X44" i="45"/>
  <c r="V44" i="45"/>
  <c r="T44" i="45"/>
  <c r="R44" i="45"/>
  <c r="P44" i="45"/>
  <c r="N44" i="45"/>
  <c r="L44" i="45"/>
  <c r="J44" i="45"/>
  <c r="H44" i="45"/>
  <c r="F44" i="45"/>
  <c r="D44" i="45"/>
  <c r="AN43" i="45"/>
  <c r="AL43" i="45"/>
  <c r="AJ43" i="45"/>
  <c r="AH43" i="45"/>
  <c r="AF43" i="45"/>
  <c r="AD43" i="45"/>
  <c r="AB43" i="45"/>
  <c r="Z43" i="45"/>
  <c r="X43" i="45"/>
  <c r="V43" i="45"/>
  <c r="T43" i="45"/>
  <c r="R43" i="45"/>
  <c r="P43" i="45"/>
  <c r="N43" i="45"/>
  <c r="L43" i="45"/>
  <c r="J43" i="45"/>
  <c r="H43" i="45"/>
  <c r="F43" i="45"/>
  <c r="D43" i="45"/>
  <c r="AN42" i="45"/>
  <c r="AL42" i="45"/>
  <c r="AJ42" i="45"/>
  <c r="AH42" i="45"/>
  <c r="AF42" i="45"/>
  <c r="AD42" i="45"/>
  <c r="AB42" i="45"/>
  <c r="Z42" i="45"/>
  <c r="X42" i="45"/>
  <c r="V42" i="45"/>
  <c r="T42" i="45"/>
  <c r="R42" i="45"/>
  <c r="P42" i="45"/>
  <c r="N42" i="45"/>
  <c r="L42" i="45"/>
  <c r="J42" i="45"/>
  <c r="H42" i="45"/>
  <c r="F42" i="45"/>
  <c r="D42" i="45"/>
  <c r="AN41" i="45"/>
  <c r="AL41" i="45"/>
  <c r="AJ41" i="45"/>
  <c r="AH41" i="45"/>
  <c r="AF41" i="45"/>
  <c r="AD41" i="45"/>
  <c r="AB41" i="45"/>
  <c r="Z41" i="45"/>
  <c r="X41" i="45"/>
  <c r="V41" i="45"/>
  <c r="T41" i="45"/>
  <c r="R41" i="45"/>
  <c r="P41" i="45"/>
  <c r="N41" i="45"/>
  <c r="L41" i="45"/>
  <c r="J41" i="45"/>
  <c r="H41" i="45"/>
  <c r="F41" i="45"/>
  <c r="D41" i="45"/>
  <c r="AN40" i="45"/>
  <c r="AL40" i="45"/>
  <c r="AJ40" i="45"/>
  <c r="AH40" i="45"/>
  <c r="AF40" i="45"/>
  <c r="AD40" i="45"/>
  <c r="AB40" i="45"/>
  <c r="Z40" i="45"/>
  <c r="X40" i="45"/>
  <c r="V40" i="45"/>
  <c r="T40" i="45"/>
  <c r="R40" i="45"/>
  <c r="P40" i="45"/>
  <c r="N40" i="45"/>
  <c r="L40" i="45"/>
  <c r="J40" i="45"/>
  <c r="H40" i="45"/>
  <c r="F40" i="45"/>
  <c r="D40" i="45"/>
  <c r="AN39" i="45"/>
  <c r="AL39" i="45"/>
  <c r="AJ39" i="45"/>
  <c r="AH39" i="45"/>
  <c r="AF39" i="45"/>
  <c r="AD39" i="45"/>
  <c r="AB39" i="45"/>
  <c r="Z39" i="45"/>
  <c r="X39" i="45"/>
  <c r="V39" i="45"/>
  <c r="T39" i="45"/>
  <c r="R39" i="45"/>
  <c r="P39" i="45"/>
  <c r="N39" i="45"/>
  <c r="L39" i="45"/>
  <c r="J39" i="45"/>
  <c r="H39" i="45"/>
  <c r="F39" i="45"/>
  <c r="D39" i="45"/>
  <c r="AN37" i="45"/>
  <c r="AL37" i="45"/>
  <c r="AJ37" i="45"/>
  <c r="AH37" i="45"/>
  <c r="AF37" i="45"/>
  <c r="AD37" i="45"/>
  <c r="AB37" i="45"/>
  <c r="Z37" i="45"/>
  <c r="X37" i="45"/>
  <c r="V37" i="45"/>
  <c r="T37" i="45"/>
  <c r="R37" i="45"/>
  <c r="P37" i="45"/>
  <c r="N37" i="45"/>
  <c r="L37" i="45"/>
  <c r="J37" i="45"/>
  <c r="H37" i="45"/>
  <c r="F37" i="45"/>
  <c r="D37" i="45"/>
  <c r="B37" i="45"/>
  <c r="AN36" i="45"/>
  <c r="AL36" i="45"/>
  <c r="AJ36" i="45"/>
  <c r="AH36" i="45"/>
  <c r="AF36" i="45"/>
  <c r="AD36" i="45"/>
  <c r="AB36" i="45"/>
  <c r="Z36" i="45"/>
  <c r="X36" i="45"/>
  <c r="V36" i="45"/>
  <c r="T36" i="45"/>
  <c r="R36" i="45"/>
  <c r="P36" i="45"/>
  <c r="N36" i="45"/>
  <c r="L36" i="45"/>
  <c r="J36" i="45"/>
  <c r="H36" i="45"/>
  <c r="F36" i="45"/>
  <c r="D36" i="45"/>
  <c r="B36" i="45"/>
  <c r="AN35" i="45"/>
  <c r="AL35" i="45"/>
  <c r="AJ35" i="45"/>
  <c r="AH35" i="45"/>
  <c r="AF35" i="45"/>
  <c r="AD35" i="45"/>
  <c r="AB35" i="45"/>
  <c r="Z35" i="45"/>
  <c r="X35" i="45"/>
  <c r="V35" i="45"/>
  <c r="T35" i="45"/>
  <c r="R35" i="45"/>
  <c r="P35" i="45"/>
  <c r="N35" i="45"/>
  <c r="L35" i="45"/>
  <c r="J35" i="45"/>
  <c r="H35" i="45"/>
  <c r="F35" i="45"/>
  <c r="D35" i="45"/>
  <c r="B35" i="45"/>
  <c r="AN34" i="45"/>
  <c r="AL34" i="45"/>
  <c r="AJ34" i="45"/>
  <c r="AH34" i="45"/>
  <c r="AF34" i="45"/>
  <c r="AD34" i="45"/>
  <c r="AB34" i="45"/>
  <c r="Z34" i="45"/>
  <c r="X34" i="45"/>
  <c r="V34" i="45"/>
  <c r="T34" i="45"/>
  <c r="R34" i="45"/>
  <c r="P34" i="45"/>
  <c r="N34" i="45"/>
  <c r="L34" i="45"/>
  <c r="J34" i="45"/>
  <c r="H34" i="45"/>
  <c r="F34" i="45"/>
  <c r="D34" i="45"/>
  <c r="B34" i="45"/>
  <c r="AN33" i="45"/>
  <c r="AL33" i="45"/>
  <c r="AJ33" i="45"/>
  <c r="AH33" i="45"/>
  <c r="AF33" i="45"/>
  <c r="AD33" i="45"/>
  <c r="AB33" i="45"/>
  <c r="Z33" i="45"/>
  <c r="X33" i="45"/>
  <c r="V33" i="45"/>
  <c r="T33" i="45"/>
  <c r="R33" i="45"/>
  <c r="P33" i="45"/>
  <c r="N33" i="45"/>
  <c r="L33" i="45"/>
  <c r="J33" i="45"/>
  <c r="H33" i="45"/>
  <c r="F33" i="45"/>
  <c r="D33" i="45"/>
  <c r="B33" i="45"/>
  <c r="AN32" i="45"/>
  <c r="AL32" i="45"/>
  <c r="AJ32" i="45"/>
  <c r="AH32" i="45"/>
  <c r="AF32" i="45"/>
  <c r="AD32" i="45"/>
  <c r="AB32" i="45"/>
  <c r="Z32" i="45"/>
  <c r="X32" i="45"/>
  <c r="V32" i="45"/>
  <c r="T32" i="45"/>
  <c r="R32" i="45"/>
  <c r="P32" i="45"/>
  <c r="N32" i="45"/>
  <c r="L32" i="45"/>
  <c r="J32" i="45"/>
  <c r="H32" i="45"/>
  <c r="F32" i="45"/>
  <c r="D32" i="45"/>
  <c r="B32" i="45"/>
  <c r="AN31" i="45"/>
  <c r="AL31" i="45"/>
  <c r="AJ31" i="45"/>
  <c r="AH31" i="45"/>
  <c r="AF31" i="45"/>
  <c r="AD31" i="45"/>
  <c r="AB31" i="45"/>
  <c r="Z31" i="45"/>
  <c r="X31" i="45"/>
  <c r="V31" i="45"/>
  <c r="T31" i="45"/>
  <c r="R31" i="45"/>
  <c r="P31" i="45"/>
  <c r="N31" i="45"/>
  <c r="L31" i="45"/>
  <c r="J31" i="45"/>
  <c r="H31" i="45"/>
  <c r="F31" i="45"/>
  <c r="D31" i="45"/>
  <c r="B31" i="45"/>
  <c r="AN30" i="45"/>
  <c r="AL30" i="45"/>
  <c r="AJ30" i="45"/>
  <c r="AH30" i="45"/>
  <c r="AF30" i="45"/>
  <c r="AD30" i="45"/>
  <c r="AB30" i="45"/>
  <c r="Z30" i="45"/>
  <c r="X30" i="45"/>
  <c r="V30" i="45"/>
  <c r="T30" i="45"/>
  <c r="R30" i="45"/>
  <c r="P30" i="45"/>
  <c r="N30" i="45"/>
  <c r="L30" i="45"/>
  <c r="J30" i="45"/>
  <c r="H30" i="45"/>
  <c r="F30" i="45"/>
  <c r="D30" i="45"/>
  <c r="B30" i="45"/>
  <c r="AN29" i="45"/>
  <c r="AL29" i="45"/>
  <c r="AJ29" i="45"/>
  <c r="AH29" i="45"/>
  <c r="AF29" i="45"/>
  <c r="AD29" i="45"/>
  <c r="AB29" i="45"/>
  <c r="Z29" i="45"/>
  <c r="X29" i="45"/>
  <c r="V29" i="45"/>
  <c r="T29" i="45"/>
  <c r="R29" i="45"/>
  <c r="P29" i="45"/>
  <c r="N29" i="45"/>
  <c r="L29" i="45"/>
  <c r="J29" i="45"/>
  <c r="H29" i="45"/>
  <c r="F29" i="45"/>
  <c r="D29" i="45"/>
  <c r="B29" i="45"/>
  <c r="AN28" i="45"/>
  <c r="AL28" i="45"/>
  <c r="AJ28" i="45"/>
  <c r="AH28" i="45"/>
  <c r="AF28" i="45"/>
  <c r="AD28" i="45"/>
  <c r="AB28" i="45"/>
  <c r="Z28" i="45"/>
  <c r="X28" i="45"/>
  <c r="V28" i="45"/>
  <c r="T28" i="45"/>
  <c r="R28" i="45"/>
  <c r="P28" i="45"/>
  <c r="N28" i="45"/>
  <c r="L28" i="45"/>
  <c r="J28" i="45"/>
  <c r="H28" i="45"/>
  <c r="F28" i="45"/>
  <c r="D28" i="45"/>
  <c r="B28" i="45"/>
  <c r="AN27" i="45"/>
  <c r="AN38" i="45" s="1"/>
  <c r="AM38" i="45" s="1"/>
  <c r="AM67" i="45" s="1"/>
  <c r="AL27" i="45"/>
  <c r="AL38" i="45" s="1"/>
  <c r="AK38" i="45" s="1"/>
  <c r="AK67" i="45" s="1"/>
  <c r="AJ27" i="45"/>
  <c r="AJ38" i="45" s="1"/>
  <c r="AI38" i="45" s="1"/>
  <c r="AI67" i="45" s="1"/>
  <c r="AH27" i="45"/>
  <c r="AH38" i="45" s="1"/>
  <c r="AG38" i="45" s="1"/>
  <c r="AG67" i="45" s="1"/>
  <c r="AF27" i="45"/>
  <c r="AF38" i="45" s="1"/>
  <c r="AE38" i="45" s="1"/>
  <c r="AE67" i="45" s="1"/>
  <c r="AD27" i="45"/>
  <c r="AD38" i="45" s="1"/>
  <c r="AC38" i="45" s="1"/>
  <c r="AC67" i="45" s="1"/>
  <c r="AB27" i="45"/>
  <c r="AB38" i="45" s="1"/>
  <c r="AA38" i="45" s="1"/>
  <c r="AA67" i="45" s="1"/>
  <c r="Z27" i="45"/>
  <c r="Z38" i="45" s="1"/>
  <c r="Y38" i="45" s="1"/>
  <c r="Y67" i="45" s="1"/>
  <c r="X27" i="45"/>
  <c r="X38" i="45" s="1"/>
  <c r="W38" i="45" s="1"/>
  <c r="W67" i="45" s="1"/>
  <c r="V27" i="45"/>
  <c r="V38" i="45" s="1"/>
  <c r="U38" i="45" s="1"/>
  <c r="U67" i="45" s="1"/>
  <c r="T27" i="45"/>
  <c r="T38" i="45" s="1"/>
  <c r="S38" i="45" s="1"/>
  <c r="S67" i="45" s="1"/>
  <c r="R27" i="45"/>
  <c r="R38" i="45" s="1"/>
  <c r="Q38" i="45" s="1"/>
  <c r="Q67" i="45" s="1"/>
  <c r="P27" i="45"/>
  <c r="P38" i="45" s="1"/>
  <c r="O38" i="45" s="1"/>
  <c r="O67" i="45" s="1"/>
  <c r="N27" i="45"/>
  <c r="N38" i="45" s="1"/>
  <c r="M38" i="45" s="1"/>
  <c r="M67" i="45" s="1"/>
  <c r="L27" i="45"/>
  <c r="L38" i="45" s="1"/>
  <c r="K38" i="45" s="1"/>
  <c r="K67" i="45" s="1"/>
  <c r="J27" i="45"/>
  <c r="J38" i="45" s="1"/>
  <c r="I38" i="45" s="1"/>
  <c r="I67" i="45" s="1"/>
  <c r="H27" i="45"/>
  <c r="H38" i="45" s="1"/>
  <c r="G38" i="45" s="1"/>
  <c r="G67" i="45" s="1"/>
  <c r="F27" i="45"/>
  <c r="F38" i="45" s="1"/>
  <c r="E38" i="45" s="1"/>
  <c r="E67" i="45" s="1"/>
  <c r="D27" i="45"/>
  <c r="AN25" i="45"/>
  <c r="AL25" i="45"/>
  <c r="AJ25" i="45"/>
  <c r="AH25" i="45"/>
  <c r="AF25" i="45"/>
  <c r="AD25" i="45"/>
  <c r="AB25" i="45"/>
  <c r="Z25" i="45"/>
  <c r="X25" i="45"/>
  <c r="V25" i="45"/>
  <c r="T25" i="45"/>
  <c r="R25" i="45"/>
  <c r="P25" i="45"/>
  <c r="N25" i="45"/>
  <c r="L25" i="45"/>
  <c r="J25" i="45"/>
  <c r="H25" i="45"/>
  <c r="F25" i="45"/>
  <c r="D25" i="45"/>
  <c r="AN24" i="45"/>
  <c r="AL24" i="45"/>
  <c r="AJ24" i="45"/>
  <c r="AH24" i="45"/>
  <c r="AF24" i="45"/>
  <c r="AD24" i="45"/>
  <c r="AB24" i="45"/>
  <c r="Z24" i="45"/>
  <c r="X24" i="45"/>
  <c r="V24" i="45"/>
  <c r="T24" i="45"/>
  <c r="R24" i="45"/>
  <c r="P24" i="45"/>
  <c r="N24" i="45"/>
  <c r="L24" i="45"/>
  <c r="J24" i="45"/>
  <c r="H24" i="45"/>
  <c r="F24" i="45"/>
  <c r="D24" i="45"/>
  <c r="AN23" i="45"/>
  <c r="AL23" i="45"/>
  <c r="AJ23" i="45"/>
  <c r="AH23" i="45"/>
  <c r="AF23" i="45"/>
  <c r="AD23" i="45"/>
  <c r="AB23" i="45"/>
  <c r="Z23" i="45"/>
  <c r="X23" i="45"/>
  <c r="V23" i="45"/>
  <c r="T23" i="45"/>
  <c r="R23" i="45"/>
  <c r="P23" i="45"/>
  <c r="N23" i="45"/>
  <c r="L23" i="45"/>
  <c r="J23" i="45"/>
  <c r="H23" i="45"/>
  <c r="F23" i="45"/>
  <c r="D23" i="45"/>
  <c r="AN22" i="45"/>
  <c r="AL22" i="45"/>
  <c r="AJ22" i="45"/>
  <c r="AH22" i="45"/>
  <c r="AF22" i="45"/>
  <c r="AD22" i="45"/>
  <c r="AB22" i="45"/>
  <c r="Z22" i="45"/>
  <c r="X22" i="45"/>
  <c r="V22" i="45"/>
  <c r="T22" i="45"/>
  <c r="R22" i="45"/>
  <c r="P22" i="45"/>
  <c r="N22" i="45"/>
  <c r="L22" i="45"/>
  <c r="J22" i="45"/>
  <c r="H22" i="45"/>
  <c r="F22" i="45"/>
  <c r="D22" i="45"/>
  <c r="AN21" i="45"/>
  <c r="AL21" i="45"/>
  <c r="AJ21" i="45"/>
  <c r="AH21" i="45"/>
  <c r="AF21" i="45"/>
  <c r="AD21" i="45"/>
  <c r="AB21" i="45"/>
  <c r="Z21" i="45"/>
  <c r="X21" i="45"/>
  <c r="V21" i="45"/>
  <c r="T21" i="45"/>
  <c r="R21" i="45"/>
  <c r="P21" i="45"/>
  <c r="N21" i="45"/>
  <c r="L21" i="45"/>
  <c r="J21" i="45"/>
  <c r="H21" i="45"/>
  <c r="F21" i="45"/>
  <c r="D21" i="45"/>
  <c r="AN20" i="45"/>
  <c r="AL20" i="45"/>
  <c r="AJ20" i="45"/>
  <c r="AH20" i="45"/>
  <c r="AF20" i="45"/>
  <c r="AD20" i="45"/>
  <c r="AB20" i="45"/>
  <c r="Z20" i="45"/>
  <c r="X20" i="45"/>
  <c r="V20" i="45"/>
  <c r="T20" i="45"/>
  <c r="R20" i="45"/>
  <c r="P20" i="45"/>
  <c r="N20" i="45"/>
  <c r="L20" i="45"/>
  <c r="J20" i="45"/>
  <c r="H20" i="45"/>
  <c r="F20" i="45"/>
  <c r="D20" i="45"/>
  <c r="AN19" i="45"/>
  <c r="AL19" i="45"/>
  <c r="AJ19" i="45"/>
  <c r="AH19" i="45"/>
  <c r="AF19" i="45"/>
  <c r="AD19" i="45"/>
  <c r="AB19" i="45"/>
  <c r="Z19" i="45"/>
  <c r="X19" i="45"/>
  <c r="V19" i="45"/>
  <c r="T19" i="45"/>
  <c r="R19" i="45"/>
  <c r="P19" i="45"/>
  <c r="N19" i="45"/>
  <c r="L19" i="45"/>
  <c r="J19" i="45"/>
  <c r="H19" i="45"/>
  <c r="F19" i="45"/>
  <c r="D19" i="45"/>
  <c r="AN18" i="45"/>
  <c r="AL18" i="45"/>
  <c r="AJ18" i="45"/>
  <c r="AH18" i="45"/>
  <c r="AF18" i="45"/>
  <c r="AD18" i="45"/>
  <c r="AB18" i="45"/>
  <c r="Z18" i="45"/>
  <c r="X18" i="45"/>
  <c r="V18" i="45"/>
  <c r="T18" i="45"/>
  <c r="R18" i="45"/>
  <c r="P18" i="45"/>
  <c r="N18" i="45"/>
  <c r="L18" i="45"/>
  <c r="J18" i="45"/>
  <c r="H18" i="45"/>
  <c r="F18" i="45"/>
  <c r="D18" i="45"/>
  <c r="AN17" i="45"/>
  <c r="AL17" i="45"/>
  <c r="AJ17" i="45"/>
  <c r="AH17" i="45"/>
  <c r="AF17" i="45"/>
  <c r="AD17" i="45"/>
  <c r="AB17" i="45"/>
  <c r="Z17" i="45"/>
  <c r="X17" i="45"/>
  <c r="V17" i="45"/>
  <c r="T17" i="45"/>
  <c r="R17" i="45"/>
  <c r="P17" i="45"/>
  <c r="N17" i="45"/>
  <c r="L17" i="45"/>
  <c r="J17" i="45"/>
  <c r="H17" i="45"/>
  <c r="F17" i="45"/>
  <c r="D17" i="45"/>
  <c r="AN16" i="45"/>
  <c r="AL16" i="45"/>
  <c r="AJ16" i="45"/>
  <c r="AH16" i="45"/>
  <c r="AF16" i="45"/>
  <c r="AD16" i="45"/>
  <c r="AB16" i="45"/>
  <c r="Z16" i="45"/>
  <c r="X16" i="45"/>
  <c r="V16" i="45"/>
  <c r="T16" i="45"/>
  <c r="R16" i="45"/>
  <c r="P16" i="45"/>
  <c r="N16" i="45"/>
  <c r="L16" i="45"/>
  <c r="J16" i="45"/>
  <c r="H16" i="45"/>
  <c r="F16" i="45"/>
  <c r="D16" i="45"/>
  <c r="AN15" i="45"/>
  <c r="AL15" i="45"/>
  <c r="AJ15" i="45"/>
  <c r="AH15" i="45"/>
  <c r="AF15" i="45"/>
  <c r="AD15" i="45"/>
  <c r="AB15" i="45"/>
  <c r="Z15" i="45"/>
  <c r="X15" i="45"/>
  <c r="V15" i="45"/>
  <c r="T15" i="45"/>
  <c r="R15" i="45"/>
  <c r="P15" i="45"/>
  <c r="N15" i="45"/>
  <c r="L15" i="45"/>
  <c r="J15" i="45"/>
  <c r="H15" i="45"/>
  <c r="F15" i="45"/>
  <c r="D15" i="45"/>
  <c r="AN14" i="45"/>
  <c r="AL14" i="45"/>
  <c r="AJ14" i="45"/>
  <c r="AH14" i="45"/>
  <c r="AF14" i="45"/>
  <c r="AD14" i="45"/>
  <c r="AB14" i="45"/>
  <c r="Z14" i="45"/>
  <c r="X14" i="45"/>
  <c r="V14" i="45"/>
  <c r="T14" i="45"/>
  <c r="R14" i="45"/>
  <c r="P14" i="45"/>
  <c r="N14" i="45"/>
  <c r="L14" i="45"/>
  <c r="J14" i="45"/>
  <c r="H14" i="45"/>
  <c r="F14" i="45"/>
  <c r="D14" i="45"/>
  <c r="AN13" i="45"/>
  <c r="AL13" i="45"/>
  <c r="AJ13" i="45"/>
  <c r="AH13" i="45"/>
  <c r="AF13" i="45"/>
  <c r="AD13" i="45"/>
  <c r="AB13" i="45"/>
  <c r="Z13" i="45"/>
  <c r="X13" i="45"/>
  <c r="V13" i="45"/>
  <c r="T13" i="45"/>
  <c r="R13" i="45"/>
  <c r="P13" i="45"/>
  <c r="N13" i="45"/>
  <c r="L13" i="45"/>
  <c r="J13" i="45"/>
  <c r="H13" i="45"/>
  <c r="F13" i="45"/>
  <c r="D13" i="45"/>
  <c r="AN12" i="45"/>
  <c r="AL12" i="45"/>
  <c r="AJ12" i="45"/>
  <c r="AH12" i="45"/>
  <c r="AF12" i="45"/>
  <c r="AD12" i="45"/>
  <c r="AB12" i="45"/>
  <c r="Z12" i="45"/>
  <c r="X12" i="45"/>
  <c r="V12" i="45"/>
  <c r="T12" i="45"/>
  <c r="R12" i="45"/>
  <c r="P12" i="45"/>
  <c r="N12" i="45"/>
  <c r="L12" i="45"/>
  <c r="J12" i="45"/>
  <c r="H12" i="45"/>
  <c r="F12" i="45"/>
  <c r="D12" i="45"/>
  <c r="AN11" i="45"/>
  <c r="AL11" i="45"/>
  <c r="AJ11" i="45"/>
  <c r="AH11" i="45"/>
  <c r="AF11" i="45"/>
  <c r="AD11" i="45"/>
  <c r="AB11" i="45"/>
  <c r="Z11" i="45"/>
  <c r="X11" i="45"/>
  <c r="V11" i="45"/>
  <c r="T11" i="45"/>
  <c r="R11" i="45"/>
  <c r="P11" i="45"/>
  <c r="N11" i="45"/>
  <c r="L11" i="45"/>
  <c r="J11" i="45"/>
  <c r="H11" i="45"/>
  <c r="F11" i="45"/>
  <c r="D11" i="45"/>
  <c r="AN10" i="45"/>
  <c r="AL10" i="45"/>
  <c r="AJ10" i="45"/>
  <c r="AH10" i="45"/>
  <c r="AF10" i="45"/>
  <c r="AD10" i="45"/>
  <c r="AB10" i="45"/>
  <c r="Z10" i="45"/>
  <c r="X10" i="45"/>
  <c r="V10" i="45"/>
  <c r="T10" i="45"/>
  <c r="R10" i="45"/>
  <c r="P10" i="45"/>
  <c r="N10" i="45"/>
  <c r="L10" i="45"/>
  <c r="J10" i="45"/>
  <c r="H10" i="45"/>
  <c r="F10" i="45"/>
  <c r="D10" i="45"/>
  <c r="AN9" i="45"/>
  <c r="AL9" i="45"/>
  <c r="AJ9" i="45"/>
  <c r="AH9" i="45"/>
  <c r="AF9" i="45"/>
  <c r="AD9" i="45"/>
  <c r="AB9" i="45"/>
  <c r="Z9" i="45"/>
  <c r="X9" i="45"/>
  <c r="V9" i="45"/>
  <c r="T9" i="45"/>
  <c r="R9" i="45"/>
  <c r="P9" i="45"/>
  <c r="N9" i="45"/>
  <c r="L9" i="45"/>
  <c r="J9" i="45"/>
  <c r="H9" i="45"/>
  <c r="F9" i="45"/>
  <c r="D9" i="45"/>
  <c r="AN8" i="45"/>
  <c r="AL8" i="45"/>
  <c r="AJ8" i="45"/>
  <c r="AH8" i="45"/>
  <c r="AF8" i="45"/>
  <c r="AD8" i="45"/>
  <c r="AB8" i="45"/>
  <c r="Z8" i="45"/>
  <c r="X8" i="45"/>
  <c r="V8" i="45"/>
  <c r="T8" i="45"/>
  <c r="R8" i="45"/>
  <c r="P8" i="45"/>
  <c r="N8" i="45"/>
  <c r="L8" i="45"/>
  <c r="J8" i="45"/>
  <c r="H8" i="45"/>
  <c r="F8" i="45"/>
  <c r="D8" i="45"/>
  <c r="AN7" i="45"/>
  <c r="AL7" i="45"/>
  <c r="AJ7" i="45"/>
  <c r="AH7" i="45"/>
  <c r="AF7" i="45"/>
  <c r="AD7" i="45"/>
  <c r="AB7" i="45"/>
  <c r="Z7" i="45"/>
  <c r="X7" i="45"/>
  <c r="V7" i="45"/>
  <c r="T7" i="45"/>
  <c r="R7" i="45"/>
  <c r="P7" i="45"/>
  <c r="N7" i="45"/>
  <c r="L7" i="45"/>
  <c r="J7" i="45"/>
  <c r="H7" i="45"/>
  <c r="F7" i="45"/>
  <c r="D7" i="45"/>
  <c r="AN6" i="45"/>
  <c r="AL6" i="45"/>
  <c r="AJ6" i="45"/>
  <c r="AH6" i="45"/>
  <c r="AF6" i="45"/>
  <c r="AD6" i="45"/>
  <c r="AB6" i="45"/>
  <c r="Z6" i="45"/>
  <c r="X6" i="45"/>
  <c r="V6" i="45"/>
  <c r="T6" i="45"/>
  <c r="R6" i="45"/>
  <c r="P6" i="45"/>
  <c r="N6" i="45"/>
  <c r="L6" i="45"/>
  <c r="J6" i="45"/>
  <c r="H6" i="45"/>
  <c r="F6" i="45"/>
  <c r="D6" i="45"/>
  <c r="AN5" i="45"/>
  <c r="AL5" i="45"/>
  <c r="AJ5" i="45"/>
  <c r="AH5" i="45"/>
  <c r="AF5" i="45"/>
  <c r="AD5" i="45"/>
  <c r="AB5" i="45"/>
  <c r="Z5" i="45"/>
  <c r="X5" i="45"/>
  <c r="V5" i="45"/>
  <c r="T5" i="45"/>
  <c r="R5" i="45"/>
  <c r="P5" i="45"/>
  <c r="N5" i="45"/>
  <c r="L5" i="45"/>
  <c r="J5" i="45"/>
  <c r="H5" i="45"/>
  <c r="F5" i="45"/>
  <c r="D5" i="45"/>
  <c r="AN4" i="45"/>
  <c r="AL4" i="45"/>
  <c r="AJ4" i="45"/>
  <c r="AH4" i="45"/>
  <c r="AF4" i="45"/>
  <c r="AD4" i="45"/>
  <c r="AB4" i="45"/>
  <c r="Z4" i="45"/>
  <c r="X4" i="45"/>
  <c r="V4" i="45"/>
  <c r="T4" i="45"/>
  <c r="R4" i="45"/>
  <c r="P4" i="45"/>
  <c r="N4" i="45"/>
  <c r="L4" i="45"/>
  <c r="J4" i="45"/>
  <c r="H4" i="45"/>
  <c r="F4" i="45"/>
  <c r="D4" i="45"/>
  <c r="T1" i="45"/>
  <c r="L1" i="45"/>
  <c r="AN61" i="59"/>
  <c r="AL61" i="59"/>
  <c r="AJ61" i="59"/>
  <c r="AH61" i="59"/>
  <c r="AF61" i="59"/>
  <c r="AD61" i="59"/>
  <c r="AB61" i="59"/>
  <c r="Z61" i="59"/>
  <c r="X61" i="59"/>
  <c r="V61" i="59"/>
  <c r="T61" i="59"/>
  <c r="R61" i="59"/>
  <c r="P61" i="59"/>
  <c r="N61" i="59"/>
  <c r="L61" i="59"/>
  <c r="J61" i="59"/>
  <c r="H61" i="59"/>
  <c r="F61" i="59"/>
  <c r="D61" i="59"/>
  <c r="AN60" i="59"/>
  <c r="AL60" i="59"/>
  <c r="AJ60" i="59"/>
  <c r="AH60" i="59"/>
  <c r="AF60" i="59"/>
  <c r="AD60" i="59"/>
  <c r="AB60" i="59"/>
  <c r="Z60" i="59"/>
  <c r="X60" i="59"/>
  <c r="V60" i="59"/>
  <c r="T60" i="59"/>
  <c r="R60" i="59"/>
  <c r="P60" i="59"/>
  <c r="N60" i="59"/>
  <c r="L60" i="59"/>
  <c r="J60" i="59"/>
  <c r="H60" i="59"/>
  <c r="F60" i="59"/>
  <c r="D60" i="59"/>
  <c r="AN59" i="59"/>
  <c r="AL59" i="59"/>
  <c r="AJ59" i="59"/>
  <c r="AH59" i="59"/>
  <c r="AF59" i="59"/>
  <c r="AD59" i="59"/>
  <c r="AB59" i="59"/>
  <c r="Z59" i="59"/>
  <c r="X59" i="59"/>
  <c r="V59" i="59"/>
  <c r="T59" i="59"/>
  <c r="R59" i="59"/>
  <c r="P59" i="59"/>
  <c r="N59" i="59"/>
  <c r="L59" i="59"/>
  <c r="J59" i="59"/>
  <c r="H59" i="59"/>
  <c r="F59" i="59"/>
  <c r="D59" i="59"/>
  <c r="AN58" i="59"/>
  <c r="AL58" i="59"/>
  <c r="AJ58" i="59"/>
  <c r="AH58" i="59"/>
  <c r="AF58" i="59"/>
  <c r="AD58" i="59"/>
  <c r="AB58" i="59"/>
  <c r="Z58" i="59"/>
  <c r="X58" i="59"/>
  <c r="V58" i="59"/>
  <c r="T58" i="59"/>
  <c r="R58" i="59"/>
  <c r="P58" i="59"/>
  <c r="N58" i="59"/>
  <c r="L58" i="59"/>
  <c r="J58" i="59"/>
  <c r="H58" i="59"/>
  <c r="F58" i="59"/>
  <c r="D58" i="59"/>
  <c r="AN57" i="59"/>
  <c r="AL57" i="59"/>
  <c r="AJ57" i="59"/>
  <c r="AH57" i="59"/>
  <c r="AF57" i="59"/>
  <c r="AD57" i="59"/>
  <c r="AB57" i="59"/>
  <c r="Z57" i="59"/>
  <c r="X57" i="59"/>
  <c r="V57" i="59"/>
  <c r="T57" i="59"/>
  <c r="R57" i="59"/>
  <c r="P57" i="59"/>
  <c r="N57" i="59"/>
  <c r="L57" i="59"/>
  <c r="J57" i="59"/>
  <c r="H57" i="59"/>
  <c r="F57" i="59"/>
  <c r="D57" i="59"/>
  <c r="AN56" i="59"/>
  <c r="AL56" i="59"/>
  <c r="AJ56" i="59"/>
  <c r="AH56" i="59"/>
  <c r="AF56" i="59"/>
  <c r="AD56" i="59"/>
  <c r="AB56" i="59"/>
  <c r="Z56" i="59"/>
  <c r="X56" i="59"/>
  <c r="V56" i="59"/>
  <c r="T56" i="59"/>
  <c r="R56" i="59"/>
  <c r="P56" i="59"/>
  <c r="N56" i="59"/>
  <c r="L56" i="59"/>
  <c r="J56" i="59"/>
  <c r="H56" i="59"/>
  <c r="F56" i="59"/>
  <c r="D56" i="59"/>
  <c r="AN55" i="59"/>
  <c r="AL55" i="59"/>
  <c r="AJ55" i="59"/>
  <c r="AH55" i="59"/>
  <c r="AF55" i="59"/>
  <c r="AD55" i="59"/>
  <c r="AB55" i="59"/>
  <c r="Z55" i="59"/>
  <c r="X55" i="59"/>
  <c r="V55" i="59"/>
  <c r="T55" i="59"/>
  <c r="R55" i="59"/>
  <c r="P55" i="59"/>
  <c r="N55" i="59"/>
  <c r="L55" i="59"/>
  <c r="J55" i="59"/>
  <c r="H55" i="59"/>
  <c r="F55" i="59"/>
  <c r="D55" i="59"/>
  <c r="AN54" i="59"/>
  <c r="AL54" i="59"/>
  <c r="AJ54" i="59"/>
  <c r="AH54" i="59"/>
  <c r="AF54" i="59"/>
  <c r="AD54" i="59"/>
  <c r="AB54" i="59"/>
  <c r="Z54" i="59"/>
  <c r="X54" i="59"/>
  <c r="V54" i="59"/>
  <c r="T54" i="59"/>
  <c r="R54" i="59"/>
  <c r="P54" i="59"/>
  <c r="N54" i="59"/>
  <c r="L54" i="59"/>
  <c r="J54" i="59"/>
  <c r="H54" i="59"/>
  <c r="F54" i="59"/>
  <c r="D54" i="59"/>
  <c r="AN53" i="59"/>
  <c r="AL53" i="59"/>
  <c r="AJ53" i="59"/>
  <c r="AH53" i="59"/>
  <c r="AF53" i="59"/>
  <c r="AD53" i="59"/>
  <c r="AB53" i="59"/>
  <c r="Z53" i="59"/>
  <c r="X53" i="59"/>
  <c r="V53" i="59"/>
  <c r="T53" i="59"/>
  <c r="R53" i="59"/>
  <c r="P53" i="59"/>
  <c r="N53" i="59"/>
  <c r="L53" i="59"/>
  <c r="J53" i="59"/>
  <c r="H53" i="59"/>
  <c r="F53" i="59"/>
  <c r="D53" i="59"/>
  <c r="AN52" i="59"/>
  <c r="AL52" i="59"/>
  <c r="AJ52" i="59"/>
  <c r="AH52" i="59"/>
  <c r="AF52" i="59"/>
  <c r="AD52" i="59"/>
  <c r="AB52" i="59"/>
  <c r="Z52" i="59"/>
  <c r="X52" i="59"/>
  <c r="V52" i="59"/>
  <c r="T52" i="59"/>
  <c r="R52" i="59"/>
  <c r="P52" i="59"/>
  <c r="N52" i="59"/>
  <c r="L52" i="59"/>
  <c r="J52" i="59"/>
  <c r="H52" i="59"/>
  <c r="F52" i="59"/>
  <c r="D52" i="59"/>
  <c r="AN51" i="59"/>
  <c r="AL51" i="59"/>
  <c r="AJ51" i="59"/>
  <c r="AH51" i="59"/>
  <c r="AF51" i="59"/>
  <c r="AD51" i="59"/>
  <c r="AB51" i="59"/>
  <c r="Z51" i="59"/>
  <c r="X51" i="59"/>
  <c r="V51" i="59"/>
  <c r="T51" i="59"/>
  <c r="R51" i="59"/>
  <c r="P51" i="59"/>
  <c r="N51" i="59"/>
  <c r="L51" i="59"/>
  <c r="J51" i="59"/>
  <c r="H51" i="59"/>
  <c r="F51" i="59"/>
  <c r="D51" i="59"/>
  <c r="AN49" i="59"/>
  <c r="AL49" i="59"/>
  <c r="AJ49" i="59"/>
  <c r="AH49" i="59"/>
  <c r="AF49" i="59"/>
  <c r="AD49" i="59"/>
  <c r="AB49" i="59"/>
  <c r="Z49" i="59"/>
  <c r="X49" i="59"/>
  <c r="V49" i="59"/>
  <c r="T49" i="59"/>
  <c r="R49" i="59"/>
  <c r="P49" i="59"/>
  <c r="N49" i="59"/>
  <c r="L49" i="59"/>
  <c r="J49" i="59"/>
  <c r="H49" i="59"/>
  <c r="F49" i="59"/>
  <c r="D49" i="59"/>
  <c r="AN48" i="59"/>
  <c r="AL48" i="59"/>
  <c r="AJ48" i="59"/>
  <c r="AH48" i="59"/>
  <c r="AF48" i="59"/>
  <c r="AD48" i="59"/>
  <c r="AB48" i="59"/>
  <c r="Z48" i="59"/>
  <c r="X48" i="59"/>
  <c r="V48" i="59"/>
  <c r="T48" i="59"/>
  <c r="R48" i="59"/>
  <c r="P48" i="59"/>
  <c r="N48" i="59"/>
  <c r="L48" i="59"/>
  <c r="J48" i="59"/>
  <c r="H48" i="59"/>
  <c r="F48" i="59"/>
  <c r="D48" i="59"/>
  <c r="AN47" i="59"/>
  <c r="AL47" i="59"/>
  <c r="AJ47" i="59"/>
  <c r="AH47" i="59"/>
  <c r="AF47" i="59"/>
  <c r="AD47" i="59"/>
  <c r="AB47" i="59"/>
  <c r="Z47" i="59"/>
  <c r="X47" i="59"/>
  <c r="V47" i="59"/>
  <c r="T47" i="59"/>
  <c r="R47" i="59"/>
  <c r="P47" i="59"/>
  <c r="N47" i="59"/>
  <c r="L47" i="59"/>
  <c r="J47" i="59"/>
  <c r="H47" i="59"/>
  <c r="F47" i="59"/>
  <c r="D47" i="59"/>
  <c r="AN46" i="59"/>
  <c r="AL46" i="59"/>
  <c r="AJ46" i="59"/>
  <c r="AH46" i="59"/>
  <c r="AF46" i="59"/>
  <c r="AD46" i="59"/>
  <c r="AB46" i="59"/>
  <c r="Z46" i="59"/>
  <c r="X46" i="59"/>
  <c r="V46" i="59"/>
  <c r="T46" i="59"/>
  <c r="R46" i="59"/>
  <c r="P46" i="59"/>
  <c r="N46" i="59"/>
  <c r="L46" i="59"/>
  <c r="J46" i="59"/>
  <c r="H46" i="59"/>
  <c r="F46" i="59"/>
  <c r="D46" i="59"/>
  <c r="AN45" i="59"/>
  <c r="AL45" i="59"/>
  <c r="AJ45" i="59"/>
  <c r="AH45" i="59"/>
  <c r="AF45" i="59"/>
  <c r="AD45" i="59"/>
  <c r="AB45" i="59"/>
  <c r="Z45" i="59"/>
  <c r="X45" i="59"/>
  <c r="V45" i="59"/>
  <c r="T45" i="59"/>
  <c r="R45" i="59"/>
  <c r="P45" i="59"/>
  <c r="N45" i="59"/>
  <c r="L45" i="59"/>
  <c r="J45" i="59"/>
  <c r="H45" i="59"/>
  <c r="F45" i="59"/>
  <c r="D45" i="59"/>
  <c r="AN44" i="59"/>
  <c r="AL44" i="59"/>
  <c r="AJ44" i="59"/>
  <c r="AH44" i="59"/>
  <c r="AF44" i="59"/>
  <c r="AD44" i="59"/>
  <c r="AB44" i="59"/>
  <c r="Z44" i="59"/>
  <c r="X44" i="59"/>
  <c r="V44" i="59"/>
  <c r="T44" i="59"/>
  <c r="R44" i="59"/>
  <c r="P44" i="59"/>
  <c r="N44" i="59"/>
  <c r="L44" i="59"/>
  <c r="J44" i="59"/>
  <c r="H44" i="59"/>
  <c r="F44" i="59"/>
  <c r="D44" i="59"/>
  <c r="AN43" i="59"/>
  <c r="AL43" i="59"/>
  <c r="AJ43" i="59"/>
  <c r="AH43" i="59"/>
  <c r="AF43" i="59"/>
  <c r="AD43" i="59"/>
  <c r="AB43" i="59"/>
  <c r="Z43" i="59"/>
  <c r="X43" i="59"/>
  <c r="V43" i="59"/>
  <c r="T43" i="59"/>
  <c r="R43" i="59"/>
  <c r="P43" i="59"/>
  <c r="N43" i="59"/>
  <c r="L43" i="59"/>
  <c r="J43" i="59"/>
  <c r="H43" i="59"/>
  <c r="F43" i="59"/>
  <c r="D43" i="59"/>
  <c r="AN42" i="59"/>
  <c r="AL42" i="59"/>
  <c r="AJ42" i="59"/>
  <c r="AH42" i="59"/>
  <c r="AF42" i="59"/>
  <c r="AD42" i="59"/>
  <c r="AB42" i="59"/>
  <c r="Z42" i="59"/>
  <c r="X42" i="59"/>
  <c r="V42" i="59"/>
  <c r="T42" i="59"/>
  <c r="R42" i="59"/>
  <c r="P42" i="59"/>
  <c r="N42" i="59"/>
  <c r="L42" i="59"/>
  <c r="J42" i="59"/>
  <c r="H42" i="59"/>
  <c r="F42" i="59"/>
  <c r="D42" i="59"/>
  <c r="AN41" i="59"/>
  <c r="AL41" i="59"/>
  <c r="AJ41" i="59"/>
  <c r="AH41" i="59"/>
  <c r="AF41" i="59"/>
  <c r="AD41" i="59"/>
  <c r="AB41" i="59"/>
  <c r="Z41" i="59"/>
  <c r="X41" i="59"/>
  <c r="V41" i="59"/>
  <c r="T41" i="59"/>
  <c r="R41" i="59"/>
  <c r="P41" i="59"/>
  <c r="N41" i="59"/>
  <c r="L41" i="59"/>
  <c r="J41" i="59"/>
  <c r="H41" i="59"/>
  <c r="F41" i="59"/>
  <c r="D41" i="59"/>
  <c r="AL40" i="59"/>
  <c r="AJ40" i="59"/>
  <c r="AH40" i="59"/>
  <c r="AF40" i="59"/>
  <c r="AD40" i="59"/>
  <c r="AB40" i="59"/>
  <c r="Z40" i="59"/>
  <c r="X40" i="59"/>
  <c r="V40" i="59"/>
  <c r="T40" i="59"/>
  <c r="R40" i="59"/>
  <c r="P40" i="59"/>
  <c r="N40" i="59"/>
  <c r="L40" i="59"/>
  <c r="J40" i="59"/>
  <c r="H40" i="59"/>
  <c r="F40" i="59"/>
  <c r="D40" i="59"/>
  <c r="AL39" i="59"/>
  <c r="AJ39" i="59"/>
  <c r="AH39" i="59"/>
  <c r="AF39" i="59"/>
  <c r="AD39" i="59"/>
  <c r="AB39" i="59"/>
  <c r="Z39" i="59"/>
  <c r="X39" i="59"/>
  <c r="V39" i="59"/>
  <c r="T39" i="59"/>
  <c r="R39" i="59"/>
  <c r="P39" i="59"/>
  <c r="N39" i="59"/>
  <c r="L39" i="59"/>
  <c r="J39" i="59"/>
  <c r="H39" i="59"/>
  <c r="F39" i="59"/>
  <c r="D39" i="59"/>
  <c r="AM67" i="59"/>
  <c r="AL37" i="59"/>
  <c r="AJ37" i="59"/>
  <c r="AH37" i="59"/>
  <c r="AF37" i="59"/>
  <c r="AD37" i="59"/>
  <c r="AB37" i="59"/>
  <c r="Z37" i="59"/>
  <c r="X37" i="59"/>
  <c r="V37" i="59"/>
  <c r="T37" i="59"/>
  <c r="R37" i="59"/>
  <c r="P37" i="59"/>
  <c r="N37" i="59"/>
  <c r="L37" i="59"/>
  <c r="J37" i="59"/>
  <c r="H37" i="59"/>
  <c r="F37" i="59"/>
  <c r="D37" i="59"/>
  <c r="B37" i="59"/>
  <c r="AL36" i="59"/>
  <c r="AJ36" i="59"/>
  <c r="AH36" i="59"/>
  <c r="AF36" i="59"/>
  <c r="AD36" i="59"/>
  <c r="AB36" i="59"/>
  <c r="Z36" i="59"/>
  <c r="X36" i="59"/>
  <c r="V36" i="59"/>
  <c r="T36" i="59"/>
  <c r="R36" i="59"/>
  <c r="P36" i="59"/>
  <c r="N36" i="59"/>
  <c r="L36" i="59"/>
  <c r="J36" i="59"/>
  <c r="H36" i="59"/>
  <c r="F36" i="59"/>
  <c r="D36" i="59"/>
  <c r="B36" i="59"/>
  <c r="AN35" i="59"/>
  <c r="AL35" i="59"/>
  <c r="AJ35" i="59"/>
  <c r="AH35" i="59"/>
  <c r="AF35" i="59"/>
  <c r="AD35" i="59"/>
  <c r="AB35" i="59"/>
  <c r="Z35" i="59"/>
  <c r="X35" i="59"/>
  <c r="V35" i="59"/>
  <c r="T35" i="59"/>
  <c r="R35" i="59"/>
  <c r="P35" i="59"/>
  <c r="N35" i="59"/>
  <c r="L35" i="59"/>
  <c r="J35" i="59"/>
  <c r="H35" i="59"/>
  <c r="F35" i="59"/>
  <c r="D35" i="59"/>
  <c r="B35" i="59"/>
  <c r="AL34" i="59"/>
  <c r="AJ34" i="59"/>
  <c r="AH34" i="59"/>
  <c r="AF34" i="59"/>
  <c r="AD34" i="59"/>
  <c r="AB34" i="59"/>
  <c r="Z34" i="59"/>
  <c r="X34" i="59"/>
  <c r="V34" i="59"/>
  <c r="T34" i="59"/>
  <c r="R34" i="59"/>
  <c r="P34" i="59"/>
  <c r="N34" i="59"/>
  <c r="L34" i="59"/>
  <c r="J34" i="59"/>
  <c r="H34" i="59"/>
  <c r="F34" i="59"/>
  <c r="D34" i="59"/>
  <c r="B34" i="59"/>
  <c r="AL33" i="59"/>
  <c r="AJ33" i="59"/>
  <c r="AH33" i="59"/>
  <c r="AF33" i="59"/>
  <c r="AD33" i="59"/>
  <c r="AB33" i="59"/>
  <c r="Z33" i="59"/>
  <c r="X33" i="59"/>
  <c r="V33" i="59"/>
  <c r="T33" i="59"/>
  <c r="R33" i="59"/>
  <c r="P33" i="59"/>
  <c r="N33" i="59"/>
  <c r="L33" i="59"/>
  <c r="J33" i="59"/>
  <c r="H33" i="59"/>
  <c r="F33" i="59"/>
  <c r="D33" i="59"/>
  <c r="B33" i="59"/>
  <c r="AL32" i="59"/>
  <c r="AJ32" i="59"/>
  <c r="AH32" i="59"/>
  <c r="AF32" i="59"/>
  <c r="AD32" i="59"/>
  <c r="AB32" i="59"/>
  <c r="Z32" i="59"/>
  <c r="X32" i="59"/>
  <c r="V32" i="59"/>
  <c r="T32" i="59"/>
  <c r="R32" i="59"/>
  <c r="P32" i="59"/>
  <c r="N32" i="59"/>
  <c r="L32" i="59"/>
  <c r="J32" i="59"/>
  <c r="H32" i="59"/>
  <c r="F32" i="59"/>
  <c r="D32" i="59"/>
  <c r="B32" i="59"/>
  <c r="AL31" i="59"/>
  <c r="AJ31" i="59"/>
  <c r="AH31" i="59"/>
  <c r="AF31" i="59"/>
  <c r="AD31" i="59"/>
  <c r="AB31" i="59"/>
  <c r="Z31" i="59"/>
  <c r="X31" i="59"/>
  <c r="V31" i="59"/>
  <c r="T31" i="59"/>
  <c r="R31" i="59"/>
  <c r="P31" i="59"/>
  <c r="N31" i="59"/>
  <c r="L31" i="59"/>
  <c r="J31" i="59"/>
  <c r="H31" i="59"/>
  <c r="F31" i="59"/>
  <c r="D31" i="59"/>
  <c r="B31" i="59"/>
  <c r="AL30" i="59"/>
  <c r="AJ30" i="59"/>
  <c r="AH30" i="59"/>
  <c r="AF30" i="59"/>
  <c r="AD30" i="59"/>
  <c r="AB30" i="59"/>
  <c r="Z30" i="59"/>
  <c r="X30" i="59"/>
  <c r="V30" i="59"/>
  <c r="T30" i="59"/>
  <c r="R30" i="59"/>
  <c r="P30" i="59"/>
  <c r="N30" i="59"/>
  <c r="L30" i="59"/>
  <c r="J30" i="59"/>
  <c r="H30" i="59"/>
  <c r="F30" i="59"/>
  <c r="D30" i="59"/>
  <c r="B30" i="59"/>
  <c r="AL29" i="59"/>
  <c r="AJ29" i="59"/>
  <c r="AH29" i="59"/>
  <c r="AF29" i="59"/>
  <c r="AD29" i="59"/>
  <c r="AB29" i="59"/>
  <c r="Z29" i="59"/>
  <c r="X29" i="59"/>
  <c r="V29" i="59"/>
  <c r="T29" i="59"/>
  <c r="R29" i="59"/>
  <c r="P29" i="59"/>
  <c r="N29" i="59"/>
  <c r="L29" i="59"/>
  <c r="J29" i="59"/>
  <c r="H29" i="59"/>
  <c r="F29" i="59"/>
  <c r="D29" i="59"/>
  <c r="B29" i="59"/>
  <c r="AL28" i="59"/>
  <c r="AJ28" i="59"/>
  <c r="AH28" i="59"/>
  <c r="AF28" i="59"/>
  <c r="AD28" i="59"/>
  <c r="AB28" i="59"/>
  <c r="Z28" i="59"/>
  <c r="X28" i="59"/>
  <c r="V28" i="59"/>
  <c r="T28" i="59"/>
  <c r="R28" i="59"/>
  <c r="P28" i="59"/>
  <c r="N28" i="59"/>
  <c r="L28" i="59"/>
  <c r="J28" i="59"/>
  <c r="H28" i="59"/>
  <c r="F28" i="59"/>
  <c r="D28" i="59"/>
  <c r="B28" i="59"/>
  <c r="AL27" i="59"/>
  <c r="AL38" i="59" s="1"/>
  <c r="AK38" i="59" s="1"/>
  <c r="AK67" i="59" s="1"/>
  <c r="AJ27" i="59"/>
  <c r="AJ38" i="59" s="1"/>
  <c r="AI38" i="59" s="1"/>
  <c r="AI67" i="59" s="1"/>
  <c r="AH27" i="59"/>
  <c r="AH38" i="59" s="1"/>
  <c r="AG38" i="59" s="1"/>
  <c r="AG67" i="59" s="1"/>
  <c r="AF27" i="59"/>
  <c r="AF38" i="59" s="1"/>
  <c r="AE38" i="59" s="1"/>
  <c r="AE67" i="59" s="1"/>
  <c r="AD27" i="59"/>
  <c r="AD38" i="59" s="1"/>
  <c r="AC38" i="59" s="1"/>
  <c r="AC67" i="59" s="1"/>
  <c r="AB27" i="59"/>
  <c r="AB38" i="59" s="1"/>
  <c r="AA38" i="59" s="1"/>
  <c r="AA67" i="59" s="1"/>
  <c r="Z27" i="59"/>
  <c r="Z38" i="59" s="1"/>
  <c r="Y38" i="59" s="1"/>
  <c r="Y67" i="59" s="1"/>
  <c r="X27" i="59"/>
  <c r="X38" i="59" s="1"/>
  <c r="W38" i="59" s="1"/>
  <c r="W67" i="59" s="1"/>
  <c r="V27" i="59"/>
  <c r="V38" i="59" s="1"/>
  <c r="U38" i="59" s="1"/>
  <c r="U67" i="59" s="1"/>
  <c r="T27" i="59"/>
  <c r="T38" i="59" s="1"/>
  <c r="S38" i="59" s="1"/>
  <c r="S67" i="59" s="1"/>
  <c r="R27" i="59"/>
  <c r="R38" i="59" s="1"/>
  <c r="Q38" i="59" s="1"/>
  <c r="Q67" i="59" s="1"/>
  <c r="P27" i="59"/>
  <c r="P38" i="59" s="1"/>
  <c r="O38" i="59" s="1"/>
  <c r="O67" i="59" s="1"/>
  <c r="N27" i="59"/>
  <c r="N38" i="59" s="1"/>
  <c r="M38" i="59" s="1"/>
  <c r="M67" i="59" s="1"/>
  <c r="L27" i="59"/>
  <c r="L38" i="59" s="1"/>
  <c r="K38" i="59" s="1"/>
  <c r="K67" i="59" s="1"/>
  <c r="J27" i="59"/>
  <c r="J38" i="59" s="1"/>
  <c r="I38" i="59" s="1"/>
  <c r="I67" i="59" s="1"/>
  <c r="H27" i="59"/>
  <c r="H38" i="59" s="1"/>
  <c r="G38" i="59" s="1"/>
  <c r="G67" i="59" s="1"/>
  <c r="F27" i="59"/>
  <c r="F38" i="59" s="1"/>
  <c r="E38" i="59" s="1"/>
  <c r="E67" i="59" s="1"/>
  <c r="D27" i="59"/>
  <c r="AL25" i="59"/>
  <c r="AJ25" i="59"/>
  <c r="AH25" i="59"/>
  <c r="AF25" i="59"/>
  <c r="AD25" i="59"/>
  <c r="AB25" i="59"/>
  <c r="Z25" i="59"/>
  <c r="X25" i="59"/>
  <c r="V25" i="59"/>
  <c r="T25" i="59"/>
  <c r="R25" i="59"/>
  <c r="P25" i="59"/>
  <c r="N25" i="59"/>
  <c r="L25" i="59"/>
  <c r="J25" i="59"/>
  <c r="H25" i="59"/>
  <c r="F25" i="59"/>
  <c r="D25" i="59"/>
  <c r="AL24" i="59"/>
  <c r="AJ24" i="59"/>
  <c r="AH24" i="59"/>
  <c r="AF24" i="59"/>
  <c r="AD24" i="59"/>
  <c r="AB24" i="59"/>
  <c r="Z24" i="59"/>
  <c r="X24" i="59"/>
  <c r="V24" i="59"/>
  <c r="T24" i="59"/>
  <c r="R24" i="59"/>
  <c r="P24" i="59"/>
  <c r="N24" i="59"/>
  <c r="L24" i="59"/>
  <c r="J24" i="59"/>
  <c r="H24" i="59"/>
  <c r="F24" i="59"/>
  <c r="D24" i="59"/>
  <c r="AL23" i="59"/>
  <c r="AJ23" i="59"/>
  <c r="AH23" i="59"/>
  <c r="AF23" i="59"/>
  <c r="AD23" i="59"/>
  <c r="AB23" i="59"/>
  <c r="Z23" i="59"/>
  <c r="X23" i="59"/>
  <c r="V23" i="59"/>
  <c r="T23" i="59"/>
  <c r="R23" i="59"/>
  <c r="P23" i="59"/>
  <c r="N23" i="59"/>
  <c r="L23" i="59"/>
  <c r="J23" i="59"/>
  <c r="H23" i="59"/>
  <c r="F23" i="59"/>
  <c r="D23" i="59"/>
  <c r="AL22" i="59"/>
  <c r="AJ22" i="59"/>
  <c r="AH22" i="59"/>
  <c r="AF22" i="59"/>
  <c r="AD22" i="59"/>
  <c r="AB22" i="59"/>
  <c r="Z22" i="59"/>
  <c r="X22" i="59"/>
  <c r="V22" i="59"/>
  <c r="T22" i="59"/>
  <c r="R22" i="59"/>
  <c r="P22" i="59"/>
  <c r="N22" i="59"/>
  <c r="L22" i="59"/>
  <c r="J22" i="59"/>
  <c r="H22" i="59"/>
  <c r="F22" i="59"/>
  <c r="D22" i="59"/>
  <c r="AL21" i="59"/>
  <c r="AJ21" i="59"/>
  <c r="AH21" i="59"/>
  <c r="AF21" i="59"/>
  <c r="AD21" i="59"/>
  <c r="AB21" i="59"/>
  <c r="Z21" i="59"/>
  <c r="X21" i="59"/>
  <c r="V21" i="59"/>
  <c r="T21" i="59"/>
  <c r="R21" i="59"/>
  <c r="P21" i="59"/>
  <c r="N21" i="59"/>
  <c r="L21" i="59"/>
  <c r="J21" i="59"/>
  <c r="H21" i="59"/>
  <c r="F21" i="59"/>
  <c r="D21" i="59"/>
  <c r="AL20" i="59"/>
  <c r="AJ20" i="59"/>
  <c r="AH20" i="59"/>
  <c r="AF20" i="59"/>
  <c r="AD20" i="59"/>
  <c r="AB20" i="59"/>
  <c r="Z20" i="59"/>
  <c r="X20" i="59"/>
  <c r="V20" i="59"/>
  <c r="T20" i="59"/>
  <c r="R20" i="59"/>
  <c r="P20" i="59"/>
  <c r="N20" i="59"/>
  <c r="L20" i="59"/>
  <c r="J20" i="59"/>
  <c r="H20" i="59"/>
  <c r="F20" i="59"/>
  <c r="D20" i="59"/>
  <c r="AL19" i="59"/>
  <c r="AJ19" i="59"/>
  <c r="AH19" i="59"/>
  <c r="AF19" i="59"/>
  <c r="AD19" i="59"/>
  <c r="AB19" i="59"/>
  <c r="Z19" i="59"/>
  <c r="X19" i="59"/>
  <c r="V19" i="59"/>
  <c r="T19" i="59"/>
  <c r="R19" i="59"/>
  <c r="P19" i="59"/>
  <c r="N19" i="59"/>
  <c r="L19" i="59"/>
  <c r="J19" i="59"/>
  <c r="H19" i="59"/>
  <c r="F19" i="59"/>
  <c r="D19" i="59"/>
  <c r="AL18" i="59"/>
  <c r="AJ18" i="59"/>
  <c r="AH18" i="59"/>
  <c r="AF18" i="59"/>
  <c r="AD18" i="59"/>
  <c r="AB18" i="59"/>
  <c r="Z18" i="59"/>
  <c r="X18" i="59"/>
  <c r="V18" i="59"/>
  <c r="T18" i="59"/>
  <c r="R18" i="59"/>
  <c r="P18" i="59"/>
  <c r="N18" i="59"/>
  <c r="L18" i="59"/>
  <c r="J18" i="59"/>
  <c r="H18" i="59"/>
  <c r="F18" i="59"/>
  <c r="D18" i="59"/>
  <c r="AL17" i="59"/>
  <c r="AJ17" i="59"/>
  <c r="AH17" i="59"/>
  <c r="AF17" i="59"/>
  <c r="AD17" i="59"/>
  <c r="AB17" i="59"/>
  <c r="Z17" i="59"/>
  <c r="X17" i="59"/>
  <c r="V17" i="59"/>
  <c r="T17" i="59"/>
  <c r="R17" i="59"/>
  <c r="P17" i="59"/>
  <c r="N17" i="59"/>
  <c r="L17" i="59"/>
  <c r="J17" i="59"/>
  <c r="H17" i="59"/>
  <c r="F17" i="59"/>
  <c r="D17" i="59"/>
  <c r="AL16" i="59"/>
  <c r="AJ16" i="59"/>
  <c r="AH16" i="59"/>
  <c r="AF16" i="59"/>
  <c r="AD16" i="59"/>
  <c r="AB16" i="59"/>
  <c r="Z16" i="59"/>
  <c r="X16" i="59"/>
  <c r="V16" i="59"/>
  <c r="T16" i="59"/>
  <c r="R16" i="59"/>
  <c r="P16" i="59"/>
  <c r="N16" i="59"/>
  <c r="L16" i="59"/>
  <c r="J16" i="59"/>
  <c r="H16" i="59"/>
  <c r="F16" i="59"/>
  <c r="D16" i="59"/>
  <c r="AL15" i="59"/>
  <c r="AJ15" i="59"/>
  <c r="AH15" i="59"/>
  <c r="AF15" i="59"/>
  <c r="AD15" i="59"/>
  <c r="AB15" i="59"/>
  <c r="Z15" i="59"/>
  <c r="X15" i="59"/>
  <c r="V15" i="59"/>
  <c r="T15" i="59"/>
  <c r="R15" i="59"/>
  <c r="P15" i="59"/>
  <c r="N15" i="59"/>
  <c r="L15" i="59"/>
  <c r="J15" i="59"/>
  <c r="H15" i="59"/>
  <c r="F15" i="59"/>
  <c r="D15" i="59"/>
  <c r="AL14" i="59"/>
  <c r="AJ14" i="59"/>
  <c r="AH14" i="59"/>
  <c r="AF14" i="59"/>
  <c r="AD14" i="59"/>
  <c r="AB14" i="59"/>
  <c r="Z14" i="59"/>
  <c r="X14" i="59"/>
  <c r="V14" i="59"/>
  <c r="T14" i="59"/>
  <c r="R14" i="59"/>
  <c r="P14" i="59"/>
  <c r="N14" i="59"/>
  <c r="L14" i="59"/>
  <c r="J14" i="59"/>
  <c r="H14" i="59"/>
  <c r="F14" i="59"/>
  <c r="D14" i="59"/>
  <c r="AL13" i="59"/>
  <c r="AJ13" i="59"/>
  <c r="AH13" i="59"/>
  <c r="AF13" i="59"/>
  <c r="AD13" i="59"/>
  <c r="AB13" i="59"/>
  <c r="Z13" i="59"/>
  <c r="X13" i="59"/>
  <c r="V13" i="59"/>
  <c r="T13" i="59"/>
  <c r="R13" i="59"/>
  <c r="P13" i="59"/>
  <c r="N13" i="59"/>
  <c r="L13" i="59"/>
  <c r="J13" i="59"/>
  <c r="H13" i="59"/>
  <c r="F13" i="59"/>
  <c r="D13" i="59"/>
  <c r="AL12" i="59"/>
  <c r="AJ12" i="59"/>
  <c r="AH12" i="59"/>
  <c r="AF12" i="59"/>
  <c r="AD12" i="59"/>
  <c r="AB12" i="59"/>
  <c r="Z12" i="59"/>
  <c r="X12" i="59"/>
  <c r="V12" i="59"/>
  <c r="T12" i="59"/>
  <c r="R12" i="59"/>
  <c r="P12" i="59"/>
  <c r="N12" i="59"/>
  <c r="L12" i="59"/>
  <c r="J12" i="59"/>
  <c r="H12" i="59"/>
  <c r="F12" i="59"/>
  <c r="D12" i="59"/>
  <c r="AL11" i="59"/>
  <c r="AJ11" i="59"/>
  <c r="AH11" i="59"/>
  <c r="AF11" i="59"/>
  <c r="AD11" i="59"/>
  <c r="AB11" i="59"/>
  <c r="Z11" i="59"/>
  <c r="X11" i="59"/>
  <c r="V11" i="59"/>
  <c r="T11" i="59"/>
  <c r="R11" i="59"/>
  <c r="P11" i="59"/>
  <c r="N11" i="59"/>
  <c r="L11" i="59"/>
  <c r="J11" i="59"/>
  <c r="H11" i="59"/>
  <c r="F11" i="59"/>
  <c r="D11" i="59"/>
  <c r="AL10" i="59"/>
  <c r="AJ10" i="59"/>
  <c r="AH10" i="59"/>
  <c r="AF10" i="59"/>
  <c r="AD10" i="59"/>
  <c r="AB10" i="59"/>
  <c r="Z10" i="59"/>
  <c r="X10" i="59"/>
  <c r="V10" i="59"/>
  <c r="T10" i="59"/>
  <c r="R10" i="59"/>
  <c r="P10" i="59"/>
  <c r="N10" i="59"/>
  <c r="L10" i="59"/>
  <c r="J10" i="59"/>
  <c r="H10" i="59"/>
  <c r="F10" i="59"/>
  <c r="D10" i="59"/>
  <c r="AL9" i="59"/>
  <c r="AJ9" i="59"/>
  <c r="AH9" i="59"/>
  <c r="AF9" i="59"/>
  <c r="AD9" i="59"/>
  <c r="AB9" i="59"/>
  <c r="Z9" i="59"/>
  <c r="X9" i="59"/>
  <c r="V9" i="59"/>
  <c r="T9" i="59"/>
  <c r="R9" i="59"/>
  <c r="P9" i="59"/>
  <c r="N9" i="59"/>
  <c r="L9" i="59"/>
  <c r="J9" i="59"/>
  <c r="H9" i="59"/>
  <c r="F9" i="59"/>
  <c r="D9" i="59"/>
  <c r="AL8" i="59"/>
  <c r="AJ8" i="59"/>
  <c r="AH8" i="59"/>
  <c r="AF8" i="59"/>
  <c r="AD8" i="59"/>
  <c r="AB8" i="59"/>
  <c r="Z8" i="59"/>
  <c r="X8" i="59"/>
  <c r="V8" i="59"/>
  <c r="T8" i="59"/>
  <c r="R8" i="59"/>
  <c r="P8" i="59"/>
  <c r="N8" i="59"/>
  <c r="L8" i="59"/>
  <c r="J8" i="59"/>
  <c r="H8" i="59"/>
  <c r="F8" i="59"/>
  <c r="D8" i="59"/>
  <c r="AL7" i="59"/>
  <c r="AJ7" i="59"/>
  <c r="AH7" i="59"/>
  <c r="AF7" i="59"/>
  <c r="AD7" i="59"/>
  <c r="AB7" i="59"/>
  <c r="Z7" i="59"/>
  <c r="X7" i="59"/>
  <c r="V7" i="59"/>
  <c r="T7" i="59"/>
  <c r="R7" i="59"/>
  <c r="P7" i="59"/>
  <c r="N7" i="59"/>
  <c r="L7" i="59"/>
  <c r="J7" i="59"/>
  <c r="H7" i="59"/>
  <c r="F7" i="59"/>
  <c r="D7" i="59"/>
  <c r="AL6" i="59"/>
  <c r="AJ6" i="59"/>
  <c r="AH6" i="59"/>
  <c r="AF6" i="59"/>
  <c r="AD6" i="59"/>
  <c r="AB6" i="59"/>
  <c r="Z6" i="59"/>
  <c r="X6" i="59"/>
  <c r="V6" i="59"/>
  <c r="T6" i="59"/>
  <c r="R6" i="59"/>
  <c r="P6" i="59"/>
  <c r="N6" i="59"/>
  <c r="L6" i="59"/>
  <c r="J6" i="59"/>
  <c r="H6" i="59"/>
  <c r="F6" i="59"/>
  <c r="D6" i="59"/>
  <c r="AL5" i="59"/>
  <c r="AJ5" i="59"/>
  <c r="AH5" i="59"/>
  <c r="AF5" i="59"/>
  <c r="AD5" i="59"/>
  <c r="AB5" i="59"/>
  <c r="Z5" i="59"/>
  <c r="X5" i="59"/>
  <c r="V5" i="59"/>
  <c r="T5" i="59"/>
  <c r="R5" i="59"/>
  <c r="P5" i="59"/>
  <c r="N5" i="59"/>
  <c r="L5" i="59"/>
  <c r="J5" i="59"/>
  <c r="H5" i="59"/>
  <c r="F5" i="59"/>
  <c r="D5" i="59"/>
  <c r="AL4" i="59"/>
  <c r="AJ4" i="59"/>
  <c r="AH4" i="59"/>
  <c r="AF4" i="59"/>
  <c r="AD4" i="59"/>
  <c r="AB4" i="59"/>
  <c r="Z4" i="59"/>
  <c r="X4" i="59"/>
  <c r="V4" i="59"/>
  <c r="T4" i="59"/>
  <c r="R4" i="59"/>
  <c r="P4" i="59"/>
  <c r="N4" i="59"/>
  <c r="L4" i="59"/>
  <c r="J4" i="59"/>
  <c r="H4" i="59"/>
  <c r="F4" i="59"/>
  <c r="D4" i="59"/>
  <c r="T1" i="59"/>
  <c r="L1" i="59"/>
  <c r="AK23" i="86"/>
  <c r="AL23" i="86" s="1"/>
  <c r="AI23" i="86"/>
  <c r="AJ23" i="86" s="1"/>
  <c r="AG23" i="86"/>
  <c r="AH23" i="86" s="1"/>
  <c r="AE23" i="86"/>
  <c r="AF23" i="86" s="1"/>
  <c r="AC23" i="86"/>
  <c r="AD23" i="86" s="1"/>
  <c r="AA23" i="86"/>
  <c r="AB23" i="86" s="1"/>
  <c r="Y23" i="86"/>
  <c r="Z23" i="86" s="1"/>
  <c r="W23" i="86"/>
  <c r="X23" i="86" s="1"/>
  <c r="U23" i="86"/>
  <c r="V23" i="86" s="1"/>
  <c r="S23" i="86"/>
  <c r="T23" i="86" s="1"/>
  <c r="Q23" i="86"/>
  <c r="R23" i="86" s="1"/>
  <c r="O23" i="86"/>
  <c r="P23" i="86" s="1"/>
  <c r="M23" i="86"/>
  <c r="N23" i="86" s="1"/>
  <c r="K23" i="86"/>
  <c r="L23" i="86" s="1"/>
  <c r="I23" i="86"/>
  <c r="J23" i="86" s="1"/>
  <c r="G23" i="86"/>
  <c r="H23" i="86" s="1"/>
  <c r="E23" i="86"/>
  <c r="F23" i="86" s="1"/>
  <c r="D23" i="86"/>
  <c r="D22" i="86"/>
  <c r="D20" i="86"/>
  <c r="D19" i="86"/>
  <c r="AK18" i="86"/>
  <c r="AL18" i="86" s="1"/>
  <c r="AI18" i="86"/>
  <c r="AJ18" i="86" s="1"/>
  <c r="AG18" i="86"/>
  <c r="AH18" i="86" s="1"/>
  <c r="AE18" i="86"/>
  <c r="AF18" i="86" s="1"/>
  <c r="AC18" i="86"/>
  <c r="AD18" i="86" s="1"/>
  <c r="AA18" i="86"/>
  <c r="AB18" i="86" s="1"/>
  <c r="Y18" i="86"/>
  <c r="Z18" i="86" s="1"/>
  <c r="W18" i="86"/>
  <c r="X18" i="86" s="1"/>
  <c r="U18" i="86"/>
  <c r="V18" i="86" s="1"/>
  <c r="S18" i="86"/>
  <c r="T18" i="86" s="1"/>
  <c r="Q18" i="86"/>
  <c r="R18" i="86" s="1"/>
  <c r="O18" i="86"/>
  <c r="P18" i="86" s="1"/>
  <c r="M18" i="86"/>
  <c r="N18" i="86" s="1"/>
  <c r="K18" i="86"/>
  <c r="L18" i="86" s="1"/>
  <c r="I18" i="86"/>
  <c r="J18" i="86" s="1"/>
  <c r="G18" i="86"/>
  <c r="H18" i="86" s="1"/>
  <c r="E18" i="86"/>
  <c r="F18" i="86" s="1"/>
  <c r="D18" i="86"/>
  <c r="D17" i="86"/>
  <c r="AL15" i="86"/>
  <c r="AJ15" i="86"/>
  <c r="AH15" i="86"/>
  <c r="AF15" i="86"/>
  <c r="AD15" i="86"/>
  <c r="AB15" i="86"/>
  <c r="Z15" i="86"/>
  <c r="X15" i="86"/>
  <c r="V15" i="86"/>
  <c r="T15" i="86"/>
  <c r="R15" i="86"/>
  <c r="P15" i="86"/>
  <c r="N15" i="86"/>
  <c r="L15" i="86"/>
  <c r="J15" i="86"/>
  <c r="H15" i="86"/>
  <c r="F15" i="86"/>
  <c r="D15" i="86"/>
  <c r="D14" i="86"/>
  <c r="AL13" i="86"/>
  <c r="AJ13" i="86"/>
  <c r="AH13" i="86"/>
  <c r="AF13" i="86"/>
  <c r="AD13" i="86"/>
  <c r="AB13" i="86"/>
  <c r="Z13" i="86"/>
  <c r="X13" i="86"/>
  <c r="V13" i="86"/>
  <c r="T13" i="86"/>
  <c r="R13" i="86"/>
  <c r="P13" i="86"/>
  <c r="N13" i="86"/>
  <c r="L13" i="86"/>
  <c r="J13" i="86"/>
  <c r="H13" i="86"/>
  <c r="F13" i="86"/>
  <c r="D13" i="86"/>
  <c r="AL12" i="86"/>
  <c r="AJ12" i="86"/>
  <c r="AH12" i="86"/>
  <c r="AF12" i="86"/>
  <c r="AD12" i="86"/>
  <c r="AB12" i="86"/>
  <c r="Z12" i="86"/>
  <c r="X12" i="86"/>
  <c r="V12" i="86"/>
  <c r="T12" i="86"/>
  <c r="R12" i="86"/>
  <c r="P12" i="86"/>
  <c r="N12" i="86"/>
  <c r="L12" i="86"/>
  <c r="J12" i="86"/>
  <c r="H12" i="86"/>
  <c r="F12" i="86"/>
  <c r="D12" i="86"/>
  <c r="AK17" i="86"/>
  <c r="AL17" i="86" s="1"/>
  <c r="AE22" i="86"/>
  <c r="AF22" i="86" s="1"/>
  <c r="Y14" i="86"/>
  <c r="Z14" i="86" s="1"/>
  <c r="W17" i="86"/>
  <c r="X17" i="86" s="1"/>
  <c r="U17" i="86"/>
  <c r="V17" i="86" s="1"/>
  <c r="O19" i="86"/>
  <c r="P19" i="86" s="1"/>
  <c r="I14" i="86"/>
  <c r="J14" i="86" s="1"/>
  <c r="T1" i="86"/>
  <c r="L1" i="86"/>
  <c r="AK22" i="87"/>
  <c r="AL22" i="87" s="1"/>
  <c r="AI22" i="87"/>
  <c r="AJ22" i="87" s="1"/>
  <c r="AG22" i="87"/>
  <c r="AH22" i="87" s="1"/>
  <c r="AE22" i="87"/>
  <c r="AF22" i="87" s="1"/>
  <c r="AC22" i="87"/>
  <c r="AD22" i="87" s="1"/>
  <c r="AA22" i="87"/>
  <c r="AB22" i="87" s="1"/>
  <c r="Y22" i="87"/>
  <c r="Z22" i="87" s="1"/>
  <c r="W22" i="87"/>
  <c r="X22" i="87" s="1"/>
  <c r="U22" i="87"/>
  <c r="V22" i="87" s="1"/>
  <c r="S22" i="87"/>
  <c r="T22" i="87" s="1"/>
  <c r="Q22" i="87"/>
  <c r="R22" i="87" s="1"/>
  <c r="O22" i="87"/>
  <c r="P22" i="87" s="1"/>
  <c r="M22" i="87"/>
  <c r="N22" i="87" s="1"/>
  <c r="K22" i="87"/>
  <c r="L22" i="87" s="1"/>
  <c r="I22" i="87"/>
  <c r="J22" i="87" s="1"/>
  <c r="G22" i="87"/>
  <c r="H22" i="87" s="1"/>
  <c r="E22" i="87"/>
  <c r="F22" i="87" s="1"/>
  <c r="D22" i="87"/>
  <c r="D21" i="87"/>
  <c r="D19" i="87"/>
  <c r="AK17" i="87"/>
  <c r="AL17" i="87" s="1"/>
  <c r="AI17" i="87"/>
  <c r="AJ17" i="87" s="1"/>
  <c r="AG17" i="87"/>
  <c r="AH17" i="87" s="1"/>
  <c r="AE17" i="87"/>
  <c r="AF17" i="87" s="1"/>
  <c r="AC17" i="87"/>
  <c r="AD17" i="87" s="1"/>
  <c r="AA17" i="87"/>
  <c r="AB17" i="87" s="1"/>
  <c r="Y17" i="87"/>
  <c r="Z17" i="87" s="1"/>
  <c r="W17" i="87"/>
  <c r="X17" i="87" s="1"/>
  <c r="U17" i="87"/>
  <c r="V17" i="87" s="1"/>
  <c r="S17" i="87"/>
  <c r="T17" i="87" s="1"/>
  <c r="Q17" i="87"/>
  <c r="R17" i="87" s="1"/>
  <c r="O17" i="87"/>
  <c r="P17" i="87" s="1"/>
  <c r="M17" i="87"/>
  <c r="N17" i="87" s="1"/>
  <c r="K17" i="87"/>
  <c r="L17" i="87" s="1"/>
  <c r="I17" i="87"/>
  <c r="J17" i="87" s="1"/>
  <c r="G17" i="87"/>
  <c r="H17" i="87" s="1"/>
  <c r="E17" i="87"/>
  <c r="F17" i="87" s="1"/>
  <c r="D17" i="87"/>
  <c r="D16" i="87"/>
  <c r="D14" i="87"/>
  <c r="AK13" i="87"/>
  <c r="AL13" i="87" s="1"/>
  <c r="AG13" i="87"/>
  <c r="AG14" i="87" s="1"/>
  <c r="AH14" i="87" s="1"/>
  <c r="AE13" i="87"/>
  <c r="AC13" i="87"/>
  <c r="AC14" i="87" s="1"/>
  <c r="AD14" i="87" s="1"/>
  <c r="Y13" i="87"/>
  <c r="Z13" i="87" s="1"/>
  <c r="W13" i="87"/>
  <c r="U13" i="87"/>
  <c r="V13" i="87" s="1"/>
  <c r="Q13" i="87"/>
  <c r="Q14" i="87" s="1"/>
  <c r="R14" i="87" s="1"/>
  <c r="O13" i="87"/>
  <c r="M13" i="87"/>
  <c r="M14" i="87" s="1"/>
  <c r="N14" i="87" s="1"/>
  <c r="I13" i="87"/>
  <c r="J13" i="87" s="1"/>
  <c r="G13" i="87"/>
  <c r="E13" i="87"/>
  <c r="F13" i="87" s="1"/>
  <c r="D13" i="87"/>
  <c r="AK12" i="87"/>
  <c r="AL12" i="87" s="1"/>
  <c r="AI12" i="87"/>
  <c r="AJ12" i="87" s="1"/>
  <c r="AG12" i="87"/>
  <c r="AH12" i="87" s="1"/>
  <c r="AE12" i="87"/>
  <c r="AF12" i="87" s="1"/>
  <c r="AC12" i="87"/>
  <c r="AD12" i="87" s="1"/>
  <c r="AA12" i="87"/>
  <c r="AB12" i="87" s="1"/>
  <c r="Y12" i="87"/>
  <c r="Z12" i="87" s="1"/>
  <c r="W12" i="87"/>
  <c r="X12" i="87" s="1"/>
  <c r="U12" i="87"/>
  <c r="V12" i="87" s="1"/>
  <c r="S12" i="87"/>
  <c r="T12" i="87" s="1"/>
  <c r="Q12" i="87"/>
  <c r="R12" i="87" s="1"/>
  <c r="O12" i="87"/>
  <c r="P12" i="87" s="1"/>
  <c r="M12" i="87"/>
  <c r="N12" i="87" s="1"/>
  <c r="K12" i="87"/>
  <c r="L12" i="87" s="1"/>
  <c r="I12" i="87"/>
  <c r="J12" i="87" s="1"/>
  <c r="G12" i="87"/>
  <c r="H12" i="87" s="1"/>
  <c r="E12" i="87"/>
  <c r="F12" i="87" s="1"/>
  <c r="D12" i="87"/>
  <c r="AK11" i="87"/>
  <c r="AL11" i="87" s="1"/>
  <c r="AI11" i="87"/>
  <c r="AJ11" i="87" s="1"/>
  <c r="AG11" i="87"/>
  <c r="AH11" i="87" s="1"/>
  <c r="AE11" i="87"/>
  <c r="AF11" i="87" s="1"/>
  <c r="AC11" i="87"/>
  <c r="AD11" i="87" s="1"/>
  <c r="AA11" i="87"/>
  <c r="AB11" i="87" s="1"/>
  <c r="Y11" i="87"/>
  <c r="Z11" i="87" s="1"/>
  <c r="W11" i="87"/>
  <c r="X11" i="87" s="1"/>
  <c r="U11" i="87"/>
  <c r="V11" i="87" s="1"/>
  <c r="S11" i="87"/>
  <c r="T11" i="87" s="1"/>
  <c r="Q11" i="87"/>
  <c r="R11" i="87" s="1"/>
  <c r="O11" i="87"/>
  <c r="P11" i="87" s="1"/>
  <c r="M11" i="87"/>
  <c r="N11" i="87" s="1"/>
  <c r="K11" i="87"/>
  <c r="L11" i="87" s="1"/>
  <c r="I11" i="87"/>
  <c r="J11" i="87" s="1"/>
  <c r="G11" i="87"/>
  <c r="H11" i="87" s="1"/>
  <c r="E11" i="87"/>
  <c r="F11" i="87" s="1"/>
  <c r="D11" i="87"/>
  <c r="D9" i="87"/>
  <c r="AK8" i="87"/>
  <c r="AL8" i="87" s="1"/>
  <c r="AI8" i="87"/>
  <c r="AJ8" i="87" s="1"/>
  <c r="AG8" i="87"/>
  <c r="AH8" i="87" s="1"/>
  <c r="AE8" i="87"/>
  <c r="AF8" i="87" s="1"/>
  <c r="AC8" i="87"/>
  <c r="AD8" i="87" s="1"/>
  <c r="AA8" i="87"/>
  <c r="AB8" i="87" s="1"/>
  <c r="Y8" i="87"/>
  <c r="Z8" i="87" s="1"/>
  <c r="W8" i="87"/>
  <c r="X8" i="87" s="1"/>
  <c r="U8" i="87"/>
  <c r="V8" i="87" s="1"/>
  <c r="S8" i="87"/>
  <c r="T8" i="87" s="1"/>
  <c r="Q8" i="87"/>
  <c r="R8" i="87" s="1"/>
  <c r="O8" i="87"/>
  <c r="P8" i="87" s="1"/>
  <c r="M8" i="87"/>
  <c r="N8" i="87" s="1"/>
  <c r="K8" i="87"/>
  <c r="L8" i="87" s="1"/>
  <c r="I8" i="87"/>
  <c r="J8" i="87" s="1"/>
  <c r="G8" i="87"/>
  <c r="H8" i="87" s="1"/>
  <c r="E8" i="87"/>
  <c r="F8" i="87" s="1"/>
  <c r="D8" i="87"/>
  <c r="AK7" i="87"/>
  <c r="AK19" i="87" s="1"/>
  <c r="AL19" i="87" s="1"/>
  <c r="AI7" i="87"/>
  <c r="AG7" i="87"/>
  <c r="AE7" i="87"/>
  <c r="AC7" i="87"/>
  <c r="AC21" i="87" s="1"/>
  <c r="AD21" i="87" s="1"/>
  <c r="AA7" i="87"/>
  <c r="Y7" i="87"/>
  <c r="Z7" i="87" s="1"/>
  <c r="W7" i="87"/>
  <c r="U7" i="87"/>
  <c r="U19" i="87" s="1"/>
  <c r="V19" i="87" s="1"/>
  <c r="S7" i="87"/>
  <c r="Q7" i="87"/>
  <c r="R7" i="87" s="1"/>
  <c r="O7" i="87"/>
  <c r="M7" i="87"/>
  <c r="M21" i="87" s="1"/>
  <c r="N21" i="87" s="1"/>
  <c r="K7" i="87"/>
  <c r="I7" i="87"/>
  <c r="J7" i="87" s="1"/>
  <c r="G7" i="87"/>
  <c r="D7" i="87"/>
  <c r="D5" i="87"/>
  <c r="AK4" i="87"/>
  <c r="AL4" i="87" s="1"/>
  <c r="AI4" i="87"/>
  <c r="AJ4" i="87" s="1"/>
  <c r="AG4" i="87"/>
  <c r="AH4" i="87" s="1"/>
  <c r="AE4" i="87"/>
  <c r="AF4" i="87" s="1"/>
  <c r="AC4" i="87"/>
  <c r="AD4" i="87" s="1"/>
  <c r="AA4" i="87"/>
  <c r="AB4" i="87" s="1"/>
  <c r="Y4" i="87"/>
  <c r="Z4" i="87" s="1"/>
  <c r="W4" i="87"/>
  <c r="X4" i="87" s="1"/>
  <c r="U4" i="87"/>
  <c r="V4" i="87" s="1"/>
  <c r="S4" i="87"/>
  <c r="T4" i="87" s="1"/>
  <c r="Q4" i="87"/>
  <c r="R4" i="87" s="1"/>
  <c r="O4" i="87"/>
  <c r="P4" i="87" s="1"/>
  <c r="M4" i="87"/>
  <c r="N4" i="87" s="1"/>
  <c r="K4" i="87"/>
  <c r="L4" i="87" s="1"/>
  <c r="I4" i="87"/>
  <c r="J4" i="87" s="1"/>
  <c r="G4" i="87"/>
  <c r="H4" i="87" s="1"/>
  <c r="E4" i="87"/>
  <c r="F4" i="87" s="1"/>
  <c r="D4" i="87"/>
  <c r="T1" i="87"/>
  <c r="L1" i="87"/>
  <c r="AK25" i="85"/>
  <c r="AL25" i="85" s="1"/>
  <c r="AI25" i="85"/>
  <c r="AJ25" i="85" s="1"/>
  <c r="AG25" i="85"/>
  <c r="AH25" i="85" s="1"/>
  <c r="AE25" i="85"/>
  <c r="AF25" i="85" s="1"/>
  <c r="AC25" i="85"/>
  <c r="AD25" i="85" s="1"/>
  <c r="AA25" i="85"/>
  <c r="AB25" i="85" s="1"/>
  <c r="Y25" i="85"/>
  <c r="Z25" i="85" s="1"/>
  <c r="W25" i="85"/>
  <c r="X25" i="85" s="1"/>
  <c r="U25" i="85"/>
  <c r="V25" i="85" s="1"/>
  <c r="S25" i="85"/>
  <c r="T25" i="85" s="1"/>
  <c r="Q25" i="85"/>
  <c r="R25" i="85" s="1"/>
  <c r="O25" i="85"/>
  <c r="P25" i="85" s="1"/>
  <c r="M25" i="85"/>
  <c r="N25" i="85" s="1"/>
  <c r="K25" i="85"/>
  <c r="L25" i="85" s="1"/>
  <c r="I25" i="85"/>
  <c r="J25" i="85" s="1"/>
  <c r="G25" i="85"/>
  <c r="H25" i="85" s="1"/>
  <c r="E25" i="85"/>
  <c r="F25" i="85" s="1"/>
  <c r="D25" i="85"/>
  <c r="D24" i="85"/>
  <c r="D22" i="85"/>
  <c r="D21" i="85"/>
  <c r="AK20" i="85"/>
  <c r="AL20" i="85" s="1"/>
  <c r="AI20" i="85"/>
  <c r="AJ20" i="85" s="1"/>
  <c r="AG20" i="85"/>
  <c r="AH20" i="85" s="1"/>
  <c r="AE20" i="85"/>
  <c r="AF20" i="85" s="1"/>
  <c r="AC20" i="85"/>
  <c r="AD20" i="85" s="1"/>
  <c r="AA20" i="85"/>
  <c r="AB20" i="85" s="1"/>
  <c r="Y20" i="85"/>
  <c r="Z20" i="85" s="1"/>
  <c r="W20" i="85"/>
  <c r="X20" i="85" s="1"/>
  <c r="U20" i="85"/>
  <c r="V20" i="85" s="1"/>
  <c r="S20" i="85"/>
  <c r="T20" i="85" s="1"/>
  <c r="Q20" i="85"/>
  <c r="R20" i="85" s="1"/>
  <c r="O20" i="85"/>
  <c r="P20" i="85" s="1"/>
  <c r="M20" i="85"/>
  <c r="N20" i="85" s="1"/>
  <c r="K20" i="85"/>
  <c r="L20" i="85" s="1"/>
  <c r="I20" i="85"/>
  <c r="J20" i="85" s="1"/>
  <c r="G20" i="85"/>
  <c r="H20" i="85" s="1"/>
  <c r="E20" i="85"/>
  <c r="F20" i="85" s="1"/>
  <c r="D20" i="85"/>
  <c r="AK19" i="85"/>
  <c r="AL19" i="85" s="1"/>
  <c r="AI19" i="85"/>
  <c r="AJ19" i="85" s="1"/>
  <c r="AG19" i="85"/>
  <c r="AH19" i="85" s="1"/>
  <c r="AE19" i="85"/>
  <c r="AF19" i="85" s="1"/>
  <c r="AC19" i="85"/>
  <c r="AD19" i="85" s="1"/>
  <c r="AA19" i="85"/>
  <c r="AB19" i="85" s="1"/>
  <c r="Y19" i="85"/>
  <c r="Z19" i="85" s="1"/>
  <c r="W19" i="85"/>
  <c r="X19" i="85" s="1"/>
  <c r="U19" i="85"/>
  <c r="V19" i="85" s="1"/>
  <c r="S19" i="85"/>
  <c r="T19" i="85" s="1"/>
  <c r="Q19" i="85"/>
  <c r="R19" i="85" s="1"/>
  <c r="O19" i="85"/>
  <c r="P19" i="85" s="1"/>
  <c r="M19" i="85"/>
  <c r="N19" i="85" s="1"/>
  <c r="K19" i="85"/>
  <c r="L19" i="85" s="1"/>
  <c r="I19" i="85"/>
  <c r="J19" i="85" s="1"/>
  <c r="G19" i="85"/>
  <c r="H19" i="85" s="1"/>
  <c r="E19" i="85"/>
  <c r="F19" i="85" s="1"/>
  <c r="D19" i="85"/>
  <c r="D18" i="85"/>
  <c r="D16" i="85"/>
  <c r="D15" i="85"/>
  <c r="AK14" i="85"/>
  <c r="AK15" i="85" s="1"/>
  <c r="AL15" i="85" s="1"/>
  <c r="AG14" i="85"/>
  <c r="AG15" i="85" s="1"/>
  <c r="AH15" i="85" s="1"/>
  <c r="AE14" i="85"/>
  <c r="AC14" i="85"/>
  <c r="AC15" i="85" s="1"/>
  <c r="AD15" i="85" s="1"/>
  <c r="Y14" i="85"/>
  <c r="Z14" i="85" s="1"/>
  <c r="W14" i="85"/>
  <c r="U14" i="85"/>
  <c r="U15" i="85" s="1"/>
  <c r="V15" i="85" s="1"/>
  <c r="Q14" i="85"/>
  <c r="R14" i="85" s="1"/>
  <c r="O14" i="85"/>
  <c r="M14" i="85"/>
  <c r="M15" i="85" s="1"/>
  <c r="N15" i="85" s="1"/>
  <c r="I14" i="85"/>
  <c r="J14" i="85" s="1"/>
  <c r="G14" i="85"/>
  <c r="E14" i="85"/>
  <c r="E15" i="85" s="1"/>
  <c r="F15" i="85" s="1"/>
  <c r="D14" i="85"/>
  <c r="AK13" i="85"/>
  <c r="AL13" i="85" s="1"/>
  <c r="AI13" i="85"/>
  <c r="AJ13" i="85" s="1"/>
  <c r="AG13" i="85"/>
  <c r="AH13" i="85" s="1"/>
  <c r="AE13" i="85"/>
  <c r="AF13" i="85" s="1"/>
  <c r="AC13" i="85"/>
  <c r="AD13" i="85" s="1"/>
  <c r="AB13" i="85"/>
  <c r="AA13" i="85"/>
  <c r="Y13" i="85"/>
  <c r="Z13" i="85" s="1"/>
  <c r="W13" i="85"/>
  <c r="X13" i="85" s="1"/>
  <c r="U13" i="85"/>
  <c r="V13" i="85" s="1"/>
  <c r="S13" i="85"/>
  <c r="T13" i="85" s="1"/>
  <c r="Q13" i="85"/>
  <c r="R13" i="85" s="1"/>
  <c r="O13" i="85"/>
  <c r="P13" i="85" s="1"/>
  <c r="M13" i="85"/>
  <c r="N13" i="85" s="1"/>
  <c r="K13" i="85"/>
  <c r="L13" i="85" s="1"/>
  <c r="I13" i="85"/>
  <c r="J13" i="85" s="1"/>
  <c r="G13" i="85"/>
  <c r="H13" i="85" s="1"/>
  <c r="E13" i="85"/>
  <c r="F13" i="85" s="1"/>
  <c r="D13" i="85"/>
  <c r="AK12" i="85"/>
  <c r="AL12" i="85" s="1"/>
  <c r="AI12" i="85"/>
  <c r="AJ12" i="85" s="1"/>
  <c r="AG12" i="85"/>
  <c r="AH12" i="85" s="1"/>
  <c r="AE12" i="85"/>
  <c r="AF12" i="85" s="1"/>
  <c r="AC12" i="85"/>
  <c r="AD12" i="85" s="1"/>
  <c r="AA12" i="85"/>
  <c r="AB12" i="85" s="1"/>
  <c r="Y12" i="85"/>
  <c r="Z12" i="85" s="1"/>
  <c r="W12" i="85"/>
  <c r="X12" i="85" s="1"/>
  <c r="U12" i="85"/>
  <c r="V12" i="85" s="1"/>
  <c r="T12" i="85"/>
  <c r="S12" i="85"/>
  <c r="Q12" i="85"/>
  <c r="R12" i="85" s="1"/>
  <c r="O12" i="85"/>
  <c r="P12" i="85" s="1"/>
  <c r="M12" i="85"/>
  <c r="N12" i="85" s="1"/>
  <c r="K12" i="85"/>
  <c r="L12" i="85" s="1"/>
  <c r="I12" i="85"/>
  <c r="J12" i="85" s="1"/>
  <c r="G12" i="85"/>
  <c r="H12" i="85" s="1"/>
  <c r="E12" i="85"/>
  <c r="F12" i="85" s="1"/>
  <c r="D12" i="85"/>
  <c r="AL10" i="85"/>
  <c r="AJ10" i="85"/>
  <c r="AH10" i="85"/>
  <c r="AF10" i="85"/>
  <c r="D10" i="85"/>
  <c r="D8" i="85"/>
  <c r="AK7" i="85"/>
  <c r="AL7" i="85" s="1"/>
  <c r="AI7" i="85"/>
  <c r="AJ7" i="85" s="1"/>
  <c r="AG7" i="85"/>
  <c r="AH7" i="85" s="1"/>
  <c r="AE7" i="85"/>
  <c r="AF7" i="85" s="1"/>
  <c r="AC7" i="85"/>
  <c r="AD7" i="85" s="1"/>
  <c r="AA7" i="85"/>
  <c r="AB7" i="85" s="1"/>
  <c r="Y7" i="85"/>
  <c r="Z7" i="85" s="1"/>
  <c r="W7" i="85"/>
  <c r="X7" i="85" s="1"/>
  <c r="U7" i="85"/>
  <c r="V7" i="85" s="1"/>
  <c r="S7" i="85"/>
  <c r="T7" i="85" s="1"/>
  <c r="Q7" i="85"/>
  <c r="R7" i="85" s="1"/>
  <c r="O7" i="85"/>
  <c r="P7" i="85" s="1"/>
  <c r="M7" i="85"/>
  <c r="N7" i="85" s="1"/>
  <c r="K7" i="85"/>
  <c r="L7" i="85" s="1"/>
  <c r="I7" i="85"/>
  <c r="J7" i="85" s="1"/>
  <c r="G7" i="85"/>
  <c r="H7" i="85" s="1"/>
  <c r="E7" i="85"/>
  <c r="F7" i="85" s="1"/>
  <c r="D7" i="85"/>
  <c r="AK6" i="85"/>
  <c r="AK24" i="85" s="1"/>
  <c r="AL24" i="85" s="1"/>
  <c r="AG6" i="85"/>
  <c r="AG24" i="85" s="1"/>
  <c r="AH24" i="85" s="1"/>
  <c r="AE6" i="85"/>
  <c r="AE21" i="85" s="1"/>
  <c r="AF21" i="85" s="1"/>
  <c r="AC6" i="85"/>
  <c r="AC24" i="85" s="1"/>
  <c r="AD24" i="85" s="1"/>
  <c r="Y6" i="85"/>
  <c r="Y24" i="85" s="1"/>
  <c r="Z24" i="85" s="1"/>
  <c r="W6" i="85"/>
  <c r="U6" i="85"/>
  <c r="U24" i="85" s="1"/>
  <c r="V24" i="85" s="1"/>
  <c r="Q6" i="85"/>
  <c r="Q24" i="85" s="1"/>
  <c r="R24" i="85" s="1"/>
  <c r="O6" i="85"/>
  <c r="O21" i="85" s="1"/>
  <c r="P21" i="85" s="1"/>
  <c r="M6" i="85"/>
  <c r="M24" i="85" s="1"/>
  <c r="N24" i="85" s="1"/>
  <c r="I6" i="85"/>
  <c r="I24" i="85" s="1"/>
  <c r="J24" i="85" s="1"/>
  <c r="G6" i="85"/>
  <c r="E6" i="85"/>
  <c r="E24" i="85" s="1"/>
  <c r="F24" i="85" s="1"/>
  <c r="D6" i="85"/>
  <c r="AK5" i="85"/>
  <c r="AL5" i="85" s="1"/>
  <c r="AI5" i="85"/>
  <c r="AI18" i="85" s="1"/>
  <c r="AJ18" i="85" s="1"/>
  <c r="AG5" i="85"/>
  <c r="AH5" i="85" s="1"/>
  <c r="AE5" i="85"/>
  <c r="AE18" i="85" s="1"/>
  <c r="AF18" i="85" s="1"/>
  <c r="AC5" i="85"/>
  <c r="AD5" i="85" s="1"/>
  <c r="AA5" i="85"/>
  <c r="AA18" i="85" s="1"/>
  <c r="AB18" i="85" s="1"/>
  <c r="Y5" i="85"/>
  <c r="Z5" i="85" s="1"/>
  <c r="W5" i="85"/>
  <c r="W18" i="85" s="1"/>
  <c r="X18" i="85" s="1"/>
  <c r="U5" i="85"/>
  <c r="V5" i="85" s="1"/>
  <c r="S5" i="85"/>
  <c r="S18" i="85" s="1"/>
  <c r="T18" i="85" s="1"/>
  <c r="Q5" i="85"/>
  <c r="R5" i="85" s="1"/>
  <c r="O5" i="85"/>
  <c r="O18" i="85" s="1"/>
  <c r="P18" i="85" s="1"/>
  <c r="M5" i="85"/>
  <c r="N5" i="85" s="1"/>
  <c r="K5" i="85"/>
  <c r="K18" i="85" s="1"/>
  <c r="L18" i="85" s="1"/>
  <c r="I5" i="85"/>
  <c r="J5" i="85" s="1"/>
  <c r="G5" i="85"/>
  <c r="G18" i="85" s="1"/>
  <c r="H18" i="85" s="1"/>
  <c r="E5" i="85"/>
  <c r="F5" i="85" s="1"/>
  <c r="D5" i="85"/>
  <c r="AK4" i="85"/>
  <c r="AL4" i="85" s="1"/>
  <c r="AI4" i="85"/>
  <c r="AJ4" i="85" s="1"/>
  <c r="AG4" i="85"/>
  <c r="AH4" i="85" s="1"/>
  <c r="AE4" i="85"/>
  <c r="AF4" i="85" s="1"/>
  <c r="AC4" i="85"/>
  <c r="AD4" i="85" s="1"/>
  <c r="AA4" i="85"/>
  <c r="AB4" i="85" s="1"/>
  <c r="Y4" i="85"/>
  <c r="Z4" i="85" s="1"/>
  <c r="W4" i="85"/>
  <c r="X4" i="85" s="1"/>
  <c r="U4" i="85"/>
  <c r="V4" i="85" s="1"/>
  <c r="S4" i="85"/>
  <c r="T4" i="85" s="1"/>
  <c r="Q4" i="85"/>
  <c r="R4" i="85" s="1"/>
  <c r="O4" i="85"/>
  <c r="P4" i="85" s="1"/>
  <c r="M4" i="85"/>
  <c r="N4" i="85" s="1"/>
  <c r="K4" i="85"/>
  <c r="L4" i="85" s="1"/>
  <c r="I4" i="85"/>
  <c r="J4" i="85" s="1"/>
  <c r="G4" i="85"/>
  <c r="H4" i="85" s="1"/>
  <c r="E4" i="85"/>
  <c r="F4" i="85" s="1"/>
  <c r="D4" i="85"/>
  <c r="T1" i="85"/>
  <c r="L1" i="85"/>
  <c r="AK28" i="83"/>
  <c r="AL28" i="83" s="1"/>
  <c r="AI28" i="83"/>
  <c r="AJ28" i="83" s="1"/>
  <c r="AG28" i="83"/>
  <c r="AH28" i="83" s="1"/>
  <c r="AE28" i="83"/>
  <c r="AF28" i="83" s="1"/>
  <c r="AC28" i="83"/>
  <c r="AD28" i="83" s="1"/>
  <c r="AA28" i="83"/>
  <c r="AB28" i="83" s="1"/>
  <c r="Y28" i="83"/>
  <c r="Z28" i="83" s="1"/>
  <c r="W28" i="83"/>
  <c r="X28" i="83" s="1"/>
  <c r="U28" i="83"/>
  <c r="V28" i="83" s="1"/>
  <c r="S28" i="83"/>
  <c r="T28" i="83" s="1"/>
  <c r="Q28" i="83"/>
  <c r="R28" i="83" s="1"/>
  <c r="O28" i="83"/>
  <c r="P28" i="83" s="1"/>
  <c r="M28" i="83"/>
  <c r="N28" i="83" s="1"/>
  <c r="K28" i="83"/>
  <c r="L28" i="83" s="1"/>
  <c r="I28" i="83"/>
  <c r="J28" i="83" s="1"/>
  <c r="G28" i="83"/>
  <c r="H28" i="83" s="1"/>
  <c r="E28" i="83"/>
  <c r="F28" i="83" s="1"/>
  <c r="D28" i="83"/>
  <c r="AL27" i="83"/>
  <c r="AJ27" i="83"/>
  <c r="AH27" i="83"/>
  <c r="AF27" i="83"/>
  <c r="AD27" i="83"/>
  <c r="AB27" i="83"/>
  <c r="Z27" i="83"/>
  <c r="X27" i="83"/>
  <c r="V27" i="83"/>
  <c r="T27" i="83"/>
  <c r="R27" i="83"/>
  <c r="P27" i="83"/>
  <c r="N27" i="83"/>
  <c r="L27" i="83"/>
  <c r="J27" i="83"/>
  <c r="H27" i="83"/>
  <c r="F27" i="83"/>
  <c r="D27" i="83"/>
  <c r="D25" i="83"/>
  <c r="D23" i="83"/>
  <c r="D22" i="83"/>
  <c r="AK21" i="83"/>
  <c r="AL21" i="83" s="1"/>
  <c r="AI21" i="83"/>
  <c r="AJ21" i="83" s="1"/>
  <c r="AG21" i="83"/>
  <c r="AH21" i="83" s="1"/>
  <c r="AE21" i="83"/>
  <c r="AF21" i="83" s="1"/>
  <c r="AC21" i="83"/>
  <c r="AD21" i="83" s="1"/>
  <c r="AA21" i="83"/>
  <c r="AB21" i="83" s="1"/>
  <c r="Y21" i="83"/>
  <c r="Z21" i="83" s="1"/>
  <c r="W21" i="83"/>
  <c r="X21" i="83" s="1"/>
  <c r="U21" i="83"/>
  <c r="V21" i="83" s="1"/>
  <c r="S21" i="83"/>
  <c r="T21" i="83" s="1"/>
  <c r="Q21" i="83"/>
  <c r="R21" i="83" s="1"/>
  <c r="O21" i="83"/>
  <c r="P21" i="83" s="1"/>
  <c r="M21" i="83"/>
  <c r="N21" i="83" s="1"/>
  <c r="K21" i="83"/>
  <c r="L21" i="83" s="1"/>
  <c r="I21" i="83"/>
  <c r="J21" i="83" s="1"/>
  <c r="G21" i="83"/>
  <c r="H21" i="83" s="1"/>
  <c r="E21" i="83"/>
  <c r="F21" i="83" s="1"/>
  <c r="D21" i="83"/>
  <c r="AK20" i="83"/>
  <c r="AL20" i="83" s="1"/>
  <c r="AG20" i="83"/>
  <c r="AH20" i="83" s="1"/>
  <c r="AE20" i="83"/>
  <c r="AF20" i="83" s="1"/>
  <c r="AC20" i="83"/>
  <c r="AD20" i="83" s="1"/>
  <c r="Y20" i="83"/>
  <c r="Z20" i="83" s="1"/>
  <c r="W20" i="83"/>
  <c r="X20" i="83" s="1"/>
  <c r="U20" i="83"/>
  <c r="V20" i="83" s="1"/>
  <c r="Q20" i="83"/>
  <c r="R20" i="83" s="1"/>
  <c r="O20" i="83"/>
  <c r="P20" i="83" s="1"/>
  <c r="M20" i="83"/>
  <c r="N20" i="83" s="1"/>
  <c r="I20" i="83"/>
  <c r="J20" i="83" s="1"/>
  <c r="G20" i="83"/>
  <c r="H20" i="83" s="1"/>
  <c r="E20" i="83"/>
  <c r="F20" i="83" s="1"/>
  <c r="D20" i="83"/>
  <c r="AK18" i="83"/>
  <c r="AL18" i="83" s="1"/>
  <c r="AI18" i="83"/>
  <c r="AJ18" i="83" s="1"/>
  <c r="AG18" i="83"/>
  <c r="AH18" i="83" s="1"/>
  <c r="AE18" i="83"/>
  <c r="AF18" i="83" s="1"/>
  <c r="AC18" i="83"/>
  <c r="AD18" i="83" s="1"/>
  <c r="AA18" i="83"/>
  <c r="AB18" i="83" s="1"/>
  <c r="Y18" i="83"/>
  <c r="Z18" i="83" s="1"/>
  <c r="W18" i="83"/>
  <c r="X18" i="83" s="1"/>
  <c r="U18" i="83"/>
  <c r="V18" i="83" s="1"/>
  <c r="S18" i="83"/>
  <c r="T18" i="83" s="1"/>
  <c r="Q18" i="83"/>
  <c r="R18" i="83" s="1"/>
  <c r="O18" i="83"/>
  <c r="P18" i="83" s="1"/>
  <c r="M18" i="83"/>
  <c r="N18" i="83" s="1"/>
  <c r="K18" i="83"/>
  <c r="L18" i="83" s="1"/>
  <c r="I18" i="83"/>
  <c r="J18" i="83" s="1"/>
  <c r="G18" i="83"/>
  <c r="H18" i="83" s="1"/>
  <c r="E18" i="83"/>
  <c r="F18" i="83" s="1"/>
  <c r="D18" i="83"/>
  <c r="AK17" i="83"/>
  <c r="AL17" i="83" s="1"/>
  <c r="AI17" i="83"/>
  <c r="AJ17" i="83" s="1"/>
  <c r="AG17" i="83"/>
  <c r="AH17" i="83" s="1"/>
  <c r="AE17" i="83"/>
  <c r="AF17" i="83" s="1"/>
  <c r="AC17" i="83"/>
  <c r="AD17" i="83" s="1"/>
  <c r="AA17" i="83"/>
  <c r="AB17" i="83" s="1"/>
  <c r="Y17" i="83"/>
  <c r="Z17" i="83" s="1"/>
  <c r="W17" i="83"/>
  <c r="X17" i="83" s="1"/>
  <c r="U17" i="83"/>
  <c r="V17" i="83" s="1"/>
  <c r="S17" i="83"/>
  <c r="T17" i="83" s="1"/>
  <c r="Q17" i="83"/>
  <c r="R17" i="83" s="1"/>
  <c r="O17" i="83"/>
  <c r="P17" i="83" s="1"/>
  <c r="M17" i="83"/>
  <c r="N17" i="83" s="1"/>
  <c r="K17" i="83"/>
  <c r="L17" i="83" s="1"/>
  <c r="I17" i="83"/>
  <c r="J17" i="83" s="1"/>
  <c r="G17" i="83"/>
  <c r="H17" i="83" s="1"/>
  <c r="E17" i="83"/>
  <c r="F17" i="83" s="1"/>
  <c r="D17" i="83"/>
  <c r="AK16" i="83"/>
  <c r="AL16" i="83" s="1"/>
  <c r="AI16" i="83"/>
  <c r="AJ16" i="83" s="1"/>
  <c r="AG16" i="83"/>
  <c r="AH16" i="83" s="1"/>
  <c r="AE16" i="83"/>
  <c r="AF16" i="83" s="1"/>
  <c r="AC16" i="83"/>
  <c r="AD16" i="83" s="1"/>
  <c r="AA16" i="83"/>
  <c r="AB16" i="83" s="1"/>
  <c r="Y16" i="83"/>
  <c r="Z16" i="83" s="1"/>
  <c r="W16" i="83"/>
  <c r="X16" i="83" s="1"/>
  <c r="U16" i="83"/>
  <c r="V16" i="83" s="1"/>
  <c r="S16" i="83"/>
  <c r="T16" i="83" s="1"/>
  <c r="Q16" i="83"/>
  <c r="R16" i="83" s="1"/>
  <c r="O16" i="83"/>
  <c r="P16" i="83" s="1"/>
  <c r="M16" i="83"/>
  <c r="N16" i="83" s="1"/>
  <c r="K16" i="83"/>
  <c r="L16" i="83" s="1"/>
  <c r="I16" i="83"/>
  <c r="J16" i="83" s="1"/>
  <c r="G16" i="83"/>
  <c r="H16" i="83" s="1"/>
  <c r="E16" i="83"/>
  <c r="F16" i="83" s="1"/>
  <c r="D16" i="83"/>
  <c r="AK15" i="83"/>
  <c r="AL15" i="83" s="1"/>
  <c r="AI15" i="83"/>
  <c r="AJ15" i="83" s="1"/>
  <c r="AG15" i="83"/>
  <c r="AH15" i="83" s="1"/>
  <c r="AE15" i="83"/>
  <c r="AF15" i="83" s="1"/>
  <c r="AC15" i="83"/>
  <c r="AD15" i="83" s="1"/>
  <c r="AA15" i="83"/>
  <c r="AB15" i="83" s="1"/>
  <c r="Y15" i="83"/>
  <c r="Z15" i="83" s="1"/>
  <c r="W15" i="83"/>
  <c r="X15" i="83" s="1"/>
  <c r="U15" i="83"/>
  <c r="V15" i="83" s="1"/>
  <c r="S15" i="83"/>
  <c r="T15" i="83" s="1"/>
  <c r="Q15" i="83"/>
  <c r="R15" i="83" s="1"/>
  <c r="O15" i="83"/>
  <c r="P15" i="83" s="1"/>
  <c r="M15" i="83"/>
  <c r="N15" i="83" s="1"/>
  <c r="K15" i="83"/>
  <c r="L15" i="83" s="1"/>
  <c r="I15" i="83"/>
  <c r="J15" i="83" s="1"/>
  <c r="G15" i="83"/>
  <c r="H15" i="83" s="1"/>
  <c r="E15" i="83"/>
  <c r="F15" i="83" s="1"/>
  <c r="D15" i="83"/>
  <c r="AK14" i="83"/>
  <c r="AL14" i="83" s="1"/>
  <c r="AI14" i="83"/>
  <c r="AJ14" i="83" s="1"/>
  <c r="AG14" i="83"/>
  <c r="AH14" i="83" s="1"/>
  <c r="AE14" i="83"/>
  <c r="AF14" i="83" s="1"/>
  <c r="AC14" i="83"/>
  <c r="AD14" i="83" s="1"/>
  <c r="AA14" i="83"/>
  <c r="AB14" i="83" s="1"/>
  <c r="Y14" i="83"/>
  <c r="Z14" i="83" s="1"/>
  <c r="W14" i="83"/>
  <c r="X14" i="83" s="1"/>
  <c r="U14" i="83"/>
  <c r="V14" i="83" s="1"/>
  <c r="S14" i="83"/>
  <c r="T14" i="83" s="1"/>
  <c r="Q14" i="83"/>
  <c r="R14" i="83" s="1"/>
  <c r="O14" i="83"/>
  <c r="P14" i="83" s="1"/>
  <c r="N14" i="83"/>
  <c r="M14" i="83"/>
  <c r="K14" i="83"/>
  <c r="L14" i="83" s="1"/>
  <c r="I14" i="83"/>
  <c r="J14" i="83" s="1"/>
  <c r="G14" i="83"/>
  <c r="H14" i="83" s="1"/>
  <c r="E14" i="83"/>
  <c r="F14" i="83" s="1"/>
  <c r="D14" i="83"/>
  <c r="AK13" i="83"/>
  <c r="AL13" i="83" s="1"/>
  <c r="AI13" i="83"/>
  <c r="AJ13" i="83" s="1"/>
  <c r="AG13" i="83"/>
  <c r="AH13" i="83" s="1"/>
  <c r="AE13" i="83"/>
  <c r="AF13" i="83" s="1"/>
  <c r="AC13" i="83"/>
  <c r="AD13" i="83" s="1"/>
  <c r="AA13" i="83"/>
  <c r="AB13" i="83" s="1"/>
  <c r="Y13" i="83"/>
  <c r="Z13" i="83" s="1"/>
  <c r="W13" i="83"/>
  <c r="X13" i="83" s="1"/>
  <c r="U13" i="83"/>
  <c r="V13" i="83" s="1"/>
  <c r="T13" i="83"/>
  <c r="S13" i="83"/>
  <c r="Q13" i="83"/>
  <c r="R13" i="83" s="1"/>
  <c r="O13" i="83"/>
  <c r="P13" i="83" s="1"/>
  <c r="M13" i="83"/>
  <c r="N13" i="83" s="1"/>
  <c r="K13" i="83"/>
  <c r="L13" i="83" s="1"/>
  <c r="I13" i="83"/>
  <c r="J13" i="83" s="1"/>
  <c r="G13" i="83"/>
  <c r="H13" i="83" s="1"/>
  <c r="E13" i="83"/>
  <c r="F13" i="83" s="1"/>
  <c r="D13" i="83"/>
  <c r="AL11" i="83"/>
  <c r="AJ11" i="83"/>
  <c r="AH11" i="83"/>
  <c r="AF11" i="83"/>
  <c r="AD11" i="83"/>
  <c r="AB11" i="83"/>
  <c r="Z11" i="83"/>
  <c r="X11" i="83"/>
  <c r="D11" i="83"/>
  <c r="AK10" i="83"/>
  <c r="AK23" i="83" s="1"/>
  <c r="AL23" i="83" s="1"/>
  <c r="AI10" i="83"/>
  <c r="AI23" i="83" s="1"/>
  <c r="AJ23" i="83" s="1"/>
  <c r="AG10" i="83"/>
  <c r="AG23" i="83" s="1"/>
  <c r="AH23" i="83" s="1"/>
  <c r="AE10" i="83"/>
  <c r="AE23" i="83" s="1"/>
  <c r="AF23" i="83" s="1"/>
  <c r="AC10" i="83"/>
  <c r="AC23" i="83" s="1"/>
  <c r="AD23" i="83" s="1"/>
  <c r="AA10" i="83"/>
  <c r="AA23" i="83" s="1"/>
  <c r="AB23" i="83" s="1"/>
  <c r="Y10" i="83"/>
  <c r="Y23" i="83" s="1"/>
  <c r="Z23" i="83" s="1"/>
  <c r="W10" i="83"/>
  <c r="X10" i="83" s="1"/>
  <c r="U10" i="83"/>
  <c r="U23" i="83" s="1"/>
  <c r="V23" i="83" s="1"/>
  <c r="S10" i="83"/>
  <c r="S23" i="83" s="1"/>
  <c r="T23" i="83" s="1"/>
  <c r="Q10" i="83"/>
  <c r="Q23" i="83" s="1"/>
  <c r="R23" i="83" s="1"/>
  <c r="O10" i="83"/>
  <c r="O23" i="83" s="1"/>
  <c r="P23" i="83" s="1"/>
  <c r="M10" i="83"/>
  <c r="M23" i="83" s="1"/>
  <c r="N23" i="83" s="1"/>
  <c r="K10" i="83"/>
  <c r="K23" i="83" s="1"/>
  <c r="L23" i="83" s="1"/>
  <c r="I10" i="83"/>
  <c r="I23" i="83" s="1"/>
  <c r="J23" i="83" s="1"/>
  <c r="G10" i="83"/>
  <c r="H10" i="83" s="1"/>
  <c r="D10" i="83"/>
  <c r="AK9" i="83"/>
  <c r="AL9" i="83" s="1"/>
  <c r="AI9" i="83"/>
  <c r="AJ9" i="83" s="1"/>
  <c r="AG9" i="83"/>
  <c r="AH9" i="83" s="1"/>
  <c r="AE9" i="83"/>
  <c r="AF9" i="83" s="1"/>
  <c r="AC9" i="83"/>
  <c r="AD9" i="83" s="1"/>
  <c r="AA9" i="83"/>
  <c r="AB9" i="83" s="1"/>
  <c r="Y9" i="83"/>
  <c r="Z9" i="83" s="1"/>
  <c r="W9" i="83"/>
  <c r="X9" i="83" s="1"/>
  <c r="U9" i="83"/>
  <c r="V9" i="83" s="1"/>
  <c r="S9" i="83"/>
  <c r="T9" i="83" s="1"/>
  <c r="Q9" i="83"/>
  <c r="R9" i="83" s="1"/>
  <c r="O9" i="83"/>
  <c r="P9" i="83" s="1"/>
  <c r="M9" i="83"/>
  <c r="N9" i="83" s="1"/>
  <c r="K9" i="83"/>
  <c r="L9" i="83" s="1"/>
  <c r="I9" i="83"/>
  <c r="J9" i="83" s="1"/>
  <c r="G9" i="83"/>
  <c r="H9" i="83" s="1"/>
  <c r="E9" i="83"/>
  <c r="F9" i="83" s="1"/>
  <c r="D9" i="83"/>
  <c r="AK8" i="83"/>
  <c r="AL8" i="83" s="1"/>
  <c r="AG8" i="83"/>
  <c r="AH8" i="83" s="1"/>
  <c r="AE8" i="83"/>
  <c r="AF8" i="83" s="1"/>
  <c r="AC8" i="83"/>
  <c r="AD8" i="83" s="1"/>
  <c r="Y8" i="83"/>
  <c r="Z8" i="83" s="1"/>
  <c r="W8" i="83"/>
  <c r="X8" i="83" s="1"/>
  <c r="U8" i="83"/>
  <c r="V8" i="83" s="1"/>
  <c r="Q8" i="83"/>
  <c r="R8" i="83" s="1"/>
  <c r="O8" i="83"/>
  <c r="P8" i="83" s="1"/>
  <c r="M8" i="83"/>
  <c r="N8" i="83" s="1"/>
  <c r="I8" i="83"/>
  <c r="J8" i="83" s="1"/>
  <c r="G8" i="83"/>
  <c r="H8" i="83" s="1"/>
  <c r="E8" i="83"/>
  <c r="F8" i="83" s="1"/>
  <c r="D8" i="83"/>
  <c r="AK7" i="83"/>
  <c r="AL7" i="83" s="1"/>
  <c r="AI7" i="83"/>
  <c r="AJ7" i="83" s="1"/>
  <c r="AG7" i="83"/>
  <c r="AH7" i="83" s="1"/>
  <c r="AE7" i="83"/>
  <c r="AF7" i="83" s="1"/>
  <c r="AC7" i="83"/>
  <c r="AD7" i="83" s="1"/>
  <c r="AA7" i="83"/>
  <c r="AB7" i="83" s="1"/>
  <c r="Y7" i="83"/>
  <c r="Z7" i="83" s="1"/>
  <c r="W7" i="83"/>
  <c r="X7" i="83" s="1"/>
  <c r="U7" i="83"/>
  <c r="V7" i="83" s="1"/>
  <c r="S7" i="83"/>
  <c r="T7" i="83" s="1"/>
  <c r="Q7" i="83"/>
  <c r="R7" i="83" s="1"/>
  <c r="O7" i="83"/>
  <c r="P7" i="83" s="1"/>
  <c r="M7" i="83"/>
  <c r="N7" i="83" s="1"/>
  <c r="K7" i="83"/>
  <c r="L7" i="83" s="1"/>
  <c r="I7" i="83"/>
  <c r="J7" i="83" s="1"/>
  <c r="G7" i="83"/>
  <c r="H7" i="83" s="1"/>
  <c r="E7" i="83"/>
  <c r="F7" i="83" s="1"/>
  <c r="D7" i="83"/>
  <c r="AK6" i="83"/>
  <c r="AL6" i="83" s="1"/>
  <c r="AI6" i="83"/>
  <c r="AI25" i="83" s="1"/>
  <c r="AJ25" i="83" s="1"/>
  <c r="AG6" i="83"/>
  <c r="AH6" i="83" s="1"/>
  <c r="AE6" i="83"/>
  <c r="AE25" i="83" s="1"/>
  <c r="AF25" i="83" s="1"/>
  <c r="AC6" i="83"/>
  <c r="AD6" i="83" s="1"/>
  <c r="AA6" i="83"/>
  <c r="AA25" i="83" s="1"/>
  <c r="AB25" i="83" s="1"/>
  <c r="Y6" i="83"/>
  <c r="Z6" i="83" s="1"/>
  <c r="W6" i="83"/>
  <c r="U6" i="83"/>
  <c r="V6" i="83" s="1"/>
  <c r="S6" i="83"/>
  <c r="S25" i="83" s="1"/>
  <c r="T25" i="83" s="1"/>
  <c r="Q6" i="83"/>
  <c r="R6" i="83" s="1"/>
  <c r="O6" i="83"/>
  <c r="O25" i="83" s="1"/>
  <c r="P25" i="83" s="1"/>
  <c r="M6" i="83"/>
  <c r="N6" i="83" s="1"/>
  <c r="K6" i="83"/>
  <c r="K25" i="83" s="1"/>
  <c r="L25" i="83" s="1"/>
  <c r="I6" i="83"/>
  <c r="J6" i="83" s="1"/>
  <c r="G6" i="83"/>
  <c r="E6" i="83"/>
  <c r="F6" i="83" s="1"/>
  <c r="D6" i="83"/>
  <c r="AK5" i="83"/>
  <c r="AG5" i="83"/>
  <c r="AE5" i="83"/>
  <c r="AE22" i="83" s="1"/>
  <c r="AF22" i="83" s="1"/>
  <c r="AC5" i="83"/>
  <c r="Y5" i="83"/>
  <c r="W5" i="83"/>
  <c r="W22" i="83" s="1"/>
  <c r="X22" i="83" s="1"/>
  <c r="U5" i="83"/>
  <c r="Q5" i="83"/>
  <c r="O5" i="83"/>
  <c r="O22" i="83" s="1"/>
  <c r="P22" i="83" s="1"/>
  <c r="M5" i="83"/>
  <c r="I5" i="83"/>
  <c r="G5" i="83"/>
  <c r="G22" i="83" s="1"/>
  <c r="H22" i="83" s="1"/>
  <c r="E5" i="83"/>
  <c r="D5" i="83"/>
  <c r="AK4" i="83"/>
  <c r="AL4" i="83" s="1"/>
  <c r="AI4" i="83"/>
  <c r="AJ4" i="83" s="1"/>
  <c r="AG4" i="83"/>
  <c r="AH4" i="83" s="1"/>
  <c r="AE4" i="83"/>
  <c r="AF4" i="83" s="1"/>
  <c r="AC4" i="83"/>
  <c r="AD4" i="83" s="1"/>
  <c r="AA4" i="83"/>
  <c r="AB4" i="83" s="1"/>
  <c r="Y4" i="83"/>
  <c r="Z4" i="83" s="1"/>
  <c r="W4" i="83"/>
  <c r="X4" i="83" s="1"/>
  <c r="U4" i="83"/>
  <c r="V4" i="83" s="1"/>
  <c r="S4" i="83"/>
  <c r="T4" i="83" s="1"/>
  <c r="Q4" i="83"/>
  <c r="R4" i="83" s="1"/>
  <c r="O4" i="83"/>
  <c r="P4" i="83" s="1"/>
  <c r="M4" i="83"/>
  <c r="N4" i="83" s="1"/>
  <c r="K4" i="83"/>
  <c r="L4" i="83" s="1"/>
  <c r="I4" i="83"/>
  <c r="J4" i="83" s="1"/>
  <c r="G4" i="83"/>
  <c r="H4" i="83" s="1"/>
  <c r="E4" i="83"/>
  <c r="F4" i="83" s="1"/>
  <c r="D4" i="83"/>
  <c r="T1" i="83"/>
  <c r="L1" i="83"/>
  <c r="AK22" i="84"/>
  <c r="AL22" i="84" s="1"/>
  <c r="AI22" i="84"/>
  <c r="AJ22" i="84" s="1"/>
  <c r="AG22" i="84"/>
  <c r="AH22" i="84" s="1"/>
  <c r="AE22" i="84"/>
  <c r="AF22" i="84" s="1"/>
  <c r="AD22" i="84"/>
  <c r="AC22" i="84"/>
  <c r="AA22" i="84"/>
  <c r="AB22" i="84" s="1"/>
  <c r="Y22" i="84"/>
  <c r="Z22" i="84" s="1"/>
  <c r="W22" i="84"/>
  <c r="X22" i="84" s="1"/>
  <c r="U22" i="84"/>
  <c r="V22" i="84" s="1"/>
  <c r="S22" i="84"/>
  <c r="T22" i="84" s="1"/>
  <c r="Q22" i="84"/>
  <c r="R22" i="84" s="1"/>
  <c r="O22" i="84"/>
  <c r="P22" i="84" s="1"/>
  <c r="N22" i="84"/>
  <c r="M22" i="84"/>
  <c r="K22" i="84"/>
  <c r="L22" i="84" s="1"/>
  <c r="I22" i="84"/>
  <c r="J22" i="84" s="1"/>
  <c r="G22" i="84"/>
  <c r="H22" i="84" s="1"/>
  <c r="E22" i="84"/>
  <c r="F22" i="84" s="1"/>
  <c r="D22" i="84"/>
  <c r="AK21" i="84"/>
  <c r="AL21" i="84" s="1"/>
  <c r="AG21" i="84"/>
  <c r="AH21" i="84" s="1"/>
  <c r="AE21" i="84"/>
  <c r="AF21" i="84" s="1"/>
  <c r="AC21" i="84"/>
  <c r="AD21" i="84" s="1"/>
  <c r="Y21" i="84"/>
  <c r="Z21" i="84" s="1"/>
  <c r="W21" i="84"/>
  <c r="X21" i="84" s="1"/>
  <c r="U21" i="84"/>
  <c r="V21" i="84" s="1"/>
  <c r="Q21" i="84"/>
  <c r="R21" i="84" s="1"/>
  <c r="O21" i="84"/>
  <c r="P21" i="84" s="1"/>
  <c r="M21" i="84"/>
  <c r="N21" i="84" s="1"/>
  <c r="I21" i="84"/>
  <c r="J21" i="84" s="1"/>
  <c r="G21" i="84"/>
  <c r="H21" i="84" s="1"/>
  <c r="E21" i="84"/>
  <c r="F21" i="84" s="1"/>
  <c r="D21" i="84"/>
  <c r="D20" i="84"/>
  <c r="AL18" i="84"/>
  <c r="AJ18" i="84"/>
  <c r="AH18" i="84"/>
  <c r="AF18" i="84"/>
  <c r="AD18" i="84"/>
  <c r="AB18" i="84"/>
  <c r="Z18" i="84"/>
  <c r="X18" i="84"/>
  <c r="V18" i="84"/>
  <c r="T18" i="84"/>
  <c r="R18" i="84"/>
  <c r="P18" i="84"/>
  <c r="N18" i="84"/>
  <c r="L18" i="84"/>
  <c r="J18" i="84"/>
  <c r="H18" i="84"/>
  <c r="F18" i="84"/>
  <c r="D18" i="84"/>
  <c r="D17" i="84"/>
  <c r="AK16" i="84"/>
  <c r="AL16" i="84" s="1"/>
  <c r="AI16" i="84"/>
  <c r="AJ16" i="84" s="1"/>
  <c r="AG16" i="84"/>
  <c r="AH16" i="84" s="1"/>
  <c r="AE16" i="84"/>
  <c r="AF16" i="84" s="1"/>
  <c r="AC16" i="84"/>
  <c r="AD16" i="84" s="1"/>
  <c r="AA16" i="84"/>
  <c r="AB16" i="84" s="1"/>
  <c r="Y16" i="84"/>
  <c r="Z16" i="84" s="1"/>
  <c r="W16" i="84"/>
  <c r="X16" i="84" s="1"/>
  <c r="U16" i="84"/>
  <c r="V16" i="84" s="1"/>
  <c r="S16" i="84"/>
  <c r="T16" i="84" s="1"/>
  <c r="Q16" i="84"/>
  <c r="R16" i="84" s="1"/>
  <c r="O16" i="84"/>
  <c r="P16" i="84" s="1"/>
  <c r="M16" i="84"/>
  <c r="N16" i="84" s="1"/>
  <c r="K16" i="84"/>
  <c r="L16" i="84" s="1"/>
  <c r="I16" i="84"/>
  <c r="J16" i="84" s="1"/>
  <c r="G16" i="84"/>
  <c r="H16" i="84" s="1"/>
  <c r="E16" i="84"/>
  <c r="F16" i="84" s="1"/>
  <c r="D16" i="84"/>
  <c r="D15" i="84"/>
  <c r="AL13" i="84"/>
  <c r="AJ13" i="84"/>
  <c r="AH13" i="84"/>
  <c r="AF13" i="84"/>
  <c r="AD13" i="84"/>
  <c r="AB13" i="84"/>
  <c r="Z13" i="84"/>
  <c r="X13" i="84"/>
  <c r="V13" i="84"/>
  <c r="T13" i="84"/>
  <c r="R13" i="84"/>
  <c r="P13" i="84"/>
  <c r="N13" i="84"/>
  <c r="L13" i="84"/>
  <c r="J13" i="84"/>
  <c r="H13" i="84"/>
  <c r="F13" i="84"/>
  <c r="D13" i="84"/>
  <c r="D12" i="84"/>
  <c r="AL11" i="84"/>
  <c r="AJ11" i="84"/>
  <c r="AH11" i="84"/>
  <c r="AF11" i="84"/>
  <c r="AD11" i="84"/>
  <c r="AB11" i="84"/>
  <c r="Z11" i="84"/>
  <c r="X11" i="84"/>
  <c r="V11" i="84"/>
  <c r="T11" i="84"/>
  <c r="R11" i="84"/>
  <c r="P11" i="84"/>
  <c r="N11" i="84"/>
  <c r="L11" i="84"/>
  <c r="J11" i="84"/>
  <c r="H11" i="84"/>
  <c r="F11" i="84"/>
  <c r="D11" i="84"/>
  <c r="AL10" i="84"/>
  <c r="AJ10" i="84"/>
  <c r="AH10" i="84"/>
  <c r="AF10" i="84"/>
  <c r="AD10" i="84"/>
  <c r="AB10" i="84"/>
  <c r="Z10" i="84"/>
  <c r="X10" i="84"/>
  <c r="V10" i="84"/>
  <c r="T10" i="84"/>
  <c r="R10" i="84"/>
  <c r="P10" i="84"/>
  <c r="N10" i="84"/>
  <c r="L10" i="84"/>
  <c r="J10" i="84"/>
  <c r="H10" i="84"/>
  <c r="F10" i="84"/>
  <c r="D10" i="84"/>
  <c r="AL8" i="84"/>
  <c r="AJ8" i="84"/>
  <c r="AH8" i="84"/>
  <c r="AF8" i="84"/>
  <c r="AD8" i="84"/>
  <c r="AB8" i="84"/>
  <c r="Z8" i="84"/>
  <c r="X8" i="84"/>
  <c r="V8" i="84"/>
  <c r="T8" i="84"/>
  <c r="R8" i="84"/>
  <c r="P8" i="84"/>
  <c r="N8" i="84"/>
  <c r="L8" i="84"/>
  <c r="J8" i="84"/>
  <c r="H8" i="84"/>
  <c r="F8" i="84"/>
  <c r="D8" i="84"/>
  <c r="D7" i="84"/>
  <c r="AL6" i="84"/>
  <c r="AJ6" i="84"/>
  <c r="AH6" i="84"/>
  <c r="AF6" i="84"/>
  <c r="AD6" i="84"/>
  <c r="AB6" i="84"/>
  <c r="Z6" i="84"/>
  <c r="X6" i="84"/>
  <c r="V6" i="84"/>
  <c r="T6" i="84"/>
  <c r="R6" i="84"/>
  <c r="P6" i="84"/>
  <c r="N6" i="84"/>
  <c r="L6" i="84"/>
  <c r="J6" i="84"/>
  <c r="H6" i="84"/>
  <c r="F6" i="84"/>
  <c r="D6" i="84"/>
  <c r="AK5" i="84"/>
  <c r="AK7" i="84" s="1"/>
  <c r="AL7" i="84" s="1"/>
  <c r="AG5" i="84"/>
  <c r="AE5" i="84"/>
  <c r="AE20" i="84" s="1"/>
  <c r="AF20" i="84" s="1"/>
  <c r="AC5" i="84"/>
  <c r="AC7" i="84" s="1"/>
  <c r="AD7" i="84" s="1"/>
  <c r="Y5" i="84"/>
  <c r="Y20" i="84" s="1"/>
  <c r="Z20" i="84" s="1"/>
  <c r="W5" i="84"/>
  <c r="U5" i="84"/>
  <c r="U7" i="84" s="1"/>
  <c r="V7" i="84" s="1"/>
  <c r="Q5" i="84"/>
  <c r="O5" i="84"/>
  <c r="O20" i="84" s="1"/>
  <c r="P20" i="84" s="1"/>
  <c r="M5" i="84"/>
  <c r="M7" i="84" s="1"/>
  <c r="N7" i="84" s="1"/>
  <c r="I5" i="84"/>
  <c r="I20" i="84" s="1"/>
  <c r="J20" i="84" s="1"/>
  <c r="G5" i="84"/>
  <c r="E5" i="84"/>
  <c r="E7" i="84" s="1"/>
  <c r="F7" i="84" s="1"/>
  <c r="D5" i="84"/>
  <c r="AK4" i="84"/>
  <c r="AL4" i="84" s="1"/>
  <c r="AG4" i="84"/>
  <c r="AH4" i="84" s="1"/>
  <c r="AE4" i="84"/>
  <c r="AF4" i="84" s="1"/>
  <c r="AC4" i="84"/>
  <c r="AD4" i="84" s="1"/>
  <c r="Y4" i="84"/>
  <c r="Z4" i="84" s="1"/>
  <c r="W4" i="84"/>
  <c r="X4" i="84" s="1"/>
  <c r="U4" i="84"/>
  <c r="V4" i="84" s="1"/>
  <c r="Q4" i="84"/>
  <c r="R4" i="84" s="1"/>
  <c r="O4" i="84"/>
  <c r="P4" i="84" s="1"/>
  <c r="M4" i="84"/>
  <c r="N4" i="84" s="1"/>
  <c r="I4" i="84"/>
  <c r="J4" i="84" s="1"/>
  <c r="G4" i="84"/>
  <c r="H4" i="84" s="1"/>
  <c r="E4" i="84"/>
  <c r="F4" i="84" s="1"/>
  <c r="D4" i="84"/>
  <c r="T1" i="84"/>
  <c r="L1" i="84"/>
  <c r="AL24" i="51"/>
  <c r="AJ24" i="51"/>
  <c r="AH24" i="51"/>
  <c r="AF24" i="51"/>
  <c r="AD24" i="51"/>
  <c r="AB24" i="51"/>
  <c r="Z24" i="51"/>
  <c r="X24" i="51"/>
  <c r="V24" i="51"/>
  <c r="T24" i="51"/>
  <c r="R24" i="51"/>
  <c r="P24" i="51"/>
  <c r="N24" i="51"/>
  <c r="L24" i="51"/>
  <c r="J24" i="51"/>
  <c r="H24" i="51"/>
  <c r="F24" i="51"/>
  <c r="D24" i="51"/>
  <c r="AL23" i="51"/>
  <c r="AJ23" i="51"/>
  <c r="AH23" i="51"/>
  <c r="AF23" i="51"/>
  <c r="AD23" i="51"/>
  <c r="AB23" i="51"/>
  <c r="Z23" i="51"/>
  <c r="X23" i="51"/>
  <c r="V23" i="51"/>
  <c r="T23" i="51"/>
  <c r="R23" i="51"/>
  <c r="P23" i="51"/>
  <c r="N23" i="51"/>
  <c r="L23" i="51"/>
  <c r="J23" i="51"/>
  <c r="H23" i="51"/>
  <c r="F23" i="51"/>
  <c r="D23" i="51"/>
  <c r="D22" i="51"/>
  <c r="AL20" i="51"/>
  <c r="AJ20" i="51"/>
  <c r="AH20" i="51"/>
  <c r="AF20" i="51"/>
  <c r="AD20" i="51"/>
  <c r="AB20" i="51"/>
  <c r="Z20" i="51"/>
  <c r="X20" i="51"/>
  <c r="V20" i="51"/>
  <c r="T20" i="51"/>
  <c r="R20" i="51"/>
  <c r="P20" i="51"/>
  <c r="N20" i="51"/>
  <c r="L20" i="51"/>
  <c r="J20" i="51"/>
  <c r="H20" i="51"/>
  <c r="F20" i="51"/>
  <c r="D20" i="51"/>
  <c r="AL19" i="51"/>
  <c r="AJ19" i="51"/>
  <c r="AH19" i="51"/>
  <c r="AF19" i="51"/>
  <c r="AD19" i="51"/>
  <c r="AB19" i="51"/>
  <c r="Z19" i="51"/>
  <c r="X19" i="51"/>
  <c r="V19" i="51"/>
  <c r="T19" i="51"/>
  <c r="R19" i="51"/>
  <c r="P19" i="51"/>
  <c r="N19" i="51"/>
  <c r="L19" i="51"/>
  <c r="J19" i="51"/>
  <c r="H19" i="51"/>
  <c r="F19" i="51"/>
  <c r="D19" i="51"/>
  <c r="AL18" i="51"/>
  <c r="AJ18" i="51"/>
  <c r="AH18" i="51"/>
  <c r="AF18" i="51"/>
  <c r="AD18" i="51"/>
  <c r="AB18" i="51"/>
  <c r="Z18" i="51"/>
  <c r="X18" i="51"/>
  <c r="V18" i="51"/>
  <c r="T18" i="51"/>
  <c r="R18" i="51"/>
  <c r="P18" i="51"/>
  <c r="N18" i="51"/>
  <c r="L18" i="51"/>
  <c r="J18" i="51"/>
  <c r="H18" i="51"/>
  <c r="F18" i="51"/>
  <c r="D18" i="51"/>
  <c r="D17" i="51"/>
  <c r="AL16" i="51"/>
  <c r="AJ16" i="51"/>
  <c r="AH16" i="51"/>
  <c r="AF16" i="51"/>
  <c r="AD16" i="51"/>
  <c r="AB16" i="51"/>
  <c r="Z16" i="51"/>
  <c r="X16" i="51"/>
  <c r="V16" i="51"/>
  <c r="T16" i="51"/>
  <c r="R16" i="51"/>
  <c r="P16" i="51"/>
  <c r="N16" i="51"/>
  <c r="L16" i="51"/>
  <c r="J16" i="51"/>
  <c r="H16" i="51"/>
  <c r="D16" i="51"/>
  <c r="AL14" i="51"/>
  <c r="AJ14" i="51"/>
  <c r="AH14" i="51"/>
  <c r="AF14" i="51"/>
  <c r="AD14" i="51"/>
  <c r="AB14" i="51"/>
  <c r="Z14" i="51"/>
  <c r="X14" i="51"/>
  <c r="V14" i="51"/>
  <c r="T14" i="51"/>
  <c r="R14" i="51"/>
  <c r="P14" i="51"/>
  <c r="N14" i="51"/>
  <c r="L14" i="51"/>
  <c r="J14" i="51"/>
  <c r="H14" i="51"/>
  <c r="F14" i="51"/>
  <c r="F15" i="51" s="1"/>
  <c r="E15" i="51" s="1"/>
  <c r="E30" i="51" s="1"/>
  <c r="D14" i="51"/>
  <c r="B14" i="51"/>
  <c r="AL13" i="51"/>
  <c r="AJ13" i="51"/>
  <c r="AH13" i="51"/>
  <c r="AF13" i="51"/>
  <c r="AD13" i="51"/>
  <c r="AB13" i="51"/>
  <c r="Z13" i="51"/>
  <c r="X13" i="51"/>
  <c r="V13" i="51"/>
  <c r="T13" i="51"/>
  <c r="R13" i="51"/>
  <c r="P13" i="51"/>
  <c r="N13" i="51"/>
  <c r="L13" i="51"/>
  <c r="J13" i="51"/>
  <c r="H13" i="51"/>
  <c r="D13" i="51"/>
  <c r="F11" i="51"/>
  <c r="D11" i="51"/>
  <c r="D4" i="51"/>
  <c r="T1" i="51"/>
  <c r="L1" i="51"/>
  <c r="D24" i="50"/>
  <c r="D23" i="50"/>
  <c r="AL21" i="50"/>
  <c r="AJ21" i="50"/>
  <c r="AH21" i="50"/>
  <c r="AF21" i="50"/>
  <c r="AD21" i="50"/>
  <c r="AB21" i="50"/>
  <c r="Z21" i="50"/>
  <c r="X21" i="50"/>
  <c r="V21" i="50"/>
  <c r="T21" i="50"/>
  <c r="R21" i="50"/>
  <c r="P21" i="50"/>
  <c r="N21" i="50"/>
  <c r="L21" i="50"/>
  <c r="J21" i="50"/>
  <c r="H21" i="50"/>
  <c r="F21" i="50"/>
  <c r="D21" i="50"/>
  <c r="D20" i="50"/>
  <c r="AK19" i="50"/>
  <c r="AL19" i="50" s="1"/>
  <c r="AI19" i="50"/>
  <c r="AJ19" i="50" s="1"/>
  <c r="AG19" i="50"/>
  <c r="AH19" i="50" s="1"/>
  <c r="AE19" i="50"/>
  <c r="AF19" i="50" s="1"/>
  <c r="AC19" i="50"/>
  <c r="AD19" i="50" s="1"/>
  <c r="AA19" i="50"/>
  <c r="AB19" i="50" s="1"/>
  <c r="Y19" i="50"/>
  <c r="Z19" i="50" s="1"/>
  <c r="W19" i="50"/>
  <c r="X19" i="50" s="1"/>
  <c r="U19" i="50"/>
  <c r="V19" i="50" s="1"/>
  <c r="S19" i="50"/>
  <c r="T19" i="50" s="1"/>
  <c r="Q19" i="50"/>
  <c r="R19" i="50" s="1"/>
  <c r="O19" i="50"/>
  <c r="P19" i="50" s="1"/>
  <c r="M19" i="50"/>
  <c r="N19" i="50" s="1"/>
  <c r="K19" i="50"/>
  <c r="L19" i="50" s="1"/>
  <c r="I19" i="50"/>
  <c r="J19" i="50" s="1"/>
  <c r="G19" i="50"/>
  <c r="H19" i="50" s="1"/>
  <c r="E19" i="50"/>
  <c r="F19" i="50" s="1"/>
  <c r="D19" i="50"/>
  <c r="AK18" i="50"/>
  <c r="AL18" i="50" s="1"/>
  <c r="AI18" i="50"/>
  <c r="AJ18" i="50" s="1"/>
  <c r="AG18" i="50"/>
  <c r="AH18" i="50" s="1"/>
  <c r="AE18" i="50"/>
  <c r="AF18" i="50" s="1"/>
  <c r="AD18" i="50"/>
  <c r="AC18" i="50"/>
  <c r="AA18" i="50"/>
  <c r="AB18" i="50" s="1"/>
  <c r="Y18" i="50"/>
  <c r="Z18" i="50" s="1"/>
  <c r="W18" i="50"/>
  <c r="X18" i="50" s="1"/>
  <c r="U18" i="50"/>
  <c r="V18" i="50" s="1"/>
  <c r="S18" i="50"/>
  <c r="T18" i="50" s="1"/>
  <c r="Q18" i="50"/>
  <c r="R18" i="50" s="1"/>
  <c r="O18" i="50"/>
  <c r="P18" i="50" s="1"/>
  <c r="M18" i="50"/>
  <c r="N18" i="50" s="1"/>
  <c r="K18" i="50"/>
  <c r="L18" i="50" s="1"/>
  <c r="I18" i="50"/>
  <c r="J18" i="50" s="1"/>
  <c r="G18" i="50"/>
  <c r="H18" i="50" s="1"/>
  <c r="E18" i="50"/>
  <c r="F18" i="50" s="1"/>
  <c r="D18" i="50"/>
  <c r="D17" i="50"/>
  <c r="D15" i="50"/>
  <c r="D14" i="50"/>
  <c r="D13" i="50"/>
  <c r="AK12" i="50"/>
  <c r="AL12" i="50" s="1"/>
  <c r="AI12" i="50"/>
  <c r="AJ12" i="50" s="1"/>
  <c r="AG12" i="50"/>
  <c r="AH12" i="50" s="1"/>
  <c r="AE12" i="50"/>
  <c r="AF12" i="50" s="1"/>
  <c r="AC12" i="50"/>
  <c r="AD12" i="50" s="1"/>
  <c r="AA12" i="50"/>
  <c r="AB12" i="50" s="1"/>
  <c r="Y12" i="50"/>
  <c r="Z12" i="50" s="1"/>
  <c r="W12" i="50"/>
  <c r="X12" i="50" s="1"/>
  <c r="V12" i="50"/>
  <c r="U12" i="50"/>
  <c r="S12" i="50"/>
  <c r="T12" i="50" s="1"/>
  <c r="Q12" i="50"/>
  <c r="R12" i="50" s="1"/>
  <c r="O12" i="50"/>
  <c r="P12" i="50" s="1"/>
  <c r="M12" i="50"/>
  <c r="N12" i="50" s="1"/>
  <c r="K12" i="50"/>
  <c r="L12" i="50" s="1"/>
  <c r="I12" i="50"/>
  <c r="J12" i="50" s="1"/>
  <c r="G12" i="50"/>
  <c r="H12" i="50" s="1"/>
  <c r="E12" i="50"/>
  <c r="F12" i="50" s="1"/>
  <c r="D12" i="50"/>
  <c r="AK11" i="50"/>
  <c r="AL11" i="50" s="1"/>
  <c r="AI11" i="50"/>
  <c r="AJ11" i="50" s="1"/>
  <c r="AG11" i="50"/>
  <c r="AH11" i="50" s="1"/>
  <c r="AE11" i="50"/>
  <c r="AF11" i="50" s="1"/>
  <c r="AD11" i="50"/>
  <c r="AC11" i="50"/>
  <c r="AA11" i="50"/>
  <c r="AB11" i="50" s="1"/>
  <c r="Y11" i="50"/>
  <c r="Z11" i="50" s="1"/>
  <c r="W11" i="50"/>
  <c r="X11" i="50" s="1"/>
  <c r="U11" i="50"/>
  <c r="V11" i="50" s="1"/>
  <c r="S11" i="50"/>
  <c r="T11" i="50" s="1"/>
  <c r="Q11" i="50"/>
  <c r="R11" i="50" s="1"/>
  <c r="O11" i="50"/>
  <c r="P11" i="50" s="1"/>
  <c r="N11" i="50"/>
  <c r="M11" i="50"/>
  <c r="K11" i="50"/>
  <c r="L11" i="50" s="1"/>
  <c r="I11" i="50"/>
  <c r="J11" i="50" s="1"/>
  <c r="G11" i="50"/>
  <c r="H11" i="50" s="1"/>
  <c r="E11" i="50"/>
  <c r="F11" i="50" s="1"/>
  <c r="D11" i="50"/>
  <c r="D9" i="50"/>
  <c r="D8" i="50"/>
  <c r="AK7" i="50"/>
  <c r="AL7" i="50" s="1"/>
  <c r="AI7" i="50"/>
  <c r="AJ7" i="50" s="1"/>
  <c r="AG7" i="50"/>
  <c r="AH7" i="50" s="1"/>
  <c r="AE7" i="50"/>
  <c r="AF7" i="50" s="1"/>
  <c r="AC7" i="50"/>
  <c r="AD7" i="50" s="1"/>
  <c r="AA7" i="50"/>
  <c r="AB7" i="50" s="1"/>
  <c r="Y7" i="50"/>
  <c r="Z7" i="50" s="1"/>
  <c r="W7" i="50"/>
  <c r="X7" i="50" s="1"/>
  <c r="U7" i="50"/>
  <c r="V7" i="50" s="1"/>
  <c r="S7" i="50"/>
  <c r="T7" i="50" s="1"/>
  <c r="Q7" i="50"/>
  <c r="R7" i="50" s="1"/>
  <c r="O7" i="50"/>
  <c r="P7" i="50" s="1"/>
  <c r="M7" i="50"/>
  <c r="N7" i="50" s="1"/>
  <c r="K7" i="50"/>
  <c r="L7" i="50" s="1"/>
  <c r="I7" i="50"/>
  <c r="J7" i="50" s="1"/>
  <c r="G7" i="50"/>
  <c r="H7" i="50" s="1"/>
  <c r="E7" i="50"/>
  <c r="F7" i="50" s="1"/>
  <c r="D7" i="50"/>
  <c r="D6" i="50"/>
  <c r="AK5" i="50"/>
  <c r="AK17" i="50" s="1"/>
  <c r="AL17" i="50" s="1"/>
  <c r="AG5" i="50"/>
  <c r="AE5" i="50"/>
  <c r="AF5" i="50" s="1"/>
  <c r="AC5" i="50"/>
  <c r="AC17" i="50" s="1"/>
  <c r="AD17" i="50" s="1"/>
  <c r="Y5" i="50"/>
  <c r="W5" i="50"/>
  <c r="X5" i="50" s="1"/>
  <c r="U5" i="50"/>
  <c r="Q5" i="50"/>
  <c r="O5" i="50"/>
  <c r="P5" i="50" s="1"/>
  <c r="M5" i="50"/>
  <c r="M17" i="50" s="1"/>
  <c r="N17" i="50" s="1"/>
  <c r="I5" i="50"/>
  <c r="G5" i="50"/>
  <c r="E5" i="50"/>
  <c r="E17" i="50" s="1"/>
  <c r="F17" i="50" s="1"/>
  <c r="D5" i="50"/>
  <c r="AK4" i="50"/>
  <c r="AL4" i="50" s="1"/>
  <c r="AI4" i="50"/>
  <c r="AJ4" i="50" s="1"/>
  <c r="AG4" i="50"/>
  <c r="AH4" i="50" s="1"/>
  <c r="AE4" i="50"/>
  <c r="AF4" i="50" s="1"/>
  <c r="AC4" i="50"/>
  <c r="AD4" i="50" s="1"/>
  <c r="AA4" i="50"/>
  <c r="AB4" i="50" s="1"/>
  <c r="Y4" i="50"/>
  <c r="Z4" i="50" s="1"/>
  <c r="W4" i="50"/>
  <c r="X4" i="50" s="1"/>
  <c r="U4" i="50"/>
  <c r="V4" i="50" s="1"/>
  <c r="S4" i="50"/>
  <c r="T4" i="50" s="1"/>
  <c r="Q4" i="50"/>
  <c r="R4" i="50" s="1"/>
  <c r="O4" i="50"/>
  <c r="P4" i="50" s="1"/>
  <c r="M4" i="50"/>
  <c r="N4" i="50" s="1"/>
  <c r="K4" i="50"/>
  <c r="L4" i="50" s="1"/>
  <c r="I4" i="50"/>
  <c r="J4" i="50" s="1"/>
  <c r="G4" i="50"/>
  <c r="H4" i="50" s="1"/>
  <c r="E4" i="50"/>
  <c r="F4" i="50" s="1"/>
  <c r="D4" i="50"/>
  <c r="T1" i="50"/>
  <c r="L1" i="50"/>
  <c r="AL26" i="47"/>
  <c r="AJ26" i="47"/>
  <c r="AH26" i="47"/>
  <c r="AF26" i="47"/>
  <c r="AD26" i="47"/>
  <c r="AB26" i="47"/>
  <c r="Z26" i="47"/>
  <c r="X26" i="47"/>
  <c r="V26" i="47"/>
  <c r="T26" i="47"/>
  <c r="R26" i="47"/>
  <c r="P26" i="47"/>
  <c r="N26" i="47"/>
  <c r="L26" i="47"/>
  <c r="J26" i="47"/>
  <c r="H26" i="47"/>
  <c r="F26" i="47"/>
  <c r="D26" i="47"/>
  <c r="AK23" i="47"/>
  <c r="AL23" i="47" s="1"/>
  <c r="AG23" i="47"/>
  <c r="AH23" i="47" s="1"/>
  <c r="AE23" i="47"/>
  <c r="AF23" i="47" s="1"/>
  <c r="AC23" i="47"/>
  <c r="AD23" i="47" s="1"/>
  <c r="Y23" i="47"/>
  <c r="Z23" i="47" s="1"/>
  <c r="W23" i="47"/>
  <c r="X23" i="47" s="1"/>
  <c r="U23" i="47"/>
  <c r="V23" i="47" s="1"/>
  <c r="Q23" i="47"/>
  <c r="R23" i="47" s="1"/>
  <c r="O23" i="47"/>
  <c r="P23" i="47" s="1"/>
  <c r="M23" i="47"/>
  <c r="N23" i="47" s="1"/>
  <c r="I23" i="47"/>
  <c r="J23" i="47" s="1"/>
  <c r="G23" i="47"/>
  <c r="H23" i="47" s="1"/>
  <c r="E23" i="47"/>
  <c r="F23" i="47" s="1"/>
  <c r="D23" i="47"/>
  <c r="AL21" i="47"/>
  <c r="AJ21" i="47"/>
  <c r="AH21" i="47"/>
  <c r="AF21" i="47"/>
  <c r="AD21" i="47"/>
  <c r="AB21" i="47"/>
  <c r="Z21" i="47"/>
  <c r="X21" i="47"/>
  <c r="V21" i="47"/>
  <c r="T21" i="47"/>
  <c r="R21" i="47"/>
  <c r="P21" i="47"/>
  <c r="N21" i="47"/>
  <c r="L21" i="47"/>
  <c r="J21" i="47"/>
  <c r="H21" i="47"/>
  <c r="F21" i="47"/>
  <c r="D21" i="47"/>
  <c r="D20" i="47"/>
  <c r="AK19" i="47"/>
  <c r="AL19" i="47" s="1"/>
  <c r="AG19" i="47"/>
  <c r="AH19" i="47" s="1"/>
  <c r="AE19" i="47"/>
  <c r="AF19" i="47" s="1"/>
  <c r="AC19" i="47"/>
  <c r="AD19" i="47" s="1"/>
  <c r="Y19" i="47"/>
  <c r="Z19" i="47" s="1"/>
  <c r="W19" i="47"/>
  <c r="X19" i="47" s="1"/>
  <c r="U19" i="47"/>
  <c r="V19" i="47" s="1"/>
  <c r="Q19" i="47"/>
  <c r="R19" i="47" s="1"/>
  <c r="O19" i="47"/>
  <c r="P19" i="47" s="1"/>
  <c r="M19" i="47"/>
  <c r="N19" i="47" s="1"/>
  <c r="I19" i="47"/>
  <c r="J19" i="47" s="1"/>
  <c r="G19" i="47"/>
  <c r="H19" i="47" s="1"/>
  <c r="E19" i="47"/>
  <c r="F19" i="47" s="1"/>
  <c r="D19" i="47"/>
  <c r="AK18" i="47"/>
  <c r="AL18" i="47" s="1"/>
  <c r="AG18" i="47"/>
  <c r="AH18" i="47" s="1"/>
  <c r="AE18" i="47"/>
  <c r="AF18" i="47" s="1"/>
  <c r="AC18" i="47"/>
  <c r="AD18" i="47" s="1"/>
  <c r="Y18" i="47"/>
  <c r="Z18" i="47" s="1"/>
  <c r="W18" i="47"/>
  <c r="X18" i="47" s="1"/>
  <c r="U18" i="47"/>
  <c r="V18" i="47" s="1"/>
  <c r="Q18" i="47"/>
  <c r="R18" i="47" s="1"/>
  <c r="O18" i="47"/>
  <c r="P18" i="47" s="1"/>
  <c r="M18" i="47"/>
  <c r="N18" i="47" s="1"/>
  <c r="I18" i="47"/>
  <c r="J18" i="47" s="1"/>
  <c r="G18" i="47"/>
  <c r="H18" i="47" s="1"/>
  <c r="E18" i="47"/>
  <c r="F18" i="47" s="1"/>
  <c r="D18" i="47"/>
  <c r="AK17" i="47"/>
  <c r="AL17" i="47" s="1"/>
  <c r="AG17" i="47"/>
  <c r="AH17" i="47" s="1"/>
  <c r="AE17" i="47"/>
  <c r="AF17" i="47" s="1"/>
  <c r="AC17" i="47"/>
  <c r="AD17" i="47" s="1"/>
  <c r="Y17" i="47"/>
  <c r="Z17" i="47" s="1"/>
  <c r="W17" i="47"/>
  <c r="X17" i="47" s="1"/>
  <c r="U17" i="47"/>
  <c r="V17" i="47" s="1"/>
  <c r="Q17" i="47"/>
  <c r="R17" i="47" s="1"/>
  <c r="O17" i="47"/>
  <c r="P17" i="47" s="1"/>
  <c r="M17" i="47"/>
  <c r="N17" i="47" s="1"/>
  <c r="I17" i="47"/>
  <c r="J17" i="47" s="1"/>
  <c r="G17" i="47"/>
  <c r="H17" i="47" s="1"/>
  <c r="E17" i="47"/>
  <c r="F17" i="47" s="1"/>
  <c r="D17" i="47"/>
  <c r="AK16" i="47"/>
  <c r="AL16" i="47" s="1"/>
  <c r="AG16" i="47"/>
  <c r="AH16" i="47" s="1"/>
  <c r="AE16" i="47"/>
  <c r="AF16" i="47" s="1"/>
  <c r="AC16" i="47"/>
  <c r="AD16" i="47" s="1"/>
  <c r="Y16" i="47"/>
  <c r="Z16" i="47" s="1"/>
  <c r="W16" i="47"/>
  <c r="X16" i="47" s="1"/>
  <c r="U16" i="47"/>
  <c r="V16" i="47" s="1"/>
  <c r="Q16" i="47"/>
  <c r="R16" i="47" s="1"/>
  <c r="O16" i="47"/>
  <c r="P16" i="47" s="1"/>
  <c r="M16" i="47"/>
  <c r="N16" i="47" s="1"/>
  <c r="I16" i="47"/>
  <c r="J16" i="47" s="1"/>
  <c r="G16" i="47"/>
  <c r="H16" i="47" s="1"/>
  <c r="E16" i="47"/>
  <c r="F16" i="47" s="1"/>
  <c r="D16" i="47"/>
  <c r="AK15" i="47"/>
  <c r="AL15" i="47" s="1"/>
  <c r="AG15" i="47"/>
  <c r="AH15" i="47" s="1"/>
  <c r="AE15" i="47"/>
  <c r="AF15" i="47" s="1"/>
  <c r="AC15" i="47"/>
  <c r="AD15" i="47" s="1"/>
  <c r="Y15" i="47"/>
  <c r="Z15" i="47" s="1"/>
  <c r="W15" i="47"/>
  <c r="X15" i="47" s="1"/>
  <c r="U15" i="47"/>
  <c r="V15" i="47" s="1"/>
  <c r="Q15" i="47"/>
  <c r="R15" i="47" s="1"/>
  <c r="O15" i="47"/>
  <c r="P15" i="47" s="1"/>
  <c r="M15" i="47"/>
  <c r="N15" i="47" s="1"/>
  <c r="I15" i="47"/>
  <c r="J15" i="47" s="1"/>
  <c r="G15" i="47"/>
  <c r="H15" i="47" s="1"/>
  <c r="E15" i="47"/>
  <c r="F15" i="47" s="1"/>
  <c r="D15" i="47"/>
  <c r="AK13" i="47"/>
  <c r="AL13" i="47" s="1"/>
  <c r="AI13" i="47"/>
  <c r="AJ13" i="47" s="1"/>
  <c r="AG13" i="47"/>
  <c r="AH13" i="47" s="1"/>
  <c r="AE13" i="47"/>
  <c r="AF13" i="47" s="1"/>
  <c r="AC13" i="47"/>
  <c r="AD13" i="47" s="1"/>
  <c r="AA13" i="47"/>
  <c r="AB13" i="47" s="1"/>
  <c r="Y13" i="47"/>
  <c r="Z13" i="47" s="1"/>
  <c r="W13" i="47"/>
  <c r="X13" i="47" s="1"/>
  <c r="U13" i="47"/>
  <c r="V13" i="47" s="1"/>
  <c r="S13" i="47"/>
  <c r="T13" i="47" s="1"/>
  <c r="Q13" i="47"/>
  <c r="R13" i="47" s="1"/>
  <c r="O13" i="47"/>
  <c r="P13" i="47" s="1"/>
  <c r="M13" i="47"/>
  <c r="N13" i="47" s="1"/>
  <c r="K13" i="47"/>
  <c r="L13" i="47" s="1"/>
  <c r="I13" i="47"/>
  <c r="J13" i="47" s="1"/>
  <c r="G13" i="47"/>
  <c r="H13" i="47" s="1"/>
  <c r="E13" i="47"/>
  <c r="F13" i="47" s="1"/>
  <c r="D13" i="47"/>
  <c r="D12" i="47"/>
  <c r="AK11" i="47"/>
  <c r="AL11" i="47" s="1"/>
  <c r="AI11" i="47"/>
  <c r="AJ11" i="47" s="1"/>
  <c r="AG11" i="47"/>
  <c r="AH11" i="47" s="1"/>
  <c r="AE11" i="47"/>
  <c r="AF11" i="47" s="1"/>
  <c r="AC11" i="47"/>
  <c r="AD11" i="47" s="1"/>
  <c r="AA11" i="47"/>
  <c r="AB11" i="47" s="1"/>
  <c r="Y11" i="47"/>
  <c r="Z11" i="47" s="1"/>
  <c r="W11" i="47"/>
  <c r="X11" i="47" s="1"/>
  <c r="U11" i="47"/>
  <c r="V11" i="47" s="1"/>
  <c r="S11" i="47"/>
  <c r="T11" i="47" s="1"/>
  <c r="Q11" i="47"/>
  <c r="R11" i="47" s="1"/>
  <c r="O11" i="47"/>
  <c r="P11" i="47" s="1"/>
  <c r="M11" i="47"/>
  <c r="N11" i="47" s="1"/>
  <c r="K11" i="47"/>
  <c r="L11" i="47" s="1"/>
  <c r="I11" i="47"/>
  <c r="J11" i="47" s="1"/>
  <c r="G11" i="47"/>
  <c r="H11" i="47" s="1"/>
  <c r="E11" i="47"/>
  <c r="F11" i="47" s="1"/>
  <c r="D11" i="47"/>
  <c r="AK9" i="47"/>
  <c r="AK20" i="47" s="1"/>
  <c r="AL20" i="47" s="1"/>
  <c r="AI9" i="47"/>
  <c r="AI20" i="47" s="1"/>
  <c r="AJ20" i="47" s="1"/>
  <c r="AG9" i="47"/>
  <c r="AG20" i="47" s="1"/>
  <c r="AH20" i="47" s="1"/>
  <c r="AE9" i="47"/>
  <c r="AE20" i="47" s="1"/>
  <c r="AF20" i="47" s="1"/>
  <c r="AC9" i="47"/>
  <c r="AC20" i="47" s="1"/>
  <c r="AD20" i="47" s="1"/>
  <c r="AA9" i="47"/>
  <c r="AA20" i="47" s="1"/>
  <c r="AB20" i="47" s="1"/>
  <c r="Y9" i="47"/>
  <c r="Y20" i="47" s="1"/>
  <c r="Z20" i="47" s="1"/>
  <c r="W9" i="47"/>
  <c r="X9" i="47" s="1"/>
  <c r="U9" i="47"/>
  <c r="U20" i="47" s="1"/>
  <c r="V20" i="47" s="1"/>
  <c r="S9" i="47"/>
  <c r="S20" i="47" s="1"/>
  <c r="T20" i="47" s="1"/>
  <c r="Q9" i="47"/>
  <c r="Q20" i="47" s="1"/>
  <c r="R20" i="47" s="1"/>
  <c r="O9" i="47"/>
  <c r="O20" i="47" s="1"/>
  <c r="P20" i="47" s="1"/>
  <c r="M9" i="47"/>
  <c r="M20" i="47" s="1"/>
  <c r="N20" i="47" s="1"/>
  <c r="K9" i="47"/>
  <c r="L9" i="47" s="1"/>
  <c r="I9" i="47"/>
  <c r="I20" i="47" s="1"/>
  <c r="J20" i="47" s="1"/>
  <c r="G9" i="47"/>
  <c r="G20" i="47" s="1"/>
  <c r="H20" i="47" s="1"/>
  <c r="E9" i="47"/>
  <c r="E20" i="47" s="1"/>
  <c r="F20" i="47" s="1"/>
  <c r="D9" i="47"/>
  <c r="AK8" i="47"/>
  <c r="AL8" i="47" s="1"/>
  <c r="AI8" i="47"/>
  <c r="AJ8" i="47" s="1"/>
  <c r="AG8" i="47"/>
  <c r="AH8" i="47" s="1"/>
  <c r="AE8" i="47"/>
  <c r="AF8" i="47" s="1"/>
  <c r="AC8" i="47"/>
  <c r="AD8" i="47" s="1"/>
  <c r="AA8" i="47"/>
  <c r="AB8" i="47" s="1"/>
  <c r="Y8" i="47"/>
  <c r="Z8" i="47" s="1"/>
  <c r="W8" i="47"/>
  <c r="X8" i="47" s="1"/>
  <c r="U8" i="47"/>
  <c r="V8" i="47" s="1"/>
  <c r="S8" i="47"/>
  <c r="T8" i="47" s="1"/>
  <c r="Q8" i="47"/>
  <c r="R8" i="47" s="1"/>
  <c r="O8" i="47"/>
  <c r="P8" i="47" s="1"/>
  <c r="M8" i="47"/>
  <c r="N8" i="47" s="1"/>
  <c r="K8" i="47"/>
  <c r="L8" i="47" s="1"/>
  <c r="I8" i="47"/>
  <c r="J8" i="47" s="1"/>
  <c r="G8" i="47"/>
  <c r="H8" i="47" s="1"/>
  <c r="E8" i="47"/>
  <c r="F8" i="47" s="1"/>
  <c r="D8" i="47"/>
  <c r="AK7" i="47"/>
  <c r="AK12" i="47" s="1"/>
  <c r="AL12" i="47" s="1"/>
  <c r="AG7" i="47"/>
  <c r="AG12" i="47" s="1"/>
  <c r="AH12" i="47" s="1"/>
  <c r="AE7" i="47"/>
  <c r="AC7" i="47"/>
  <c r="AC12" i="47" s="1"/>
  <c r="AD12" i="47" s="1"/>
  <c r="Y7" i="47"/>
  <c r="Y12" i="47" s="1"/>
  <c r="Z12" i="47" s="1"/>
  <c r="W7" i="47"/>
  <c r="X7" i="47" s="1"/>
  <c r="U7" i="47"/>
  <c r="U12" i="47" s="1"/>
  <c r="V12" i="47" s="1"/>
  <c r="Q7" i="47"/>
  <c r="Q12" i="47" s="1"/>
  <c r="R12" i="47" s="1"/>
  <c r="O7" i="47"/>
  <c r="M7" i="47"/>
  <c r="M12" i="47" s="1"/>
  <c r="N12" i="47" s="1"/>
  <c r="I7" i="47"/>
  <c r="I12" i="47" s="1"/>
  <c r="J12" i="47" s="1"/>
  <c r="G7" i="47"/>
  <c r="H7" i="47" s="1"/>
  <c r="E7" i="47"/>
  <c r="E12" i="47" s="1"/>
  <c r="F12" i="47" s="1"/>
  <c r="D7" i="47"/>
  <c r="AK6" i="47"/>
  <c r="AL6" i="47" s="1"/>
  <c r="AI6" i="47"/>
  <c r="AJ6" i="47" s="1"/>
  <c r="AG6" i="47"/>
  <c r="AH6" i="47" s="1"/>
  <c r="AE6" i="47"/>
  <c r="AF6" i="47" s="1"/>
  <c r="AC6" i="47"/>
  <c r="AD6" i="47" s="1"/>
  <c r="AA6" i="47"/>
  <c r="AB6" i="47" s="1"/>
  <c r="Y6" i="47"/>
  <c r="Z6" i="47" s="1"/>
  <c r="W6" i="47"/>
  <c r="X6" i="47" s="1"/>
  <c r="U6" i="47"/>
  <c r="V6" i="47" s="1"/>
  <c r="S6" i="47"/>
  <c r="T6" i="47" s="1"/>
  <c r="Q6" i="47"/>
  <c r="R6" i="47" s="1"/>
  <c r="O6" i="47"/>
  <c r="P6" i="47" s="1"/>
  <c r="M6" i="47"/>
  <c r="N6" i="47" s="1"/>
  <c r="K6" i="47"/>
  <c r="L6" i="47" s="1"/>
  <c r="I6" i="47"/>
  <c r="J6" i="47" s="1"/>
  <c r="G6" i="47"/>
  <c r="H6" i="47" s="1"/>
  <c r="E6" i="47"/>
  <c r="F6" i="47" s="1"/>
  <c r="D6" i="47"/>
  <c r="AK5" i="47"/>
  <c r="AG5" i="47"/>
  <c r="AE5" i="47"/>
  <c r="AC5" i="47"/>
  <c r="Y5" i="47"/>
  <c r="W5" i="47"/>
  <c r="U5" i="47"/>
  <c r="Q5" i="47"/>
  <c r="O5" i="47"/>
  <c r="M5" i="47"/>
  <c r="I5" i="47"/>
  <c r="G5" i="47"/>
  <c r="E5" i="47"/>
  <c r="D5" i="47"/>
  <c r="AK4" i="47"/>
  <c r="AL4" i="47" s="1"/>
  <c r="AI4" i="47"/>
  <c r="AJ4" i="47" s="1"/>
  <c r="AG4" i="47"/>
  <c r="AH4" i="47" s="1"/>
  <c r="AE4" i="47"/>
  <c r="AF4" i="47" s="1"/>
  <c r="AC4" i="47"/>
  <c r="AD4" i="47" s="1"/>
  <c r="AA4" i="47"/>
  <c r="AB4" i="47" s="1"/>
  <c r="Y4" i="47"/>
  <c r="Z4" i="47" s="1"/>
  <c r="W4" i="47"/>
  <c r="X4" i="47" s="1"/>
  <c r="U4" i="47"/>
  <c r="V4" i="47" s="1"/>
  <c r="S4" i="47"/>
  <c r="T4" i="47" s="1"/>
  <c r="Q4" i="47"/>
  <c r="R4" i="47" s="1"/>
  <c r="O4" i="47"/>
  <c r="P4" i="47" s="1"/>
  <c r="M4" i="47"/>
  <c r="N4" i="47" s="1"/>
  <c r="K4" i="47"/>
  <c r="L4" i="47" s="1"/>
  <c r="I4" i="47"/>
  <c r="J4" i="47" s="1"/>
  <c r="G4" i="47"/>
  <c r="H4" i="47" s="1"/>
  <c r="E4" i="47"/>
  <c r="F4" i="47" s="1"/>
  <c r="D4" i="47"/>
  <c r="T1" i="47"/>
  <c r="L1" i="47"/>
  <c r="E51" i="44"/>
  <c r="E50" i="44"/>
  <c r="E49" i="44"/>
  <c r="E48" i="44"/>
  <c r="E47" i="44"/>
  <c r="E46" i="44"/>
  <c r="E45" i="44"/>
  <c r="E44" i="44"/>
  <c r="AL25" i="44"/>
  <c r="AL27" i="44" s="1"/>
  <c r="AK27" i="44" s="1"/>
  <c r="AJ25" i="44"/>
  <c r="AJ27" i="44" s="1"/>
  <c r="AI27" i="44" s="1"/>
  <c r="AH25" i="44"/>
  <c r="AH27" i="44" s="1"/>
  <c r="AG27" i="44" s="1"/>
  <c r="AG34" i="44" s="1"/>
  <c r="AF25" i="44"/>
  <c r="AF27" i="44" s="1"/>
  <c r="AE27" i="44" s="1"/>
  <c r="AE34" i="44" s="1"/>
  <c r="T4" i="30" s="1"/>
  <c r="AD25" i="44"/>
  <c r="AD27" i="44" s="1"/>
  <c r="AC27" i="44" s="1"/>
  <c r="AB25" i="44"/>
  <c r="AB27" i="44" s="1"/>
  <c r="AA27" i="44" s="1"/>
  <c r="Z25" i="44"/>
  <c r="Z27" i="44" s="1"/>
  <c r="Y27" i="44" s="1"/>
  <c r="X25" i="44"/>
  <c r="X27" i="44" s="1"/>
  <c r="W27" i="44" s="1"/>
  <c r="V25" i="44"/>
  <c r="V27" i="44" s="1"/>
  <c r="U27" i="44" s="1"/>
  <c r="T25" i="44"/>
  <c r="T27" i="44" s="1"/>
  <c r="S27" i="44" s="1"/>
  <c r="S34" i="44" s="1"/>
  <c r="R25" i="44"/>
  <c r="R27" i="44" s="1"/>
  <c r="Q27" i="44" s="1"/>
  <c r="Q34" i="44" s="1"/>
  <c r="P25" i="44"/>
  <c r="P27" i="44" s="1"/>
  <c r="O27" i="44" s="1"/>
  <c r="N25" i="44"/>
  <c r="N27" i="44" s="1"/>
  <c r="M27" i="44" s="1"/>
  <c r="L25" i="44"/>
  <c r="L27" i="44" s="1"/>
  <c r="K27" i="44" s="1"/>
  <c r="J25" i="44"/>
  <c r="J27" i="44" s="1"/>
  <c r="I27" i="44" s="1"/>
  <c r="I34" i="44" s="1"/>
  <c r="H25" i="44"/>
  <c r="H27" i="44" s="1"/>
  <c r="G27" i="44" s="1"/>
  <c r="F25" i="44"/>
  <c r="F27" i="44" s="1"/>
  <c r="E27" i="44" s="1"/>
  <c r="E34" i="44" s="1"/>
  <c r="D25" i="44"/>
  <c r="D23" i="44"/>
  <c r="D22" i="44"/>
  <c r="D21" i="44"/>
  <c r="AK20" i="44"/>
  <c r="AL20" i="44" s="1"/>
  <c r="AI20" i="44"/>
  <c r="AJ20" i="44" s="1"/>
  <c r="AG20" i="44"/>
  <c r="AH20" i="44" s="1"/>
  <c r="AE20" i="44"/>
  <c r="AF20" i="44" s="1"/>
  <c r="AC20" i="44"/>
  <c r="AD20" i="44" s="1"/>
  <c r="AA20" i="44"/>
  <c r="AB20" i="44" s="1"/>
  <c r="Y20" i="44"/>
  <c r="Z20" i="44" s="1"/>
  <c r="W20" i="44"/>
  <c r="X20" i="44" s="1"/>
  <c r="U20" i="44"/>
  <c r="V20" i="44" s="1"/>
  <c r="S20" i="44"/>
  <c r="T20" i="44" s="1"/>
  <c r="Q20" i="44"/>
  <c r="R20" i="44" s="1"/>
  <c r="O20" i="44"/>
  <c r="P20" i="44" s="1"/>
  <c r="M20" i="44"/>
  <c r="N20" i="44" s="1"/>
  <c r="K20" i="44"/>
  <c r="L20" i="44" s="1"/>
  <c r="I20" i="44"/>
  <c r="J20" i="44" s="1"/>
  <c r="G20" i="44"/>
  <c r="H20" i="44" s="1"/>
  <c r="E20" i="44"/>
  <c r="F20" i="44" s="1"/>
  <c r="D20" i="44"/>
  <c r="AK19" i="44"/>
  <c r="AL19" i="44" s="1"/>
  <c r="AG19" i="44"/>
  <c r="AH19" i="44" s="1"/>
  <c r="AE19" i="44"/>
  <c r="AF19" i="44" s="1"/>
  <c r="AC19" i="44"/>
  <c r="AD19" i="44" s="1"/>
  <c r="Y19" i="44"/>
  <c r="Z19" i="44" s="1"/>
  <c r="W19" i="44"/>
  <c r="X19" i="44" s="1"/>
  <c r="U19" i="44"/>
  <c r="V19" i="44" s="1"/>
  <c r="Q19" i="44"/>
  <c r="R19" i="44" s="1"/>
  <c r="O19" i="44"/>
  <c r="P19" i="44" s="1"/>
  <c r="M19" i="44"/>
  <c r="N19" i="44" s="1"/>
  <c r="I19" i="44"/>
  <c r="J19" i="44" s="1"/>
  <c r="G19" i="44"/>
  <c r="H19" i="44" s="1"/>
  <c r="E19" i="44"/>
  <c r="F19" i="44" s="1"/>
  <c r="D19" i="44"/>
  <c r="AK17" i="44"/>
  <c r="AL17" i="44" s="1"/>
  <c r="AI17" i="44"/>
  <c r="AJ17" i="44" s="1"/>
  <c r="AG17" i="44"/>
  <c r="AH17" i="44" s="1"/>
  <c r="AE17" i="44"/>
  <c r="AF17" i="44" s="1"/>
  <c r="AC17" i="44"/>
  <c r="AD17" i="44" s="1"/>
  <c r="AA17" i="44"/>
  <c r="AB17" i="44" s="1"/>
  <c r="Y17" i="44"/>
  <c r="Z17" i="44" s="1"/>
  <c r="W17" i="44"/>
  <c r="X17" i="44" s="1"/>
  <c r="U17" i="44"/>
  <c r="V17" i="44" s="1"/>
  <c r="S17" i="44"/>
  <c r="T17" i="44" s="1"/>
  <c r="Q17" i="44"/>
  <c r="R17" i="44" s="1"/>
  <c r="O17" i="44"/>
  <c r="P17" i="44" s="1"/>
  <c r="M17" i="44"/>
  <c r="N17" i="44" s="1"/>
  <c r="K17" i="44"/>
  <c r="L17" i="44" s="1"/>
  <c r="I17" i="44"/>
  <c r="J17" i="44" s="1"/>
  <c r="G17" i="44"/>
  <c r="H17" i="44" s="1"/>
  <c r="E17" i="44"/>
  <c r="F17" i="44" s="1"/>
  <c r="D17" i="44"/>
  <c r="AK16" i="44"/>
  <c r="AI16" i="44"/>
  <c r="AG16" i="44"/>
  <c r="AE16" i="44"/>
  <c r="AC16" i="44"/>
  <c r="AA16" i="44"/>
  <c r="AA23" i="44" s="1"/>
  <c r="AB23" i="44" s="1"/>
  <c r="Y16" i="44"/>
  <c r="W16" i="44"/>
  <c r="U16" i="44"/>
  <c r="S16" i="44"/>
  <c r="Q16" i="44"/>
  <c r="O16" i="44"/>
  <c r="M16" i="44"/>
  <c r="I16" i="44"/>
  <c r="G16" i="44"/>
  <c r="E16" i="44"/>
  <c r="E23" i="44" s="1"/>
  <c r="D16" i="44"/>
  <c r="AK15" i="44"/>
  <c r="AL15" i="44" s="1"/>
  <c r="AI15" i="44"/>
  <c r="AJ15" i="44" s="1"/>
  <c r="AG15" i="44"/>
  <c r="AH15" i="44" s="1"/>
  <c r="AE15" i="44"/>
  <c r="AF15" i="44" s="1"/>
  <c r="AC15" i="44"/>
  <c r="AD15" i="44" s="1"/>
  <c r="AA15" i="44"/>
  <c r="AB15" i="44" s="1"/>
  <c r="Y15" i="44"/>
  <c r="Z15" i="44" s="1"/>
  <c r="W15" i="44"/>
  <c r="X15" i="44" s="1"/>
  <c r="U15" i="44"/>
  <c r="V15" i="44" s="1"/>
  <c r="S15" i="44"/>
  <c r="T15" i="44" s="1"/>
  <c r="Q15" i="44"/>
  <c r="R15" i="44" s="1"/>
  <c r="O15" i="44"/>
  <c r="P15" i="44" s="1"/>
  <c r="M15" i="44"/>
  <c r="N15" i="44" s="1"/>
  <c r="K15" i="44"/>
  <c r="L15" i="44" s="1"/>
  <c r="I15" i="44"/>
  <c r="J15" i="44" s="1"/>
  <c r="G15" i="44"/>
  <c r="H15" i="44" s="1"/>
  <c r="E15" i="44"/>
  <c r="F15" i="44" s="1"/>
  <c r="D15" i="44"/>
  <c r="AL14" i="44"/>
  <c r="AJ14" i="44"/>
  <c r="AH14" i="44"/>
  <c r="AF14" i="44"/>
  <c r="AD14" i="44"/>
  <c r="AB14" i="44"/>
  <c r="Z14" i="44"/>
  <c r="X14" i="44"/>
  <c r="V14" i="44"/>
  <c r="T14" i="44"/>
  <c r="R14" i="44"/>
  <c r="P14" i="44"/>
  <c r="N14" i="44"/>
  <c r="L14" i="44"/>
  <c r="J14" i="44"/>
  <c r="H14" i="44"/>
  <c r="F14" i="44"/>
  <c r="D14" i="44"/>
  <c r="AL13" i="44"/>
  <c r="AJ13" i="44"/>
  <c r="AH13" i="44"/>
  <c r="AF13" i="44"/>
  <c r="AD13" i="44"/>
  <c r="AB13" i="44"/>
  <c r="Z13" i="44"/>
  <c r="X13" i="44"/>
  <c r="V13" i="44"/>
  <c r="T13" i="44"/>
  <c r="R13" i="44"/>
  <c r="P13" i="44"/>
  <c r="N13" i="44"/>
  <c r="L13" i="44"/>
  <c r="J13" i="44"/>
  <c r="H13" i="44"/>
  <c r="F13" i="44"/>
  <c r="D13" i="44"/>
  <c r="AK12" i="44"/>
  <c r="AL12" i="44" s="1"/>
  <c r="AI12" i="44"/>
  <c r="AJ12" i="44" s="1"/>
  <c r="AG12" i="44"/>
  <c r="AH12" i="44" s="1"/>
  <c r="AE12" i="44"/>
  <c r="AF12" i="44" s="1"/>
  <c r="AC12" i="44"/>
  <c r="AD12" i="44" s="1"/>
  <c r="AA12" i="44"/>
  <c r="AB12" i="44" s="1"/>
  <c r="Y12" i="44"/>
  <c r="Z12" i="44" s="1"/>
  <c r="W12" i="44"/>
  <c r="X12" i="44" s="1"/>
  <c r="U12" i="44"/>
  <c r="V12" i="44" s="1"/>
  <c r="S12" i="44"/>
  <c r="T12" i="44" s="1"/>
  <c r="Q12" i="44"/>
  <c r="R12" i="44" s="1"/>
  <c r="O12" i="44"/>
  <c r="P12" i="44" s="1"/>
  <c r="N12" i="44"/>
  <c r="M12" i="44"/>
  <c r="K12" i="44"/>
  <c r="L12" i="44" s="1"/>
  <c r="I12" i="44"/>
  <c r="J12" i="44" s="1"/>
  <c r="G12" i="44"/>
  <c r="H12" i="44" s="1"/>
  <c r="E12" i="44"/>
  <c r="F12" i="44" s="1"/>
  <c r="D12" i="44"/>
  <c r="AL10" i="44"/>
  <c r="AJ10" i="44"/>
  <c r="AH10" i="44"/>
  <c r="L10" i="44"/>
  <c r="J10" i="44"/>
  <c r="H10" i="44"/>
  <c r="F10" i="44"/>
  <c r="D10" i="44"/>
  <c r="AK9" i="44"/>
  <c r="AK22" i="44" s="1"/>
  <c r="AL22" i="44" s="1"/>
  <c r="AG9" i="44"/>
  <c r="AG22" i="44" s="1"/>
  <c r="AH22" i="44" s="1"/>
  <c r="AE9" i="44"/>
  <c r="AF9" i="44" s="1"/>
  <c r="AC9" i="44"/>
  <c r="Y9" i="44"/>
  <c r="Y22" i="44" s="1"/>
  <c r="Z22" i="44" s="1"/>
  <c r="W9" i="44"/>
  <c r="X9" i="44" s="1"/>
  <c r="U9" i="44"/>
  <c r="U22" i="44" s="1"/>
  <c r="V22" i="44" s="1"/>
  <c r="Q9" i="44"/>
  <c r="Q22" i="44" s="1"/>
  <c r="R22" i="44" s="1"/>
  <c r="O9" i="44"/>
  <c r="P9" i="44" s="1"/>
  <c r="M9" i="44"/>
  <c r="I9" i="44"/>
  <c r="I22" i="44" s="1"/>
  <c r="J22" i="44" s="1"/>
  <c r="G9" i="44"/>
  <c r="H9" i="44" s="1"/>
  <c r="E9" i="44"/>
  <c r="E22" i="44" s="1"/>
  <c r="F22" i="44" s="1"/>
  <c r="D9" i="44"/>
  <c r="AK8" i="44"/>
  <c r="AL8" i="44" s="1"/>
  <c r="AI8" i="44"/>
  <c r="AJ8" i="44" s="1"/>
  <c r="AG8" i="44"/>
  <c r="AH8" i="44" s="1"/>
  <c r="AE8" i="44"/>
  <c r="AF8" i="44" s="1"/>
  <c r="AC8" i="44"/>
  <c r="AD8" i="44" s="1"/>
  <c r="AA8" i="44"/>
  <c r="AB8" i="44" s="1"/>
  <c r="Y8" i="44"/>
  <c r="Z8" i="44" s="1"/>
  <c r="W8" i="44"/>
  <c r="X8" i="44" s="1"/>
  <c r="U8" i="44"/>
  <c r="V8" i="44" s="1"/>
  <c r="S8" i="44"/>
  <c r="T8" i="44" s="1"/>
  <c r="Q8" i="44"/>
  <c r="R8" i="44" s="1"/>
  <c r="O8" i="44"/>
  <c r="P8" i="44" s="1"/>
  <c r="M8" i="44"/>
  <c r="N8" i="44" s="1"/>
  <c r="K8" i="44"/>
  <c r="L8" i="44" s="1"/>
  <c r="I8" i="44"/>
  <c r="J8" i="44" s="1"/>
  <c r="G8" i="44"/>
  <c r="H8" i="44" s="1"/>
  <c r="E8" i="44"/>
  <c r="F8" i="44" s="1"/>
  <c r="D8" i="44"/>
  <c r="AK7" i="44"/>
  <c r="AL7" i="44" s="1"/>
  <c r="AG7" i="44"/>
  <c r="AH7" i="44" s="1"/>
  <c r="AE7" i="44"/>
  <c r="AF7" i="44" s="1"/>
  <c r="AC7" i="44"/>
  <c r="AD7" i="44" s="1"/>
  <c r="Y7" i="44"/>
  <c r="Z7" i="44" s="1"/>
  <c r="W7" i="44"/>
  <c r="X7" i="44" s="1"/>
  <c r="U7" i="44"/>
  <c r="V7" i="44" s="1"/>
  <c r="Q7" i="44"/>
  <c r="R7" i="44" s="1"/>
  <c r="O7" i="44"/>
  <c r="P7" i="44" s="1"/>
  <c r="M7" i="44"/>
  <c r="N7" i="44" s="1"/>
  <c r="I7" i="44"/>
  <c r="J7" i="44" s="1"/>
  <c r="G7" i="44"/>
  <c r="H7" i="44" s="1"/>
  <c r="E7" i="44"/>
  <c r="F7" i="44" s="1"/>
  <c r="D7" i="44"/>
  <c r="AK6" i="44"/>
  <c r="AL6" i="44" s="1"/>
  <c r="AI6" i="44"/>
  <c r="AJ6" i="44" s="1"/>
  <c r="AG6" i="44"/>
  <c r="AH6" i="44" s="1"/>
  <c r="AE6" i="44"/>
  <c r="AF6" i="44" s="1"/>
  <c r="AC6" i="44"/>
  <c r="AD6" i="44" s="1"/>
  <c r="AA6" i="44"/>
  <c r="AB6" i="44" s="1"/>
  <c r="Y6" i="44"/>
  <c r="Z6" i="44" s="1"/>
  <c r="W6" i="44"/>
  <c r="X6" i="44" s="1"/>
  <c r="U6" i="44"/>
  <c r="V6" i="44" s="1"/>
  <c r="S6" i="44"/>
  <c r="T6" i="44" s="1"/>
  <c r="Q6" i="44"/>
  <c r="R6" i="44" s="1"/>
  <c r="O6" i="44"/>
  <c r="P6" i="44" s="1"/>
  <c r="M6" i="44"/>
  <c r="N6" i="44" s="1"/>
  <c r="K6" i="44"/>
  <c r="L6" i="44" s="1"/>
  <c r="I6" i="44"/>
  <c r="J6" i="44" s="1"/>
  <c r="G6" i="44"/>
  <c r="H6" i="44" s="1"/>
  <c r="E6" i="44"/>
  <c r="F6" i="44" s="1"/>
  <c r="D6" i="44"/>
  <c r="AK5" i="44"/>
  <c r="AK21" i="44" s="1"/>
  <c r="AL21" i="44" s="1"/>
  <c r="AG5" i="44"/>
  <c r="AG21" i="44" s="1"/>
  <c r="AH21" i="44" s="1"/>
  <c r="AC5" i="44"/>
  <c r="AD5" i="44" s="1"/>
  <c r="AA5" i="44"/>
  <c r="AA21" i="44" s="1"/>
  <c r="AB21" i="44" s="1"/>
  <c r="Y5" i="44"/>
  <c r="Y21" i="44" s="1"/>
  <c r="Z21" i="44" s="1"/>
  <c r="W5" i="44"/>
  <c r="W21" i="44" s="1"/>
  <c r="X21" i="44" s="1"/>
  <c r="U5" i="44"/>
  <c r="U21" i="44" s="1"/>
  <c r="V21" i="44" s="1"/>
  <c r="S5" i="44"/>
  <c r="S21" i="44" s="1"/>
  <c r="T21" i="44" s="1"/>
  <c r="Q5" i="44"/>
  <c r="Q21" i="44" s="1"/>
  <c r="R21" i="44" s="1"/>
  <c r="O5" i="44"/>
  <c r="O21" i="44" s="1"/>
  <c r="P21" i="44" s="1"/>
  <c r="M5" i="44"/>
  <c r="M21" i="44" s="1"/>
  <c r="N21" i="44" s="1"/>
  <c r="K5" i="44"/>
  <c r="K21" i="44" s="1"/>
  <c r="L21" i="44" s="1"/>
  <c r="I5" i="44"/>
  <c r="I21" i="44" s="1"/>
  <c r="J21" i="44" s="1"/>
  <c r="G5" i="44"/>
  <c r="G21" i="44" s="1"/>
  <c r="H21" i="44" s="1"/>
  <c r="E5" i="44"/>
  <c r="E21" i="44" s="1"/>
  <c r="F21" i="44" s="1"/>
  <c r="D5" i="44"/>
  <c r="AK4" i="44"/>
  <c r="AL4" i="44" s="1"/>
  <c r="AI4" i="44"/>
  <c r="AJ4" i="44" s="1"/>
  <c r="AG4" i="44"/>
  <c r="AH4" i="44" s="1"/>
  <c r="AE4" i="44"/>
  <c r="AF4" i="44" s="1"/>
  <c r="AC4" i="44"/>
  <c r="AD4" i="44" s="1"/>
  <c r="AA4" i="44"/>
  <c r="AB4" i="44" s="1"/>
  <c r="Y4" i="44"/>
  <c r="Z4" i="44" s="1"/>
  <c r="W4" i="44"/>
  <c r="X4" i="44" s="1"/>
  <c r="U4" i="44"/>
  <c r="V4" i="44" s="1"/>
  <c r="S4" i="44"/>
  <c r="T4" i="44" s="1"/>
  <c r="Q4" i="44"/>
  <c r="R4" i="44" s="1"/>
  <c r="O4" i="44"/>
  <c r="P4" i="44" s="1"/>
  <c r="M4" i="44"/>
  <c r="N4" i="44" s="1"/>
  <c r="K4" i="44"/>
  <c r="L4" i="44" s="1"/>
  <c r="I4" i="44"/>
  <c r="J4" i="44" s="1"/>
  <c r="G4" i="44"/>
  <c r="H4" i="44" s="1"/>
  <c r="E4" i="44"/>
  <c r="F4" i="44" s="1"/>
  <c r="D4" i="44"/>
  <c r="T1" i="44"/>
  <c r="L1" i="44"/>
  <c r="H11" i="43"/>
  <c r="D11" i="43"/>
  <c r="H10" i="43"/>
  <c r="D10" i="43"/>
  <c r="H8" i="43"/>
  <c r="D8" i="43"/>
  <c r="AK20" i="43"/>
  <c r="H7" i="43"/>
  <c r="D7" i="43"/>
  <c r="X15" i="46"/>
  <c r="V15" i="46"/>
  <c r="N15" i="46"/>
  <c r="L15" i="46"/>
  <c r="G15" i="46"/>
  <c r="H15" i="46" s="1"/>
  <c r="D15" i="46"/>
  <c r="AK13" i="46"/>
  <c r="AL13" i="46" s="1"/>
  <c r="AL16" i="46" s="1"/>
  <c r="AK16" i="46" s="1"/>
  <c r="AK23" i="46" s="1"/>
  <c r="W13" i="46"/>
  <c r="X13" i="46" s="1"/>
  <c r="U13" i="46"/>
  <c r="V13" i="46" s="1"/>
  <c r="M13" i="46"/>
  <c r="N13" i="46" s="1"/>
  <c r="K13" i="46"/>
  <c r="L13" i="46" s="1"/>
  <c r="G13" i="46"/>
  <c r="H13" i="46" s="1"/>
  <c r="D13" i="46"/>
  <c r="X11" i="46"/>
  <c r="V11" i="46"/>
  <c r="N11" i="46"/>
  <c r="L11" i="46"/>
  <c r="H11" i="46"/>
  <c r="D11" i="46"/>
  <c r="X10" i="46"/>
  <c r="V10" i="46"/>
  <c r="N10" i="46"/>
  <c r="L10" i="46"/>
  <c r="H10" i="46"/>
  <c r="D10" i="46"/>
  <c r="X8" i="46"/>
  <c r="V8" i="46"/>
  <c r="N8" i="46"/>
  <c r="L8" i="46"/>
  <c r="H8" i="46"/>
  <c r="D8" i="46"/>
  <c r="X7" i="46"/>
  <c r="V7" i="46"/>
  <c r="N7" i="46"/>
  <c r="L7" i="46"/>
  <c r="H7" i="46"/>
  <c r="D7" i="46"/>
  <c r="X14" i="75"/>
  <c r="V14" i="75"/>
  <c r="N14" i="75"/>
  <c r="L14" i="75"/>
  <c r="H14" i="75"/>
  <c r="D14" i="75"/>
  <c r="W13" i="75"/>
  <c r="X13" i="75" s="1"/>
  <c r="U13" i="75"/>
  <c r="V13" i="75" s="1"/>
  <c r="M13" i="75"/>
  <c r="N13" i="75" s="1"/>
  <c r="K13" i="75"/>
  <c r="L13" i="75" s="1"/>
  <c r="G13" i="75"/>
  <c r="H13" i="75" s="1"/>
  <c r="D13" i="75"/>
  <c r="X11" i="75"/>
  <c r="V11" i="75"/>
  <c r="N11" i="75"/>
  <c r="L11" i="75"/>
  <c r="H11" i="75"/>
  <c r="D11" i="75"/>
  <c r="X10" i="75"/>
  <c r="V10" i="75"/>
  <c r="N10" i="75"/>
  <c r="L10" i="75"/>
  <c r="H10" i="75"/>
  <c r="D10" i="75"/>
  <c r="X8" i="75"/>
  <c r="V8" i="75"/>
  <c r="N8" i="75"/>
  <c r="L8" i="75"/>
  <c r="H8" i="75"/>
  <c r="D8" i="75"/>
  <c r="X7" i="75"/>
  <c r="V7" i="75"/>
  <c r="N7" i="75"/>
  <c r="N9" i="75" s="1"/>
  <c r="M9" i="75" s="1"/>
  <c r="M20" i="75" s="1"/>
  <c r="L7" i="75"/>
  <c r="H7" i="75"/>
  <c r="D7" i="75"/>
  <c r="H5" i="75"/>
  <c r="D5" i="75"/>
  <c r="N6" i="75"/>
  <c r="M6" i="75" s="1"/>
  <c r="AM27" i="94"/>
  <c r="AL26" i="94"/>
  <c r="AL27" i="94" s="1"/>
  <c r="AK27" i="94" s="1"/>
  <c r="AJ26" i="94"/>
  <c r="AJ27" i="94" s="1"/>
  <c r="AI27" i="94" s="1"/>
  <c r="AH26" i="94"/>
  <c r="AH27" i="94" s="1"/>
  <c r="AG27" i="94" s="1"/>
  <c r="AF26" i="94"/>
  <c r="AF27" i="94" s="1"/>
  <c r="AE27" i="94" s="1"/>
  <c r="AE34" i="94" s="1"/>
  <c r="AD26" i="94"/>
  <c r="AD27" i="94" s="1"/>
  <c r="AC27" i="94" s="1"/>
  <c r="AB26" i="94"/>
  <c r="AB27" i="94" s="1"/>
  <c r="AA27" i="94" s="1"/>
  <c r="Z26" i="94"/>
  <c r="Z27" i="94" s="1"/>
  <c r="Y27" i="94" s="1"/>
  <c r="Y34" i="94" s="1"/>
  <c r="Z34" i="94" s="1"/>
  <c r="X26" i="94"/>
  <c r="X27" i="94" s="1"/>
  <c r="W27" i="94" s="1"/>
  <c r="V26" i="94"/>
  <c r="V27" i="94" s="1"/>
  <c r="U27" i="94" s="1"/>
  <c r="U34" i="94" s="1"/>
  <c r="T26" i="94"/>
  <c r="T27" i="94" s="1"/>
  <c r="S27" i="94" s="1"/>
  <c r="R26" i="94"/>
  <c r="R27" i="94" s="1"/>
  <c r="Q27" i="94" s="1"/>
  <c r="P26" i="94"/>
  <c r="P27" i="94" s="1"/>
  <c r="O27" i="94" s="1"/>
  <c r="O34" i="94" s="1"/>
  <c r="N26" i="94"/>
  <c r="N27" i="94" s="1"/>
  <c r="M27" i="94" s="1"/>
  <c r="L26" i="94"/>
  <c r="L27" i="94" s="1"/>
  <c r="K27" i="94" s="1"/>
  <c r="J26" i="94"/>
  <c r="J27" i="94" s="1"/>
  <c r="I27" i="94" s="1"/>
  <c r="H26" i="94"/>
  <c r="H27" i="94" s="1"/>
  <c r="G27" i="94" s="1"/>
  <c r="G34" i="94" s="1"/>
  <c r="F26" i="94"/>
  <c r="F27" i="94" s="1"/>
  <c r="E27" i="94" s="1"/>
  <c r="D26" i="94"/>
  <c r="D24" i="94"/>
  <c r="F23" i="94"/>
  <c r="D23" i="94"/>
  <c r="E22" i="94"/>
  <c r="F22" i="94" s="1"/>
  <c r="D22" i="94"/>
  <c r="AM20" i="94"/>
  <c r="AM22" i="94" s="1"/>
  <c r="AL20" i="94"/>
  <c r="AK20" i="94"/>
  <c r="AK22" i="94" s="1"/>
  <c r="AL22" i="94" s="1"/>
  <c r="AJ20" i="94"/>
  <c r="AI20" i="94"/>
  <c r="AI22" i="94" s="1"/>
  <c r="AJ22" i="94" s="1"/>
  <c r="AH20" i="94"/>
  <c r="AG20" i="94"/>
  <c r="AG22" i="94" s="1"/>
  <c r="AH22" i="94" s="1"/>
  <c r="AF20" i="94"/>
  <c r="AE20" i="94"/>
  <c r="AE22" i="94" s="1"/>
  <c r="AF22" i="94" s="1"/>
  <c r="AD20" i="94"/>
  <c r="AC20" i="94"/>
  <c r="AC22" i="94" s="1"/>
  <c r="AD22" i="94" s="1"/>
  <c r="AB20" i="94"/>
  <c r="AA20" i="94"/>
  <c r="AA22" i="94" s="1"/>
  <c r="AB22" i="94" s="1"/>
  <c r="Z20" i="94"/>
  <c r="Y20" i="94"/>
  <c r="Y22" i="94" s="1"/>
  <c r="Z22" i="94" s="1"/>
  <c r="X20" i="94"/>
  <c r="W20" i="94"/>
  <c r="W22" i="94" s="1"/>
  <c r="X22" i="94" s="1"/>
  <c r="V20" i="94"/>
  <c r="U20" i="94"/>
  <c r="U22" i="94" s="1"/>
  <c r="V22" i="94" s="1"/>
  <c r="T20" i="94"/>
  <c r="R20" i="94"/>
  <c r="Q20" i="94"/>
  <c r="Q22" i="94" s="1"/>
  <c r="R22" i="94" s="1"/>
  <c r="P20" i="94"/>
  <c r="O20" i="94"/>
  <c r="O22" i="94" s="1"/>
  <c r="P22" i="94" s="1"/>
  <c r="N20" i="94"/>
  <c r="M20" i="94"/>
  <c r="M22" i="94" s="1"/>
  <c r="N22" i="94" s="1"/>
  <c r="L20" i="94"/>
  <c r="J20" i="94"/>
  <c r="I20" i="94"/>
  <c r="I22" i="94" s="1"/>
  <c r="J22" i="94" s="1"/>
  <c r="H20" i="94"/>
  <c r="G20" i="94"/>
  <c r="F20" i="94"/>
  <c r="D20" i="94"/>
  <c r="AM19" i="94"/>
  <c r="AK19" i="94"/>
  <c r="AL19" i="94" s="1"/>
  <c r="AI19" i="94"/>
  <c r="AJ19" i="94" s="1"/>
  <c r="AG19" i="94"/>
  <c r="AH19" i="94" s="1"/>
  <c r="AE19" i="94"/>
  <c r="AF19" i="94" s="1"/>
  <c r="AC19" i="94"/>
  <c r="AD19" i="94" s="1"/>
  <c r="AA19" i="94"/>
  <c r="AB19" i="94" s="1"/>
  <c r="Y19" i="94"/>
  <c r="Z19" i="94" s="1"/>
  <c r="W19" i="94"/>
  <c r="X19" i="94" s="1"/>
  <c r="U19" i="94"/>
  <c r="V19" i="94" s="1"/>
  <c r="S19" i="94"/>
  <c r="T19" i="94" s="1"/>
  <c r="Q19" i="94"/>
  <c r="R19" i="94" s="1"/>
  <c r="O19" i="94"/>
  <c r="P19" i="94" s="1"/>
  <c r="M19" i="94"/>
  <c r="N19" i="94" s="1"/>
  <c r="K19" i="94"/>
  <c r="L19" i="94" s="1"/>
  <c r="I19" i="94"/>
  <c r="J19" i="94" s="1"/>
  <c r="G19" i="94"/>
  <c r="H19" i="94" s="1"/>
  <c r="E19" i="94"/>
  <c r="F19" i="94" s="1"/>
  <c r="D19" i="94"/>
  <c r="AL17" i="94"/>
  <c r="AJ17" i="94"/>
  <c r="AH17" i="94"/>
  <c r="AF17" i="94"/>
  <c r="AD17" i="94"/>
  <c r="AB17" i="94"/>
  <c r="Z17" i="94"/>
  <c r="X17" i="94"/>
  <c r="V17" i="94"/>
  <c r="T17" i="94"/>
  <c r="R17" i="94"/>
  <c r="P17" i="94"/>
  <c r="N17" i="94"/>
  <c r="L17" i="94"/>
  <c r="J17" i="94"/>
  <c r="H17" i="94"/>
  <c r="F17" i="94"/>
  <c r="D17" i="94"/>
  <c r="AL16" i="94"/>
  <c r="AJ16" i="94"/>
  <c r="AH16" i="94"/>
  <c r="AF16" i="94"/>
  <c r="AD16" i="94"/>
  <c r="AB16" i="94"/>
  <c r="Z16" i="94"/>
  <c r="X16" i="94"/>
  <c r="V16" i="94"/>
  <c r="T16" i="94"/>
  <c r="R16" i="94"/>
  <c r="P16" i="94"/>
  <c r="N16" i="94"/>
  <c r="L16" i="94"/>
  <c r="J16" i="94"/>
  <c r="H16" i="94"/>
  <c r="F16" i="94"/>
  <c r="D16" i="94"/>
  <c r="AL15" i="94"/>
  <c r="AJ15" i="94"/>
  <c r="AH15" i="94"/>
  <c r="AF15" i="94"/>
  <c r="AD15" i="94"/>
  <c r="AB15" i="94"/>
  <c r="Z15" i="94"/>
  <c r="X15" i="94"/>
  <c r="V15" i="94"/>
  <c r="T15" i="94"/>
  <c r="R15" i="94"/>
  <c r="P15" i="94"/>
  <c r="N15" i="94"/>
  <c r="L15" i="94"/>
  <c r="J15" i="94"/>
  <c r="H15" i="94"/>
  <c r="F15" i="94"/>
  <c r="D15" i="94"/>
  <c r="AL14" i="94"/>
  <c r="AJ14" i="94"/>
  <c r="AH14" i="94"/>
  <c r="AF14" i="94"/>
  <c r="AD14" i="94"/>
  <c r="AB14" i="94"/>
  <c r="Z14" i="94"/>
  <c r="X14" i="94"/>
  <c r="V14" i="94"/>
  <c r="T14" i="94"/>
  <c r="R14" i="94"/>
  <c r="P14" i="94"/>
  <c r="N14" i="94"/>
  <c r="L14" i="94"/>
  <c r="J14" i="94"/>
  <c r="H14" i="94"/>
  <c r="F14" i="94"/>
  <c r="D14" i="94"/>
  <c r="AL13" i="94"/>
  <c r="AJ13" i="94"/>
  <c r="AH13" i="94"/>
  <c r="AF13" i="94"/>
  <c r="AD13" i="94"/>
  <c r="AB13" i="94"/>
  <c r="Z13" i="94"/>
  <c r="X13" i="94"/>
  <c r="V13" i="94"/>
  <c r="T13" i="94"/>
  <c r="R13" i="94"/>
  <c r="P13" i="94"/>
  <c r="N13" i="94"/>
  <c r="L13" i="94"/>
  <c r="J13" i="94"/>
  <c r="H13" i="94"/>
  <c r="F13" i="94"/>
  <c r="D13" i="94"/>
  <c r="AL12" i="94"/>
  <c r="AJ12" i="94"/>
  <c r="AH12" i="94"/>
  <c r="AF12" i="94"/>
  <c r="AD12" i="94"/>
  <c r="AB12" i="94"/>
  <c r="Z12" i="94"/>
  <c r="X12" i="94"/>
  <c r="V12" i="94"/>
  <c r="T12" i="94"/>
  <c r="R12" i="94"/>
  <c r="P12" i="94"/>
  <c r="N12" i="94"/>
  <c r="L12" i="94"/>
  <c r="J12" i="94"/>
  <c r="H12" i="94"/>
  <c r="F12" i="94"/>
  <c r="D12" i="94"/>
  <c r="AL11" i="94"/>
  <c r="AJ11" i="94"/>
  <c r="AH11" i="94"/>
  <c r="AF11" i="94"/>
  <c r="AD11" i="94"/>
  <c r="AB11" i="94"/>
  <c r="Z11" i="94"/>
  <c r="X11" i="94"/>
  <c r="V11" i="94"/>
  <c r="T11" i="94"/>
  <c r="R11" i="94"/>
  <c r="P11" i="94"/>
  <c r="N11" i="94"/>
  <c r="L11" i="94"/>
  <c r="J11" i="94"/>
  <c r="H11" i="94"/>
  <c r="F11" i="94"/>
  <c r="D11" i="94"/>
  <c r="AL10" i="94"/>
  <c r="AJ10" i="94"/>
  <c r="AH10" i="94"/>
  <c r="AF10" i="94"/>
  <c r="AD10" i="94"/>
  <c r="AB10" i="94"/>
  <c r="Z10" i="94"/>
  <c r="X10" i="94"/>
  <c r="V10" i="94"/>
  <c r="T10" i="94"/>
  <c r="R10" i="94"/>
  <c r="P10" i="94"/>
  <c r="N10" i="94"/>
  <c r="L10" i="94"/>
  <c r="J10" i="94"/>
  <c r="H10" i="94"/>
  <c r="F10" i="94"/>
  <c r="D10" i="94"/>
  <c r="AL9" i="94"/>
  <c r="AJ9" i="94"/>
  <c r="AH9" i="94"/>
  <c r="AF9" i="94"/>
  <c r="AD9" i="94"/>
  <c r="AB9" i="94"/>
  <c r="Z9" i="94"/>
  <c r="X9" i="94"/>
  <c r="V9" i="94"/>
  <c r="T9" i="94"/>
  <c r="R9" i="94"/>
  <c r="P9" i="94"/>
  <c r="N9" i="94"/>
  <c r="L9" i="94"/>
  <c r="J9" i="94"/>
  <c r="H9" i="94"/>
  <c r="F9" i="94"/>
  <c r="D9" i="94"/>
  <c r="AL8" i="94"/>
  <c r="AJ8" i="94"/>
  <c r="AH8" i="94"/>
  <c r="AF8" i="94"/>
  <c r="AD8" i="94"/>
  <c r="AB8" i="94"/>
  <c r="Z8" i="94"/>
  <c r="X8" i="94"/>
  <c r="V8" i="94"/>
  <c r="T8" i="94"/>
  <c r="R8" i="94"/>
  <c r="P8" i="94"/>
  <c r="N8" i="94"/>
  <c r="L8" i="94"/>
  <c r="J8" i="94"/>
  <c r="H8" i="94"/>
  <c r="F8" i="94"/>
  <c r="D8" i="94"/>
  <c r="AL7" i="94"/>
  <c r="AJ7" i="94"/>
  <c r="AH7" i="94"/>
  <c r="AF7" i="94"/>
  <c r="AD7" i="94"/>
  <c r="AB7" i="94"/>
  <c r="Z7" i="94"/>
  <c r="X7" i="94"/>
  <c r="V7" i="94"/>
  <c r="T7" i="94"/>
  <c r="R7" i="94"/>
  <c r="P7" i="94"/>
  <c r="N7" i="94"/>
  <c r="L7" i="94"/>
  <c r="J7" i="94"/>
  <c r="H7" i="94"/>
  <c r="F7" i="94"/>
  <c r="D7" i="94"/>
  <c r="AL6" i="94"/>
  <c r="AJ6" i="94"/>
  <c r="AH6" i="94"/>
  <c r="AF6" i="94"/>
  <c r="AD6" i="94"/>
  <c r="AB6" i="94"/>
  <c r="Z6" i="94"/>
  <c r="X6" i="94"/>
  <c r="V6" i="94"/>
  <c r="T6" i="94"/>
  <c r="R6" i="94"/>
  <c r="P6" i="94"/>
  <c r="N6" i="94"/>
  <c r="L6" i="94"/>
  <c r="J6" i="94"/>
  <c r="H6" i="94"/>
  <c r="F6" i="94"/>
  <c r="D6" i="94"/>
  <c r="AL5" i="94"/>
  <c r="AJ5" i="94"/>
  <c r="AH5" i="94"/>
  <c r="AF5" i="94"/>
  <c r="AD5" i="94"/>
  <c r="AB5" i="94"/>
  <c r="Z5" i="94"/>
  <c r="X5" i="94"/>
  <c r="V5" i="94"/>
  <c r="T5" i="94"/>
  <c r="R5" i="94"/>
  <c r="P5" i="94"/>
  <c r="N5" i="94"/>
  <c r="L5" i="94"/>
  <c r="J5" i="94"/>
  <c r="H5" i="94"/>
  <c r="F5" i="94"/>
  <c r="D5" i="94"/>
  <c r="AL4" i="94"/>
  <c r="AJ4" i="94"/>
  <c r="AH4" i="94"/>
  <c r="AF4" i="94"/>
  <c r="AD4" i="94"/>
  <c r="AB4" i="94"/>
  <c r="Z4" i="94"/>
  <c r="X4" i="94"/>
  <c r="V4" i="94"/>
  <c r="T4" i="94"/>
  <c r="R4" i="94"/>
  <c r="P4" i="94"/>
  <c r="N4" i="94"/>
  <c r="L4" i="94"/>
  <c r="J4" i="94"/>
  <c r="H4" i="94"/>
  <c r="F4" i="94"/>
  <c r="D4" i="94"/>
  <c r="T1" i="94"/>
  <c r="L1" i="94"/>
  <c r="AC87" i="8"/>
  <c r="AC86" i="8"/>
  <c r="AC85" i="8"/>
  <c r="AC84" i="8"/>
  <c r="AC83" i="8"/>
  <c r="AC82" i="8"/>
  <c r="AC81" i="8"/>
  <c r="AC80" i="8"/>
  <c r="AC79" i="8"/>
  <c r="AC78" i="8"/>
  <c r="AC77" i="8"/>
  <c r="AC76" i="8"/>
  <c r="AC75" i="8"/>
  <c r="AC74" i="8"/>
  <c r="AC73" i="8"/>
  <c r="AC72" i="8"/>
  <c r="AC71" i="8"/>
  <c r="AC70" i="8"/>
  <c r="AC69" i="8"/>
  <c r="AC68" i="8"/>
  <c r="AC67" i="8"/>
  <c r="AC66" i="8"/>
  <c r="AC65" i="8"/>
  <c r="AC64" i="8"/>
  <c r="AC63" i="8"/>
  <c r="AC62" i="8"/>
  <c r="AC61" i="8"/>
  <c r="AC60" i="8"/>
  <c r="AC59" i="8"/>
  <c r="AC58" i="8"/>
  <c r="E52" i="8"/>
  <c r="F52" i="8" s="1"/>
  <c r="H41" i="8"/>
  <c r="D41" i="8"/>
  <c r="W40" i="8"/>
  <c r="X40" i="8" s="1"/>
  <c r="U40" i="8"/>
  <c r="V40" i="8" s="1"/>
  <c r="N40" i="8"/>
  <c r="K40" i="8"/>
  <c r="L40" i="8" s="1"/>
  <c r="H40" i="8"/>
  <c r="D40" i="8"/>
  <c r="H39" i="8"/>
  <c r="D39" i="8"/>
  <c r="D38" i="8"/>
  <c r="D37" i="8"/>
  <c r="D36" i="8"/>
  <c r="H34" i="8"/>
  <c r="D34" i="8"/>
  <c r="H33" i="8"/>
  <c r="D33" i="8"/>
  <c r="D32" i="8"/>
  <c r="D31" i="8"/>
  <c r="D30" i="8"/>
  <c r="D29" i="8"/>
  <c r="H28" i="8"/>
  <c r="D28" i="8"/>
  <c r="H26" i="8"/>
  <c r="D26" i="8"/>
  <c r="H25" i="8"/>
  <c r="D25" i="8"/>
  <c r="H24" i="8"/>
  <c r="D24" i="8"/>
  <c r="X23" i="8"/>
  <c r="V23" i="8"/>
  <c r="N23" i="8"/>
  <c r="L23" i="8"/>
  <c r="H23" i="8"/>
  <c r="D23" i="8"/>
  <c r="H22" i="8"/>
  <c r="D22" i="8"/>
  <c r="H21" i="8"/>
  <c r="D21" i="8"/>
  <c r="D19" i="8"/>
  <c r="D18" i="8"/>
  <c r="D17" i="8"/>
  <c r="D16" i="8"/>
  <c r="H15" i="8"/>
  <c r="D15" i="8"/>
  <c r="H14" i="8"/>
  <c r="D14" i="8"/>
  <c r="H13" i="8"/>
  <c r="D13" i="8"/>
  <c r="D12" i="8"/>
  <c r="H11" i="8"/>
  <c r="D11" i="8"/>
  <c r="D10" i="8"/>
  <c r="D9" i="8"/>
  <c r="X8" i="8"/>
  <c r="D8" i="8"/>
  <c r="V7" i="8"/>
  <c r="D7" i="8"/>
  <c r="N6" i="8"/>
  <c r="D6" i="8"/>
  <c r="L5" i="8"/>
  <c r="D5" i="8"/>
  <c r="H4" i="8"/>
  <c r="D4" i="8"/>
  <c r="D57" i="9"/>
  <c r="D56" i="9"/>
  <c r="D55" i="9"/>
  <c r="E53" i="9"/>
  <c r="F53" i="9" s="1"/>
  <c r="D53" i="9"/>
  <c r="E52" i="9"/>
  <c r="F52" i="9" s="1"/>
  <c r="D52" i="9"/>
  <c r="D51" i="9"/>
  <c r="F50" i="9"/>
  <c r="D50" i="9"/>
  <c r="F49" i="9"/>
  <c r="D49" i="9"/>
  <c r="D48" i="9"/>
  <c r="D47" i="9"/>
  <c r="D46" i="9"/>
  <c r="F45" i="9"/>
  <c r="D45" i="9"/>
  <c r="F43" i="9"/>
  <c r="D43" i="9"/>
  <c r="AM41" i="9"/>
  <c r="AN41" i="9" s="1"/>
  <c r="AK41" i="9"/>
  <c r="AL41" i="9" s="1"/>
  <c r="AI41" i="9"/>
  <c r="AJ41" i="9" s="1"/>
  <c r="AG41" i="9"/>
  <c r="AH41" i="9" s="1"/>
  <c r="AE41" i="9"/>
  <c r="AF41" i="9" s="1"/>
  <c r="AC41" i="9"/>
  <c r="AD41" i="9" s="1"/>
  <c r="AA41" i="9"/>
  <c r="AB41" i="9" s="1"/>
  <c r="Y41" i="9"/>
  <c r="Z41" i="9" s="1"/>
  <c r="W41" i="9"/>
  <c r="X41" i="9" s="1"/>
  <c r="U41" i="9"/>
  <c r="V41" i="9" s="1"/>
  <c r="S41" i="9"/>
  <c r="T41" i="9" s="1"/>
  <c r="Q41" i="9"/>
  <c r="R41" i="9" s="1"/>
  <c r="O41" i="9"/>
  <c r="P41" i="9" s="1"/>
  <c r="M41" i="9"/>
  <c r="N41" i="9" s="1"/>
  <c r="K41" i="9"/>
  <c r="L41" i="9" s="1"/>
  <c r="I41" i="9"/>
  <c r="J41" i="9" s="1"/>
  <c r="G41" i="9"/>
  <c r="H41" i="9" s="1"/>
  <c r="E41" i="9"/>
  <c r="F41" i="9" s="1"/>
  <c r="D41" i="9"/>
  <c r="AM40" i="9"/>
  <c r="AN40" i="9" s="1"/>
  <c r="AK40" i="9"/>
  <c r="AL40" i="9" s="1"/>
  <c r="AI40" i="9"/>
  <c r="AJ40" i="9" s="1"/>
  <c r="AG40" i="9"/>
  <c r="AH40" i="9" s="1"/>
  <c r="AE40" i="9"/>
  <c r="AF40" i="9" s="1"/>
  <c r="AC40" i="9"/>
  <c r="AD40" i="9" s="1"/>
  <c r="AA40" i="9"/>
  <c r="AB40" i="9" s="1"/>
  <c r="Y40" i="9"/>
  <c r="Z40" i="9" s="1"/>
  <c r="W40" i="9"/>
  <c r="X40" i="9" s="1"/>
  <c r="U40" i="9"/>
  <c r="V40" i="9" s="1"/>
  <c r="S40" i="9"/>
  <c r="T40" i="9" s="1"/>
  <c r="Q40" i="9"/>
  <c r="R40" i="9" s="1"/>
  <c r="O40" i="9"/>
  <c r="P40" i="9" s="1"/>
  <c r="M40" i="9"/>
  <c r="N40" i="9" s="1"/>
  <c r="K40" i="9"/>
  <c r="L40" i="9" s="1"/>
  <c r="I40" i="9"/>
  <c r="J40" i="9" s="1"/>
  <c r="G40" i="9"/>
  <c r="H40" i="9" s="1"/>
  <c r="E40" i="9"/>
  <c r="F40" i="9" s="1"/>
  <c r="D40" i="9"/>
  <c r="AM39" i="9"/>
  <c r="AN39" i="9" s="1"/>
  <c r="AK39" i="9"/>
  <c r="AL39" i="9" s="1"/>
  <c r="AI39" i="9"/>
  <c r="AJ39" i="9" s="1"/>
  <c r="AG39" i="9"/>
  <c r="AH39" i="9" s="1"/>
  <c r="AE39" i="9"/>
  <c r="AF39" i="9" s="1"/>
  <c r="AC39" i="9"/>
  <c r="AD39" i="9" s="1"/>
  <c r="AA39" i="9"/>
  <c r="AB39" i="9" s="1"/>
  <c r="Y39" i="9"/>
  <c r="Z39" i="9" s="1"/>
  <c r="W39" i="9"/>
  <c r="X39" i="9" s="1"/>
  <c r="U39" i="9"/>
  <c r="V39" i="9" s="1"/>
  <c r="S39" i="9"/>
  <c r="T39" i="9" s="1"/>
  <c r="Q39" i="9"/>
  <c r="R39" i="9" s="1"/>
  <c r="O39" i="9"/>
  <c r="P39" i="9" s="1"/>
  <c r="M39" i="9"/>
  <c r="N39" i="9" s="1"/>
  <c r="K39" i="9"/>
  <c r="L39" i="9" s="1"/>
  <c r="I39" i="9"/>
  <c r="J39" i="9" s="1"/>
  <c r="G39" i="9"/>
  <c r="H39" i="9" s="1"/>
  <c r="E39" i="9"/>
  <c r="F39" i="9" s="1"/>
  <c r="D39" i="9"/>
  <c r="AM38" i="9"/>
  <c r="AN38" i="9" s="1"/>
  <c r="AK38" i="9"/>
  <c r="AL38" i="9" s="1"/>
  <c r="AI38" i="9"/>
  <c r="AJ38" i="9" s="1"/>
  <c r="AG38" i="9"/>
  <c r="AH38" i="9" s="1"/>
  <c r="AE38" i="9"/>
  <c r="AF38" i="9" s="1"/>
  <c r="AC38" i="9"/>
  <c r="AD38" i="9" s="1"/>
  <c r="AA38" i="9"/>
  <c r="AB38" i="9" s="1"/>
  <c r="Y38" i="9"/>
  <c r="Z38" i="9" s="1"/>
  <c r="W38" i="9"/>
  <c r="X38" i="9" s="1"/>
  <c r="U38" i="9"/>
  <c r="V38" i="9" s="1"/>
  <c r="S38" i="9"/>
  <c r="T38" i="9" s="1"/>
  <c r="Q38" i="9"/>
  <c r="R38" i="9" s="1"/>
  <c r="O38" i="9"/>
  <c r="P38" i="9" s="1"/>
  <c r="M38" i="9"/>
  <c r="N38" i="9" s="1"/>
  <c r="K38" i="9"/>
  <c r="L38" i="9" s="1"/>
  <c r="I38" i="9"/>
  <c r="J38" i="9" s="1"/>
  <c r="G38" i="9"/>
  <c r="H38" i="9" s="1"/>
  <c r="E38" i="9"/>
  <c r="F38" i="9" s="1"/>
  <c r="D38" i="9"/>
  <c r="D37" i="9"/>
  <c r="F35" i="9"/>
  <c r="D35" i="9"/>
  <c r="E34" i="9"/>
  <c r="F34" i="9" s="1"/>
  <c r="F33" i="9"/>
  <c r="D33" i="9"/>
  <c r="E32" i="9"/>
  <c r="F32" i="9" s="1"/>
  <c r="D32" i="9"/>
  <c r="D31" i="9"/>
  <c r="D30" i="9"/>
  <c r="D29" i="9"/>
  <c r="D28" i="9"/>
  <c r="D27" i="9"/>
  <c r="D26" i="9"/>
  <c r="E25" i="9"/>
  <c r="F25" i="9" s="1"/>
  <c r="D25" i="9"/>
  <c r="E24" i="9"/>
  <c r="F24" i="9" s="1"/>
  <c r="D24" i="9"/>
  <c r="E23" i="9"/>
  <c r="F23" i="9" s="1"/>
  <c r="D23" i="9"/>
  <c r="E22" i="9"/>
  <c r="F22" i="9" s="1"/>
  <c r="D22" i="9"/>
  <c r="E21" i="9"/>
  <c r="F21" i="9" s="1"/>
  <c r="D21" i="9"/>
  <c r="E20" i="9"/>
  <c r="F20" i="9" s="1"/>
  <c r="D20" i="9"/>
  <c r="E19" i="9"/>
  <c r="F19" i="9" s="1"/>
  <c r="D19" i="9"/>
  <c r="AN18" i="9"/>
  <c r="AL18" i="9"/>
  <c r="D18" i="9"/>
  <c r="AJ17" i="9"/>
  <c r="AH17" i="9"/>
  <c r="D17" i="9"/>
  <c r="AF16" i="9"/>
  <c r="D16" i="9"/>
  <c r="AD15" i="9"/>
  <c r="AB15" i="9"/>
  <c r="D15" i="9"/>
  <c r="Z14" i="9"/>
  <c r="X14" i="9"/>
  <c r="D14" i="9"/>
  <c r="V13" i="9"/>
  <c r="D13" i="9"/>
  <c r="T12" i="9"/>
  <c r="D12" i="9"/>
  <c r="R11" i="9"/>
  <c r="D11" i="9"/>
  <c r="P10" i="9"/>
  <c r="D10" i="9"/>
  <c r="P9" i="9"/>
  <c r="N9" i="9"/>
  <c r="D9" i="9"/>
  <c r="L8" i="9"/>
  <c r="D8" i="9"/>
  <c r="J7" i="9"/>
  <c r="D7" i="9"/>
  <c r="H6" i="9"/>
  <c r="D6" i="9"/>
  <c r="H5" i="9"/>
  <c r="F5" i="9"/>
  <c r="D5" i="9"/>
  <c r="D4" i="9"/>
  <c r="T1" i="9"/>
  <c r="L1" i="9"/>
  <c r="AC101" i="35"/>
  <c r="AC100" i="35"/>
  <c r="AC99" i="35"/>
  <c r="AC98" i="35"/>
  <c r="AC97" i="35"/>
  <c r="AC96" i="35"/>
  <c r="AC95" i="35"/>
  <c r="AC94" i="35"/>
  <c r="AC93" i="35"/>
  <c r="AC92" i="35"/>
  <c r="AC91" i="35"/>
  <c r="AC90" i="35"/>
  <c r="AC89" i="35"/>
  <c r="AC88" i="35"/>
  <c r="AC87" i="35"/>
  <c r="AC86" i="35"/>
  <c r="AC85" i="35"/>
  <c r="AC84" i="35"/>
  <c r="AC83" i="35"/>
  <c r="AC82" i="35"/>
  <c r="AC81" i="35"/>
  <c r="AC80" i="35"/>
  <c r="AC79" i="35"/>
  <c r="AC78" i="35"/>
  <c r="AC77" i="35"/>
  <c r="AC76" i="35"/>
  <c r="AC75" i="35"/>
  <c r="AC74" i="35"/>
  <c r="AC73" i="35"/>
  <c r="AC72" i="35"/>
  <c r="AC71" i="35"/>
  <c r="AC70" i="35"/>
  <c r="D53" i="35"/>
  <c r="D52" i="35"/>
  <c r="D51" i="35"/>
  <c r="D50" i="35"/>
  <c r="D48" i="35"/>
  <c r="E47" i="35"/>
  <c r="F47" i="35" s="1"/>
  <c r="D47" i="35"/>
  <c r="D46" i="35"/>
  <c r="AP45" i="35"/>
  <c r="D45" i="35"/>
  <c r="AP44" i="35"/>
  <c r="D44" i="35"/>
  <c r="AP43" i="35"/>
  <c r="E43" i="35"/>
  <c r="F43" i="35" s="1"/>
  <c r="D43" i="35"/>
  <c r="AP42" i="35"/>
  <c r="D42" i="35"/>
  <c r="AP41" i="35"/>
  <c r="D41" i="35"/>
  <c r="AP40" i="35"/>
  <c r="D40" i="35"/>
  <c r="AP39" i="35"/>
  <c r="E39" i="35"/>
  <c r="F39" i="35" s="1"/>
  <c r="D39" i="35"/>
  <c r="AP38" i="35"/>
  <c r="D38" i="35"/>
  <c r="AP37" i="35"/>
  <c r="AP36" i="35"/>
  <c r="F36" i="35"/>
  <c r="D36" i="35"/>
  <c r="AP35" i="35"/>
  <c r="AN35" i="35"/>
  <c r="F35" i="35"/>
  <c r="D35" i="35"/>
  <c r="AP34" i="35"/>
  <c r="AM34" i="35"/>
  <c r="AN34" i="35" s="1"/>
  <c r="AK34" i="35"/>
  <c r="AL34" i="35" s="1"/>
  <c r="AI34" i="35"/>
  <c r="AJ34" i="35" s="1"/>
  <c r="AG34" i="35"/>
  <c r="AH34" i="35" s="1"/>
  <c r="AE34" i="35"/>
  <c r="AF34" i="35" s="1"/>
  <c r="AC34" i="35"/>
  <c r="AD34" i="35" s="1"/>
  <c r="AA34" i="35"/>
  <c r="AB34" i="35" s="1"/>
  <c r="Y34" i="35"/>
  <c r="Z34" i="35" s="1"/>
  <c r="W34" i="35"/>
  <c r="X34" i="35" s="1"/>
  <c r="U34" i="35"/>
  <c r="V34" i="35" s="1"/>
  <c r="S34" i="35"/>
  <c r="T34" i="35" s="1"/>
  <c r="Q34" i="35"/>
  <c r="R34" i="35" s="1"/>
  <c r="O34" i="35"/>
  <c r="P34" i="35" s="1"/>
  <c r="M34" i="35"/>
  <c r="N34" i="35" s="1"/>
  <c r="K34" i="35"/>
  <c r="L34" i="35" s="1"/>
  <c r="I34" i="35"/>
  <c r="J34" i="35" s="1"/>
  <c r="G34" i="35"/>
  <c r="H34" i="35" s="1"/>
  <c r="E34" i="35"/>
  <c r="F34" i="35" s="1"/>
  <c r="D34" i="35"/>
  <c r="AP33" i="35"/>
  <c r="AP32" i="35"/>
  <c r="AP31" i="35"/>
  <c r="AM31" i="35"/>
  <c r="AK31" i="35"/>
  <c r="AL31" i="35" s="1"/>
  <c r="AI31" i="35"/>
  <c r="AG31" i="35"/>
  <c r="AH31" i="35" s="1"/>
  <c r="AE31" i="35"/>
  <c r="AC31" i="35"/>
  <c r="AD31" i="35" s="1"/>
  <c r="AA31" i="35"/>
  <c r="AB31" i="35" s="1"/>
  <c r="Y31" i="35"/>
  <c r="Z31" i="35" s="1"/>
  <c r="W31" i="35"/>
  <c r="U31" i="35"/>
  <c r="V31" i="35" s="1"/>
  <c r="S31" i="35"/>
  <c r="Q31" i="35"/>
  <c r="R31" i="35" s="1"/>
  <c r="O31" i="35"/>
  <c r="M31" i="35"/>
  <c r="N31" i="35" s="1"/>
  <c r="K31" i="35"/>
  <c r="L31" i="35" s="1"/>
  <c r="I31" i="35"/>
  <c r="J31" i="35" s="1"/>
  <c r="G31" i="35"/>
  <c r="F31" i="35"/>
  <c r="D31" i="35"/>
  <c r="AP30" i="35"/>
  <c r="F30" i="35"/>
  <c r="D30" i="35"/>
  <c r="AP29" i="35"/>
  <c r="F29" i="35"/>
  <c r="D29" i="35"/>
  <c r="AP28" i="35"/>
  <c r="D28" i="35"/>
  <c r="AP27" i="35"/>
  <c r="F27" i="35"/>
  <c r="D27" i="35"/>
  <c r="AP26" i="35"/>
  <c r="AM26" i="35"/>
  <c r="AK26" i="35"/>
  <c r="AI26" i="35"/>
  <c r="AG26" i="35"/>
  <c r="AE26" i="35"/>
  <c r="AC26" i="35"/>
  <c r="AD26" i="35" s="1"/>
  <c r="AA26" i="35"/>
  <c r="Y26" i="35"/>
  <c r="W26" i="35"/>
  <c r="U26" i="35"/>
  <c r="S26" i="35"/>
  <c r="Q26" i="35"/>
  <c r="O26" i="35"/>
  <c r="M26" i="35"/>
  <c r="K26" i="35"/>
  <c r="L26" i="35" s="1"/>
  <c r="I26" i="35"/>
  <c r="G26" i="35"/>
  <c r="D26" i="35"/>
  <c r="AP25" i="35"/>
  <c r="AL25" i="35"/>
  <c r="AJ25" i="35"/>
  <c r="AH25" i="35"/>
  <c r="AF25" i="35"/>
  <c r="AD25" i="35"/>
  <c r="AB25" i="35"/>
  <c r="Z25" i="35"/>
  <c r="X25" i="35"/>
  <c r="V25" i="35"/>
  <c r="T25" i="35"/>
  <c r="R25" i="35"/>
  <c r="P25" i="35"/>
  <c r="N25" i="35"/>
  <c r="L25" i="35"/>
  <c r="J25" i="35"/>
  <c r="H25" i="35"/>
  <c r="F25" i="35"/>
  <c r="D25" i="35"/>
  <c r="AP24" i="35"/>
  <c r="AN24" i="35"/>
  <c r="AJ24" i="35"/>
  <c r="AH24" i="35"/>
  <c r="AF24" i="35"/>
  <c r="AD24" i="35"/>
  <c r="AB24" i="35"/>
  <c r="Z24" i="35"/>
  <c r="X24" i="35"/>
  <c r="V24" i="35"/>
  <c r="T24" i="35"/>
  <c r="R24" i="35"/>
  <c r="P24" i="35"/>
  <c r="N24" i="35"/>
  <c r="L24" i="35"/>
  <c r="J24" i="35"/>
  <c r="H24" i="35"/>
  <c r="F24" i="35"/>
  <c r="D24" i="35"/>
  <c r="AP23" i="35"/>
  <c r="AN23" i="35"/>
  <c r="AL23" i="35"/>
  <c r="AH23" i="35"/>
  <c r="AF23" i="35"/>
  <c r="AD23" i="35"/>
  <c r="AB23" i="35"/>
  <c r="Z23" i="35"/>
  <c r="X23" i="35"/>
  <c r="V23" i="35"/>
  <c r="T23" i="35"/>
  <c r="R23" i="35"/>
  <c r="P23" i="35"/>
  <c r="N23" i="35"/>
  <c r="L23" i="35"/>
  <c r="J23" i="35"/>
  <c r="H23" i="35"/>
  <c r="F23" i="35"/>
  <c r="D23" i="35"/>
  <c r="AP22" i="35"/>
  <c r="AN22" i="35"/>
  <c r="AL22" i="35"/>
  <c r="AJ22" i="35"/>
  <c r="AF22" i="35"/>
  <c r="AD22" i="35"/>
  <c r="AB22" i="35"/>
  <c r="Z22" i="35"/>
  <c r="X22" i="35"/>
  <c r="V22" i="35"/>
  <c r="T22" i="35"/>
  <c r="R22" i="35"/>
  <c r="P22" i="35"/>
  <c r="N22" i="35"/>
  <c r="L22" i="35"/>
  <c r="J22" i="35"/>
  <c r="H22" i="35"/>
  <c r="F22" i="35"/>
  <c r="D22" i="35"/>
  <c r="AP21" i="35"/>
  <c r="AN21" i="35"/>
  <c r="AL21" i="35"/>
  <c r="AJ21" i="35"/>
  <c r="AH21" i="35"/>
  <c r="AD21" i="35"/>
  <c r="AB21" i="35"/>
  <c r="Z21" i="35"/>
  <c r="X21" i="35"/>
  <c r="V21" i="35"/>
  <c r="T21" i="35"/>
  <c r="R21" i="35"/>
  <c r="P21" i="35"/>
  <c r="N21" i="35"/>
  <c r="L21" i="35"/>
  <c r="J21" i="35"/>
  <c r="H21" i="35"/>
  <c r="F21" i="35"/>
  <c r="D21" i="35"/>
  <c r="AP20" i="35"/>
  <c r="AN20" i="35"/>
  <c r="AL20" i="35"/>
  <c r="AJ20" i="35"/>
  <c r="AH20" i="35"/>
  <c r="AF20" i="35"/>
  <c r="AB20" i="35"/>
  <c r="Z20" i="35"/>
  <c r="X20" i="35"/>
  <c r="V20" i="35"/>
  <c r="T20" i="35"/>
  <c r="R20" i="35"/>
  <c r="P20" i="35"/>
  <c r="N20" i="35"/>
  <c r="L20" i="35"/>
  <c r="J20" i="35"/>
  <c r="H20" i="35"/>
  <c r="F20" i="35"/>
  <c r="D20" i="35"/>
  <c r="AP19" i="35"/>
  <c r="AN19" i="35"/>
  <c r="AL19" i="35"/>
  <c r="AJ19" i="35"/>
  <c r="AH19" i="35"/>
  <c r="AF19" i="35"/>
  <c r="AD19" i="35"/>
  <c r="Z19" i="35"/>
  <c r="X19" i="35"/>
  <c r="V19" i="35"/>
  <c r="T19" i="35"/>
  <c r="R19" i="35"/>
  <c r="P19" i="35"/>
  <c r="N19" i="35"/>
  <c r="L19" i="35"/>
  <c r="J19" i="35"/>
  <c r="H19" i="35"/>
  <c r="F19" i="35"/>
  <c r="D19" i="35"/>
  <c r="AP18" i="35"/>
  <c r="AN18" i="35"/>
  <c r="AL18" i="35"/>
  <c r="AJ18" i="35"/>
  <c r="AH18" i="35"/>
  <c r="AF18" i="35"/>
  <c r="AD18" i="35"/>
  <c r="AB18" i="35"/>
  <c r="X18" i="35"/>
  <c r="V18" i="35"/>
  <c r="T18" i="35"/>
  <c r="R18" i="35"/>
  <c r="P18" i="35"/>
  <c r="N18" i="35"/>
  <c r="L18" i="35"/>
  <c r="J18" i="35"/>
  <c r="H18" i="35"/>
  <c r="F18" i="35"/>
  <c r="D18" i="35"/>
  <c r="AP17" i="35"/>
  <c r="AN17" i="35"/>
  <c r="AL17" i="35"/>
  <c r="AJ17" i="35"/>
  <c r="AH17" i="35"/>
  <c r="AF17" i="35"/>
  <c r="AD17" i="35"/>
  <c r="AB17" i="35"/>
  <c r="Z17" i="35"/>
  <c r="V17" i="35"/>
  <c r="T17" i="35"/>
  <c r="R17" i="35"/>
  <c r="P17" i="35"/>
  <c r="N17" i="35"/>
  <c r="L17" i="35"/>
  <c r="J17" i="35"/>
  <c r="H17" i="35"/>
  <c r="F17" i="35"/>
  <c r="D17" i="35"/>
  <c r="AP16" i="35"/>
  <c r="AN16" i="35"/>
  <c r="AL16" i="35"/>
  <c r="AJ16" i="35"/>
  <c r="AH16" i="35"/>
  <c r="AF16" i="35"/>
  <c r="AD16" i="35"/>
  <c r="AB16" i="35"/>
  <c r="Z16" i="35"/>
  <c r="X16" i="35"/>
  <c r="T16" i="35"/>
  <c r="R16" i="35"/>
  <c r="P16" i="35"/>
  <c r="N16" i="35"/>
  <c r="L16" i="35"/>
  <c r="J16" i="35"/>
  <c r="H16" i="35"/>
  <c r="F16" i="35"/>
  <c r="D16" i="35"/>
  <c r="AP15" i="35"/>
  <c r="AN15" i="35"/>
  <c r="AL15" i="35"/>
  <c r="AJ15" i="35"/>
  <c r="AH15" i="35"/>
  <c r="AF15" i="35"/>
  <c r="AD15" i="35"/>
  <c r="AB15" i="35"/>
  <c r="Z15" i="35"/>
  <c r="X15" i="35"/>
  <c r="V15" i="35"/>
  <c r="R15" i="35"/>
  <c r="P15" i="35"/>
  <c r="N15" i="35"/>
  <c r="L15" i="35"/>
  <c r="J15" i="35"/>
  <c r="H15" i="35"/>
  <c r="F15" i="35"/>
  <c r="D15" i="35"/>
  <c r="AP14" i="35"/>
  <c r="AN14" i="35"/>
  <c r="AL14" i="35"/>
  <c r="AJ14" i="35"/>
  <c r="AH14" i="35"/>
  <c r="AF14" i="35"/>
  <c r="AD14" i="35"/>
  <c r="AB14" i="35"/>
  <c r="Z14" i="35"/>
  <c r="X14" i="35"/>
  <c r="V14" i="35"/>
  <c r="T14" i="35"/>
  <c r="P14" i="35"/>
  <c r="N14" i="35"/>
  <c r="L14" i="35"/>
  <c r="J14" i="35"/>
  <c r="H14" i="35"/>
  <c r="F14" i="35"/>
  <c r="D14" i="35"/>
  <c r="AP13" i="35"/>
  <c r="AN13" i="35"/>
  <c r="AL13" i="35"/>
  <c r="AJ13" i="35"/>
  <c r="AH13" i="35"/>
  <c r="AF13" i="35"/>
  <c r="AD13" i="35"/>
  <c r="AB13" i="35"/>
  <c r="Z13" i="35"/>
  <c r="X13" i="35"/>
  <c r="V13" i="35"/>
  <c r="T13" i="35"/>
  <c r="R13" i="35"/>
  <c r="N13" i="35"/>
  <c r="L13" i="35"/>
  <c r="J13" i="35"/>
  <c r="H13" i="35"/>
  <c r="F13" i="35"/>
  <c r="D13" i="35"/>
  <c r="AP12" i="35"/>
  <c r="AN12" i="35"/>
  <c r="AL12" i="35"/>
  <c r="AJ12" i="35"/>
  <c r="AH12" i="35"/>
  <c r="AF12" i="35"/>
  <c r="AD12" i="35"/>
  <c r="AB12" i="35"/>
  <c r="Z12" i="35"/>
  <c r="X12" i="35"/>
  <c r="V12" i="35"/>
  <c r="T12" i="35"/>
  <c r="R12" i="35"/>
  <c r="P12" i="35"/>
  <c r="L12" i="35"/>
  <c r="J12" i="35"/>
  <c r="H12" i="35"/>
  <c r="F12" i="35"/>
  <c r="D12" i="35"/>
  <c r="AP11" i="35"/>
  <c r="AN11" i="35"/>
  <c r="AL11" i="35"/>
  <c r="AJ11" i="35"/>
  <c r="AH11" i="35"/>
  <c r="AF11" i="35"/>
  <c r="AD11" i="35"/>
  <c r="AB11" i="35"/>
  <c r="Z11" i="35"/>
  <c r="X11" i="35"/>
  <c r="V11" i="35"/>
  <c r="T11" i="35"/>
  <c r="R11" i="35"/>
  <c r="P11" i="35"/>
  <c r="N11" i="35"/>
  <c r="J11" i="35"/>
  <c r="H11" i="35"/>
  <c r="F11" i="35"/>
  <c r="D11" i="35"/>
  <c r="AP10" i="35"/>
  <c r="AN10" i="35"/>
  <c r="AL10" i="35"/>
  <c r="AJ10" i="35"/>
  <c r="AH10" i="35"/>
  <c r="AF10" i="35"/>
  <c r="AD10" i="35"/>
  <c r="AB10" i="35"/>
  <c r="Z10" i="35"/>
  <c r="X10" i="35"/>
  <c r="V10" i="35"/>
  <c r="T10" i="35"/>
  <c r="R10" i="35"/>
  <c r="P10" i="35"/>
  <c r="N10" i="35"/>
  <c r="L10" i="35"/>
  <c r="H10" i="35"/>
  <c r="F10" i="35"/>
  <c r="D10" i="35"/>
  <c r="AP9" i="35"/>
  <c r="AN9" i="35"/>
  <c r="AL9" i="35"/>
  <c r="AJ9" i="35"/>
  <c r="AH9" i="35"/>
  <c r="AF9" i="35"/>
  <c r="AD9" i="35"/>
  <c r="AB9" i="35"/>
  <c r="Z9" i="35"/>
  <c r="X9" i="35"/>
  <c r="V9" i="35"/>
  <c r="T9" i="35"/>
  <c r="R9" i="35"/>
  <c r="P9" i="35"/>
  <c r="N9" i="35"/>
  <c r="L9" i="35"/>
  <c r="J9" i="35"/>
  <c r="F9" i="35"/>
  <c r="D9" i="35"/>
  <c r="AP8" i="35"/>
  <c r="AN8" i="35"/>
  <c r="AL8" i="35"/>
  <c r="AJ8" i="35"/>
  <c r="AH8" i="35"/>
  <c r="AF8" i="35"/>
  <c r="AD8" i="35"/>
  <c r="AB8" i="35"/>
  <c r="Z8" i="35"/>
  <c r="X8" i="35"/>
  <c r="V8" i="35"/>
  <c r="T8" i="35"/>
  <c r="R8" i="35"/>
  <c r="P8" i="35"/>
  <c r="N8" i="35"/>
  <c r="L8" i="35"/>
  <c r="J8" i="35"/>
  <c r="H8" i="35"/>
  <c r="D8" i="35"/>
  <c r="AP7" i="35"/>
  <c r="D7" i="35"/>
  <c r="AP6" i="35"/>
  <c r="D6" i="35"/>
  <c r="AP5" i="35"/>
  <c r="D5" i="35"/>
  <c r="AP4" i="35"/>
  <c r="D4" i="35"/>
  <c r="D292" i="4"/>
  <c r="M5" i="99" s="1"/>
  <c r="O5" i="99" s="1"/>
  <c r="D291" i="4"/>
  <c r="D288" i="4"/>
  <c r="D287" i="4"/>
  <c r="C95" i="4"/>
  <c r="X40" i="99" s="1"/>
  <c r="D58" i="4"/>
  <c r="F28" i="69"/>
  <c r="F27" i="69"/>
  <c r="F26" i="69"/>
  <c r="F25" i="69"/>
  <c r="F24" i="69"/>
  <c r="F23" i="69"/>
  <c r="F22" i="69"/>
  <c r="F21" i="69"/>
  <c r="F20" i="69"/>
  <c r="F19" i="69"/>
  <c r="F18" i="69"/>
  <c r="F17" i="69"/>
  <c r="F16" i="69"/>
  <c r="F15" i="69"/>
  <c r="F14" i="69"/>
  <c r="F13" i="69"/>
  <c r="F12" i="69"/>
  <c r="F11" i="69"/>
  <c r="F10" i="69"/>
  <c r="F9" i="69"/>
  <c r="F8" i="69"/>
  <c r="F7" i="69"/>
  <c r="F6" i="69"/>
  <c r="F5" i="69"/>
  <c r="F4" i="69"/>
  <c r="I307" i="2"/>
  <c r="E307" i="2"/>
  <c r="I297" i="2"/>
  <c r="G297" i="2"/>
  <c r="E297" i="2"/>
  <c r="I296" i="2"/>
  <c r="G296" i="2"/>
  <c r="D296" i="2"/>
  <c r="E296" i="2" s="1"/>
  <c r="I295" i="2"/>
  <c r="G295" i="2"/>
  <c r="E295" i="2"/>
  <c r="I294" i="2"/>
  <c r="G294" i="2"/>
  <c r="E294" i="2"/>
  <c r="I293" i="2"/>
  <c r="G293" i="2"/>
  <c r="E293" i="2"/>
  <c r="I292" i="2"/>
  <c r="G292" i="2"/>
  <c r="E292" i="2"/>
  <c r="I291" i="2"/>
  <c r="G291" i="2"/>
  <c r="E291" i="2"/>
  <c r="I290" i="2"/>
  <c r="G290" i="2"/>
  <c r="E290" i="2"/>
  <c r="G289" i="2"/>
  <c r="B289" i="2"/>
  <c r="E289" i="2" s="1"/>
  <c r="B256" i="2"/>
  <c r="B266" i="2" s="1"/>
  <c r="B249" i="2"/>
  <c r="B248" i="2"/>
  <c r="B243" i="2"/>
  <c r="B262" i="2" s="1"/>
  <c r="B236" i="2"/>
  <c r="B264" i="2" s="1"/>
  <c r="I205" i="2"/>
  <c r="G205" i="2"/>
  <c r="E205" i="2"/>
  <c r="I204" i="2"/>
  <c r="G204" i="2"/>
  <c r="E204" i="2"/>
  <c r="I203" i="2"/>
  <c r="G203" i="2"/>
  <c r="E203" i="2"/>
  <c r="G202" i="2"/>
  <c r="I201" i="2"/>
  <c r="G201" i="2"/>
  <c r="G206" i="2" s="1"/>
  <c r="B211" i="2" s="1"/>
  <c r="E211" i="2" s="1"/>
  <c r="E201" i="2"/>
  <c r="I179" i="2"/>
  <c r="G179" i="2"/>
  <c r="E179" i="2"/>
  <c r="I178" i="2"/>
  <c r="G178" i="2"/>
  <c r="E178" i="2"/>
  <c r="I174" i="2"/>
  <c r="G174" i="2"/>
  <c r="D174" i="2"/>
  <c r="E174" i="2" s="1"/>
  <c r="I173" i="2"/>
  <c r="G173" i="2"/>
  <c r="D173" i="2"/>
  <c r="E173" i="2" s="1"/>
  <c r="I172" i="2"/>
  <c r="G172" i="2"/>
  <c r="D172" i="2"/>
  <c r="E172" i="2" s="1"/>
  <c r="I171" i="2"/>
  <c r="G171" i="2"/>
  <c r="D171" i="2"/>
  <c r="E171" i="2" s="1"/>
  <c r="I167" i="2"/>
  <c r="G167" i="2"/>
  <c r="E167" i="2"/>
  <c r="B166" i="2"/>
  <c r="I166" i="2" s="1"/>
  <c r="B165" i="2"/>
  <c r="I165" i="2" s="1"/>
  <c r="B164" i="2"/>
  <c r="I164" i="2" s="1"/>
  <c r="I161" i="2"/>
  <c r="G161" i="2"/>
  <c r="E161" i="2"/>
  <c r="I160" i="2"/>
  <c r="G160" i="2"/>
  <c r="E160" i="2"/>
  <c r="I159" i="2"/>
  <c r="G159" i="2"/>
  <c r="E159" i="2"/>
  <c r="I158" i="2"/>
  <c r="G158" i="2"/>
  <c r="D158" i="2"/>
  <c r="E158" i="2" s="1"/>
  <c r="I157" i="2"/>
  <c r="G157" i="2"/>
  <c r="E157" i="2"/>
  <c r="I156" i="2"/>
  <c r="G156" i="2"/>
  <c r="E156" i="2"/>
  <c r="I155" i="2"/>
  <c r="G155" i="2"/>
  <c r="E155" i="2"/>
  <c r="I154" i="2"/>
  <c r="G154" i="2"/>
  <c r="D154" i="2"/>
  <c r="E154" i="2" s="1"/>
  <c r="I153" i="2"/>
  <c r="G153" i="2"/>
  <c r="D153" i="2"/>
  <c r="E153" i="2" s="1"/>
  <c r="I152" i="2"/>
  <c r="G152" i="2"/>
  <c r="D152" i="2"/>
  <c r="E152" i="2" s="1"/>
  <c r="I151" i="2"/>
  <c r="G151" i="2"/>
  <c r="E151" i="2"/>
  <c r="B147" i="2"/>
  <c r="G147" i="2" s="1"/>
  <c r="I146" i="2"/>
  <c r="G146" i="2"/>
  <c r="D146" i="2"/>
  <c r="E146" i="2" s="1"/>
  <c r="I143" i="2"/>
  <c r="G143" i="2"/>
  <c r="E143" i="2"/>
  <c r="G142" i="2"/>
  <c r="B142" i="2"/>
  <c r="E142" i="2" s="1"/>
  <c r="B141" i="2"/>
  <c r="E141" i="2" s="1"/>
  <c r="B140" i="2"/>
  <c r="I140" i="2" s="1"/>
  <c r="I137" i="2"/>
  <c r="G137" i="2"/>
  <c r="E137" i="2"/>
  <c r="I136" i="2"/>
  <c r="G136" i="2"/>
  <c r="D136" i="2"/>
  <c r="E136" i="2" s="1"/>
  <c r="I135" i="2"/>
  <c r="G135" i="2"/>
  <c r="E135" i="2"/>
  <c r="I134" i="2"/>
  <c r="G134" i="2"/>
  <c r="E134" i="2"/>
  <c r="I133" i="2"/>
  <c r="G133" i="2"/>
  <c r="D133" i="2"/>
  <c r="E133" i="2" s="1"/>
  <c r="I130" i="2"/>
  <c r="G130" i="2"/>
  <c r="E130" i="2"/>
  <c r="I129" i="2"/>
  <c r="G129" i="2"/>
  <c r="E129" i="2"/>
  <c r="I128" i="2"/>
  <c r="G128" i="2"/>
  <c r="E128" i="2"/>
  <c r="I127" i="2"/>
  <c r="G127" i="2"/>
  <c r="D127" i="2"/>
  <c r="D140" i="2" s="1"/>
  <c r="I126" i="2"/>
  <c r="G126" i="2"/>
  <c r="E126" i="2"/>
  <c r="I125" i="2"/>
  <c r="G125" i="2"/>
  <c r="E125" i="2"/>
  <c r="I124" i="2"/>
  <c r="G124" i="2"/>
  <c r="E124" i="2"/>
  <c r="I123" i="2"/>
  <c r="G123" i="2"/>
  <c r="E123" i="2"/>
  <c r="I122" i="2"/>
  <c r="G122" i="2"/>
  <c r="E122" i="2"/>
  <c r="I121" i="2"/>
  <c r="G121" i="2"/>
  <c r="D121" i="2"/>
  <c r="E121" i="2" s="1"/>
  <c r="I120" i="2"/>
  <c r="G120" i="2"/>
  <c r="D120" i="2"/>
  <c r="E120" i="2" s="1"/>
  <c r="I119" i="2"/>
  <c r="G119" i="2"/>
  <c r="D119" i="2"/>
  <c r="E119" i="2" s="1"/>
  <c r="I118" i="2"/>
  <c r="G118" i="2"/>
  <c r="E118" i="2"/>
  <c r="G115" i="2"/>
  <c r="E115" i="2"/>
  <c r="G114" i="2"/>
  <c r="E114" i="2"/>
  <c r="I113" i="2"/>
  <c r="G113" i="2"/>
  <c r="E113" i="2"/>
  <c r="I112" i="2"/>
  <c r="G112" i="2"/>
  <c r="D112" i="2"/>
  <c r="E112" i="2" s="1"/>
  <c r="I110" i="2"/>
  <c r="G110" i="2"/>
  <c r="E110" i="2"/>
  <c r="I109" i="2"/>
  <c r="G109" i="2"/>
  <c r="E109" i="2"/>
  <c r="I108" i="2"/>
  <c r="G108" i="2"/>
  <c r="E108" i="2"/>
  <c r="I107" i="2"/>
  <c r="G107" i="2"/>
  <c r="E107" i="2"/>
  <c r="E106" i="2"/>
  <c r="I105" i="2"/>
  <c r="G105" i="2"/>
  <c r="E105" i="2"/>
  <c r="I104" i="2"/>
  <c r="G104" i="2"/>
  <c r="E104" i="2"/>
  <c r="I103" i="2"/>
  <c r="G103" i="2"/>
  <c r="E103" i="2"/>
  <c r="I102" i="2"/>
  <c r="G102" i="2"/>
  <c r="E102" i="2"/>
  <c r="I100" i="2"/>
  <c r="G100" i="2"/>
  <c r="E100" i="2"/>
  <c r="I99" i="2"/>
  <c r="G99" i="2"/>
  <c r="D99" i="2"/>
  <c r="E99" i="2" s="1"/>
  <c r="I98" i="2"/>
  <c r="G98" i="2"/>
  <c r="E98" i="2"/>
  <c r="I97" i="2"/>
  <c r="G97" i="2"/>
  <c r="E97" i="2"/>
  <c r="I72" i="2"/>
  <c r="G72" i="2"/>
  <c r="E72" i="2"/>
  <c r="B87" i="2" s="1"/>
  <c r="I71" i="2"/>
  <c r="G71" i="2"/>
  <c r="E71" i="2"/>
  <c r="I70" i="2"/>
  <c r="G70" i="2"/>
  <c r="E70" i="2"/>
  <c r="B86" i="2" s="1"/>
  <c r="I69" i="2"/>
  <c r="G69" i="2"/>
  <c r="E69" i="2"/>
  <c r="B68" i="2"/>
  <c r="I68" i="2" s="1"/>
  <c r="B67" i="2"/>
  <c r="I67" i="2" s="1"/>
  <c r="I66" i="2"/>
  <c r="G66" i="2"/>
  <c r="E66" i="2"/>
  <c r="I65" i="2"/>
  <c r="G65" i="2"/>
  <c r="E65" i="2"/>
  <c r="I64" i="2"/>
  <c r="G64" i="2"/>
  <c r="E64" i="2"/>
  <c r="I63" i="2"/>
  <c r="G63" i="2"/>
  <c r="E63" i="2"/>
  <c r="I62" i="2"/>
  <c r="G62" i="2"/>
  <c r="D62" i="2"/>
  <c r="E62" i="2" s="1"/>
  <c r="I59" i="2"/>
  <c r="G59" i="2"/>
  <c r="E59" i="2"/>
  <c r="I58" i="2"/>
  <c r="G58" i="2"/>
  <c r="E58" i="2"/>
  <c r="I57" i="2"/>
  <c r="G57" i="2"/>
  <c r="E57" i="2"/>
  <c r="I56" i="2"/>
  <c r="G56" i="2"/>
  <c r="E56" i="2"/>
  <c r="I55" i="2"/>
  <c r="G55" i="2"/>
  <c r="E55" i="2"/>
  <c r="I54" i="2"/>
  <c r="G54" i="2"/>
  <c r="E54" i="2"/>
  <c r="I51" i="2"/>
  <c r="G51" i="2"/>
  <c r="E51" i="2"/>
  <c r="I50" i="2"/>
  <c r="G50" i="2"/>
  <c r="E50" i="2"/>
  <c r="I49" i="2"/>
  <c r="G49" i="2"/>
  <c r="E49" i="2"/>
  <c r="I48" i="2"/>
  <c r="G48" i="2"/>
  <c r="E48" i="2"/>
  <c r="I47" i="2"/>
  <c r="G47" i="2"/>
  <c r="E47" i="2"/>
  <c r="I46" i="2"/>
  <c r="G46" i="2"/>
  <c r="E46" i="2"/>
  <c r="I45" i="2"/>
  <c r="G45" i="2"/>
  <c r="E45" i="2"/>
  <c r="I44" i="2"/>
  <c r="G44" i="2"/>
  <c r="D44" i="2"/>
  <c r="E44" i="2" s="1"/>
  <c r="I41" i="2"/>
  <c r="G41" i="2"/>
  <c r="E41" i="2"/>
  <c r="I40" i="2"/>
  <c r="G40" i="2"/>
  <c r="E40" i="2"/>
  <c r="I39" i="2"/>
  <c r="G39" i="2"/>
  <c r="E39" i="2"/>
  <c r="I38" i="2"/>
  <c r="G38" i="2"/>
  <c r="E38" i="2"/>
  <c r="I37" i="2"/>
  <c r="G37" i="2"/>
  <c r="E37" i="2"/>
  <c r="I36" i="2"/>
  <c r="G36" i="2"/>
  <c r="E36" i="2"/>
  <c r="B82" i="2" s="1"/>
  <c r="I23" i="2"/>
  <c r="G23" i="2"/>
  <c r="E23" i="2"/>
  <c r="I22" i="2"/>
  <c r="G22" i="2"/>
  <c r="E22" i="2"/>
  <c r="I21" i="2"/>
  <c r="G21" i="2"/>
  <c r="E21" i="2"/>
  <c r="I20" i="2"/>
  <c r="G20" i="2"/>
  <c r="E20" i="2"/>
  <c r="I19" i="2"/>
  <c r="G19" i="2"/>
  <c r="E19" i="2"/>
  <c r="I18" i="2"/>
  <c r="G18" i="2"/>
  <c r="E18" i="2"/>
  <c r="K21" i="3" l="1"/>
  <c r="K6" i="3"/>
  <c r="K14" i="3"/>
  <c r="K20" i="3"/>
  <c r="K19" i="44"/>
  <c r="L19" i="44" s="1"/>
  <c r="S19" i="44"/>
  <c r="T19" i="44" s="1"/>
  <c r="AA19" i="44"/>
  <c r="AB19" i="44" s="1"/>
  <c r="AI19" i="44"/>
  <c r="AJ19" i="44" s="1"/>
  <c r="K15" i="47"/>
  <c r="L15" i="47" s="1"/>
  <c r="S15" i="47"/>
  <c r="T15" i="47" s="1"/>
  <c r="AA15" i="47"/>
  <c r="AB15" i="47" s="1"/>
  <c r="AI15" i="47"/>
  <c r="AJ15" i="47" s="1"/>
  <c r="K17" i="47"/>
  <c r="L17" i="47" s="1"/>
  <c r="S17" i="47"/>
  <c r="T17" i="47" s="1"/>
  <c r="AA17" i="47"/>
  <c r="AB17" i="47" s="1"/>
  <c r="AI17" i="47"/>
  <c r="AJ17" i="47" s="1"/>
  <c r="K19" i="47"/>
  <c r="L19" i="47" s="1"/>
  <c r="K5" i="84"/>
  <c r="K20" i="84" s="1"/>
  <c r="L20" i="84" s="1"/>
  <c r="S5" i="84"/>
  <c r="S20" i="84" s="1"/>
  <c r="T20" i="84" s="1"/>
  <c r="AA5" i="84"/>
  <c r="AA20" i="84" s="1"/>
  <c r="AB20" i="84" s="1"/>
  <c r="AI5" i="84"/>
  <c r="AI20" i="84" s="1"/>
  <c r="AJ20" i="84" s="1"/>
  <c r="K8" i="83"/>
  <c r="L8" i="83" s="1"/>
  <c r="S8" i="83"/>
  <c r="T8" i="83" s="1"/>
  <c r="AA8" i="83"/>
  <c r="AB8" i="83" s="1"/>
  <c r="AI8" i="83"/>
  <c r="AJ8" i="83" s="1"/>
  <c r="K20" i="83"/>
  <c r="L20" i="83" s="1"/>
  <c r="S20" i="83"/>
  <c r="T20" i="83" s="1"/>
  <c r="AA20" i="83"/>
  <c r="AB20" i="83" s="1"/>
  <c r="AB26" i="83" s="1"/>
  <c r="AA26" i="83" s="1"/>
  <c r="AA35" i="83" s="1"/>
  <c r="AI20" i="83"/>
  <c r="AJ20" i="83" s="1"/>
  <c r="K13" i="87"/>
  <c r="S13" i="87"/>
  <c r="AA13" i="87"/>
  <c r="AI13" i="87"/>
  <c r="AL12" i="80"/>
  <c r="AK12" i="80" s="1"/>
  <c r="K19" i="3"/>
  <c r="K5" i="47"/>
  <c r="S5" i="47"/>
  <c r="AA5" i="47"/>
  <c r="AI5" i="47"/>
  <c r="K7" i="47"/>
  <c r="S7" i="47"/>
  <c r="AA7" i="47"/>
  <c r="AI7" i="47"/>
  <c r="AI12" i="47" s="1"/>
  <c r="AJ12" i="47" s="1"/>
  <c r="AJ14" i="47" s="1"/>
  <c r="AI14" i="47" s="1"/>
  <c r="AI32" i="47" s="1"/>
  <c r="S19" i="47"/>
  <c r="T19" i="47" s="1"/>
  <c r="AA19" i="47"/>
  <c r="AB19" i="47" s="1"/>
  <c r="AI19" i="47"/>
  <c r="AJ19" i="47" s="1"/>
  <c r="K21" i="84"/>
  <c r="L21" i="84" s="1"/>
  <c r="L23" i="84" s="1"/>
  <c r="K23" i="84" s="1"/>
  <c r="S21" i="84"/>
  <c r="T21" i="84" s="1"/>
  <c r="AA21" i="84"/>
  <c r="AB21" i="84" s="1"/>
  <c r="AI21" i="84"/>
  <c r="AJ21" i="84" s="1"/>
  <c r="K6" i="85"/>
  <c r="S6" i="85"/>
  <c r="S24" i="85" s="1"/>
  <c r="T24" i="85" s="1"/>
  <c r="AA6" i="85"/>
  <c r="AI6" i="85"/>
  <c r="AI24" i="85" s="1"/>
  <c r="AJ24" i="85" s="1"/>
  <c r="K14" i="85"/>
  <c r="S14" i="85"/>
  <c r="AA14" i="85"/>
  <c r="AI14" i="85"/>
  <c r="K17" i="86"/>
  <c r="L17" i="86" s="1"/>
  <c r="AA17" i="86"/>
  <c r="AB17" i="86" s="1"/>
  <c r="AI5" i="44"/>
  <c r="AI21" i="44" s="1"/>
  <c r="AJ21" i="44" s="1"/>
  <c r="K7" i="44"/>
  <c r="L7" i="44" s="1"/>
  <c r="S7" i="44"/>
  <c r="T7" i="44" s="1"/>
  <c r="AA7" i="44"/>
  <c r="AB7" i="44" s="1"/>
  <c r="AI7" i="44"/>
  <c r="AJ7" i="44" s="1"/>
  <c r="K9" i="44"/>
  <c r="L9" i="44" s="1"/>
  <c r="S9" i="44"/>
  <c r="T9" i="44" s="1"/>
  <c r="AA9" i="44"/>
  <c r="AB9" i="44" s="1"/>
  <c r="AI9" i="44"/>
  <c r="AJ9" i="44" s="1"/>
  <c r="K16" i="47"/>
  <c r="L16" i="47" s="1"/>
  <c r="S16" i="47"/>
  <c r="T16" i="47" s="1"/>
  <c r="AA16" i="47"/>
  <c r="AB16" i="47" s="1"/>
  <c r="AI16" i="47"/>
  <c r="AJ16" i="47" s="1"/>
  <c r="K18" i="47"/>
  <c r="L18" i="47" s="1"/>
  <c r="S18" i="47"/>
  <c r="T18" i="47" s="1"/>
  <c r="AA18" i="47"/>
  <c r="AB18" i="47" s="1"/>
  <c r="AI18" i="47"/>
  <c r="AJ18" i="47" s="1"/>
  <c r="K23" i="47"/>
  <c r="L23" i="47" s="1"/>
  <c r="S23" i="47"/>
  <c r="T23" i="47" s="1"/>
  <c r="AA23" i="47"/>
  <c r="AB23" i="47" s="1"/>
  <c r="AI23" i="47"/>
  <c r="AJ23" i="47" s="1"/>
  <c r="AJ27" i="47" s="1"/>
  <c r="AI27" i="47" s="1"/>
  <c r="AI34" i="47" s="1"/>
  <c r="V5" i="30" s="1"/>
  <c r="K5" i="50"/>
  <c r="L5" i="50" s="1"/>
  <c r="S5" i="50"/>
  <c r="AA5" i="50"/>
  <c r="AB5" i="50" s="1"/>
  <c r="AI5" i="50"/>
  <c r="AI17" i="50" s="1"/>
  <c r="AJ17" i="50" s="1"/>
  <c r="S4" i="84"/>
  <c r="T4" i="84" s="1"/>
  <c r="AA4" i="84"/>
  <c r="AB4" i="84" s="1"/>
  <c r="AI4" i="84"/>
  <c r="AJ4" i="84" s="1"/>
  <c r="G5" i="88"/>
  <c r="G20" i="88" s="1"/>
  <c r="H20" i="88" s="1"/>
  <c r="H22" i="88" s="1"/>
  <c r="G22" i="88" s="1"/>
  <c r="G29" i="88" s="1"/>
  <c r="H21" i="30" s="1"/>
  <c r="W5" i="88"/>
  <c r="W20" i="88" s="1"/>
  <c r="X20" i="88" s="1"/>
  <c r="AM5" i="88"/>
  <c r="AM20" i="88" s="1"/>
  <c r="K9" i="3"/>
  <c r="K15" i="3"/>
  <c r="H15" i="51"/>
  <c r="G15" i="51" s="1"/>
  <c r="G30" i="51" s="1"/>
  <c r="P15" i="51"/>
  <c r="O15" i="51" s="1"/>
  <c r="O30" i="51" s="1"/>
  <c r="X15" i="51"/>
  <c r="W15" i="51" s="1"/>
  <c r="W30" i="51" s="1"/>
  <c r="AF15" i="51"/>
  <c r="AE15" i="51" s="1"/>
  <c r="AE30" i="51" s="1"/>
  <c r="T7" i="32" s="1"/>
  <c r="N21" i="78"/>
  <c r="M21" i="78" s="1"/>
  <c r="M35" i="78" s="1"/>
  <c r="V21" i="78"/>
  <c r="U21" i="78" s="1"/>
  <c r="U35" i="78" s="1"/>
  <c r="AD21" i="78"/>
  <c r="AC21" i="78" s="1"/>
  <c r="AC35" i="78" s="1"/>
  <c r="AL21" i="78"/>
  <c r="AK21" i="78" s="1"/>
  <c r="AK35" i="78" s="1"/>
  <c r="W62" i="32" s="1"/>
  <c r="N15" i="51"/>
  <c r="M15" i="51" s="1"/>
  <c r="M30" i="51" s="1"/>
  <c r="V15" i="51"/>
  <c r="U15" i="51" s="1"/>
  <c r="U30" i="51" s="1"/>
  <c r="AD15" i="51"/>
  <c r="AC15" i="51" s="1"/>
  <c r="AC30" i="51" s="1"/>
  <c r="AL15" i="51"/>
  <c r="AK15" i="51" s="1"/>
  <c r="AK30" i="51" s="1"/>
  <c r="W7" i="32" s="1"/>
  <c r="J19" i="95"/>
  <c r="I19" i="95" s="1"/>
  <c r="I32" i="95" s="1"/>
  <c r="R19" i="95"/>
  <c r="Q19" i="95" s="1"/>
  <c r="Q32" i="95" s="1"/>
  <c r="E70" i="32" s="1"/>
  <c r="G20" i="79"/>
  <c r="H20" i="79" s="1"/>
  <c r="H23" i="79" s="1"/>
  <c r="G23" i="79" s="1"/>
  <c r="G32" i="79" s="1"/>
  <c r="H59" i="31" s="1"/>
  <c r="H5" i="79"/>
  <c r="H26" i="79"/>
  <c r="G26" i="79" s="1"/>
  <c r="G33" i="79" s="1"/>
  <c r="H59" i="30" s="1"/>
  <c r="J26" i="79"/>
  <c r="I26" i="79" s="1"/>
  <c r="I33" i="79" s="1"/>
  <c r="J59" i="30" s="1"/>
  <c r="L12" i="79"/>
  <c r="K12" i="79" s="1"/>
  <c r="K29" i="79" s="1"/>
  <c r="L15" i="51"/>
  <c r="K15" i="51" s="1"/>
  <c r="K30" i="51" s="1"/>
  <c r="J7" i="32" s="1"/>
  <c r="T15" i="51"/>
  <c r="S15" i="51" s="1"/>
  <c r="S30" i="51" s="1"/>
  <c r="AB15" i="51"/>
  <c r="AA15" i="51" s="1"/>
  <c r="AA30" i="51" s="1"/>
  <c r="AJ15" i="51"/>
  <c r="AI15" i="51" s="1"/>
  <c r="AI30" i="51" s="1"/>
  <c r="V14" i="85"/>
  <c r="V17" i="85" s="1"/>
  <c r="U17" i="85" s="1"/>
  <c r="U31" i="85" s="1"/>
  <c r="O10" i="32" s="1"/>
  <c r="K55" i="9"/>
  <c r="L55" i="9" s="1"/>
  <c r="K57" i="9"/>
  <c r="L57" i="9" s="1"/>
  <c r="K56" i="9"/>
  <c r="L56" i="9" s="1"/>
  <c r="K47" i="9"/>
  <c r="L47" i="9" s="1"/>
  <c r="K44" i="9"/>
  <c r="L44" i="9" s="1"/>
  <c r="K48" i="9"/>
  <c r="L48" i="9" s="1"/>
  <c r="K51" i="9"/>
  <c r="L51" i="9" s="1"/>
  <c r="K46" i="9"/>
  <c r="L46" i="9" s="1"/>
  <c r="K27" i="9"/>
  <c r="L27" i="9" s="1"/>
  <c r="K29" i="9"/>
  <c r="L29" i="9" s="1"/>
  <c r="K31" i="9"/>
  <c r="L31" i="9" s="1"/>
  <c r="K30" i="9"/>
  <c r="L30" i="9" s="1"/>
  <c r="K36" i="8"/>
  <c r="L36" i="8" s="1"/>
  <c r="K38" i="8"/>
  <c r="L38" i="8" s="1"/>
  <c r="K29" i="8"/>
  <c r="L29" i="8" s="1"/>
  <c r="K32" i="8"/>
  <c r="L32" i="8" s="1"/>
  <c r="K17" i="8"/>
  <c r="L17" i="8" s="1"/>
  <c r="K6" i="35"/>
  <c r="L6" i="35" s="1"/>
  <c r="K7" i="35"/>
  <c r="L7" i="35" s="1"/>
  <c r="K49" i="112"/>
  <c r="L49" i="112" s="1"/>
  <c r="K43" i="112"/>
  <c r="L43" i="112" s="1"/>
  <c r="K10" i="8"/>
  <c r="L10" i="8" s="1"/>
  <c r="K26" i="9"/>
  <c r="L26" i="9" s="1"/>
  <c r="K28" i="9"/>
  <c r="L28" i="9" s="1"/>
  <c r="K31" i="8"/>
  <c r="L31" i="8" s="1"/>
  <c r="K16" i="8"/>
  <c r="L16" i="8" s="1"/>
  <c r="K48" i="112"/>
  <c r="L48" i="112" s="1"/>
  <c r="K50" i="35"/>
  <c r="L50" i="35" s="1"/>
  <c r="K4" i="35"/>
  <c r="L4" i="35" s="1"/>
  <c r="K7" i="112"/>
  <c r="L7" i="112" s="1"/>
  <c r="K19" i="8"/>
  <c r="L19" i="8" s="1"/>
  <c r="K18" i="8"/>
  <c r="L18" i="8" s="1"/>
  <c r="K5" i="35"/>
  <c r="L5" i="35" s="1"/>
  <c r="K51" i="35"/>
  <c r="L51" i="35" s="1"/>
  <c r="K45" i="35"/>
  <c r="L45" i="35" s="1"/>
  <c r="K4" i="112"/>
  <c r="L4" i="112" s="1"/>
  <c r="K25" i="112"/>
  <c r="L25" i="112" s="1"/>
  <c r="K4" i="9"/>
  <c r="L4" i="9" s="1"/>
  <c r="K37" i="8"/>
  <c r="L37" i="8" s="1"/>
  <c r="K30" i="8"/>
  <c r="L30" i="8" s="1"/>
  <c r="K36" i="112"/>
  <c r="L36" i="112" s="1"/>
  <c r="K38" i="112"/>
  <c r="L38" i="112" s="1"/>
  <c r="K40" i="112"/>
  <c r="L40" i="112" s="1"/>
  <c r="K42" i="112"/>
  <c r="L42" i="112" s="1"/>
  <c r="K12" i="8"/>
  <c r="L12" i="8" s="1"/>
  <c r="K38" i="35"/>
  <c r="L38" i="35" s="1"/>
  <c r="K5" i="112"/>
  <c r="L5" i="112" s="1"/>
  <c r="K50" i="112"/>
  <c r="L50" i="112" s="1"/>
  <c r="K52" i="35"/>
  <c r="L52" i="35" s="1"/>
  <c r="K40" i="35"/>
  <c r="L40" i="35" s="1"/>
  <c r="K42" i="35"/>
  <c r="L42" i="35" s="1"/>
  <c r="K44" i="35"/>
  <c r="L44" i="35" s="1"/>
  <c r="K28" i="35"/>
  <c r="L28" i="35" s="1"/>
  <c r="K6" i="112"/>
  <c r="L6" i="112" s="1"/>
  <c r="S55" i="9"/>
  <c r="T55" i="9" s="1"/>
  <c r="S57" i="9"/>
  <c r="T57" i="9" s="1"/>
  <c r="S56" i="9"/>
  <c r="T56" i="9" s="1"/>
  <c r="S47" i="9"/>
  <c r="T47" i="9" s="1"/>
  <c r="S44" i="9"/>
  <c r="T44" i="9" s="1"/>
  <c r="S48" i="9"/>
  <c r="T48" i="9" s="1"/>
  <c r="S51" i="9"/>
  <c r="T51" i="9" s="1"/>
  <c r="S46" i="9"/>
  <c r="T46" i="9" s="1"/>
  <c r="S27" i="9"/>
  <c r="T27" i="9" s="1"/>
  <c r="S29" i="9"/>
  <c r="T29" i="9" s="1"/>
  <c r="S31" i="9"/>
  <c r="T31" i="9" s="1"/>
  <c r="S28" i="9"/>
  <c r="T28" i="9" s="1"/>
  <c r="S26" i="9"/>
  <c r="T26" i="9" s="1"/>
  <c r="S37" i="8"/>
  <c r="T37" i="8" s="1"/>
  <c r="S30" i="8"/>
  <c r="T30" i="8" s="1"/>
  <c r="S32" i="8"/>
  <c r="T32" i="8" s="1"/>
  <c r="S38" i="8"/>
  <c r="T38" i="8" s="1"/>
  <c r="S18" i="8"/>
  <c r="T18" i="8" s="1"/>
  <c r="S5" i="35"/>
  <c r="T5" i="35" s="1"/>
  <c r="S7" i="35"/>
  <c r="T7" i="35" s="1"/>
  <c r="S49" i="112"/>
  <c r="T49" i="112" s="1"/>
  <c r="S43" i="112"/>
  <c r="T43" i="112" s="1"/>
  <c r="S10" i="8"/>
  <c r="T10" i="8" s="1"/>
  <c r="S50" i="35"/>
  <c r="T50" i="35" s="1"/>
  <c r="S30" i="9"/>
  <c r="T30" i="9" s="1"/>
  <c r="S29" i="8"/>
  <c r="T29" i="8" s="1"/>
  <c r="S36" i="8"/>
  <c r="T36" i="8" s="1"/>
  <c r="S19" i="8"/>
  <c r="T19" i="8" s="1"/>
  <c r="S36" i="112"/>
  <c r="T36" i="112" s="1"/>
  <c r="S38" i="112"/>
  <c r="T38" i="112" s="1"/>
  <c r="S40" i="112"/>
  <c r="T40" i="112" s="1"/>
  <c r="S42" i="112"/>
  <c r="T42" i="112" s="1"/>
  <c r="S52" i="35"/>
  <c r="T52" i="35" s="1"/>
  <c r="S28" i="35"/>
  <c r="T28" i="35" s="1"/>
  <c r="S4" i="35"/>
  <c r="T4" i="35" s="1"/>
  <c r="S7" i="112"/>
  <c r="T7" i="112" s="1"/>
  <c r="S31" i="8"/>
  <c r="T31" i="8" s="1"/>
  <c r="S16" i="8"/>
  <c r="T16" i="8" s="1"/>
  <c r="S50" i="112"/>
  <c r="T50" i="112" s="1"/>
  <c r="S12" i="8"/>
  <c r="T12" i="8" s="1"/>
  <c r="S51" i="35"/>
  <c r="T51" i="35" s="1"/>
  <c r="S45" i="35"/>
  <c r="T45" i="35" s="1"/>
  <c r="S4" i="112"/>
  <c r="T4" i="112" s="1"/>
  <c r="S25" i="112"/>
  <c r="T25" i="112" s="1"/>
  <c r="S4" i="9"/>
  <c r="T4" i="9" s="1"/>
  <c r="S48" i="112"/>
  <c r="T48" i="112" s="1"/>
  <c r="S5" i="112"/>
  <c r="T5" i="112" s="1"/>
  <c r="S17" i="8"/>
  <c r="T17" i="8" s="1"/>
  <c r="S6" i="35"/>
  <c r="T6" i="35" s="1"/>
  <c r="S38" i="35"/>
  <c r="T38" i="35" s="1"/>
  <c r="S40" i="35"/>
  <c r="T40" i="35" s="1"/>
  <c r="S42" i="35"/>
  <c r="T42" i="35" s="1"/>
  <c r="S44" i="35"/>
  <c r="T44" i="35" s="1"/>
  <c r="S6" i="112"/>
  <c r="T6" i="112" s="1"/>
  <c r="AM5" i="85"/>
  <c r="AM5" i="83"/>
  <c r="AM5" i="84"/>
  <c r="AM5" i="51"/>
  <c r="AM22" i="51"/>
  <c r="AN22" i="51" s="1"/>
  <c r="AN25" i="51" s="1"/>
  <c r="AM25" i="51" s="1"/>
  <c r="AM5" i="50"/>
  <c r="AM7" i="44"/>
  <c r="AN7" i="44" s="1"/>
  <c r="AM5" i="47"/>
  <c r="AM8" i="47"/>
  <c r="AN8" i="47" s="1"/>
  <c r="AM16" i="47"/>
  <c r="AN16" i="47" s="1"/>
  <c r="AM18" i="47"/>
  <c r="AN18" i="47" s="1"/>
  <c r="AM5" i="87"/>
  <c r="AM6" i="47"/>
  <c r="AN6" i="47" s="1"/>
  <c r="AM23" i="47"/>
  <c r="AN23" i="47" s="1"/>
  <c r="AN27" i="47" s="1"/>
  <c r="AM27" i="47" s="1"/>
  <c r="AM34" i="47" s="1"/>
  <c r="AM4" i="84"/>
  <c r="AN4" i="84" s="1"/>
  <c r="AM6" i="85"/>
  <c r="AM10" i="83"/>
  <c r="AM20" i="83"/>
  <c r="AN20" i="83" s="1"/>
  <c r="AM6" i="50"/>
  <c r="AM6" i="87"/>
  <c r="AM13" i="87"/>
  <c r="AM11" i="47"/>
  <c r="AN11" i="47" s="1"/>
  <c r="AM15" i="47"/>
  <c r="AN15" i="47" s="1"/>
  <c r="AM17" i="47"/>
  <c r="AN17" i="47" s="1"/>
  <c r="AM19" i="47"/>
  <c r="AN19" i="47" s="1"/>
  <c r="AM21" i="84"/>
  <c r="AN21" i="84" s="1"/>
  <c r="AM7" i="51"/>
  <c r="AM5" i="44"/>
  <c r="AM7" i="87"/>
  <c r="AM9" i="85"/>
  <c r="AM14" i="85"/>
  <c r="AM8" i="83"/>
  <c r="AN8" i="83" s="1"/>
  <c r="AM9" i="44"/>
  <c r="AM19" i="44"/>
  <c r="AN19" i="44" s="1"/>
  <c r="AM4" i="47"/>
  <c r="AN4" i="47" s="1"/>
  <c r="AM7" i="47"/>
  <c r="S22" i="32"/>
  <c r="G86" i="32"/>
  <c r="X9" i="46"/>
  <c r="W9" i="46" s="1"/>
  <c r="W21" i="46" s="1"/>
  <c r="L19" i="95"/>
  <c r="K19" i="95" s="1"/>
  <c r="K32" i="95" s="1"/>
  <c r="K8" i="3"/>
  <c r="K12" i="3"/>
  <c r="E55" i="9"/>
  <c r="F55" i="9" s="1"/>
  <c r="E57" i="9"/>
  <c r="F57" i="9" s="1"/>
  <c r="E56" i="9"/>
  <c r="F56" i="9" s="1"/>
  <c r="F58" i="9" s="1"/>
  <c r="E58" i="9" s="1"/>
  <c r="E65" i="9" s="1"/>
  <c r="G85" i="30" s="1"/>
  <c r="E48" i="9"/>
  <c r="F48" i="9" s="1"/>
  <c r="E44" i="9"/>
  <c r="F44" i="9" s="1"/>
  <c r="E51" i="9"/>
  <c r="F51" i="9" s="1"/>
  <c r="E47" i="9"/>
  <c r="F47" i="9" s="1"/>
  <c r="E29" i="9"/>
  <c r="F29" i="9" s="1"/>
  <c r="E46" i="9"/>
  <c r="F46" i="9" s="1"/>
  <c r="E27" i="9"/>
  <c r="F27" i="9" s="1"/>
  <c r="E26" i="9"/>
  <c r="F26" i="9" s="1"/>
  <c r="E28" i="9"/>
  <c r="F28" i="9" s="1"/>
  <c r="E49" i="112"/>
  <c r="F49" i="112" s="1"/>
  <c r="E42" i="112"/>
  <c r="F42" i="112" s="1"/>
  <c r="E38" i="112"/>
  <c r="F38" i="112" s="1"/>
  <c r="E6" i="112"/>
  <c r="F6" i="112" s="1"/>
  <c r="E4" i="112"/>
  <c r="F4" i="112" s="1"/>
  <c r="E51" i="35"/>
  <c r="F51" i="35" s="1"/>
  <c r="E30" i="9"/>
  <c r="F30" i="9" s="1"/>
  <c r="E31" i="9"/>
  <c r="F31" i="9" s="1"/>
  <c r="E7" i="112"/>
  <c r="F7" i="112" s="1"/>
  <c r="E25" i="112"/>
  <c r="F25" i="112" s="1"/>
  <c r="E4" i="9"/>
  <c r="F4" i="9" s="1"/>
  <c r="E6" i="35"/>
  <c r="F6" i="35" s="1"/>
  <c r="E50" i="112"/>
  <c r="F50" i="112" s="1"/>
  <c r="E40" i="112"/>
  <c r="F40" i="112" s="1"/>
  <c r="E45" i="35"/>
  <c r="F45" i="35" s="1"/>
  <c r="E40" i="35"/>
  <c r="F40" i="35" s="1"/>
  <c r="E28" i="35"/>
  <c r="F28" i="35" s="1"/>
  <c r="E5" i="35"/>
  <c r="F5" i="35" s="1"/>
  <c r="E48" i="112"/>
  <c r="F48" i="112" s="1"/>
  <c r="E5" i="112"/>
  <c r="F5" i="112" s="1"/>
  <c r="E52" i="35"/>
  <c r="F52" i="35" s="1"/>
  <c r="E44" i="35"/>
  <c r="F44" i="35" s="1"/>
  <c r="E38" i="35"/>
  <c r="F38" i="35" s="1"/>
  <c r="E43" i="112"/>
  <c r="F43" i="112" s="1"/>
  <c r="E36" i="112"/>
  <c r="F36" i="112" s="1"/>
  <c r="E7" i="35"/>
  <c r="F7" i="35" s="1"/>
  <c r="E50" i="35"/>
  <c r="F50" i="35" s="1"/>
  <c r="E42" i="35"/>
  <c r="E4" i="35"/>
  <c r="M56" i="9"/>
  <c r="N56" i="9" s="1"/>
  <c r="M55" i="9"/>
  <c r="N55" i="9" s="1"/>
  <c r="M57" i="9"/>
  <c r="N57" i="9" s="1"/>
  <c r="M46" i="9"/>
  <c r="N46" i="9" s="1"/>
  <c r="M47" i="9"/>
  <c r="N47" i="9" s="1"/>
  <c r="M44" i="9"/>
  <c r="N44" i="9" s="1"/>
  <c r="M48" i="9"/>
  <c r="N48" i="9" s="1"/>
  <c r="M51" i="9"/>
  <c r="N51" i="9" s="1"/>
  <c r="M26" i="9"/>
  <c r="N26" i="9" s="1"/>
  <c r="M28" i="9"/>
  <c r="N28" i="9" s="1"/>
  <c r="M30" i="9"/>
  <c r="N30" i="9" s="1"/>
  <c r="M31" i="9"/>
  <c r="N31" i="9" s="1"/>
  <c r="M29" i="9"/>
  <c r="N29" i="9" s="1"/>
  <c r="M37" i="8"/>
  <c r="N37" i="8" s="1"/>
  <c r="N42" i="8" s="1"/>
  <c r="M42" i="8" s="1"/>
  <c r="M27" i="9"/>
  <c r="N27" i="9" s="1"/>
  <c r="M30" i="8"/>
  <c r="N30" i="8" s="1"/>
  <c r="M36" i="8"/>
  <c r="N36" i="8" s="1"/>
  <c r="M32" i="8"/>
  <c r="N32" i="8" s="1"/>
  <c r="M18" i="8"/>
  <c r="N18" i="8" s="1"/>
  <c r="M5" i="35"/>
  <c r="N5" i="35" s="1"/>
  <c r="M48" i="112"/>
  <c r="N48" i="112" s="1"/>
  <c r="M50" i="112"/>
  <c r="N50" i="112" s="1"/>
  <c r="M36" i="112"/>
  <c r="N36" i="112" s="1"/>
  <c r="M38" i="112"/>
  <c r="N38" i="112" s="1"/>
  <c r="M40" i="112"/>
  <c r="N40" i="112" s="1"/>
  <c r="M42" i="112"/>
  <c r="N42" i="112" s="1"/>
  <c r="M38" i="8"/>
  <c r="N38" i="8" s="1"/>
  <c r="M29" i="8"/>
  <c r="N29" i="8" s="1"/>
  <c r="M19" i="8"/>
  <c r="N19" i="8" s="1"/>
  <c r="M7" i="35"/>
  <c r="N7" i="35" s="1"/>
  <c r="M10" i="8"/>
  <c r="N10" i="8" s="1"/>
  <c r="M52" i="35"/>
  <c r="N52" i="35" s="1"/>
  <c r="M28" i="35"/>
  <c r="N28" i="35" s="1"/>
  <c r="M6" i="112"/>
  <c r="N6" i="112" s="1"/>
  <c r="M4" i="9"/>
  <c r="N4" i="9" s="1"/>
  <c r="M43" i="112"/>
  <c r="N43" i="112" s="1"/>
  <c r="M50" i="35"/>
  <c r="N50" i="35" s="1"/>
  <c r="M40" i="35"/>
  <c r="N40" i="35" s="1"/>
  <c r="M42" i="35"/>
  <c r="N42" i="35" s="1"/>
  <c r="M44" i="35"/>
  <c r="N44" i="35" s="1"/>
  <c r="M7" i="112"/>
  <c r="N7" i="112" s="1"/>
  <c r="M16" i="8"/>
  <c r="N16" i="8" s="1"/>
  <c r="M51" i="35"/>
  <c r="N51" i="35" s="1"/>
  <c r="M4" i="35"/>
  <c r="N4" i="35" s="1"/>
  <c r="M4" i="112"/>
  <c r="N4" i="112" s="1"/>
  <c r="M25" i="112"/>
  <c r="N25" i="112" s="1"/>
  <c r="M31" i="8"/>
  <c r="N31" i="8" s="1"/>
  <c r="M17" i="8"/>
  <c r="N17" i="8" s="1"/>
  <c r="M6" i="35"/>
  <c r="N6" i="35" s="1"/>
  <c r="M49" i="112"/>
  <c r="N49" i="112" s="1"/>
  <c r="M12" i="8"/>
  <c r="N12" i="8" s="1"/>
  <c r="M38" i="35"/>
  <c r="N38" i="35" s="1"/>
  <c r="M45" i="35"/>
  <c r="N45" i="35" s="1"/>
  <c r="M5" i="112"/>
  <c r="N5" i="112" s="1"/>
  <c r="U56" i="9"/>
  <c r="V56" i="9" s="1"/>
  <c r="U55" i="9"/>
  <c r="V55" i="9" s="1"/>
  <c r="U57" i="9"/>
  <c r="V57" i="9" s="1"/>
  <c r="U46" i="9"/>
  <c r="V46" i="9" s="1"/>
  <c r="U47" i="9"/>
  <c r="V47" i="9" s="1"/>
  <c r="U44" i="9"/>
  <c r="V44" i="9" s="1"/>
  <c r="U48" i="9"/>
  <c r="V48" i="9" s="1"/>
  <c r="U51" i="9"/>
  <c r="V51" i="9" s="1"/>
  <c r="U26" i="9"/>
  <c r="V26" i="9" s="1"/>
  <c r="U28" i="9"/>
  <c r="V28" i="9" s="1"/>
  <c r="U30" i="9"/>
  <c r="V30" i="9" s="1"/>
  <c r="U27" i="9"/>
  <c r="V27" i="9" s="1"/>
  <c r="U38" i="8"/>
  <c r="V38" i="8" s="1"/>
  <c r="U31" i="9"/>
  <c r="V31" i="9" s="1"/>
  <c r="U36" i="8"/>
  <c r="V36" i="8" s="1"/>
  <c r="U31" i="8"/>
  <c r="V31" i="8" s="1"/>
  <c r="U37" i="8"/>
  <c r="V37" i="8" s="1"/>
  <c r="U19" i="8"/>
  <c r="V19" i="8" s="1"/>
  <c r="U6" i="35"/>
  <c r="V6" i="35" s="1"/>
  <c r="U48" i="112"/>
  <c r="V48" i="112" s="1"/>
  <c r="U50" i="112"/>
  <c r="V50" i="112" s="1"/>
  <c r="U36" i="112"/>
  <c r="V36" i="112" s="1"/>
  <c r="U38" i="112"/>
  <c r="V38" i="112" s="1"/>
  <c r="U40" i="112"/>
  <c r="V40" i="112" s="1"/>
  <c r="U42" i="112"/>
  <c r="V42" i="112" s="1"/>
  <c r="U52" i="35"/>
  <c r="V52" i="35" s="1"/>
  <c r="U38" i="35"/>
  <c r="V38" i="35" s="1"/>
  <c r="U30" i="8"/>
  <c r="V30" i="8" s="1"/>
  <c r="U29" i="8"/>
  <c r="V29" i="8" s="1"/>
  <c r="U32" i="8"/>
  <c r="V32" i="8" s="1"/>
  <c r="U17" i="8"/>
  <c r="V17" i="8" s="1"/>
  <c r="U6" i="112"/>
  <c r="V6" i="112" s="1"/>
  <c r="U4" i="9"/>
  <c r="V4" i="9" s="1"/>
  <c r="U49" i="112"/>
  <c r="V49" i="112" s="1"/>
  <c r="U50" i="35"/>
  <c r="V50" i="35" s="1"/>
  <c r="U40" i="35"/>
  <c r="V40" i="35" s="1"/>
  <c r="U42" i="35"/>
  <c r="V42" i="35" s="1"/>
  <c r="U44" i="35"/>
  <c r="V44" i="35" s="1"/>
  <c r="U28" i="35"/>
  <c r="V28" i="35" s="1"/>
  <c r="U7" i="112"/>
  <c r="V7" i="112" s="1"/>
  <c r="U16" i="8"/>
  <c r="V16" i="8" s="1"/>
  <c r="U7" i="35"/>
  <c r="V7" i="35" s="1"/>
  <c r="U12" i="8"/>
  <c r="V12" i="8" s="1"/>
  <c r="U4" i="35"/>
  <c r="V4" i="35" s="1"/>
  <c r="U4" i="112"/>
  <c r="V4" i="112" s="1"/>
  <c r="U25" i="112"/>
  <c r="V25" i="112" s="1"/>
  <c r="U29" i="9"/>
  <c r="V29" i="9" s="1"/>
  <c r="U18" i="8"/>
  <c r="V18" i="8" s="1"/>
  <c r="U5" i="35"/>
  <c r="V5" i="35" s="1"/>
  <c r="U43" i="112"/>
  <c r="V43" i="112" s="1"/>
  <c r="U10" i="8"/>
  <c r="V10" i="8" s="1"/>
  <c r="U51" i="35"/>
  <c r="V51" i="35" s="1"/>
  <c r="U45" i="35"/>
  <c r="V45" i="35" s="1"/>
  <c r="U5" i="112"/>
  <c r="V5" i="112" s="1"/>
  <c r="U28" i="3"/>
  <c r="U13" i="43" s="1"/>
  <c r="V13" i="43" s="1"/>
  <c r="V15" i="43" s="1"/>
  <c r="U15" i="43" s="1"/>
  <c r="U30" i="3"/>
  <c r="AC28" i="3"/>
  <c r="AC13" i="43" s="1"/>
  <c r="AD13" i="43" s="1"/>
  <c r="AD15" i="43" s="1"/>
  <c r="AC15" i="43" s="1"/>
  <c r="AK28" i="3"/>
  <c r="AK13" i="43" s="1"/>
  <c r="AL13" i="43" s="1"/>
  <c r="AL15" i="43" s="1"/>
  <c r="AK15" i="43" s="1"/>
  <c r="AK30" i="3"/>
  <c r="S86" i="32"/>
  <c r="S112" i="32" s="1"/>
  <c r="R61" i="31"/>
  <c r="B190" i="2"/>
  <c r="G298" i="2"/>
  <c r="B303" i="2" s="1"/>
  <c r="E303" i="2" s="1"/>
  <c r="K16" i="3"/>
  <c r="G55" i="9"/>
  <c r="H55" i="9" s="1"/>
  <c r="G57" i="9"/>
  <c r="H57" i="9" s="1"/>
  <c r="G56" i="9"/>
  <c r="H56" i="9" s="1"/>
  <c r="G46" i="9"/>
  <c r="H46" i="9" s="1"/>
  <c r="G51" i="9"/>
  <c r="H51" i="9" s="1"/>
  <c r="G47" i="9"/>
  <c r="H47" i="9" s="1"/>
  <c r="G44" i="9"/>
  <c r="H44" i="9" s="1"/>
  <c r="G48" i="9"/>
  <c r="H48" i="9" s="1"/>
  <c r="G27" i="9"/>
  <c r="H27" i="9" s="1"/>
  <c r="G29" i="9"/>
  <c r="H29" i="9" s="1"/>
  <c r="G31" i="9"/>
  <c r="H31" i="9" s="1"/>
  <c r="G26" i="9"/>
  <c r="H26" i="9" s="1"/>
  <c r="G38" i="8"/>
  <c r="H38" i="8" s="1"/>
  <c r="G30" i="9"/>
  <c r="H30" i="9" s="1"/>
  <c r="G30" i="8"/>
  <c r="H30" i="8" s="1"/>
  <c r="G29" i="8"/>
  <c r="H29" i="8" s="1"/>
  <c r="G28" i="9"/>
  <c r="H28" i="9" s="1"/>
  <c r="G7" i="35"/>
  <c r="H7" i="35" s="1"/>
  <c r="G49" i="112"/>
  <c r="H49" i="112" s="1"/>
  <c r="G43" i="112"/>
  <c r="H43" i="112" s="1"/>
  <c r="G51" i="35"/>
  <c r="H51" i="35" s="1"/>
  <c r="G40" i="35"/>
  <c r="H40" i="35" s="1"/>
  <c r="G37" i="8"/>
  <c r="H37" i="8" s="1"/>
  <c r="G36" i="8"/>
  <c r="H36" i="8" s="1"/>
  <c r="G31" i="8"/>
  <c r="H31" i="8" s="1"/>
  <c r="G19" i="8"/>
  <c r="H19" i="8" s="1"/>
  <c r="G6" i="35"/>
  <c r="H6" i="35" s="1"/>
  <c r="G50" i="112"/>
  <c r="H50" i="112" s="1"/>
  <c r="G16" i="8"/>
  <c r="H16" i="8" s="1"/>
  <c r="G10" i="8"/>
  <c r="H10" i="8" s="1"/>
  <c r="G38" i="35"/>
  <c r="H38" i="35" s="1"/>
  <c r="G28" i="35"/>
  <c r="H28" i="35" s="1"/>
  <c r="G4" i="35"/>
  <c r="H4" i="35" s="1"/>
  <c r="G5" i="112"/>
  <c r="H5" i="112" s="1"/>
  <c r="G4" i="9"/>
  <c r="H4" i="9" s="1"/>
  <c r="G48" i="112"/>
  <c r="H48" i="112" s="1"/>
  <c r="G12" i="8"/>
  <c r="H12" i="8" s="1"/>
  <c r="G52" i="35"/>
  <c r="H52" i="35" s="1"/>
  <c r="G45" i="35"/>
  <c r="H45" i="35" s="1"/>
  <c r="G6" i="112"/>
  <c r="H6" i="112" s="1"/>
  <c r="G18" i="8"/>
  <c r="H18" i="8" s="1"/>
  <c r="G50" i="35"/>
  <c r="H50" i="35" s="1"/>
  <c r="H54" i="35" s="1"/>
  <c r="G54" i="35" s="1"/>
  <c r="G61" i="35" s="1"/>
  <c r="H84" i="30" s="1"/>
  <c r="G7" i="112"/>
  <c r="H7" i="112" s="1"/>
  <c r="G32" i="8"/>
  <c r="H32" i="8" s="1"/>
  <c r="G5" i="35"/>
  <c r="H5" i="35" s="1"/>
  <c r="G36" i="112"/>
  <c r="H36" i="112" s="1"/>
  <c r="G38" i="112"/>
  <c r="H38" i="112" s="1"/>
  <c r="G40" i="112"/>
  <c r="H40" i="112" s="1"/>
  <c r="G42" i="112"/>
  <c r="H42" i="112" s="1"/>
  <c r="G17" i="8"/>
  <c r="H17" i="8" s="1"/>
  <c r="G42" i="35"/>
  <c r="H42" i="35" s="1"/>
  <c r="G44" i="35"/>
  <c r="H44" i="35" s="1"/>
  <c r="G4" i="112"/>
  <c r="H4" i="112" s="1"/>
  <c r="G25" i="112"/>
  <c r="H25" i="112" s="1"/>
  <c r="O55" i="9"/>
  <c r="P55" i="9" s="1"/>
  <c r="O57" i="9"/>
  <c r="P57" i="9" s="1"/>
  <c r="P58" i="9" s="1"/>
  <c r="O58" i="9" s="1"/>
  <c r="O65" i="9" s="1"/>
  <c r="L85" i="30" s="1"/>
  <c r="O56" i="9"/>
  <c r="P56" i="9" s="1"/>
  <c r="O46" i="9"/>
  <c r="P46" i="9" s="1"/>
  <c r="O51" i="9"/>
  <c r="P51" i="9" s="1"/>
  <c r="O47" i="9"/>
  <c r="P47" i="9" s="1"/>
  <c r="O44" i="9"/>
  <c r="P44" i="9" s="1"/>
  <c r="O48" i="9"/>
  <c r="P48" i="9" s="1"/>
  <c r="O27" i="9"/>
  <c r="P27" i="9" s="1"/>
  <c r="O29" i="9"/>
  <c r="P29" i="9" s="1"/>
  <c r="O31" i="9"/>
  <c r="P31" i="9" s="1"/>
  <c r="O30" i="9"/>
  <c r="P30" i="9" s="1"/>
  <c r="O28" i="9"/>
  <c r="P28" i="9" s="1"/>
  <c r="O38" i="8"/>
  <c r="P38" i="8" s="1"/>
  <c r="O31" i="8"/>
  <c r="P31" i="8" s="1"/>
  <c r="O32" i="8"/>
  <c r="P32" i="8" s="1"/>
  <c r="O19" i="8"/>
  <c r="P19" i="8" s="1"/>
  <c r="O16" i="8"/>
  <c r="P16" i="8" s="1"/>
  <c r="O7" i="35"/>
  <c r="P7" i="35" s="1"/>
  <c r="O49" i="112"/>
  <c r="P49" i="112" s="1"/>
  <c r="O43" i="112"/>
  <c r="P43" i="112" s="1"/>
  <c r="O52" i="35"/>
  <c r="P52" i="35" s="1"/>
  <c r="P54" i="35" s="1"/>
  <c r="O54" i="35" s="1"/>
  <c r="O61" i="35" s="1"/>
  <c r="O38" i="35"/>
  <c r="P38" i="35" s="1"/>
  <c r="O36" i="8"/>
  <c r="P36" i="8" s="1"/>
  <c r="O37" i="8"/>
  <c r="P37" i="8" s="1"/>
  <c r="O30" i="8"/>
  <c r="P30" i="8" s="1"/>
  <c r="O26" i="9"/>
  <c r="P26" i="9" s="1"/>
  <c r="O29" i="8"/>
  <c r="P29" i="8" s="1"/>
  <c r="O12" i="8"/>
  <c r="P12" i="8" s="1"/>
  <c r="O4" i="35"/>
  <c r="P4" i="35" s="1"/>
  <c r="O5" i="112"/>
  <c r="P5" i="112" s="1"/>
  <c r="O17" i="8"/>
  <c r="P17" i="8" s="1"/>
  <c r="O6" i="35"/>
  <c r="P6" i="35" s="1"/>
  <c r="O36" i="112"/>
  <c r="P36" i="112" s="1"/>
  <c r="O38" i="112"/>
  <c r="P38" i="112" s="1"/>
  <c r="O40" i="112"/>
  <c r="P40" i="112" s="1"/>
  <c r="O42" i="112"/>
  <c r="P42" i="112" s="1"/>
  <c r="O10" i="8"/>
  <c r="P10" i="8" s="1"/>
  <c r="O45" i="35"/>
  <c r="P45" i="35" s="1"/>
  <c r="O28" i="35"/>
  <c r="P28" i="35" s="1"/>
  <c r="O6" i="112"/>
  <c r="P6" i="112" s="1"/>
  <c r="O50" i="112"/>
  <c r="P50" i="112" s="1"/>
  <c r="O50" i="35"/>
  <c r="P50" i="35" s="1"/>
  <c r="O7" i="112"/>
  <c r="P7" i="112" s="1"/>
  <c r="O4" i="9"/>
  <c r="P4" i="9" s="1"/>
  <c r="O18" i="8"/>
  <c r="P18" i="8" s="1"/>
  <c r="O5" i="35"/>
  <c r="P5" i="35" s="1"/>
  <c r="O48" i="112"/>
  <c r="P48" i="112" s="1"/>
  <c r="O51" i="35"/>
  <c r="P51" i="35" s="1"/>
  <c r="O40" i="35"/>
  <c r="P40" i="35" s="1"/>
  <c r="O42" i="35"/>
  <c r="P42" i="35" s="1"/>
  <c r="O44" i="35"/>
  <c r="P44" i="35" s="1"/>
  <c r="O4" i="112"/>
  <c r="P4" i="112" s="1"/>
  <c r="O25" i="112"/>
  <c r="P25" i="112" s="1"/>
  <c r="AE55" i="9"/>
  <c r="AF55" i="9" s="1"/>
  <c r="AE57" i="9"/>
  <c r="AF57" i="9" s="1"/>
  <c r="AE56" i="9"/>
  <c r="AF56" i="9" s="1"/>
  <c r="AE46" i="9"/>
  <c r="AF46" i="9" s="1"/>
  <c r="AE51" i="9"/>
  <c r="AF51" i="9" s="1"/>
  <c r="AE47" i="9"/>
  <c r="AF47" i="9" s="1"/>
  <c r="AE44" i="9"/>
  <c r="AF44" i="9" s="1"/>
  <c r="AE48" i="9"/>
  <c r="AF48" i="9" s="1"/>
  <c r="AE27" i="9"/>
  <c r="AF27" i="9" s="1"/>
  <c r="AE29" i="9"/>
  <c r="AF29" i="9" s="1"/>
  <c r="AE31" i="9"/>
  <c r="AF31" i="9" s="1"/>
  <c r="AE26" i="9"/>
  <c r="AF26" i="9" s="1"/>
  <c r="AE38" i="8"/>
  <c r="AF38" i="8" s="1"/>
  <c r="AE32" i="8"/>
  <c r="AF32" i="8" s="1"/>
  <c r="AE19" i="8"/>
  <c r="AF19" i="8" s="1"/>
  <c r="AE16" i="8"/>
  <c r="AF16" i="8" s="1"/>
  <c r="AE7" i="35"/>
  <c r="AF7" i="35" s="1"/>
  <c r="AE49" i="112"/>
  <c r="AF49" i="112" s="1"/>
  <c r="AE43" i="112"/>
  <c r="AF43" i="112" s="1"/>
  <c r="AE52" i="35"/>
  <c r="AF52" i="35" s="1"/>
  <c r="AE38" i="35"/>
  <c r="AF38" i="35" s="1"/>
  <c r="AE29" i="8"/>
  <c r="AF29" i="8" s="1"/>
  <c r="AE28" i="9"/>
  <c r="AF28" i="9" s="1"/>
  <c r="AE30" i="9"/>
  <c r="AF30" i="9" s="1"/>
  <c r="AE36" i="8"/>
  <c r="AF36" i="8" s="1"/>
  <c r="AE37" i="8"/>
  <c r="AF37" i="8" s="1"/>
  <c r="AE31" i="8"/>
  <c r="AF31" i="8" s="1"/>
  <c r="AE50" i="112"/>
  <c r="AF50" i="112" s="1"/>
  <c r="AE10" i="8"/>
  <c r="AF10" i="8" s="1"/>
  <c r="AE50" i="35"/>
  <c r="AF50" i="35" s="1"/>
  <c r="AE4" i="35"/>
  <c r="AF4" i="35" s="1"/>
  <c r="AE5" i="112"/>
  <c r="AF5" i="112" s="1"/>
  <c r="AE30" i="8"/>
  <c r="AF30" i="8" s="1"/>
  <c r="AE18" i="8"/>
  <c r="AF18" i="8" s="1"/>
  <c r="AE5" i="35"/>
  <c r="AF5" i="35" s="1"/>
  <c r="AE48" i="112"/>
  <c r="AF48" i="112" s="1"/>
  <c r="AE51" i="35"/>
  <c r="AF51" i="35" s="1"/>
  <c r="AE45" i="35"/>
  <c r="AF45" i="35" s="1"/>
  <c r="AE6" i="112"/>
  <c r="AF6" i="112" s="1"/>
  <c r="AE6" i="35"/>
  <c r="AF6" i="35" s="1"/>
  <c r="AE7" i="112"/>
  <c r="AF7" i="112" s="1"/>
  <c r="AE17" i="8"/>
  <c r="AF17" i="8" s="1"/>
  <c r="AE36" i="112"/>
  <c r="AF36" i="112" s="1"/>
  <c r="AE38" i="112"/>
  <c r="AF38" i="112" s="1"/>
  <c r="AE40" i="112"/>
  <c r="AF40" i="112" s="1"/>
  <c r="AE42" i="112"/>
  <c r="AF42" i="112" s="1"/>
  <c r="AE12" i="8"/>
  <c r="AF12" i="8" s="1"/>
  <c r="AE40" i="35"/>
  <c r="AF40" i="35" s="1"/>
  <c r="AE42" i="35"/>
  <c r="AF42" i="35" s="1"/>
  <c r="AE44" i="35"/>
  <c r="AF44" i="35" s="1"/>
  <c r="AE28" i="35"/>
  <c r="AF28" i="35" s="1"/>
  <c r="AE4" i="112"/>
  <c r="AF4" i="112" s="1"/>
  <c r="AE25" i="112"/>
  <c r="AF25" i="112" s="1"/>
  <c r="AE4" i="9"/>
  <c r="AF4" i="9" s="1"/>
  <c r="E140" i="2"/>
  <c r="G140" i="2"/>
  <c r="E206" i="2"/>
  <c r="B212" i="2" s="1"/>
  <c r="D212" i="2" s="1"/>
  <c r="E212" i="2" s="1"/>
  <c r="B251" i="2"/>
  <c r="B263" i="2" s="1"/>
  <c r="J15" i="51"/>
  <c r="I15" i="51" s="1"/>
  <c r="I30" i="51" s="1"/>
  <c r="R15" i="51"/>
  <c r="Q15" i="51" s="1"/>
  <c r="Q30" i="51" s="1"/>
  <c r="M7" i="32" s="1"/>
  <c r="Z15" i="51"/>
  <c r="Y15" i="51" s="1"/>
  <c r="Y30" i="51" s="1"/>
  <c r="AH15" i="51"/>
  <c r="AG15" i="51" s="1"/>
  <c r="AG30" i="51" s="1"/>
  <c r="K10" i="3"/>
  <c r="K18" i="3"/>
  <c r="I56" i="9"/>
  <c r="J56" i="9" s="1"/>
  <c r="I55" i="9"/>
  <c r="J55" i="9" s="1"/>
  <c r="I57" i="9"/>
  <c r="J57" i="9" s="1"/>
  <c r="I44" i="9"/>
  <c r="J44" i="9" s="1"/>
  <c r="I48" i="9"/>
  <c r="J48" i="9" s="1"/>
  <c r="I46" i="9"/>
  <c r="J46" i="9" s="1"/>
  <c r="I47" i="9"/>
  <c r="J47" i="9" s="1"/>
  <c r="I51" i="9"/>
  <c r="J51" i="9" s="1"/>
  <c r="I26" i="9"/>
  <c r="J26" i="9" s="1"/>
  <c r="I28" i="9"/>
  <c r="J28" i="9" s="1"/>
  <c r="I30" i="9"/>
  <c r="J30" i="9" s="1"/>
  <c r="I31" i="9"/>
  <c r="J31" i="9" s="1"/>
  <c r="I27" i="9"/>
  <c r="J27" i="9" s="1"/>
  <c r="I29" i="9"/>
  <c r="J29" i="9" s="1"/>
  <c r="I37" i="8"/>
  <c r="J37" i="8" s="1"/>
  <c r="I38" i="8"/>
  <c r="J38" i="8" s="1"/>
  <c r="I16" i="8"/>
  <c r="J16" i="8" s="1"/>
  <c r="I48" i="112"/>
  <c r="J48" i="112" s="1"/>
  <c r="I50" i="112"/>
  <c r="J50" i="112" s="1"/>
  <c r="I36" i="112"/>
  <c r="J36" i="112" s="1"/>
  <c r="I38" i="112"/>
  <c r="J38" i="112" s="1"/>
  <c r="I40" i="112"/>
  <c r="J40" i="112" s="1"/>
  <c r="I42" i="112"/>
  <c r="J42" i="112" s="1"/>
  <c r="I12" i="8"/>
  <c r="J12" i="8" s="1"/>
  <c r="I50" i="35"/>
  <c r="J50" i="35" s="1"/>
  <c r="I36" i="8"/>
  <c r="J36" i="8" s="1"/>
  <c r="I30" i="8"/>
  <c r="J30" i="8" s="1"/>
  <c r="I19" i="8"/>
  <c r="J19" i="8" s="1"/>
  <c r="I18" i="8"/>
  <c r="J18" i="8" s="1"/>
  <c r="I5" i="35"/>
  <c r="J5" i="35" s="1"/>
  <c r="I49" i="112"/>
  <c r="J49" i="112" s="1"/>
  <c r="I51" i="35"/>
  <c r="J51" i="35" s="1"/>
  <c r="J54" i="35" s="1"/>
  <c r="I54" i="35" s="1"/>
  <c r="I4" i="112"/>
  <c r="J4" i="112" s="1"/>
  <c r="I25" i="112"/>
  <c r="J25" i="112" s="1"/>
  <c r="I17" i="8"/>
  <c r="J17" i="8" s="1"/>
  <c r="I6" i="35"/>
  <c r="J6" i="35" s="1"/>
  <c r="I7" i="35"/>
  <c r="J7" i="35" s="1"/>
  <c r="I38" i="35"/>
  <c r="J38" i="35" s="1"/>
  <c r="I40" i="35"/>
  <c r="J40" i="35" s="1"/>
  <c r="I42" i="35"/>
  <c r="J42" i="35" s="1"/>
  <c r="I44" i="35"/>
  <c r="J44" i="35" s="1"/>
  <c r="I28" i="35"/>
  <c r="J28" i="35" s="1"/>
  <c r="I5" i="112"/>
  <c r="J5" i="112" s="1"/>
  <c r="I31" i="8"/>
  <c r="J31" i="8" s="1"/>
  <c r="I32" i="8"/>
  <c r="J32" i="8" s="1"/>
  <c r="I43" i="112"/>
  <c r="J43" i="112" s="1"/>
  <c r="I52" i="35"/>
  <c r="J52" i="35" s="1"/>
  <c r="I4" i="35"/>
  <c r="J4" i="35" s="1"/>
  <c r="I6" i="112"/>
  <c r="J6" i="112" s="1"/>
  <c r="I4" i="9"/>
  <c r="J4" i="9" s="1"/>
  <c r="I29" i="8"/>
  <c r="J29" i="8" s="1"/>
  <c r="I10" i="8"/>
  <c r="J10" i="8" s="1"/>
  <c r="I45" i="35"/>
  <c r="J45" i="35" s="1"/>
  <c r="I7" i="112"/>
  <c r="J7" i="112" s="1"/>
  <c r="Q56" i="9"/>
  <c r="R56" i="9" s="1"/>
  <c r="Q55" i="9"/>
  <c r="R55" i="9" s="1"/>
  <c r="R58" i="9" s="1"/>
  <c r="Q58" i="9" s="1"/>
  <c r="Q65" i="9" s="1"/>
  <c r="M85" i="30" s="1"/>
  <c r="Q57" i="9"/>
  <c r="R57" i="9" s="1"/>
  <c r="Q44" i="9"/>
  <c r="R44" i="9" s="1"/>
  <c r="Q48" i="9"/>
  <c r="R48" i="9" s="1"/>
  <c r="Q46" i="9"/>
  <c r="R46" i="9" s="1"/>
  <c r="Q47" i="9"/>
  <c r="R47" i="9" s="1"/>
  <c r="Q51" i="9"/>
  <c r="R51" i="9" s="1"/>
  <c r="Q26" i="9"/>
  <c r="R26" i="9" s="1"/>
  <c r="Q28" i="9"/>
  <c r="R28" i="9" s="1"/>
  <c r="Q30" i="9"/>
  <c r="R30" i="9" s="1"/>
  <c r="Q29" i="9"/>
  <c r="R29" i="9" s="1"/>
  <c r="Q27" i="9"/>
  <c r="R27" i="9" s="1"/>
  <c r="Q36" i="8"/>
  <c r="R36" i="8" s="1"/>
  <c r="Q29" i="8"/>
  <c r="R29" i="8" s="1"/>
  <c r="Q17" i="8"/>
  <c r="R17" i="8" s="1"/>
  <c r="Q6" i="35"/>
  <c r="R6" i="35" s="1"/>
  <c r="Q48" i="112"/>
  <c r="R48" i="112" s="1"/>
  <c r="Q50" i="112"/>
  <c r="R50" i="112" s="1"/>
  <c r="Q36" i="112"/>
  <c r="R36" i="112" s="1"/>
  <c r="Q38" i="112"/>
  <c r="R38" i="112" s="1"/>
  <c r="Q40" i="112"/>
  <c r="R40" i="112" s="1"/>
  <c r="Q42" i="112"/>
  <c r="R42" i="112" s="1"/>
  <c r="Q12" i="8"/>
  <c r="R12" i="8" s="1"/>
  <c r="Q51" i="35"/>
  <c r="R51" i="35" s="1"/>
  <c r="Q31" i="9"/>
  <c r="R31" i="9" s="1"/>
  <c r="Q37" i="8"/>
  <c r="R37" i="8" s="1"/>
  <c r="Q31" i="8"/>
  <c r="R31" i="8" s="1"/>
  <c r="Q16" i="8"/>
  <c r="R16" i="8" s="1"/>
  <c r="Q43" i="112"/>
  <c r="R43" i="112" s="1"/>
  <c r="Q4" i="112"/>
  <c r="R4" i="112" s="1"/>
  <c r="Q25" i="112"/>
  <c r="R25" i="112" s="1"/>
  <c r="Q4" i="9"/>
  <c r="R4" i="9" s="1"/>
  <c r="Q38" i="8"/>
  <c r="R38" i="8" s="1"/>
  <c r="Q32" i="8"/>
  <c r="R32" i="8" s="1"/>
  <c r="Q18" i="8"/>
  <c r="R18" i="8" s="1"/>
  <c r="Q5" i="35"/>
  <c r="R5" i="35" s="1"/>
  <c r="Q38" i="35"/>
  <c r="R38" i="35" s="1"/>
  <c r="Q40" i="35"/>
  <c r="R40" i="35" s="1"/>
  <c r="Q42" i="35"/>
  <c r="R42" i="35" s="1"/>
  <c r="Q44" i="35"/>
  <c r="R44" i="35" s="1"/>
  <c r="Q5" i="112"/>
  <c r="R5" i="112" s="1"/>
  <c r="Q49" i="112"/>
  <c r="R49" i="112" s="1"/>
  <c r="Q10" i="8"/>
  <c r="R10" i="8" s="1"/>
  <c r="Q52" i="35"/>
  <c r="R52" i="35" s="1"/>
  <c r="Q28" i="35"/>
  <c r="R28" i="35" s="1"/>
  <c r="Q4" i="35"/>
  <c r="R4" i="35" s="1"/>
  <c r="Q6" i="112"/>
  <c r="R6" i="112" s="1"/>
  <c r="Q30" i="8"/>
  <c r="R30" i="8" s="1"/>
  <c r="Q19" i="8"/>
  <c r="R19" i="8" s="1"/>
  <c r="Q7" i="35"/>
  <c r="R7" i="35" s="1"/>
  <c r="Q50" i="35"/>
  <c r="R50" i="35" s="1"/>
  <c r="Q45" i="35"/>
  <c r="R45" i="35" s="1"/>
  <c r="Q7" i="112"/>
  <c r="R7" i="112" s="1"/>
  <c r="S59" i="32"/>
  <c r="H7" i="80"/>
  <c r="G9" i="80"/>
  <c r="J23" i="79"/>
  <c r="I23" i="79" s="1"/>
  <c r="I32" i="79" s="1"/>
  <c r="J59" i="31" s="1"/>
  <c r="P32" i="64"/>
  <c r="AK51" i="8"/>
  <c r="AL51" i="8" s="1"/>
  <c r="AK52" i="8"/>
  <c r="AL52" i="8" s="1"/>
  <c r="V7" i="66"/>
  <c r="AN5" i="47"/>
  <c r="B6" i="99"/>
  <c r="C9" i="99"/>
  <c r="B9" i="99"/>
  <c r="O55" i="64"/>
  <c r="P55" i="64" s="1"/>
  <c r="P42" i="64"/>
  <c r="AK34" i="80"/>
  <c r="AK29" i="80"/>
  <c r="W60" i="34" s="1"/>
  <c r="AK31" i="80"/>
  <c r="AK30" i="80"/>
  <c r="X18" i="80"/>
  <c r="W18" i="80" s="1"/>
  <c r="W32" i="80" s="1"/>
  <c r="N18" i="80"/>
  <c r="M18" i="80" s="1"/>
  <c r="M32" i="80" s="1"/>
  <c r="S24" i="30"/>
  <c r="G22" i="30"/>
  <c r="U24" i="30"/>
  <c r="G60" i="30"/>
  <c r="S60" i="30"/>
  <c r="S22" i="30"/>
  <c r="L60" i="30"/>
  <c r="U22" i="30"/>
  <c r="R22" i="31"/>
  <c r="S60" i="31"/>
  <c r="T60" i="31"/>
  <c r="N7" i="32"/>
  <c r="R7" i="32"/>
  <c r="W59" i="32"/>
  <c r="I86" i="32"/>
  <c r="G22" i="32"/>
  <c r="G110" i="32" s="1"/>
  <c r="G24" i="32"/>
  <c r="G112" i="32" s="1"/>
  <c r="S61" i="32"/>
  <c r="M86" i="32"/>
  <c r="Q22" i="33"/>
  <c r="V24" i="33"/>
  <c r="N60" i="33"/>
  <c r="R22" i="33"/>
  <c r="M24" i="33"/>
  <c r="M112" i="33" s="1"/>
  <c r="R60" i="33"/>
  <c r="N24" i="33"/>
  <c r="I22" i="34"/>
  <c r="I24" i="34"/>
  <c r="U22" i="34"/>
  <c r="U24" i="34"/>
  <c r="I86" i="34"/>
  <c r="N22" i="34"/>
  <c r="N24" i="34"/>
  <c r="R24" i="34"/>
  <c r="R22" i="34"/>
  <c r="V24" i="34"/>
  <c r="V22" i="34"/>
  <c r="M86" i="34"/>
  <c r="G22" i="34"/>
  <c r="G24" i="34"/>
  <c r="S86" i="34"/>
  <c r="S24" i="34"/>
  <c r="S22" i="34"/>
  <c r="M24" i="34"/>
  <c r="M22" i="34"/>
  <c r="Q24" i="34"/>
  <c r="Q112" i="34" s="1"/>
  <c r="Q22" i="34"/>
  <c r="Q110" i="34" s="1"/>
  <c r="Q88" i="34"/>
  <c r="L24" i="34"/>
  <c r="L22" i="34"/>
  <c r="T22" i="34"/>
  <c r="T24" i="34"/>
  <c r="X24" i="34"/>
  <c r="X22" i="34"/>
  <c r="X110" i="34" s="1"/>
  <c r="G86" i="34"/>
  <c r="U86" i="34"/>
  <c r="G28" i="3"/>
  <c r="G13" i="43" s="1"/>
  <c r="H13" i="43" s="1"/>
  <c r="H15" i="43" s="1"/>
  <c r="G15" i="43" s="1"/>
  <c r="G22" i="43" s="1"/>
  <c r="H22" i="30" s="1"/>
  <c r="G5" i="51"/>
  <c r="G22" i="51"/>
  <c r="H22" i="51" s="1"/>
  <c r="G7" i="51"/>
  <c r="G6" i="50"/>
  <c r="G23" i="50" s="1"/>
  <c r="H23" i="50" s="1"/>
  <c r="H25" i="50" s="1"/>
  <c r="G25" i="50" s="1"/>
  <c r="G32" i="50" s="1"/>
  <c r="H6" i="30" s="1"/>
  <c r="G6" i="87"/>
  <c r="G9" i="85"/>
  <c r="G11" i="83"/>
  <c r="G5" i="87"/>
  <c r="O5" i="51"/>
  <c r="O7" i="51"/>
  <c r="O22" i="51"/>
  <c r="P22" i="51" s="1"/>
  <c r="O6" i="50"/>
  <c r="O23" i="50" s="1"/>
  <c r="P23" i="50" s="1"/>
  <c r="P25" i="50" s="1"/>
  <c r="O25" i="50" s="1"/>
  <c r="O32" i="50" s="1"/>
  <c r="O11" i="83"/>
  <c r="O6" i="87"/>
  <c r="O9" i="85"/>
  <c r="O5" i="87"/>
  <c r="P5" i="87" s="1"/>
  <c r="W28" i="3"/>
  <c r="W13" i="43" s="1"/>
  <c r="X13" i="43" s="1"/>
  <c r="X15" i="43" s="1"/>
  <c r="W15" i="43" s="1"/>
  <c r="W22" i="43" s="1"/>
  <c r="P22" i="30" s="1"/>
  <c r="W22" i="51"/>
  <c r="X22" i="51" s="1"/>
  <c r="W5" i="51"/>
  <c r="W7" i="51"/>
  <c r="W6" i="50"/>
  <c r="W8" i="50" s="1"/>
  <c r="X8" i="50" s="1"/>
  <c r="W6" i="87"/>
  <c r="W9" i="85"/>
  <c r="W5" i="87"/>
  <c r="AE28" i="3"/>
  <c r="AE13" i="43" s="1"/>
  <c r="AF13" i="43" s="1"/>
  <c r="AF15" i="43" s="1"/>
  <c r="AE15" i="43" s="1"/>
  <c r="AE5" i="51"/>
  <c r="AE5" i="44"/>
  <c r="AE21" i="44" s="1"/>
  <c r="AF21" i="44" s="1"/>
  <c r="AE7" i="51"/>
  <c r="AE22" i="51"/>
  <c r="AF22" i="51" s="1"/>
  <c r="AE6" i="50"/>
  <c r="AE20" i="50" s="1"/>
  <c r="AF20" i="50" s="1"/>
  <c r="AE9" i="85"/>
  <c r="AE6" i="87"/>
  <c r="AE5" i="87"/>
  <c r="AF5" i="87" s="1"/>
  <c r="AM28" i="3"/>
  <c r="AL14" i="85"/>
  <c r="AL17" i="85" s="1"/>
  <c r="AK17" i="85" s="1"/>
  <c r="AK31" i="85" s="1"/>
  <c r="W10" i="32" s="1"/>
  <c r="K5" i="3"/>
  <c r="K13" i="3"/>
  <c r="O20" i="3"/>
  <c r="I28" i="3"/>
  <c r="I13" i="43" s="1"/>
  <c r="J13" i="43" s="1"/>
  <c r="J15" i="43" s="1"/>
  <c r="I15" i="43" s="1"/>
  <c r="I7" i="51"/>
  <c r="I5" i="51"/>
  <c r="I22" i="51"/>
  <c r="J22" i="51" s="1"/>
  <c r="J25" i="51" s="1"/>
  <c r="I25" i="51" s="1"/>
  <c r="I32" i="51" s="1"/>
  <c r="I7" i="30" s="1"/>
  <c r="I6" i="50"/>
  <c r="I11" i="83"/>
  <c r="I6" i="87"/>
  <c r="I9" i="85"/>
  <c r="I5" i="87"/>
  <c r="Q28" i="3"/>
  <c r="Q13" i="43" s="1"/>
  <c r="R13" i="43" s="1"/>
  <c r="R15" i="43" s="1"/>
  <c r="Q15" i="43" s="1"/>
  <c r="Q22" i="51"/>
  <c r="R22" i="51" s="1"/>
  <c r="R25" i="51" s="1"/>
  <c r="Q25" i="51" s="1"/>
  <c r="Q32" i="51" s="1"/>
  <c r="Q7" i="51"/>
  <c r="Q5" i="51"/>
  <c r="Q6" i="50"/>
  <c r="Q20" i="50" s="1"/>
  <c r="R20" i="50" s="1"/>
  <c r="Q9" i="85"/>
  <c r="Q11" i="83"/>
  <c r="Q6" i="87"/>
  <c r="Q5" i="87"/>
  <c r="Y28" i="3"/>
  <c r="Y13" i="43" s="1"/>
  <c r="Z13" i="43" s="1"/>
  <c r="Z15" i="43" s="1"/>
  <c r="Y15" i="43" s="1"/>
  <c r="Y7" i="51"/>
  <c r="Y5" i="51"/>
  <c r="Y22" i="51"/>
  <c r="Z22" i="51" s="1"/>
  <c r="Z25" i="51" s="1"/>
  <c r="Y25" i="51" s="1"/>
  <c r="Y32" i="51" s="1"/>
  <c r="Q7" i="30" s="1"/>
  <c r="Y6" i="50"/>
  <c r="Y20" i="50" s="1"/>
  <c r="Z20" i="50" s="1"/>
  <c r="Y9" i="85"/>
  <c r="Y6" i="87"/>
  <c r="Y5" i="87"/>
  <c r="AG28" i="3"/>
  <c r="AG13" i="43" s="1"/>
  <c r="AH13" i="43" s="1"/>
  <c r="AH15" i="43" s="1"/>
  <c r="AG15" i="43" s="1"/>
  <c r="AG7" i="51"/>
  <c r="AG5" i="51"/>
  <c r="AG22" i="51"/>
  <c r="AH22" i="51" s="1"/>
  <c r="AH25" i="51" s="1"/>
  <c r="AG25" i="51" s="1"/>
  <c r="AG32" i="51" s="1"/>
  <c r="AG6" i="50"/>
  <c r="AG6" i="87"/>
  <c r="AG9" i="85"/>
  <c r="AG5" i="87"/>
  <c r="K4" i="3"/>
  <c r="K22" i="51"/>
  <c r="L22" i="51" s="1"/>
  <c r="L25" i="51" s="1"/>
  <c r="K25" i="51" s="1"/>
  <c r="K32" i="51" s="1"/>
  <c r="J7" i="30" s="1"/>
  <c r="K7" i="51"/>
  <c r="K5" i="51"/>
  <c r="K6" i="50"/>
  <c r="K23" i="50" s="1"/>
  <c r="L23" i="50" s="1"/>
  <c r="L25" i="50" s="1"/>
  <c r="K25" i="50" s="1"/>
  <c r="K32" i="50" s="1"/>
  <c r="K9" i="85"/>
  <c r="K11" i="83"/>
  <c r="K6" i="87"/>
  <c r="K5" i="87"/>
  <c r="K5" i="83"/>
  <c r="S22" i="51"/>
  <c r="T22" i="51" s="1"/>
  <c r="T25" i="51" s="1"/>
  <c r="S25" i="51" s="1"/>
  <c r="S32" i="51" s="1"/>
  <c r="N7" i="30" s="1"/>
  <c r="S7" i="51"/>
  <c r="S5" i="51"/>
  <c r="S6" i="50"/>
  <c r="S9" i="85"/>
  <c r="S11" i="83"/>
  <c r="S6" i="87"/>
  <c r="S5" i="87"/>
  <c r="AA7" i="51"/>
  <c r="AA5" i="51"/>
  <c r="AA22" i="51"/>
  <c r="AB22" i="51" s="1"/>
  <c r="AA6" i="50"/>
  <c r="AA23" i="50" s="1"/>
  <c r="AB23" i="50" s="1"/>
  <c r="AB25" i="50" s="1"/>
  <c r="AA25" i="50" s="1"/>
  <c r="AA32" i="50" s="1"/>
  <c r="R6" i="30" s="1"/>
  <c r="AA6" i="87"/>
  <c r="AA9" i="85"/>
  <c r="AA5" i="87"/>
  <c r="AI22" i="51"/>
  <c r="AJ22" i="51" s="1"/>
  <c r="AJ25" i="51" s="1"/>
  <c r="AI25" i="51" s="1"/>
  <c r="AI32" i="51" s="1"/>
  <c r="V7" i="30" s="1"/>
  <c r="AI7" i="51"/>
  <c r="AI5" i="51"/>
  <c r="AI6" i="50"/>
  <c r="AI23" i="50" s="1"/>
  <c r="AJ23" i="50" s="1"/>
  <c r="AJ25" i="50" s="1"/>
  <c r="AI25" i="50" s="1"/>
  <c r="AI32" i="50" s="1"/>
  <c r="V6" i="30" s="1"/>
  <c r="AI9" i="85"/>
  <c r="AI6" i="87"/>
  <c r="AI5" i="87"/>
  <c r="K7" i="3"/>
  <c r="K11" i="3"/>
  <c r="K17" i="3"/>
  <c r="E22" i="51"/>
  <c r="F22" i="51" s="1"/>
  <c r="F25" i="51" s="1"/>
  <c r="E25" i="51" s="1"/>
  <c r="E32" i="51" s="1"/>
  <c r="G7" i="30" s="1"/>
  <c r="E7" i="51"/>
  <c r="E5" i="51"/>
  <c r="E6" i="50"/>
  <c r="E23" i="50" s="1"/>
  <c r="F23" i="50" s="1"/>
  <c r="F25" i="50" s="1"/>
  <c r="E25" i="50" s="1"/>
  <c r="E6" i="87"/>
  <c r="E17" i="86"/>
  <c r="F17" i="86" s="1"/>
  <c r="E11" i="83"/>
  <c r="E9" i="85"/>
  <c r="E10" i="83"/>
  <c r="E23" i="83" s="1"/>
  <c r="F23" i="83" s="1"/>
  <c r="E5" i="87"/>
  <c r="E7" i="87"/>
  <c r="E19" i="87" s="1"/>
  <c r="F19" i="87" s="1"/>
  <c r="M22" i="51"/>
  <c r="N22" i="51" s="1"/>
  <c r="M7" i="51"/>
  <c r="M5" i="51"/>
  <c r="M6" i="50"/>
  <c r="M20" i="50" s="1"/>
  <c r="N20" i="50" s="1"/>
  <c r="N22" i="50" s="1"/>
  <c r="M22" i="50" s="1"/>
  <c r="M31" i="50" s="1"/>
  <c r="M6" i="87"/>
  <c r="M9" i="85"/>
  <c r="M11" i="83"/>
  <c r="M5" i="87"/>
  <c r="U7" i="51"/>
  <c r="U22" i="51"/>
  <c r="V22" i="51" s="1"/>
  <c r="V25" i="51" s="1"/>
  <c r="U25" i="51" s="1"/>
  <c r="U32" i="51" s="1"/>
  <c r="U5" i="51"/>
  <c r="U6" i="50"/>
  <c r="U6" i="87"/>
  <c r="U9" i="85"/>
  <c r="U11" i="83"/>
  <c r="U5" i="87"/>
  <c r="AC22" i="51"/>
  <c r="AD22" i="51" s="1"/>
  <c r="AD25" i="51" s="1"/>
  <c r="AC25" i="51" s="1"/>
  <c r="AC32" i="51" s="1"/>
  <c r="S7" i="30" s="1"/>
  <c r="AC7" i="51"/>
  <c r="AC5" i="51"/>
  <c r="AC6" i="50"/>
  <c r="AC20" i="50" s="1"/>
  <c r="AD20" i="50" s="1"/>
  <c r="AD22" i="50" s="1"/>
  <c r="AC22" i="50" s="1"/>
  <c r="AC31" i="50" s="1"/>
  <c r="AC9" i="85"/>
  <c r="AC6" i="87"/>
  <c r="AC5" i="87"/>
  <c r="AK22" i="51"/>
  <c r="AL22" i="51" s="1"/>
  <c r="AK7" i="51"/>
  <c r="AK5" i="51"/>
  <c r="AK6" i="50"/>
  <c r="AK20" i="50" s="1"/>
  <c r="AL20" i="50" s="1"/>
  <c r="AL22" i="50" s="1"/>
  <c r="AK22" i="50" s="1"/>
  <c r="AK31" i="50" s="1"/>
  <c r="AK9" i="85"/>
  <c r="AK6" i="87"/>
  <c r="AK5" i="87"/>
  <c r="O28" i="3"/>
  <c r="O13" i="43" s="1"/>
  <c r="P13" i="43" s="1"/>
  <c r="P15" i="43" s="1"/>
  <c r="O15" i="43" s="1"/>
  <c r="F18" i="67"/>
  <c r="E18" i="67" s="1"/>
  <c r="E37" i="67" s="1"/>
  <c r="N18" i="67"/>
  <c r="M18" i="67" s="1"/>
  <c r="M37" i="67" s="1"/>
  <c r="H19" i="95"/>
  <c r="G19" i="95" s="1"/>
  <c r="G32" i="95" s="1"/>
  <c r="P19" i="95"/>
  <c r="O19" i="95" s="1"/>
  <c r="O32" i="95" s="1"/>
  <c r="E69" i="32" s="1"/>
  <c r="AJ21" i="78"/>
  <c r="AI21" i="78" s="1"/>
  <c r="AI35" i="78" s="1"/>
  <c r="L21" i="78"/>
  <c r="K21" i="78" s="1"/>
  <c r="K35" i="78" s="1"/>
  <c r="AB21" i="78"/>
  <c r="AA21" i="78" s="1"/>
  <c r="AA35" i="78" s="1"/>
  <c r="R62" i="32" s="1"/>
  <c r="H21" i="78"/>
  <c r="G21" i="78" s="1"/>
  <c r="G35" i="78" s="1"/>
  <c r="X21" i="78"/>
  <c r="W21" i="78" s="1"/>
  <c r="W35" i="78" s="1"/>
  <c r="F21" i="78"/>
  <c r="E21" i="78" s="1"/>
  <c r="E35" i="78" s="1"/>
  <c r="H19" i="79"/>
  <c r="G19" i="79" s="1"/>
  <c r="G31" i="79" s="1"/>
  <c r="H59" i="32" s="1"/>
  <c r="H9" i="79"/>
  <c r="J16" i="86"/>
  <c r="I16" i="86" s="1"/>
  <c r="I29" i="86" s="1"/>
  <c r="Z16" i="86"/>
  <c r="Y16" i="86" s="1"/>
  <c r="Y29" i="86" s="1"/>
  <c r="F14" i="85"/>
  <c r="F17" i="85" s="1"/>
  <c r="E17" i="85" s="1"/>
  <c r="E31" i="85" s="1"/>
  <c r="G10" i="32" s="1"/>
  <c r="Q15" i="85"/>
  <c r="R15" i="85" s="1"/>
  <c r="F16" i="44"/>
  <c r="F18" i="44" s="1"/>
  <c r="E18" i="44" s="1"/>
  <c r="E32" i="44" s="1"/>
  <c r="G4" i="32" s="1"/>
  <c r="H9" i="46"/>
  <c r="G9" i="46" s="1"/>
  <c r="G21" i="46" s="1"/>
  <c r="X9" i="75"/>
  <c r="W9" i="75" s="1"/>
  <c r="W20" i="75" s="1"/>
  <c r="P24" i="32" s="1"/>
  <c r="K23" i="94"/>
  <c r="L23" i="94" s="1"/>
  <c r="K24" i="94"/>
  <c r="L24" i="94" s="1"/>
  <c r="S23" i="94"/>
  <c r="T23" i="94" s="1"/>
  <c r="S24" i="94"/>
  <c r="T24" i="94" s="1"/>
  <c r="X35" i="8"/>
  <c r="W35" i="8" s="1"/>
  <c r="W48" i="8" s="1"/>
  <c r="P86" i="31" s="1"/>
  <c r="AF42" i="9"/>
  <c r="AE42" i="9" s="1"/>
  <c r="AE63" i="9" s="1"/>
  <c r="V58" i="9"/>
  <c r="U58" i="9" s="1"/>
  <c r="U65" i="9" s="1"/>
  <c r="P42" i="9"/>
  <c r="O42" i="9" s="1"/>
  <c r="O63" i="9" s="1"/>
  <c r="H42" i="9"/>
  <c r="G42" i="9" s="1"/>
  <c r="G63" i="9" s="1"/>
  <c r="X42" i="9"/>
  <c r="W42" i="9" s="1"/>
  <c r="W63" i="9" s="1"/>
  <c r="P85" i="32" s="1"/>
  <c r="AN42" i="9"/>
  <c r="AM42" i="9" s="1"/>
  <c r="AM63" i="9" s="1"/>
  <c r="T42" i="9"/>
  <c r="S42" i="9" s="1"/>
  <c r="S63" i="9" s="1"/>
  <c r="AJ42" i="9"/>
  <c r="AI42" i="9" s="1"/>
  <c r="AI63" i="9" s="1"/>
  <c r="N42" i="9"/>
  <c r="M42" i="9" s="1"/>
  <c r="M63" i="9" s="1"/>
  <c r="K85" i="32" s="1"/>
  <c r="AK20" i="75"/>
  <c r="W24" i="32" s="1"/>
  <c r="N9" i="46"/>
  <c r="M9" i="46" s="1"/>
  <c r="M21" i="46" s="1"/>
  <c r="N16" i="44"/>
  <c r="N18" i="44" s="1"/>
  <c r="M18" i="44" s="1"/>
  <c r="M32" i="44" s="1"/>
  <c r="K4" i="32" s="1"/>
  <c r="M23" i="44"/>
  <c r="N23" i="44" s="1"/>
  <c r="V16" i="44"/>
  <c r="V18" i="44" s="1"/>
  <c r="U18" i="44" s="1"/>
  <c r="U32" i="44" s="1"/>
  <c r="O4" i="32" s="1"/>
  <c r="U23" i="44"/>
  <c r="V23" i="44" s="1"/>
  <c r="AB16" i="44"/>
  <c r="AJ16" i="44"/>
  <c r="AJ18" i="44" s="1"/>
  <c r="AI18" i="44" s="1"/>
  <c r="AI32" i="44" s="1"/>
  <c r="AI23" i="44"/>
  <c r="AJ23" i="44" s="1"/>
  <c r="AH14" i="85"/>
  <c r="AH17" i="85" s="1"/>
  <c r="AG17" i="85" s="1"/>
  <c r="AG31" i="85" s="1"/>
  <c r="U10" i="32" s="1"/>
  <c r="Y15" i="85"/>
  <c r="Z15" i="85" s="1"/>
  <c r="Z17" i="85" s="1"/>
  <c r="Y17" i="85" s="1"/>
  <c r="Y31" i="85" s="1"/>
  <c r="Q10" i="32" s="1"/>
  <c r="P21" i="78"/>
  <c r="O21" i="78" s="1"/>
  <c r="O35" i="78" s="1"/>
  <c r="AF21" i="78"/>
  <c r="AE21" i="78" s="1"/>
  <c r="AE35" i="78" s="1"/>
  <c r="T62" i="32" s="1"/>
  <c r="AM21" i="78"/>
  <c r="AM35" i="78" s="1"/>
  <c r="T21" i="78"/>
  <c r="S21" i="78" s="1"/>
  <c r="S35" i="78" s="1"/>
  <c r="H18" i="67"/>
  <c r="G18" i="67" s="1"/>
  <c r="G37" i="67" s="1"/>
  <c r="O18" i="67"/>
  <c r="O37" i="67" s="1"/>
  <c r="L38" i="81"/>
  <c r="K38" i="81" s="1"/>
  <c r="J18" i="67"/>
  <c r="I18" i="67" s="1"/>
  <c r="I37" i="67" s="1"/>
  <c r="L18" i="67"/>
  <c r="K18" i="67" s="1"/>
  <c r="K37" i="67" s="1"/>
  <c r="J16" i="44"/>
  <c r="J18" i="44" s="1"/>
  <c r="I18" i="44" s="1"/>
  <c r="I32" i="44" s="1"/>
  <c r="I4" i="32" s="1"/>
  <c r="I23" i="44"/>
  <c r="J23" i="44" s="1"/>
  <c r="J24" i="44" s="1"/>
  <c r="I24" i="44" s="1"/>
  <c r="T16" i="44"/>
  <c r="S23" i="44"/>
  <c r="T23" i="44" s="1"/>
  <c r="AH16" i="44"/>
  <c r="AH18" i="44" s="1"/>
  <c r="AG18" i="44" s="1"/>
  <c r="AG32" i="44" s="1"/>
  <c r="U4" i="32" s="1"/>
  <c r="AG23" i="44"/>
  <c r="AH23" i="44" s="1"/>
  <c r="AH24" i="44" s="1"/>
  <c r="AG24" i="44" s="1"/>
  <c r="AG33" i="44" s="1"/>
  <c r="U4" i="31" s="1"/>
  <c r="F42" i="9"/>
  <c r="E42" i="9" s="1"/>
  <c r="E63" i="9" s="1"/>
  <c r="G85" i="32" s="1"/>
  <c r="L42" i="9"/>
  <c r="K42" i="9" s="1"/>
  <c r="K63" i="9" s="1"/>
  <c r="J85" i="32" s="1"/>
  <c r="V42" i="9"/>
  <c r="U42" i="9" s="1"/>
  <c r="U63" i="9" s="1"/>
  <c r="O85" i="32" s="1"/>
  <c r="AB42" i="9"/>
  <c r="AA42" i="9" s="1"/>
  <c r="AA63" i="9" s="1"/>
  <c r="AL42" i="9"/>
  <c r="AK42" i="9" s="1"/>
  <c r="AK63" i="9" s="1"/>
  <c r="W85" i="32" s="1"/>
  <c r="P16" i="44"/>
  <c r="P18" i="44" s="1"/>
  <c r="O18" i="44" s="1"/>
  <c r="O32" i="44" s="1"/>
  <c r="L4" i="32" s="1"/>
  <c r="O23" i="44"/>
  <c r="P23" i="44" s="1"/>
  <c r="X16" i="44"/>
  <c r="X18" i="44" s="1"/>
  <c r="W18" i="44" s="1"/>
  <c r="W32" i="44" s="1"/>
  <c r="P4" i="32" s="1"/>
  <c r="W23" i="44"/>
  <c r="X23" i="44" s="1"/>
  <c r="AD16" i="44"/>
  <c r="AD18" i="44" s="1"/>
  <c r="AC18" i="44" s="1"/>
  <c r="AC32" i="44" s="1"/>
  <c r="S4" i="32" s="1"/>
  <c r="AC23" i="44"/>
  <c r="AD23" i="44" s="1"/>
  <c r="AL16" i="44"/>
  <c r="AL18" i="44" s="1"/>
  <c r="AK18" i="44" s="1"/>
  <c r="AK32" i="44" s="1"/>
  <c r="W4" i="32" s="1"/>
  <c r="AK23" i="44"/>
  <c r="AL23" i="44" s="1"/>
  <c r="AL24" i="44" s="1"/>
  <c r="AK24" i="44" s="1"/>
  <c r="H9" i="75"/>
  <c r="G9" i="75" s="1"/>
  <c r="G20" i="75" s="1"/>
  <c r="H16" i="44"/>
  <c r="H18" i="44" s="1"/>
  <c r="G18" i="44" s="1"/>
  <c r="G32" i="44" s="1"/>
  <c r="H4" i="32" s="1"/>
  <c r="G23" i="44"/>
  <c r="H23" i="44" s="1"/>
  <c r="R16" i="44"/>
  <c r="R18" i="44" s="1"/>
  <c r="Q18" i="44" s="1"/>
  <c r="Q32" i="44" s="1"/>
  <c r="M4" i="32" s="1"/>
  <c r="Q23" i="44"/>
  <c r="R23" i="44" s="1"/>
  <c r="R24" i="44" s="1"/>
  <c r="Q24" i="44" s="1"/>
  <c r="Q33" i="44" s="1"/>
  <c r="M4" i="31" s="1"/>
  <c r="Z16" i="44"/>
  <c r="Z18" i="44" s="1"/>
  <c r="Y18" i="44" s="1"/>
  <c r="Y32" i="44" s="1"/>
  <c r="Q4" i="32" s="1"/>
  <c r="Y23" i="44"/>
  <c r="Z23" i="44" s="1"/>
  <c r="Z24" i="44" s="1"/>
  <c r="Y24" i="44" s="1"/>
  <c r="Y33" i="44" s="1"/>
  <c r="Q4" i="31" s="1"/>
  <c r="AF16" i="44"/>
  <c r="AE23" i="44"/>
  <c r="AF23" i="44" s="1"/>
  <c r="F19" i="83"/>
  <c r="E19" i="83" s="1"/>
  <c r="E34" i="83" s="1"/>
  <c r="G9" i="32" s="1"/>
  <c r="V19" i="83"/>
  <c r="U19" i="83" s="1"/>
  <c r="U34" i="83" s="1"/>
  <c r="O9" i="32" s="1"/>
  <c r="AL19" i="83"/>
  <c r="AK19" i="83" s="1"/>
  <c r="AK34" i="83" s="1"/>
  <c r="I15" i="85"/>
  <c r="J15" i="85" s="1"/>
  <c r="J17" i="85" s="1"/>
  <c r="I17" i="85" s="1"/>
  <c r="I31" i="85" s="1"/>
  <c r="I10" i="32" s="1"/>
  <c r="H38" i="81"/>
  <c r="G38" i="81" s="1"/>
  <c r="G67" i="81" s="1"/>
  <c r="U38" i="66"/>
  <c r="U52" i="66" s="1"/>
  <c r="J19" i="79"/>
  <c r="I19" i="79" s="1"/>
  <c r="I31" i="79" s="1"/>
  <c r="J59" i="32" s="1"/>
  <c r="F19" i="95"/>
  <c r="E19" i="95" s="1"/>
  <c r="E32" i="95" s="1"/>
  <c r="E64" i="32" s="1"/>
  <c r="N19" i="95"/>
  <c r="M19" i="95" s="1"/>
  <c r="M32" i="95" s="1"/>
  <c r="E68" i="32" s="1"/>
  <c r="T19" i="95"/>
  <c r="S19" i="95" s="1"/>
  <c r="S32" i="95" s="1"/>
  <c r="E71" i="32" s="1"/>
  <c r="J25" i="68"/>
  <c r="I25" i="68" s="1"/>
  <c r="I34" i="68" s="1"/>
  <c r="I61" i="31" s="1"/>
  <c r="R25" i="68"/>
  <c r="Q25" i="68" s="1"/>
  <c r="Q34" i="68" s="1"/>
  <c r="F25" i="68"/>
  <c r="E25" i="68" s="1"/>
  <c r="E34" i="68" s="1"/>
  <c r="G61" i="31" s="1"/>
  <c r="N25" i="68"/>
  <c r="M25" i="68" s="1"/>
  <c r="M34" i="68" s="1"/>
  <c r="K61" i="31" s="1"/>
  <c r="AL58" i="9"/>
  <c r="AK58" i="9" s="1"/>
  <c r="AK65" i="9" s="1"/>
  <c r="W85" i="30" s="1"/>
  <c r="E181" i="2"/>
  <c r="B194" i="2"/>
  <c r="G24" i="2"/>
  <c r="B29" i="2" s="1"/>
  <c r="B84" i="2"/>
  <c r="G141" i="2"/>
  <c r="I142" i="2"/>
  <c r="I147" i="2"/>
  <c r="B192" i="2"/>
  <c r="B195" i="2"/>
  <c r="I206" i="2"/>
  <c r="B210" i="2" s="1"/>
  <c r="E210" i="2" s="1"/>
  <c r="E213" i="2" s="1"/>
  <c r="B222" i="2" s="1"/>
  <c r="I289" i="2"/>
  <c r="I298" i="2" s="1"/>
  <c r="B302" i="2" s="1"/>
  <c r="E302" i="2" s="1"/>
  <c r="E305" i="2" s="1"/>
  <c r="E309" i="2" s="1"/>
  <c r="F309" i="2" s="1"/>
  <c r="I24" i="2"/>
  <c r="B28" i="2" s="1"/>
  <c r="E28" i="2" s="1"/>
  <c r="E31" i="2" s="1"/>
  <c r="B219" i="2" s="1"/>
  <c r="B223" i="2" s="1"/>
  <c r="B229" i="2" s="1"/>
  <c r="I73" i="2"/>
  <c r="B77" i="2" s="1"/>
  <c r="E77" i="2" s="1"/>
  <c r="E80" i="2" s="1"/>
  <c r="B220" i="2" s="1"/>
  <c r="B83" i="2"/>
  <c r="J115" i="2"/>
  <c r="E127" i="2"/>
  <c r="I141" i="2"/>
  <c r="E24" i="2"/>
  <c r="B30" i="2" s="1"/>
  <c r="H21" i="94"/>
  <c r="G21" i="94" s="1"/>
  <c r="G32" i="94" s="1"/>
  <c r="H88" i="32" s="1"/>
  <c r="V22" i="88"/>
  <c r="U22" i="88" s="1"/>
  <c r="V15" i="75"/>
  <c r="U15" i="75" s="1"/>
  <c r="U22" i="75" s="1"/>
  <c r="G22" i="94"/>
  <c r="H22" i="94" s="1"/>
  <c r="H25" i="94" s="1"/>
  <c r="G25" i="94" s="1"/>
  <c r="G33" i="94" s="1"/>
  <c r="H88" i="31" s="1"/>
  <c r="Y170" i="99"/>
  <c r="Z170" i="99" s="1"/>
  <c r="Y143" i="99"/>
  <c r="Z143" i="99" s="1"/>
  <c r="Y134" i="99"/>
  <c r="Z134" i="99" s="1"/>
  <c r="Y139" i="99"/>
  <c r="Z139" i="99" s="1"/>
  <c r="Y142" i="99"/>
  <c r="Z142" i="99" s="1"/>
  <c r="Y138" i="99"/>
  <c r="Z138" i="99" s="1"/>
  <c r="Y140" i="99"/>
  <c r="Z140" i="99" s="1"/>
  <c r="Y141" i="99"/>
  <c r="Z141" i="99" s="1"/>
  <c r="B27" i="99"/>
  <c r="AZ6" i="28" s="1"/>
  <c r="AZ17" i="28" s="1"/>
  <c r="Z21" i="94"/>
  <c r="Y21" i="94" s="1"/>
  <c r="Y32" i="94" s="1"/>
  <c r="Q88" i="32" s="1"/>
  <c r="L9" i="75"/>
  <c r="K9" i="75" s="1"/>
  <c r="K20" i="75" s="1"/>
  <c r="AD21" i="94"/>
  <c r="AC21" i="94" s="1"/>
  <c r="AC32" i="94" s="1"/>
  <c r="L38" i="66"/>
  <c r="K38" i="66" s="1"/>
  <c r="K52" i="66" s="1"/>
  <c r="E41" i="32" s="1"/>
  <c r="V9" i="46"/>
  <c r="U9" i="46" s="1"/>
  <c r="U21" i="46" s="1"/>
  <c r="L22" i="65"/>
  <c r="K22" i="65" s="1"/>
  <c r="K38" i="65" s="1"/>
  <c r="H9" i="43"/>
  <c r="G9" i="43" s="1"/>
  <c r="G20" i="43" s="1"/>
  <c r="F22" i="65"/>
  <c r="E22" i="65" s="1"/>
  <c r="E38" i="65" s="1"/>
  <c r="M20" i="43"/>
  <c r="K22" i="32" s="1"/>
  <c r="U20" i="43"/>
  <c r="O22" i="32" s="1"/>
  <c r="T38" i="66"/>
  <c r="S38" i="66" s="1"/>
  <c r="S52" i="66" s="1"/>
  <c r="AF24" i="86"/>
  <c r="AE24" i="86" s="1"/>
  <c r="AE31" i="86" s="1"/>
  <c r="T12" i="30" s="1"/>
  <c r="H38" i="66"/>
  <c r="G38" i="66" s="1"/>
  <c r="G52" i="66" s="1"/>
  <c r="E39" i="32" s="1"/>
  <c r="P38" i="66"/>
  <c r="O38" i="66" s="1"/>
  <c r="O52" i="66" s="1"/>
  <c r="H12" i="43"/>
  <c r="G12" i="43" s="1"/>
  <c r="G21" i="43" s="1"/>
  <c r="H22" i="31" s="1"/>
  <c r="R26" i="85"/>
  <c r="Q26" i="85" s="1"/>
  <c r="L6" i="75"/>
  <c r="K6" i="75" s="1"/>
  <c r="K19" i="75" s="1"/>
  <c r="J24" i="33" s="1"/>
  <c r="AF5" i="47"/>
  <c r="F9" i="44"/>
  <c r="F5" i="44"/>
  <c r="H9" i="47"/>
  <c r="AJ5" i="85"/>
  <c r="L48" i="64"/>
  <c r="K48" i="64" s="1"/>
  <c r="K81" i="64" s="1"/>
  <c r="F48" i="64"/>
  <c r="E48" i="64" s="1"/>
  <c r="E81" i="64" s="1"/>
  <c r="N48" i="64"/>
  <c r="M48" i="64" s="1"/>
  <c r="M81" i="64" s="1"/>
  <c r="J48" i="64"/>
  <c r="I48" i="64" s="1"/>
  <c r="I81" i="64" s="1"/>
  <c r="E81" i="32" s="1"/>
  <c r="H48" i="64"/>
  <c r="G48" i="64" s="1"/>
  <c r="G81" i="64" s="1"/>
  <c r="E80" i="32" s="1"/>
  <c r="W82" i="28"/>
  <c r="N7" i="87"/>
  <c r="R13" i="87"/>
  <c r="R15" i="87" s="1"/>
  <c r="Q15" i="87" s="1"/>
  <c r="Q28" i="87" s="1"/>
  <c r="M11" i="32" s="1"/>
  <c r="N14" i="85"/>
  <c r="AD14" i="85"/>
  <c r="AD17" i="85" s="1"/>
  <c r="AC17" i="85" s="1"/>
  <c r="AC31" i="85" s="1"/>
  <c r="AH26" i="85"/>
  <c r="AG26" i="85" s="1"/>
  <c r="AG33" i="85" s="1"/>
  <c r="U10" i="30" s="1"/>
  <c r="X19" i="83"/>
  <c r="W19" i="83" s="1"/>
  <c r="W34" i="83" s="1"/>
  <c r="T19" i="83"/>
  <c r="S19" i="83" s="1"/>
  <c r="S34" i="83" s="1"/>
  <c r="AJ19" i="83"/>
  <c r="AI19" i="83" s="1"/>
  <c r="AI34" i="83" s="1"/>
  <c r="V9" i="32" s="1"/>
  <c r="P19" i="83"/>
  <c r="O19" i="83" s="1"/>
  <c r="O34" i="83" s="1"/>
  <c r="AF19" i="83"/>
  <c r="AE19" i="83" s="1"/>
  <c r="AE34" i="83" s="1"/>
  <c r="T9" i="32" s="1"/>
  <c r="H19" i="83"/>
  <c r="G19" i="83" s="1"/>
  <c r="G34" i="83" s="1"/>
  <c r="H9" i="32" s="1"/>
  <c r="L19" i="83"/>
  <c r="K19" i="83" s="1"/>
  <c r="K34" i="83" s="1"/>
  <c r="J9" i="32" s="1"/>
  <c r="R19" i="83"/>
  <c r="Q19" i="83" s="1"/>
  <c r="Q34" i="83" s="1"/>
  <c r="AB19" i="83"/>
  <c r="AA19" i="83" s="1"/>
  <c r="AA34" i="83" s="1"/>
  <c r="R9" i="32" s="1"/>
  <c r="AH19" i="83"/>
  <c r="AG19" i="83" s="1"/>
  <c r="AG34" i="83" s="1"/>
  <c r="O53" i="96"/>
  <c r="P53" i="96" s="1"/>
  <c r="W20" i="47"/>
  <c r="X20" i="47" s="1"/>
  <c r="X22" i="47" s="1"/>
  <c r="W22" i="47" s="1"/>
  <c r="W33" i="47" s="1"/>
  <c r="P5" i="31" s="1"/>
  <c r="AA12" i="88"/>
  <c r="AB12" i="88" s="1"/>
  <c r="V5" i="44"/>
  <c r="AL5" i="44"/>
  <c r="AH9" i="44"/>
  <c r="J7" i="47"/>
  <c r="AF10" i="83"/>
  <c r="AF4" i="78"/>
  <c r="AF12" i="78" s="1"/>
  <c r="AE12" i="78" s="1"/>
  <c r="J21" i="94"/>
  <c r="I21" i="94" s="1"/>
  <c r="I32" i="94" s="1"/>
  <c r="I88" i="32" s="1"/>
  <c r="F21" i="94"/>
  <c r="E21" i="94" s="1"/>
  <c r="E32" i="94" s="1"/>
  <c r="R21" i="94"/>
  <c r="Q21" i="94" s="1"/>
  <c r="Q32" i="94" s="1"/>
  <c r="M88" i="32" s="1"/>
  <c r="AH21" i="94"/>
  <c r="AG21" i="94" s="1"/>
  <c r="AG32" i="94" s="1"/>
  <c r="U88" i="32" s="1"/>
  <c r="N21" i="94"/>
  <c r="M21" i="94" s="1"/>
  <c r="M32" i="94" s="1"/>
  <c r="K88" i="32" s="1"/>
  <c r="V21" i="94"/>
  <c r="U21" i="94" s="1"/>
  <c r="U32" i="94" s="1"/>
  <c r="O88" i="32" s="1"/>
  <c r="AL21" i="94"/>
  <c r="AK21" i="94" s="1"/>
  <c r="AK32" i="94" s="1"/>
  <c r="W88" i="32" s="1"/>
  <c r="J25" i="78"/>
  <c r="I25" i="78" s="1"/>
  <c r="I36" i="78" s="1"/>
  <c r="R25" i="78"/>
  <c r="Q25" i="78" s="1"/>
  <c r="Q36" i="78" s="1"/>
  <c r="M62" i="31" s="1"/>
  <c r="Z25" i="78"/>
  <c r="Y25" i="78" s="1"/>
  <c r="Y36" i="78" s="1"/>
  <c r="Q62" i="31" s="1"/>
  <c r="AM25" i="78"/>
  <c r="AM36" i="78" s="1"/>
  <c r="X42" i="8"/>
  <c r="W42" i="8" s="1"/>
  <c r="W49" i="8" s="1"/>
  <c r="X20" i="8"/>
  <c r="W20" i="8" s="1"/>
  <c r="W86" i="31"/>
  <c r="L27" i="8"/>
  <c r="K27" i="8" s="1"/>
  <c r="K47" i="8" s="1"/>
  <c r="J86" i="32" s="1"/>
  <c r="K21" i="43"/>
  <c r="H25" i="78"/>
  <c r="G25" i="78" s="1"/>
  <c r="G36" i="78" s="1"/>
  <c r="H62" i="31" s="1"/>
  <c r="P25" i="78"/>
  <c r="O25" i="78" s="1"/>
  <c r="O36" i="78" s="1"/>
  <c r="L62" i="31" s="1"/>
  <c r="X25" i="78"/>
  <c r="W25" i="78" s="1"/>
  <c r="W36" i="78" s="1"/>
  <c r="AF25" i="78"/>
  <c r="AE25" i="78" s="1"/>
  <c r="AE36" i="78" s="1"/>
  <c r="H12" i="46"/>
  <c r="G12" i="46" s="1"/>
  <c r="G22" i="46" s="1"/>
  <c r="X12" i="46"/>
  <c r="W12" i="46" s="1"/>
  <c r="W22" i="46" s="1"/>
  <c r="N50" i="59"/>
  <c r="M50" i="59" s="1"/>
  <c r="M68" i="59" s="1"/>
  <c r="F50" i="53"/>
  <c r="E50" i="53" s="1"/>
  <c r="E68" i="53" s="1"/>
  <c r="G16" i="31" s="1"/>
  <c r="V50" i="53"/>
  <c r="U50" i="53" s="1"/>
  <c r="U68" i="53" s="1"/>
  <c r="O16" i="31" s="1"/>
  <c r="AL50" i="53"/>
  <c r="AK50" i="53" s="1"/>
  <c r="AK68" i="53" s="1"/>
  <c r="W16" i="31" s="1"/>
  <c r="H50" i="60"/>
  <c r="G50" i="60" s="1"/>
  <c r="G68" i="60" s="1"/>
  <c r="H17" i="31" s="1"/>
  <c r="P50" i="60"/>
  <c r="O50" i="60" s="1"/>
  <c r="O68" i="60" s="1"/>
  <c r="L17" i="31" s="1"/>
  <c r="X50" i="60"/>
  <c r="W50" i="60" s="1"/>
  <c r="W68" i="60" s="1"/>
  <c r="P17" i="31" s="1"/>
  <c r="AF50" i="60"/>
  <c r="AE50" i="60" s="1"/>
  <c r="AE68" i="60" s="1"/>
  <c r="T17" i="31" s="1"/>
  <c r="AN50" i="60"/>
  <c r="AM50" i="60" s="1"/>
  <c r="AM68" i="60" s="1"/>
  <c r="T50" i="60"/>
  <c r="S50" i="60" s="1"/>
  <c r="S68" i="60" s="1"/>
  <c r="J50" i="81"/>
  <c r="I50" i="81" s="1"/>
  <c r="I68" i="81" s="1"/>
  <c r="R24" i="95"/>
  <c r="Q24" i="95" s="1"/>
  <c r="Q33" i="95" s="1"/>
  <c r="E70" i="31" s="1"/>
  <c r="J24" i="95"/>
  <c r="I24" i="95" s="1"/>
  <c r="I33" i="95" s="1"/>
  <c r="J27" i="95"/>
  <c r="I27" i="95" s="1"/>
  <c r="I34" i="95" s="1"/>
  <c r="V54" i="9"/>
  <c r="U54" i="9" s="1"/>
  <c r="U64" i="9" s="1"/>
  <c r="O85" i="31" s="1"/>
  <c r="AD54" i="9"/>
  <c r="AC54" i="9" s="1"/>
  <c r="AC64" i="9" s="1"/>
  <c r="S85" i="31" s="1"/>
  <c r="AL54" i="9"/>
  <c r="AK54" i="9" s="1"/>
  <c r="AK64" i="9" s="1"/>
  <c r="W85" i="31" s="1"/>
  <c r="U21" i="43"/>
  <c r="AK21" i="43"/>
  <c r="W22" i="31" s="1"/>
  <c r="R50" i="45"/>
  <c r="Q50" i="45" s="1"/>
  <c r="Q68" i="45" s="1"/>
  <c r="M13" i="31" s="1"/>
  <c r="AH50" i="45"/>
  <c r="AG50" i="45" s="1"/>
  <c r="AG68" i="45" s="1"/>
  <c r="U13" i="31" s="1"/>
  <c r="AL50" i="45"/>
  <c r="AK50" i="45" s="1"/>
  <c r="AK68" i="45" s="1"/>
  <c r="R50" i="53"/>
  <c r="Q50" i="53" s="1"/>
  <c r="Q68" i="53" s="1"/>
  <c r="M16" i="31" s="1"/>
  <c r="AH50" i="53"/>
  <c r="AG50" i="53" s="1"/>
  <c r="AG68" i="53" s="1"/>
  <c r="T25" i="78"/>
  <c r="S25" i="78" s="1"/>
  <c r="S36" i="78" s="1"/>
  <c r="N62" i="31" s="1"/>
  <c r="AH25" i="78"/>
  <c r="AG25" i="78" s="1"/>
  <c r="AG36" i="78" s="1"/>
  <c r="F24" i="95"/>
  <c r="E24" i="95" s="1"/>
  <c r="E33" i="95" s="1"/>
  <c r="E64" i="31" s="1"/>
  <c r="J50" i="59"/>
  <c r="I50" i="59" s="1"/>
  <c r="I68" i="59" s="1"/>
  <c r="R50" i="59"/>
  <c r="Q50" i="59" s="1"/>
  <c r="Q68" i="59" s="1"/>
  <c r="Z50" i="59"/>
  <c r="Y50" i="59" s="1"/>
  <c r="Y68" i="59" s="1"/>
  <c r="AH50" i="59"/>
  <c r="AG50" i="59" s="1"/>
  <c r="AG68" i="59" s="1"/>
  <c r="AD50" i="59"/>
  <c r="AC50" i="59" s="1"/>
  <c r="AC68" i="59" s="1"/>
  <c r="H50" i="59"/>
  <c r="G50" i="59" s="1"/>
  <c r="G68" i="59" s="1"/>
  <c r="X50" i="59"/>
  <c r="W50" i="59" s="1"/>
  <c r="W68" i="59" s="1"/>
  <c r="AN50" i="59"/>
  <c r="AM50" i="59" s="1"/>
  <c r="AM68" i="59" s="1"/>
  <c r="N50" i="45"/>
  <c r="M50" i="45" s="1"/>
  <c r="M68" i="45" s="1"/>
  <c r="K13" i="31" s="1"/>
  <c r="V50" i="45"/>
  <c r="U50" i="45" s="1"/>
  <c r="U68" i="45" s="1"/>
  <c r="F50" i="52"/>
  <c r="E50" i="52" s="1"/>
  <c r="E68" i="52" s="1"/>
  <c r="AL50" i="52"/>
  <c r="AK50" i="52" s="1"/>
  <c r="AK68" i="52" s="1"/>
  <c r="W15" i="31" s="1"/>
  <c r="J50" i="62"/>
  <c r="I50" i="62" s="1"/>
  <c r="I68" i="62" s="1"/>
  <c r="I19" i="31" s="1"/>
  <c r="R50" i="62"/>
  <c r="Q50" i="62" s="1"/>
  <c r="Q68" i="62" s="1"/>
  <c r="M19" i="31" s="1"/>
  <c r="Z50" i="62"/>
  <c r="Y50" i="62" s="1"/>
  <c r="Y68" i="62" s="1"/>
  <c r="AH50" i="62"/>
  <c r="AG50" i="62" s="1"/>
  <c r="AG68" i="62" s="1"/>
  <c r="U19" i="31" s="1"/>
  <c r="AB50" i="62"/>
  <c r="AA50" i="62" s="1"/>
  <c r="AA68" i="62" s="1"/>
  <c r="R19" i="31" s="1"/>
  <c r="H50" i="62"/>
  <c r="G50" i="62" s="1"/>
  <c r="G68" i="62" s="1"/>
  <c r="H19" i="31" s="1"/>
  <c r="X50" i="62"/>
  <c r="W50" i="62" s="1"/>
  <c r="W68" i="62" s="1"/>
  <c r="AN50" i="62"/>
  <c r="AM50" i="62" s="1"/>
  <c r="AM68" i="62" s="1"/>
  <c r="F29" i="65"/>
  <c r="E29" i="65" s="1"/>
  <c r="E39" i="65" s="1"/>
  <c r="E32" i="31" s="1"/>
  <c r="H25" i="68"/>
  <c r="G25" i="68" s="1"/>
  <c r="G34" i="68" s="1"/>
  <c r="H61" i="31" s="1"/>
  <c r="P25" i="68"/>
  <c r="O25" i="68" s="1"/>
  <c r="O34" i="68" s="1"/>
  <c r="L61" i="31" s="1"/>
  <c r="L12" i="75"/>
  <c r="K12" i="75" s="1"/>
  <c r="K21" i="75" s="1"/>
  <c r="J24" i="31" s="1"/>
  <c r="AK21" i="75"/>
  <c r="M21" i="43"/>
  <c r="K22" i="31" s="1"/>
  <c r="F50" i="45"/>
  <c r="E50" i="45" s="1"/>
  <c r="E68" i="45" s="1"/>
  <c r="AD50" i="45"/>
  <c r="AC50" i="45" s="1"/>
  <c r="AC68" i="45" s="1"/>
  <c r="S13" i="31" s="1"/>
  <c r="H50" i="48"/>
  <c r="G50" i="48" s="1"/>
  <c r="G68" i="48" s="1"/>
  <c r="H14" i="31" s="1"/>
  <c r="P50" i="48"/>
  <c r="O50" i="48" s="1"/>
  <c r="O68" i="48" s="1"/>
  <c r="X50" i="48"/>
  <c r="W50" i="48" s="1"/>
  <c r="W68" i="48" s="1"/>
  <c r="AF50" i="48"/>
  <c r="AE50" i="48" s="1"/>
  <c r="AE68" i="48" s="1"/>
  <c r="T14" i="31" s="1"/>
  <c r="AN50" i="48"/>
  <c r="AM50" i="48" s="1"/>
  <c r="AM68" i="48" s="1"/>
  <c r="J50" i="48"/>
  <c r="I50" i="48" s="1"/>
  <c r="I68" i="48" s="1"/>
  <c r="I14" i="31" s="1"/>
  <c r="R50" i="48"/>
  <c r="Q50" i="48" s="1"/>
  <c r="Q68" i="48" s="1"/>
  <c r="Z50" i="48"/>
  <c r="Y50" i="48" s="1"/>
  <c r="Y68" i="48" s="1"/>
  <c r="Q14" i="31" s="1"/>
  <c r="AH50" i="48"/>
  <c r="AG50" i="48" s="1"/>
  <c r="AG68" i="48" s="1"/>
  <c r="U14" i="31" s="1"/>
  <c r="F50" i="48"/>
  <c r="E50" i="48" s="1"/>
  <c r="E68" i="48" s="1"/>
  <c r="G14" i="31" s="1"/>
  <c r="N50" i="48"/>
  <c r="M50" i="48" s="1"/>
  <c r="M68" i="48" s="1"/>
  <c r="V50" i="48"/>
  <c r="U50" i="48" s="1"/>
  <c r="U68" i="48" s="1"/>
  <c r="O14" i="31" s="1"/>
  <c r="AD50" i="48"/>
  <c r="AC50" i="48" s="1"/>
  <c r="AC68" i="48" s="1"/>
  <c r="S14" i="31" s="1"/>
  <c r="AL50" i="48"/>
  <c r="AK50" i="48" s="1"/>
  <c r="AK68" i="48" s="1"/>
  <c r="W14" i="31" s="1"/>
  <c r="H50" i="52"/>
  <c r="G50" i="52" s="1"/>
  <c r="G68" i="52" s="1"/>
  <c r="P50" i="52"/>
  <c r="O50" i="52" s="1"/>
  <c r="O68" i="52" s="1"/>
  <c r="L15" i="31" s="1"/>
  <c r="X50" i="52"/>
  <c r="W50" i="52" s="1"/>
  <c r="W68" i="52" s="1"/>
  <c r="P15" i="31" s="1"/>
  <c r="AF50" i="52"/>
  <c r="AE50" i="52" s="1"/>
  <c r="AE68" i="52" s="1"/>
  <c r="T15" i="31" s="1"/>
  <c r="AN50" i="52"/>
  <c r="AM50" i="52" s="1"/>
  <c r="AM68" i="52" s="1"/>
  <c r="J50" i="52"/>
  <c r="I50" i="52" s="1"/>
  <c r="I68" i="52" s="1"/>
  <c r="I15" i="31" s="1"/>
  <c r="R50" i="52"/>
  <c r="Q50" i="52" s="1"/>
  <c r="Q68" i="52" s="1"/>
  <c r="Z50" i="52"/>
  <c r="Y50" i="52" s="1"/>
  <c r="Y68" i="52" s="1"/>
  <c r="Q15" i="31" s="1"/>
  <c r="AH50" i="52"/>
  <c r="AG50" i="52" s="1"/>
  <c r="AG68" i="52" s="1"/>
  <c r="N50" i="52"/>
  <c r="M50" i="52" s="1"/>
  <c r="M68" i="52" s="1"/>
  <c r="K15" i="31" s="1"/>
  <c r="V50" i="52"/>
  <c r="U50" i="52" s="1"/>
  <c r="U68" i="52" s="1"/>
  <c r="O15" i="31" s="1"/>
  <c r="AD50" i="52"/>
  <c r="AC50" i="52" s="1"/>
  <c r="AC68" i="52" s="1"/>
  <c r="S15" i="31" s="1"/>
  <c r="AJ50" i="60"/>
  <c r="AI50" i="60" s="1"/>
  <c r="AI68" i="60" s="1"/>
  <c r="V17" i="31" s="1"/>
  <c r="L50" i="62"/>
  <c r="K50" i="62" s="1"/>
  <c r="K68" i="62" s="1"/>
  <c r="J19" i="31" s="1"/>
  <c r="J67" i="64"/>
  <c r="I67" i="64" s="1"/>
  <c r="I82" i="64" s="1"/>
  <c r="E81" i="31" s="1"/>
  <c r="L67" i="64"/>
  <c r="K67" i="64" s="1"/>
  <c r="K82" i="64" s="1"/>
  <c r="H50" i="81"/>
  <c r="G50" i="81" s="1"/>
  <c r="G68" i="81" s="1"/>
  <c r="X25" i="80"/>
  <c r="W25" i="80" s="1"/>
  <c r="W33" i="80" s="1"/>
  <c r="P60" i="31" s="1"/>
  <c r="N24" i="95"/>
  <c r="M24" i="95" s="1"/>
  <c r="M33" i="95" s="1"/>
  <c r="E68" i="31" s="1"/>
  <c r="L24" i="95"/>
  <c r="K24" i="95" s="1"/>
  <c r="K33" i="95" s="1"/>
  <c r="T24" i="95"/>
  <c r="S24" i="95" s="1"/>
  <c r="S33" i="95" s="1"/>
  <c r="F27" i="95"/>
  <c r="E27" i="95" s="1"/>
  <c r="E34" i="95" s="1"/>
  <c r="E64" i="30" s="1"/>
  <c r="N27" i="95"/>
  <c r="M27" i="95" s="1"/>
  <c r="M34" i="95" s="1"/>
  <c r="AN54" i="9"/>
  <c r="AM54" i="9" s="1"/>
  <c r="AM64" i="9" s="1"/>
  <c r="W21" i="43"/>
  <c r="P22" i="31" s="1"/>
  <c r="H50" i="45"/>
  <c r="G50" i="45" s="1"/>
  <c r="G68" i="45" s="1"/>
  <c r="H13" i="31" s="1"/>
  <c r="P50" i="45"/>
  <c r="O50" i="45" s="1"/>
  <c r="O68" i="45" s="1"/>
  <c r="X50" i="45"/>
  <c r="W50" i="45" s="1"/>
  <c r="W68" i="45" s="1"/>
  <c r="P13" i="31" s="1"/>
  <c r="AF50" i="45"/>
  <c r="AE50" i="45" s="1"/>
  <c r="AE68" i="45" s="1"/>
  <c r="AN50" i="45"/>
  <c r="AM50" i="45" s="1"/>
  <c r="AM68" i="45" s="1"/>
  <c r="J50" i="45"/>
  <c r="I50" i="45" s="1"/>
  <c r="I68" i="45" s="1"/>
  <c r="Z50" i="45"/>
  <c r="Y50" i="45" s="1"/>
  <c r="Y68" i="45" s="1"/>
  <c r="Q13" i="31" s="1"/>
  <c r="L50" i="53"/>
  <c r="K50" i="53" s="1"/>
  <c r="K68" i="53" s="1"/>
  <c r="T50" i="53"/>
  <c r="S50" i="53" s="1"/>
  <c r="S68" i="53" s="1"/>
  <c r="N16" i="31" s="1"/>
  <c r="AB50" i="53"/>
  <c r="AA50" i="53" s="1"/>
  <c r="AA68" i="53" s="1"/>
  <c r="R16" i="31" s="1"/>
  <c r="AJ50" i="53"/>
  <c r="AI50" i="53" s="1"/>
  <c r="AI68" i="53" s="1"/>
  <c r="V16" i="31" s="1"/>
  <c r="J50" i="61"/>
  <c r="I50" i="61" s="1"/>
  <c r="I68" i="61" s="1"/>
  <c r="R50" i="61"/>
  <c r="Q50" i="61" s="1"/>
  <c r="Q68" i="61" s="1"/>
  <c r="M18" i="31" s="1"/>
  <c r="Z50" i="61"/>
  <c r="Y50" i="61" s="1"/>
  <c r="Y68" i="61" s="1"/>
  <c r="Q18" i="31" s="1"/>
  <c r="AH50" i="61"/>
  <c r="AG50" i="61" s="1"/>
  <c r="AG68" i="61" s="1"/>
  <c r="U18" i="31" s="1"/>
  <c r="H50" i="61"/>
  <c r="G50" i="61" s="1"/>
  <c r="G68" i="61" s="1"/>
  <c r="X50" i="61"/>
  <c r="W50" i="61" s="1"/>
  <c r="W68" i="61" s="1"/>
  <c r="P18" i="31" s="1"/>
  <c r="AN50" i="61"/>
  <c r="AM50" i="61" s="1"/>
  <c r="AM68" i="61" s="1"/>
  <c r="P50" i="62"/>
  <c r="O50" i="62" s="1"/>
  <c r="O68" i="62" s="1"/>
  <c r="AF50" i="62"/>
  <c r="AE50" i="62" s="1"/>
  <c r="AE68" i="62" s="1"/>
  <c r="L50" i="63"/>
  <c r="K50" i="63" s="1"/>
  <c r="K68" i="63" s="1"/>
  <c r="J20" i="31" s="1"/>
  <c r="T50" i="63"/>
  <c r="S50" i="63" s="1"/>
  <c r="S68" i="63" s="1"/>
  <c r="N20" i="31" s="1"/>
  <c r="AB50" i="63"/>
  <c r="AA50" i="63" s="1"/>
  <c r="AA68" i="63" s="1"/>
  <c r="R20" i="31" s="1"/>
  <c r="AJ50" i="63"/>
  <c r="AI50" i="63" s="1"/>
  <c r="AI68" i="63" s="1"/>
  <c r="L50" i="81"/>
  <c r="K50" i="81" s="1"/>
  <c r="P24" i="95"/>
  <c r="O24" i="95" s="1"/>
  <c r="O33" i="95" s="1"/>
  <c r="E69" i="31" s="1"/>
  <c r="H24" i="95"/>
  <c r="G24" i="95" s="1"/>
  <c r="G33" i="95" s="1"/>
  <c r="E65" i="31" s="1"/>
  <c r="H27" i="95"/>
  <c r="G27" i="95" s="1"/>
  <c r="G34" i="95" s="1"/>
  <c r="P27" i="95"/>
  <c r="O27" i="95" s="1"/>
  <c r="O34" i="95" s="1"/>
  <c r="E69" i="30" s="1"/>
  <c r="L50" i="60"/>
  <c r="K50" i="60" s="1"/>
  <c r="K68" i="60" s="1"/>
  <c r="AB50" i="60"/>
  <c r="AA50" i="60" s="1"/>
  <c r="AA68" i="60" s="1"/>
  <c r="H50" i="63"/>
  <c r="G50" i="63" s="1"/>
  <c r="G68" i="63" s="1"/>
  <c r="P50" i="63"/>
  <c r="O50" i="63" s="1"/>
  <c r="O68" i="63" s="1"/>
  <c r="L20" i="31" s="1"/>
  <c r="X50" i="63"/>
  <c r="W50" i="63" s="1"/>
  <c r="W68" i="63" s="1"/>
  <c r="P20" i="31" s="1"/>
  <c r="AF50" i="63"/>
  <c r="AE50" i="63" s="1"/>
  <c r="AE68" i="63" s="1"/>
  <c r="AN50" i="63"/>
  <c r="AM50" i="63" s="1"/>
  <c r="AM68" i="63" s="1"/>
  <c r="F67" i="64"/>
  <c r="E67" i="64" s="1"/>
  <c r="E82" i="64" s="1"/>
  <c r="E79" i="31" s="1"/>
  <c r="N67" i="64"/>
  <c r="M67" i="64" s="1"/>
  <c r="M82" i="64" s="1"/>
  <c r="E82" i="31" s="1"/>
  <c r="H67" i="64"/>
  <c r="G67" i="64" s="1"/>
  <c r="G82" i="64" s="1"/>
  <c r="E80" i="31" s="1"/>
  <c r="X54" i="9"/>
  <c r="W54" i="9" s="1"/>
  <c r="W64" i="9" s="1"/>
  <c r="P85" i="31" s="1"/>
  <c r="AB54" i="9"/>
  <c r="AA54" i="9" s="1"/>
  <c r="AA64" i="9" s="1"/>
  <c r="R85" i="31" s="1"/>
  <c r="AJ54" i="9"/>
  <c r="AI54" i="9" s="1"/>
  <c r="AI64" i="9" s="1"/>
  <c r="V85" i="31" s="1"/>
  <c r="L50" i="45"/>
  <c r="K50" i="45" s="1"/>
  <c r="K68" i="45" s="1"/>
  <c r="T50" i="45"/>
  <c r="S50" i="45" s="1"/>
  <c r="S68" i="45" s="1"/>
  <c r="AB50" i="45"/>
  <c r="AA50" i="45" s="1"/>
  <c r="AA68" i="45" s="1"/>
  <c r="R13" i="31" s="1"/>
  <c r="AJ50" i="45"/>
  <c r="AI50" i="45" s="1"/>
  <c r="AI68" i="45" s="1"/>
  <c r="V13" i="31" s="1"/>
  <c r="H50" i="53"/>
  <c r="G50" i="53" s="1"/>
  <c r="G68" i="53" s="1"/>
  <c r="P50" i="53"/>
  <c r="O50" i="53" s="1"/>
  <c r="O68" i="53" s="1"/>
  <c r="L16" i="31" s="1"/>
  <c r="X50" i="53"/>
  <c r="W50" i="53" s="1"/>
  <c r="W68" i="53" s="1"/>
  <c r="P16" i="31" s="1"/>
  <c r="AF50" i="53"/>
  <c r="AE50" i="53" s="1"/>
  <c r="AE68" i="53" s="1"/>
  <c r="T16" i="31" s="1"/>
  <c r="AN50" i="53"/>
  <c r="AM50" i="53" s="1"/>
  <c r="AM68" i="53" s="1"/>
  <c r="J50" i="53"/>
  <c r="I50" i="53" s="1"/>
  <c r="I68" i="53" s="1"/>
  <c r="I16" i="31" s="1"/>
  <c r="Z50" i="53"/>
  <c r="Y50" i="53" s="1"/>
  <c r="Y68" i="53" s="1"/>
  <c r="Q16" i="31" s="1"/>
  <c r="N50" i="53"/>
  <c r="M50" i="53" s="1"/>
  <c r="M68" i="53" s="1"/>
  <c r="K16" i="31" s="1"/>
  <c r="AD50" i="53"/>
  <c r="AC50" i="53" s="1"/>
  <c r="AC68" i="53" s="1"/>
  <c r="V25" i="80"/>
  <c r="U25" i="80" s="1"/>
  <c r="U33" i="80" s="1"/>
  <c r="O60" i="31" s="1"/>
  <c r="N25" i="80"/>
  <c r="M25" i="80" s="1"/>
  <c r="M33" i="80" s="1"/>
  <c r="K60" i="31" s="1"/>
  <c r="F25" i="78"/>
  <c r="E25" i="78" s="1"/>
  <c r="E36" i="78" s="1"/>
  <c r="G62" i="31" s="1"/>
  <c r="N25" i="78"/>
  <c r="M25" i="78" s="1"/>
  <c r="M36" i="78" s="1"/>
  <c r="V25" i="78"/>
  <c r="U25" i="78" s="1"/>
  <c r="U36" i="78" s="1"/>
  <c r="AD25" i="78"/>
  <c r="AC25" i="78" s="1"/>
  <c r="AC36" i="78" s="1"/>
  <c r="S62" i="31" s="1"/>
  <c r="AJ25" i="78"/>
  <c r="AI25" i="78" s="1"/>
  <c r="AI36" i="78" s="1"/>
  <c r="V62" i="31" s="1"/>
  <c r="AH54" i="9"/>
  <c r="AG54" i="9" s="1"/>
  <c r="AG64" i="9" s="1"/>
  <c r="H12" i="75"/>
  <c r="G12" i="75" s="1"/>
  <c r="G21" i="75" s="1"/>
  <c r="X12" i="75"/>
  <c r="W12" i="75" s="1"/>
  <c r="W21" i="75" s="1"/>
  <c r="P24" i="31" s="1"/>
  <c r="V12" i="46"/>
  <c r="U12" i="46" s="1"/>
  <c r="U22" i="46" s="1"/>
  <c r="J21" i="51"/>
  <c r="I21" i="51" s="1"/>
  <c r="I31" i="51" s="1"/>
  <c r="I7" i="31" s="1"/>
  <c r="R21" i="51"/>
  <c r="Q21" i="51" s="1"/>
  <c r="Q31" i="51" s="1"/>
  <c r="M7" i="31" s="1"/>
  <c r="Z21" i="51"/>
  <c r="Y21" i="51" s="1"/>
  <c r="Y31" i="51" s="1"/>
  <c r="Q7" i="31" s="1"/>
  <c r="AH21" i="51"/>
  <c r="AG21" i="51" s="1"/>
  <c r="AG31" i="51" s="1"/>
  <c r="U7" i="31" s="1"/>
  <c r="T50" i="62"/>
  <c r="S50" i="62" s="1"/>
  <c r="S68" i="62" s="1"/>
  <c r="N19" i="31" s="1"/>
  <c r="AJ50" i="62"/>
  <c r="AI50" i="62" s="1"/>
  <c r="AI68" i="62" s="1"/>
  <c r="J50" i="63"/>
  <c r="I50" i="63" s="1"/>
  <c r="I68" i="63" s="1"/>
  <c r="I20" i="31" s="1"/>
  <c r="R50" i="63"/>
  <c r="Q50" i="63" s="1"/>
  <c r="Q68" i="63" s="1"/>
  <c r="Z50" i="63"/>
  <c r="Y50" i="63" s="1"/>
  <c r="Y68" i="63" s="1"/>
  <c r="Q20" i="31" s="1"/>
  <c r="AH50" i="63"/>
  <c r="AG50" i="63" s="1"/>
  <c r="AG68" i="63" s="1"/>
  <c r="F50" i="81"/>
  <c r="E50" i="81" s="1"/>
  <c r="E68" i="81" s="1"/>
  <c r="M50" i="81"/>
  <c r="M68" i="81" s="1"/>
  <c r="H45" i="66"/>
  <c r="G45" i="66" s="1"/>
  <c r="G53" i="66" s="1"/>
  <c r="E39" i="31" s="1"/>
  <c r="AL25" i="78"/>
  <c r="AK25" i="78" s="1"/>
  <c r="AK36" i="78" s="1"/>
  <c r="H29" i="67"/>
  <c r="G29" i="67" s="1"/>
  <c r="G38" i="67" s="1"/>
  <c r="O29" i="67"/>
  <c r="O38" i="67" s="1"/>
  <c r="X16" i="46"/>
  <c r="W16" i="46" s="1"/>
  <c r="W23" i="46" s="1"/>
  <c r="H26" i="35"/>
  <c r="P26" i="35"/>
  <c r="X26" i="35"/>
  <c r="J26" i="35"/>
  <c r="Z26" i="35"/>
  <c r="AF26" i="35"/>
  <c r="AN26" i="35"/>
  <c r="T26" i="35"/>
  <c r="AB26" i="35"/>
  <c r="F46" i="35"/>
  <c r="AJ26" i="35"/>
  <c r="I14" i="87"/>
  <c r="J14" i="87" s="1"/>
  <c r="J15" i="87" s="1"/>
  <c r="I15" i="87" s="1"/>
  <c r="I28" i="87" s="1"/>
  <c r="I11" i="32" s="1"/>
  <c r="Y14" i="87"/>
  <c r="Z14" i="87" s="1"/>
  <c r="Z15" i="87" s="1"/>
  <c r="Y15" i="87" s="1"/>
  <c r="Y28" i="87" s="1"/>
  <c r="Q11" i="32" s="1"/>
  <c r="AH13" i="87"/>
  <c r="AH15" i="87" s="1"/>
  <c r="AG15" i="87" s="1"/>
  <c r="AG28" i="87" s="1"/>
  <c r="U11" i="32" s="1"/>
  <c r="N13" i="87"/>
  <c r="N15" i="87" s="1"/>
  <c r="M15" i="87" s="1"/>
  <c r="M28" i="87" s="1"/>
  <c r="K11" i="32" s="1"/>
  <c r="AD13" i="87"/>
  <c r="E14" i="87"/>
  <c r="F14" i="87" s="1"/>
  <c r="F15" i="87" s="1"/>
  <c r="E15" i="87" s="1"/>
  <c r="E28" i="87" s="1"/>
  <c r="G11" i="32" s="1"/>
  <c r="U14" i="87"/>
  <c r="V14" i="87" s="1"/>
  <c r="V15" i="87" s="1"/>
  <c r="U15" i="87" s="1"/>
  <c r="U28" i="87" s="1"/>
  <c r="O11" i="32" s="1"/>
  <c r="AK14" i="87"/>
  <c r="AL14" i="87" s="1"/>
  <c r="AL15" i="87" s="1"/>
  <c r="AK15" i="87" s="1"/>
  <c r="AK28" i="87" s="1"/>
  <c r="W11" i="32" s="1"/>
  <c r="AD15" i="87"/>
  <c r="AC15" i="87" s="1"/>
  <c r="AC28" i="87" s="1"/>
  <c r="S11" i="32" s="1"/>
  <c r="Z5" i="44"/>
  <c r="AJ9" i="47"/>
  <c r="AB10" i="83"/>
  <c r="Z6" i="85"/>
  <c r="J5" i="44"/>
  <c r="R9" i="44"/>
  <c r="AL9" i="44"/>
  <c r="F7" i="47"/>
  <c r="T9" i="47"/>
  <c r="AB5" i="84"/>
  <c r="AC18" i="85"/>
  <c r="AD18" i="85" s="1"/>
  <c r="L54" i="35"/>
  <c r="K54" i="35" s="1"/>
  <c r="K61" i="35" s="1"/>
  <c r="W17" i="50"/>
  <c r="X17" i="50" s="1"/>
  <c r="H13" i="95"/>
  <c r="G13" i="95" s="1"/>
  <c r="G31" i="95" s="1"/>
  <c r="E65" i="33" s="1"/>
  <c r="P13" i="95"/>
  <c r="O13" i="95" s="1"/>
  <c r="O31" i="95" s="1"/>
  <c r="AI22" i="83"/>
  <c r="AJ22" i="83" s="1"/>
  <c r="AJ26" i="83" s="1"/>
  <c r="AI26" i="83" s="1"/>
  <c r="AI35" i="83" s="1"/>
  <c r="V9" i="31" s="1"/>
  <c r="O22" i="86"/>
  <c r="P22" i="86" s="1"/>
  <c r="P24" i="86" s="1"/>
  <c r="O24" i="86" s="1"/>
  <c r="O31" i="86" s="1"/>
  <c r="L12" i="30" s="1"/>
  <c r="R5" i="44"/>
  <c r="AH5" i="44"/>
  <c r="AC21" i="44"/>
  <c r="AD21" i="44" s="1"/>
  <c r="P9" i="47"/>
  <c r="AF9" i="47"/>
  <c r="K20" i="47"/>
  <c r="L20" i="47" s="1"/>
  <c r="L22" i="47" s="1"/>
  <c r="K22" i="47" s="1"/>
  <c r="K33" i="47" s="1"/>
  <c r="J5" i="31" s="1"/>
  <c r="P5" i="84"/>
  <c r="L6" i="83"/>
  <c r="AF5" i="85"/>
  <c r="V7" i="87"/>
  <c r="AE12" i="88"/>
  <c r="AF12" i="88" s="1"/>
  <c r="AF14" i="88" s="1"/>
  <c r="AE14" i="88" s="1"/>
  <c r="AE27" i="88" s="1"/>
  <c r="T21" i="32" s="1"/>
  <c r="N5" i="44"/>
  <c r="V7" i="47"/>
  <c r="AB9" i="47"/>
  <c r="O12" i="84"/>
  <c r="P12" i="84" s="1"/>
  <c r="P14" i="84" s="1"/>
  <c r="O14" i="84" s="1"/>
  <c r="O28" i="84" s="1"/>
  <c r="L8" i="32" s="1"/>
  <c r="P5" i="83"/>
  <c r="AD6" i="85"/>
  <c r="M19" i="87"/>
  <c r="N19" i="87" s="1"/>
  <c r="AB5" i="88"/>
  <c r="P31" i="35"/>
  <c r="N26" i="35"/>
  <c r="AF31" i="35"/>
  <c r="P22" i="47"/>
  <c r="O22" i="47" s="1"/>
  <c r="O33" i="47" s="1"/>
  <c r="L5" i="31" s="1"/>
  <c r="AF22" i="47"/>
  <c r="AE22" i="47" s="1"/>
  <c r="AE33" i="47" s="1"/>
  <c r="N22" i="47"/>
  <c r="M22" i="47" s="1"/>
  <c r="M33" i="47" s="1"/>
  <c r="K5" i="31" s="1"/>
  <c r="AD22" i="47"/>
  <c r="AC22" i="47" s="1"/>
  <c r="AC33" i="47" s="1"/>
  <c r="S5" i="31" s="1"/>
  <c r="K12" i="84"/>
  <c r="L12" i="84" s="1"/>
  <c r="L14" i="84" s="1"/>
  <c r="K14" i="84" s="1"/>
  <c r="K28" i="84" s="1"/>
  <c r="J8" i="32" s="1"/>
  <c r="H5" i="44"/>
  <c r="H11" i="44" s="1"/>
  <c r="G11" i="44" s="1"/>
  <c r="L5" i="44"/>
  <c r="L11" i="44" s="1"/>
  <c r="K11" i="44" s="1"/>
  <c r="K30" i="44" s="1"/>
  <c r="P5" i="44"/>
  <c r="P11" i="44" s="1"/>
  <c r="O11" i="44" s="1"/>
  <c r="T5" i="44"/>
  <c r="T11" i="44" s="1"/>
  <c r="S11" i="44" s="1"/>
  <c r="X5" i="44"/>
  <c r="X11" i="44" s="1"/>
  <c r="W11" i="44" s="1"/>
  <c r="AB5" i="44"/>
  <c r="AB11" i="44" s="1"/>
  <c r="AA11" i="44" s="1"/>
  <c r="AF5" i="44"/>
  <c r="AD7" i="47"/>
  <c r="F9" i="47"/>
  <c r="J9" i="47"/>
  <c r="N9" i="47"/>
  <c r="R9" i="47"/>
  <c r="V9" i="47"/>
  <c r="Z9" i="47"/>
  <c r="AD9" i="47"/>
  <c r="AH9" i="47"/>
  <c r="AL9" i="47"/>
  <c r="F5" i="50"/>
  <c r="L5" i="84"/>
  <c r="AF5" i="83"/>
  <c r="AJ6" i="83"/>
  <c r="P10" i="83"/>
  <c r="T5" i="85"/>
  <c r="N6" i="85"/>
  <c r="I8" i="85"/>
  <c r="J8" i="85" s="1"/>
  <c r="M18" i="85"/>
  <c r="N18" i="85" s="1"/>
  <c r="AL7" i="87"/>
  <c r="E21" i="87"/>
  <c r="F21" i="87" s="1"/>
  <c r="F23" i="87" s="1"/>
  <c r="E23" i="87" s="1"/>
  <c r="E30" i="87" s="1"/>
  <c r="G11" i="30" s="1"/>
  <c r="AA22" i="86"/>
  <c r="AB22" i="86" s="1"/>
  <c r="AB24" i="86" s="1"/>
  <c r="AA24" i="86" s="1"/>
  <c r="X5" i="88"/>
  <c r="K7" i="88"/>
  <c r="L7" i="88" s="1"/>
  <c r="N7" i="47"/>
  <c r="Z7" i="47"/>
  <c r="AL7" i="47"/>
  <c r="AL5" i="50"/>
  <c r="AF5" i="84"/>
  <c r="AA12" i="84"/>
  <c r="AB12" i="84" s="1"/>
  <c r="AB14" i="84" s="1"/>
  <c r="AA14" i="84" s="1"/>
  <c r="AA28" i="84" s="1"/>
  <c r="H5" i="83"/>
  <c r="T5" i="83"/>
  <c r="L10" i="83"/>
  <c r="U25" i="83"/>
  <c r="V25" i="83" s="1"/>
  <c r="P5" i="85"/>
  <c r="J6" i="85"/>
  <c r="Y8" i="85"/>
  <c r="Z8" i="85" s="1"/>
  <c r="F7" i="87"/>
  <c r="U21" i="87"/>
  <c r="V21" i="87" s="1"/>
  <c r="V23" i="87" s="1"/>
  <c r="U23" i="87" s="1"/>
  <c r="U30" i="87" s="1"/>
  <c r="O11" i="30" s="1"/>
  <c r="L5" i="88"/>
  <c r="W7" i="88"/>
  <c r="X7" i="88" s="1"/>
  <c r="U17" i="88"/>
  <c r="V17" i="88" s="1"/>
  <c r="V19" i="88" s="1"/>
  <c r="U19" i="88" s="1"/>
  <c r="U28" i="88" s="1"/>
  <c r="O21" i="31" s="1"/>
  <c r="P4" i="78"/>
  <c r="I7" i="84"/>
  <c r="J7" i="84" s="1"/>
  <c r="AE12" i="84"/>
  <c r="AF12" i="84" s="1"/>
  <c r="AF14" i="84" s="1"/>
  <c r="AE14" i="84" s="1"/>
  <c r="AE28" i="84" s="1"/>
  <c r="T8" i="32" s="1"/>
  <c r="AK21" i="87"/>
  <c r="AL21" i="87" s="1"/>
  <c r="AL23" i="87" s="1"/>
  <c r="AK23" i="87" s="1"/>
  <c r="AK30" i="87" s="1"/>
  <c r="W11" i="30" s="1"/>
  <c r="AE7" i="88"/>
  <c r="AF7" i="88" s="1"/>
  <c r="F26" i="35"/>
  <c r="AL26" i="35"/>
  <c r="H31" i="35"/>
  <c r="AN31" i="35"/>
  <c r="N37" i="35"/>
  <c r="M37" i="35" s="1"/>
  <c r="M59" i="35" s="1"/>
  <c r="K84" i="32" s="1"/>
  <c r="AD37" i="35"/>
  <c r="AC37" i="35" s="1"/>
  <c r="AC59" i="35" s="1"/>
  <c r="S84" i="32" s="1"/>
  <c r="AN54" i="35"/>
  <c r="AM54" i="35" s="1"/>
  <c r="AM61" i="35" s="1"/>
  <c r="AD25" i="94"/>
  <c r="AC25" i="94" s="1"/>
  <c r="AC33" i="94" s="1"/>
  <c r="S88" i="31" s="1"/>
  <c r="F14" i="47"/>
  <c r="E14" i="47" s="1"/>
  <c r="E32" i="47" s="1"/>
  <c r="G5" i="32" s="1"/>
  <c r="R14" i="47"/>
  <c r="Q14" i="47" s="1"/>
  <c r="Q32" i="47" s="1"/>
  <c r="M5" i="32" s="1"/>
  <c r="Z14" i="47"/>
  <c r="Y14" i="47" s="1"/>
  <c r="Y32" i="47" s="1"/>
  <c r="Q5" i="32" s="1"/>
  <c r="AL14" i="47"/>
  <c r="AK14" i="47" s="1"/>
  <c r="AK32" i="47" s="1"/>
  <c r="G12" i="47"/>
  <c r="H12" i="47" s="1"/>
  <c r="H14" i="47" s="1"/>
  <c r="G14" i="47" s="1"/>
  <c r="G32" i="47" s="1"/>
  <c r="W23" i="50"/>
  <c r="X23" i="50" s="1"/>
  <c r="X25" i="50" s="1"/>
  <c r="W25" i="50" s="1"/>
  <c r="W32" i="50" s="1"/>
  <c r="P6" i="30" s="1"/>
  <c r="W20" i="84"/>
  <c r="X20" i="84" s="1"/>
  <c r="X23" i="84" s="1"/>
  <c r="W23" i="84" s="1"/>
  <c r="W30" i="84" s="1"/>
  <c r="X5" i="84"/>
  <c r="W15" i="84"/>
  <c r="X15" i="84" s="1"/>
  <c r="W12" i="84"/>
  <c r="X12" i="84" s="1"/>
  <c r="X14" i="84" s="1"/>
  <c r="W14" i="84" s="1"/>
  <c r="W28" i="84" s="1"/>
  <c r="P8" i="32" s="1"/>
  <c r="X54" i="35"/>
  <c r="W54" i="35" s="1"/>
  <c r="W61" i="35" s="1"/>
  <c r="H22" i="47"/>
  <c r="G22" i="47" s="1"/>
  <c r="G33" i="47" s="1"/>
  <c r="H5" i="31" s="1"/>
  <c r="S23" i="50"/>
  <c r="T23" i="50" s="1"/>
  <c r="T25" i="50" s="1"/>
  <c r="S25" i="50" s="1"/>
  <c r="S32" i="50" s="1"/>
  <c r="N6" i="30" s="1"/>
  <c r="S8" i="50"/>
  <c r="T8" i="50" s="1"/>
  <c r="V26" i="35"/>
  <c r="X31" i="35"/>
  <c r="AB54" i="35"/>
  <c r="AA54" i="35" s="1"/>
  <c r="AA61" i="35" s="1"/>
  <c r="R84" i="30" s="1"/>
  <c r="AB25" i="94"/>
  <c r="AA25" i="94" s="1"/>
  <c r="AA33" i="94" s="1"/>
  <c r="R88" i="31" s="1"/>
  <c r="AJ25" i="94"/>
  <c r="AI25" i="94" s="1"/>
  <c r="AI33" i="94" s="1"/>
  <c r="V88" i="31" s="1"/>
  <c r="V9" i="44"/>
  <c r="R7" i="47"/>
  <c r="AH7" i="47"/>
  <c r="AH14" i="47"/>
  <c r="AG14" i="47" s="1"/>
  <c r="AG32" i="47" s="1"/>
  <c r="W12" i="47"/>
  <c r="X12" i="47" s="1"/>
  <c r="X14" i="47" s="1"/>
  <c r="W14" i="47" s="1"/>
  <c r="W32" i="47" s="1"/>
  <c r="P5" i="32" s="1"/>
  <c r="H5" i="50"/>
  <c r="G17" i="50"/>
  <c r="H17" i="50" s="1"/>
  <c r="N5" i="50"/>
  <c r="V5" i="50"/>
  <c r="U17" i="50"/>
  <c r="V17" i="50" s="1"/>
  <c r="G20" i="84"/>
  <c r="H20" i="84" s="1"/>
  <c r="H23" i="84" s="1"/>
  <c r="G23" i="84" s="1"/>
  <c r="G30" i="84" s="1"/>
  <c r="H5" i="84"/>
  <c r="G15" i="84"/>
  <c r="H15" i="84" s="1"/>
  <c r="G12" i="84"/>
  <c r="H12" i="84" s="1"/>
  <c r="H14" i="84" s="1"/>
  <c r="G14" i="84" s="1"/>
  <c r="G28" i="84" s="1"/>
  <c r="H8" i="32" s="1"/>
  <c r="R37" i="35"/>
  <c r="Q37" i="35" s="1"/>
  <c r="Q59" i="35" s="1"/>
  <c r="M84" i="32" s="1"/>
  <c r="AH37" i="35"/>
  <c r="AG37" i="35" s="1"/>
  <c r="AG59" i="35" s="1"/>
  <c r="U84" i="32" s="1"/>
  <c r="Z22" i="47"/>
  <c r="Y22" i="47" s="1"/>
  <c r="Y33" i="47" s="1"/>
  <c r="Q5" i="31" s="1"/>
  <c r="F22" i="47"/>
  <c r="E22" i="47" s="1"/>
  <c r="E33" i="47" s="1"/>
  <c r="G5" i="31" s="1"/>
  <c r="V22" i="47"/>
  <c r="U22" i="47" s="1"/>
  <c r="U33" i="47" s="1"/>
  <c r="O5" i="31" s="1"/>
  <c r="AL22" i="47"/>
  <c r="AK22" i="47" s="1"/>
  <c r="AK33" i="47" s="1"/>
  <c r="W5" i="31" s="1"/>
  <c r="AD5" i="50"/>
  <c r="AJ5" i="84"/>
  <c r="Y7" i="84"/>
  <c r="Z7" i="84" s="1"/>
  <c r="S12" i="84"/>
  <c r="T12" i="84" s="1"/>
  <c r="T14" i="84" s="1"/>
  <c r="S14" i="84" s="1"/>
  <c r="S28" i="84" s="1"/>
  <c r="N8" i="32" s="1"/>
  <c r="AI12" i="84"/>
  <c r="AJ12" i="84" s="1"/>
  <c r="AJ14" i="84" s="1"/>
  <c r="AI14" i="84" s="1"/>
  <c r="AI28" i="84" s="1"/>
  <c r="V8" i="32" s="1"/>
  <c r="O15" i="84"/>
  <c r="P15" i="84" s="1"/>
  <c r="AE15" i="84"/>
  <c r="AF15" i="84" s="1"/>
  <c r="X5" i="83"/>
  <c r="AB6" i="83"/>
  <c r="T10" i="83"/>
  <c r="AJ10" i="83"/>
  <c r="G23" i="83"/>
  <c r="H23" i="83" s="1"/>
  <c r="W23" i="83"/>
  <c r="X23" i="83" s="1"/>
  <c r="I25" i="83"/>
  <c r="J25" i="83" s="1"/>
  <c r="Q25" i="83"/>
  <c r="R25" i="83" s="1"/>
  <c r="Y25" i="83"/>
  <c r="Z25" i="83" s="1"/>
  <c r="AG25" i="83"/>
  <c r="AH25" i="83" s="1"/>
  <c r="H5" i="85"/>
  <c r="X5" i="85"/>
  <c r="R6" i="85"/>
  <c r="AH6" i="85"/>
  <c r="M8" i="85"/>
  <c r="N8" i="85" s="1"/>
  <c r="AC8" i="85"/>
  <c r="AD8" i="85" s="1"/>
  <c r="O16" i="87"/>
  <c r="P16" i="87" s="1"/>
  <c r="AD7" i="87"/>
  <c r="M9" i="87"/>
  <c r="N9" i="87" s="1"/>
  <c r="Y19" i="87"/>
  <c r="Z19" i="87" s="1"/>
  <c r="AE19" i="86"/>
  <c r="AF19" i="86" s="1"/>
  <c r="AI20" i="88"/>
  <c r="AJ20" i="88" s="1"/>
  <c r="AJ22" i="88" s="1"/>
  <c r="AI22" i="88" s="1"/>
  <c r="AI29" i="88" s="1"/>
  <c r="V21" i="30" s="1"/>
  <c r="AI7" i="88"/>
  <c r="AJ7" i="88" s="1"/>
  <c r="AJ5" i="88"/>
  <c r="AI12" i="88"/>
  <c r="AJ12" i="88" s="1"/>
  <c r="AJ14" i="88" s="1"/>
  <c r="AI14" i="88" s="1"/>
  <c r="AI27" i="88" s="1"/>
  <c r="AI15" i="84"/>
  <c r="AJ15" i="84" s="1"/>
  <c r="Q8" i="85"/>
  <c r="R8" i="85" s="1"/>
  <c r="AG8" i="85"/>
  <c r="AH8" i="85" s="1"/>
  <c r="E18" i="85"/>
  <c r="F18" i="85" s="1"/>
  <c r="U18" i="85"/>
  <c r="V18" i="85" s="1"/>
  <c r="AK18" i="85"/>
  <c r="AL18" i="85" s="1"/>
  <c r="Y9" i="87"/>
  <c r="Z9" i="87" s="1"/>
  <c r="AC19" i="87"/>
  <c r="AD19" i="87" s="1"/>
  <c r="Y21" i="87"/>
  <c r="Z21" i="87" s="1"/>
  <c r="Z23" i="87" s="1"/>
  <c r="Y23" i="87" s="1"/>
  <c r="Y30" i="87" s="1"/>
  <c r="Q11" i="30" s="1"/>
  <c r="O17" i="86"/>
  <c r="P17" i="86" s="1"/>
  <c r="AI17" i="86"/>
  <c r="AJ17" i="86" s="1"/>
  <c r="AI22" i="86"/>
  <c r="AJ22" i="86" s="1"/>
  <c r="AJ24" i="86" s="1"/>
  <c r="AI24" i="86" s="1"/>
  <c r="AI31" i="86" s="1"/>
  <c r="V12" i="30" s="1"/>
  <c r="AI19" i="86"/>
  <c r="AJ19" i="86" s="1"/>
  <c r="AC20" i="88"/>
  <c r="AD20" i="88" s="1"/>
  <c r="AD22" i="88" s="1"/>
  <c r="AC22" i="88" s="1"/>
  <c r="AC29" i="88" s="1"/>
  <c r="S21" i="30" s="1"/>
  <c r="AC17" i="88"/>
  <c r="AD17" i="88" s="1"/>
  <c r="AD19" i="88" s="1"/>
  <c r="AC19" i="88" s="1"/>
  <c r="AC28" i="88" s="1"/>
  <c r="E25" i="83"/>
  <c r="F25" i="83" s="1"/>
  <c r="M25" i="83"/>
  <c r="N25" i="83" s="1"/>
  <c r="AC25" i="83"/>
  <c r="AD25" i="83" s="1"/>
  <c r="AK25" i="83"/>
  <c r="AL25" i="83" s="1"/>
  <c r="E8" i="85"/>
  <c r="F8" i="85" s="1"/>
  <c r="U8" i="85"/>
  <c r="V8" i="85" s="1"/>
  <c r="AK8" i="85"/>
  <c r="AL8" i="85" s="1"/>
  <c r="AG19" i="87"/>
  <c r="AH19" i="87" s="1"/>
  <c r="AG9" i="87"/>
  <c r="AH9" i="87" s="1"/>
  <c r="AG21" i="87"/>
  <c r="AH21" i="87" s="1"/>
  <c r="AH23" i="87" s="1"/>
  <c r="AG23" i="87" s="1"/>
  <c r="AG30" i="87" s="1"/>
  <c r="U11" i="30" s="1"/>
  <c r="AC9" i="87"/>
  <c r="AD9" i="87" s="1"/>
  <c r="I19" i="87"/>
  <c r="J19" i="87" s="1"/>
  <c r="L26" i="45"/>
  <c r="K26" i="45" s="1"/>
  <c r="K65" i="45" s="1"/>
  <c r="T26" i="45"/>
  <c r="S26" i="45" s="1"/>
  <c r="S66" i="45" s="1"/>
  <c r="N13" i="33" s="1"/>
  <c r="AB26" i="45"/>
  <c r="AA26" i="45" s="1"/>
  <c r="AA65" i="45" s="1"/>
  <c r="AJ26" i="45"/>
  <c r="AI26" i="45" s="1"/>
  <c r="AI66" i="45" s="1"/>
  <c r="V13" i="33" s="1"/>
  <c r="H26" i="48"/>
  <c r="G26" i="48" s="1"/>
  <c r="G65" i="48" s="1"/>
  <c r="P26" i="48"/>
  <c r="O26" i="48" s="1"/>
  <c r="O65" i="48" s="1"/>
  <c r="X26" i="48"/>
  <c r="W26" i="48" s="1"/>
  <c r="W65" i="48" s="1"/>
  <c r="AF26" i="48"/>
  <c r="AE26" i="48" s="1"/>
  <c r="AE65" i="48" s="1"/>
  <c r="AN26" i="48"/>
  <c r="AM26" i="48" s="1"/>
  <c r="AM65" i="48" s="1"/>
  <c r="S20" i="88"/>
  <c r="T20" i="88" s="1"/>
  <c r="T22" i="88" s="1"/>
  <c r="S22" i="88" s="1"/>
  <c r="S29" i="88" s="1"/>
  <c r="N21" i="30" s="1"/>
  <c r="T5" i="88"/>
  <c r="S12" i="88"/>
  <c r="T12" i="88" s="1"/>
  <c r="T14" i="88" s="1"/>
  <c r="S14" i="88" s="1"/>
  <c r="S27" i="88" s="1"/>
  <c r="N21" i="32" s="1"/>
  <c r="S7" i="88"/>
  <c r="T7" i="88" s="1"/>
  <c r="K15" i="84"/>
  <c r="L15" i="84" s="1"/>
  <c r="AA15" i="84"/>
  <c r="AB15" i="84" s="1"/>
  <c r="AB5" i="83"/>
  <c r="T6" i="83"/>
  <c r="L5" i="85"/>
  <c r="AB5" i="85"/>
  <c r="F6" i="85"/>
  <c r="V6" i="85"/>
  <c r="AL6" i="85"/>
  <c r="I18" i="85"/>
  <c r="J18" i="85" s="1"/>
  <c r="Q18" i="85"/>
  <c r="R18" i="85" s="1"/>
  <c r="Y18" i="85"/>
  <c r="Z18" i="85" s="1"/>
  <c r="AG18" i="85"/>
  <c r="AH18" i="85" s="1"/>
  <c r="Q19" i="87"/>
  <c r="R19" i="87" s="1"/>
  <c r="Q9" i="87"/>
  <c r="R9" i="87" s="1"/>
  <c r="Q21" i="87"/>
  <c r="R21" i="87" s="1"/>
  <c r="R23" i="87" s="1"/>
  <c r="Q23" i="87" s="1"/>
  <c r="Q30" i="87" s="1"/>
  <c r="AH7" i="87"/>
  <c r="I9" i="87"/>
  <c r="J9" i="87" s="1"/>
  <c r="I21" i="87"/>
  <c r="J21" i="87" s="1"/>
  <c r="J23" i="87" s="1"/>
  <c r="I23" i="87" s="1"/>
  <c r="I30" i="87" s="1"/>
  <c r="I11" i="30" s="1"/>
  <c r="S17" i="86"/>
  <c r="T17" i="86" s="1"/>
  <c r="S22" i="86"/>
  <c r="T22" i="86" s="1"/>
  <c r="T24" i="86" s="1"/>
  <c r="S24" i="86" s="1"/>
  <c r="S31" i="86" s="1"/>
  <c r="AE17" i="86"/>
  <c r="AF17" i="86" s="1"/>
  <c r="S19" i="86"/>
  <c r="T19" i="86" s="1"/>
  <c r="M20" i="88"/>
  <c r="N20" i="88" s="1"/>
  <c r="N22" i="88" s="1"/>
  <c r="M22" i="88" s="1"/>
  <c r="M29" i="88" s="1"/>
  <c r="M17" i="88"/>
  <c r="N17" i="88" s="1"/>
  <c r="N19" i="88" s="1"/>
  <c r="M19" i="88" s="1"/>
  <c r="M28" i="88" s="1"/>
  <c r="K21" i="31" s="1"/>
  <c r="U9" i="87"/>
  <c r="V9" i="87" s="1"/>
  <c r="AK9" i="87"/>
  <c r="AL9" i="87" s="1"/>
  <c r="G17" i="86"/>
  <c r="H17" i="86" s="1"/>
  <c r="AA19" i="86"/>
  <c r="AB19" i="86" s="1"/>
  <c r="G22" i="86"/>
  <c r="H22" i="86" s="1"/>
  <c r="H24" i="86" s="1"/>
  <c r="G24" i="86" s="1"/>
  <c r="G31" i="86" s="1"/>
  <c r="H12" i="30" s="1"/>
  <c r="W22" i="86"/>
  <c r="X22" i="86" s="1"/>
  <c r="X24" i="86" s="1"/>
  <c r="W24" i="86" s="1"/>
  <c r="W31" i="86" s="1"/>
  <c r="P12" i="30" s="1"/>
  <c r="P5" i="88"/>
  <c r="AF5" i="88"/>
  <c r="AA7" i="88"/>
  <c r="AB7" i="88" s="1"/>
  <c r="AM7" i="88"/>
  <c r="O12" i="88"/>
  <c r="P12" i="88" s="1"/>
  <c r="P14" i="88" s="1"/>
  <c r="O14" i="88" s="1"/>
  <c r="O27" i="88" s="1"/>
  <c r="L21" i="32" s="1"/>
  <c r="F19" i="88"/>
  <c r="E19" i="88" s="1"/>
  <c r="E28" i="88" s="1"/>
  <c r="G21" i="31" s="1"/>
  <c r="AL19" i="88"/>
  <c r="AK19" i="88" s="1"/>
  <c r="AK28" i="88" s="1"/>
  <c r="W21" i="31" s="1"/>
  <c r="E20" i="88"/>
  <c r="F20" i="88" s="1"/>
  <c r="F22" i="88" s="1"/>
  <c r="E22" i="88" s="1"/>
  <c r="E29" i="88" s="1"/>
  <c r="AK20" i="88"/>
  <c r="AL20" i="88" s="1"/>
  <c r="AL22" i="88" s="1"/>
  <c r="AK22" i="88" s="1"/>
  <c r="AK29" i="88" s="1"/>
  <c r="J16" i="96"/>
  <c r="I32" i="96"/>
  <c r="J32" i="96" s="1"/>
  <c r="I33" i="96"/>
  <c r="J33" i="96" s="1"/>
  <c r="N13" i="68"/>
  <c r="M13" i="68" s="1"/>
  <c r="H4" i="78"/>
  <c r="H12" i="78" s="1"/>
  <c r="G12" i="78" s="1"/>
  <c r="G33" i="78" s="1"/>
  <c r="X4" i="78"/>
  <c r="X12" i="78" s="1"/>
  <c r="W12" i="78" s="1"/>
  <c r="W33" i="78" s="1"/>
  <c r="AM12" i="78"/>
  <c r="AM34" i="78" s="1"/>
  <c r="K22" i="78"/>
  <c r="L22" i="78" s="1"/>
  <c r="L25" i="78" s="1"/>
  <c r="K25" i="78" s="1"/>
  <c r="K36" i="78" s="1"/>
  <c r="J62" i="31" s="1"/>
  <c r="AA22" i="78"/>
  <c r="AB22" i="78" s="1"/>
  <c r="AB25" i="78" s="1"/>
  <c r="AA25" i="78" s="1"/>
  <c r="AA36" i="78" s="1"/>
  <c r="R62" i="31" s="1"/>
  <c r="L26" i="52"/>
  <c r="K26" i="52" s="1"/>
  <c r="K66" i="52" s="1"/>
  <c r="J15" i="33" s="1"/>
  <c r="T26" i="52"/>
  <c r="S26" i="52" s="1"/>
  <c r="S65" i="52" s="1"/>
  <c r="AB26" i="52"/>
  <c r="AA26" i="52" s="1"/>
  <c r="AA66" i="52" s="1"/>
  <c r="R15" i="33" s="1"/>
  <c r="AJ26" i="52"/>
  <c r="AI26" i="52" s="1"/>
  <c r="AI65" i="52" s="1"/>
  <c r="AM12" i="88"/>
  <c r="AM14" i="88" s="1"/>
  <c r="AM27" i="88" s="1"/>
  <c r="T4" i="78"/>
  <c r="T12" i="78" s="1"/>
  <c r="S12" i="78" s="1"/>
  <c r="AJ4" i="78"/>
  <c r="AJ12" i="78" s="1"/>
  <c r="AI12" i="78" s="1"/>
  <c r="R13" i="68"/>
  <c r="Q13" i="68" s="1"/>
  <c r="G19" i="86"/>
  <c r="H19" i="86" s="1"/>
  <c r="W19" i="86"/>
  <c r="X19" i="86" s="1"/>
  <c r="O7" i="88"/>
  <c r="P7" i="88" s="1"/>
  <c r="K12" i="88"/>
  <c r="L12" i="88" s="1"/>
  <c r="L14" i="88" s="1"/>
  <c r="K14" i="88" s="1"/>
  <c r="K27" i="88" s="1"/>
  <c r="J21" i="32" s="1"/>
  <c r="W12" i="88"/>
  <c r="X12" i="88" s="1"/>
  <c r="X14" i="88" s="1"/>
  <c r="W14" i="88" s="1"/>
  <c r="W27" i="88" s="1"/>
  <c r="P21" i="32" s="1"/>
  <c r="F14" i="68"/>
  <c r="J28" i="96"/>
  <c r="I28" i="96" s="1"/>
  <c r="I48" i="96" s="1"/>
  <c r="E25" i="32" s="1"/>
  <c r="V68" i="28" s="1"/>
  <c r="H28" i="96"/>
  <c r="G28" i="96" s="1"/>
  <c r="G48" i="96" s="1"/>
  <c r="E28" i="32" s="1"/>
  <c r="L28" i="96"/>
  <c r="K28" i="96" s="1"/>
  <c r="K48" i="96" s="1"/>
  <c r="E26" i="32" s="1"/>
  <c r="H39" i="96"/>
  <c r="G39" i="96" s="1"/>
  <c r="G49" i="96" s="1"/>
  <c r="E28" i="31" s="1"/>
  <c r="J13" i="95"/>
  <c r="I13" i="95" s="1"/>
  <c r="I30" i="95" s="1"/>
  <c r="R13" i="95"/>
  <c r="Q13" i="95" s="1"/>
  <c r="Q31" i="95" s="1"/>
  <c r="E70" i="33" s="1"/>
  <c r="N12" i="80"/>
  <c r="M12" i="80" s="1"/>
  <c r="M31" i="80" s="1"/>
  <c r="K60" i="33" s="1"/>
  <c r="AB12" i="78"/>
  <c r="AA12" i="78" s="1"/>
  <c r="AA33" i="78" s="1"/>
  <c r="F13" i="95"/>
  <c r="E13" i="95" s="1"/>
  <c r="E30" i="95" s="1"/>
  <c r="J11" i="67"/>
  <c r="I11" i="67" s="1"/>
  <c r="I35" i="67" s="1"/>
  <c r="Z33" i="28"/>
  <c r="AA33" i="28" s="1"/>
  <c r="AC31" i="28" s="1"/>
  <c r="E10" i="99"/>
  <c r="K18" i="43"/>
  <c r="M19" i="43"/>
  <c r="K22" i="33" s="1"/>
  <c r="Q25" i="75"/>
  <c r="R25" i="75" s="1"/>
  <c r="V6" i="75"/>
  <c r="U6" i="75" s="1"/>
  <c r="U19" i="75" s="1"/>
  <c r="O24" i="33" s="1"/>
  <c r="R26" i="48"/>
  <c r="Q26" i="48" s="1"/>
  <c r="Q66" i="48" s="1"/>
  <c r="M14" i="33" s="1"/>
  <c r="AH26" i="48"/>
  <c r="AG26" i="48" s="1"/>
  <c r="AG65" i="48" s="1"/>
  <c r="F26" i="52"/>
  <c r="E26" i="52" s="1"/>
  <c r="E65" i="52" s="1"/>
  <c r="N26" i="52"/>
  <c r="M26" i="52" s="1"/>
  <c r="M65" i="52" s="1"/>
  <c r="V26" i="52"/>
  <c r="U26" i="52" s="1"/>
  <c r="U65" i="52" s="1"/>
  <c r="AD26" i="52"/>
  <c r="AC26" i="52" s="1"/>
  <c r="AC66" i="52" s="1"/>
  <c r="S15" i="33" s="1"/>
  <c r="AL26" i="52"/>
  <c r="AK26" i="52" s="1"/>
  <c r="AK66" i="52" s="1"/>
  <c r="W15" i="33" s="1"/>
  <c r="F16" i="65"/>
  <c r="E16" i="65" s="1"/>
  <c r="E37" i="65" s="1"/>
  <c r="F11" i="67"/>
  <c r="E11" i="67" s="1"/>
  <c r="E35" i="67" s="1"/>
  <c r="N11" i="67"/>
  <c r="M11" i="67" s="1"/>
  <c r="M35" i="67" s="1"/>
  <c r="L18" i="94"/>
  <c r="K18" i="94" s="1"/>
  <c r="K31" i="94" s="1"/>
  <c r="AB18" i="94"/>
  <c r="AA18" i="94" s="1"/>
  <c r="AA30" i="94" s="1"/>
  <c r="H26" i="52"/>
  <c r="G26" i="52" s="1"/>
  <c r="G66" i="52" s="1"/>
  <c r="H15" i="33" s="1"/>
  <c r="P26" i="52"/>
  <c r="O26" i="52" s="1"/>
  <c r="O66" i="52" s="1"/>
  <c r="L15" i="33" s="1"/>
  <c r="X26" i="52"/>
  <c r="W26" i="52" s="1"/>
  <c r="W66" i="52" s="1"/>
  <c r="P15" i="33" s="1"/>
  <c r="AF26" i="52"/>
  <c r="AE26" i="52" s="1"/>
  <c r="AE66" i="52" s="1"/>
  <c r="T15" i="33" s="1"/>
  <c r="AN26" i="52"/>
  <c r="AM26" i="52" s="1"/>
  <c r="AM66" i="52" s="1"/>
  <c r="L26" i="60"/>
  <c r="K26" i="60" s="1"/>
  <c r="K65" i="60" s="1"/>
  <c r="T26" i="60"/>
  <c r="S26" i="60" s="1"/>
  <c r="S66" i="60" s="1"/>
  <c r="N17" i="33" s="1"/>
  <c r="AB26" i="60"/>
  <c r="AA26" i="60" s="1"/>
  <c r="AJ26" i="60"/>
  <c r="AI26" i="60" s="1"/>
  <c r="AI66" i="60" s="1"/>
  <c r="V17" i="33" s="1"/>
  <c r="N26" i="60"/>
  <c r="M26" i="60" s="1"/>
  <c r="M65" i="60" s="1"/>
  <c r="V26" i="60"/>
  <c r="U26" i="60" s="1"/>
  <c r="U65" i="60" s="1"/>
  <c r="AD26" i="60"/>
  <c r="AC26" i="60" s="1"/>
  <c r="AC65" i="60" s="1"/>
  <c r="J26" i="60"/>
  <c r="I26" i="60" s="1"/>
  <c r="I66" i="60" s="1"/>
  <c r="I17" i="33" s="1"/>
  <c r="R26" i="60"/>
  <c r="Q26" i="60" s="1"/>
  <c r="Q65" i="60" s="1"/>
  <c r="Z26" i="60"/>
  <c r="Y26" i="60" s="1"/>
  <c r="Y65" i="60" s="1"/>
  <c r="AH26" i="60"/>
  <c r="AG26" i="60" s="1"/>
  <c r="AG65" i="60" s="1"/>
  <c r="H26" i="61"/>
  <c r="G26" i="61" s="1"/>
  <c r="G66" i="61" s="1"/>
  <c r="H18" i="33" s="1"/>
  <c r="P26" i="61"/>
  <c r="O26" i="61" s="1"/>
  <c r="O66" i="61" s="1"/>
  <c r="L18" i="33" s="1"/>
  <c r="X26" i="61"/>
  <c r="W26" i="61" s="1"/>
  <c r="W66" i="61" s="1"/>
  <c r="P18" i="33" s="1"/>
  <c r="AN26" i="61"/>
  <c r="AM26" i="61" s="1"/>
  <c r="AM65" i="61" s="1"/>
  <c r="T26" i="62"/>
  <c r="S26" i="62" s="1"/>
  <c r="S65" i="62" s="1"/>
  <c r="L26" i="81"/>
  <c r="K26" i="81" s="1"/>
  <c r="F51" i="33" s="1"/>
  <c r="H6" i="75"/>
  <c r="G6" i="75" s="1"/>
  <c r="G18" i="75" s="1"/>
  <c r="F26" i="59"/>
  <c r="E26" i="59" s="1"/>
  <c r="E66" i="59" s="1"/>
  <c r="N26" i="59"/>
  <c r="M26" i="59" s="1"/>
  <c r="M66" i="59" s="1"/>
  <c r="V26" i="59"/>
  <c r="U26" i="59" s="1"/>
  <c r="U65" i="59" s="1"/>
  <c r="AD26" i="59"/>
  <c r="AC26" i="59" s="1"/>
  <c r="AC65" i="59" s="1"/>
  <c r="AL26" i="59"/>
  <c r="AK26" i="59" s="1"/>
  <c r="AK66" i="59" s="1"/>
  <c r="F26" i="48"/>
  <c r="E26" i="48" s="1"/>
  <c r="E66" i="48" s="1"/>
  <c r="G14" i="33" s="1"/>
  <c r="V26" i="48"/>
  <c r="U26" i="48" s="1"/>
  <c r="U65" i="48" s="1"/>
  <c r="AL26" i="48"/>
  <c r="AK26" i="48" s="1"/>
  <c r="AK66" i="48" s="1"/>
  <c r="W14" i="33" s="1"/>
  <c r="R26" i="52"/>
  <c r="Q26" i="52" s="1"/>
  <c r="Q66" i="52" s="1"/>
  <c r="M15" i="33" s="1"/>
  <c r="AH26" i="52"/>
  <c r="AG26" i="52" s="1"/>
  <c r="AG66" i="52" s="1"/>
  <c r="U15" i="33" s="1"/>
  <c r="L26" i="53"/>
  <c r="K26" i="53" s="1"/>
  <c r="K66" i="53" s="1"/>
  <c r="J16" i="33" s="1"/>
  <c r="T26" i="53"/>
  <c r="S26" i="53" s="1"/>
  <c r="S66" i="53" s="1"/>
  <c r="N16" i="33" s="1"/>
  <c r="AB26" i="53"/>
  <c r="AA26" i="53" s="1"/>
  <c r="AA66" i="53" s="1"/>
  <c r="R16" i="33" s="1"/>
  <c r="AJ26" i="53"/>
  <c r="AI26" i="53" s="1"/>
  <c r="AI66" i="53" s="1"/>
  <c r="V16" i="33" s="1"/>
  <c r="F26" i="53"/>
  <c r="E26" i="53" s="1"/>
  <c r="E66" i="53" s="1"/>
  <c r="N26" i="53"/>
  <c r="M26" i="53" s="1"/>
  <c r="M66" i="53" s="1"/>
  <c r="K16" i="33" s="1"/>
  <c r="V26" i="53"/>
  <c r="U26" i="53" s="1"/>
  <c r="AD26" i="53"/>
  <c r="AC26" i="53" s="1"/>
  <c r="AC65" i="53" s="1"/>
  <c r="AL26" i="53"/>
  <c r="AK26" i="53" s="1"/>
  <c r="AK66" i="53" s="1"/>
  <c r="J26" i="53"/>
  <c r="I26" i="53" s="1"/>
  <c r="I66" i="53" s="1"/>
  <c r="I16" i="33" s="1"/>
  <c r="R26" i="53"/>
  <c r="Q26" i="53" s="1"/>
  <c r="Q66" i="53" s="1"/>
  <c r="Z26" i="53"/>
  <c r="Y26" i="53" s="1"/>
  <c r="Y66" i="53" s="1"/>
  <c r="Q16" i="33" s="1"/>
  <c r="AH26" i="53"/>
  <c r="AG26" i="53" s="1"/>
  <c r="AG66" i="53" s="1"/>
  <c r="U16" i="33" s="1"/>
  <c r="F26" i="60"/>
  <c r="E26" i="60" s="1"/>
  <c r="E65" i="60" s="1"/>
  <c r="AL26" i="60"/>
  <c r="AK26" i="60" s="1"/>
  <c r="AK65" i="60" s="1"/>
  <c r="F26" i="63"/>
  <c r="E26" i="63" s="1"/>
  <c r="E65" i="63" s="1"/>
  <c r="N26" i="63"/>
  <c r="M26" i="63" s="1"/>
  <c r="M66" i="63" s="1"/>
  <c r="K20" i="33" s="1"/>
  <c r="V26" i="63"/>
  <c r="U26" i="63" s="1"/>
  <c r="U66" i="63" s="1"/>
  <c r="AD26" i="63"/>
  <c r="AC26" i="63" s="1"/>
  <c r="AC65" i="63" s="1"/>
  <c r="AL26" i="63"/>
  <c r="AK26" i="63" s="1"/>
  <c r="AK66" i="63" s="1"/>
  <c r="W20" i="33" s="1"/>
  <c r="J26" i="85"/>
  <c r="I26" i="85" s="1"/>
  <c r="I33" i="85" s="1"/>
  <c r="Z26" i="85"/>
  <c r="Y26" i="85" s="1"/>
  <c r="Y33" i="85" s="1"/>
  <c r="Q10" i="30" s="1"/>
  <c r="F28" i="68"/>
  <c r="E28" i="68" s="1"/>
  <c r="E35" i="68" s="1"/>
  <c r="G61" i="30" s="1"/>
  <c r="O32" i="67"/>
  <c r="O39" i="67" s="1"/>
  <c r="V9" i="75"/>
  <c r="U9" i="75" s="1"/>
  <c r="U20" i="75" s="1"/>
  <c r="O24" i="32" s="1"/>
  <c r="V12" i="75"/>
  <c r="U12" i="75" s="1"/>
  <c r="U21" i="75" s="1"/>
  <c r="O24" i="31" s="1"/>
  <c r="J32" i="67"/>
  <c r="I32" i="67" s="1"/>
  <c r="I39" i="67" s="1"/>
  <c r="T21" i="94"/>
  <c r="S21" i="94" s="1"/>
  <c r="S32" i="94" s="1"/>
  <c r="N88" i="32" s="1"/>
  <c r="AJ21" i="94"/>
  <c r="AI21" i="94" s="1"/>
  <c r="AI32" i="94" s="1"/>
  <c r="V88" i="32" s="1"/>
  <c r="L9" i="46"/>
  <c r="K9" i="46" s="1"/>
  <c r="K21" i="46" s="1"/>
  <c r="L12" i="46"/>
  <c r="K12" i="46" s="1"/>
  <c r="K22" i="46" s="1"/>
  <c r="W20" i="43"/>
  <c r="P22" i="32" s="1"/>
  <c r="K20" i="43"/>
  <c r="J22" i="32" s="1"/>
  <c r="F26" i="85"/>
  <c r="E26" i="85" s="1"/>
  <c r="E33" i="85" s="1"/>
  <c r="V26" i="85"/>
  <c r="U26" i="85" s="1"/>
  <c r="U33" i="85" s="1"/>
  <c r="AL26" i="85"/>
  <c r="AK26" i="85" s="1"/>
  <c r="AK33" i="85" s="1"/>
  <c r="T29" i="83"/>
  <c r="S29" i="83" s="1"/>
  <c r="S36" i="83" s="1"/>
  <c r="N9" i="30" s="1"/>
  <c r="AJ29" i="83"/>
  <c r="AI29" i="83" s="1"/>
  <c r="I34" i="96"/>
  <c r="J34" i="96" s="1"/>
  <c r="L27" i="95"/>
  <c r="K27" i="95" s="1"/>
  <c r="K34" i="95" s="1"/>
  <c r="E67" i="30" s="1"/>
  <c r="H32" i="67"/>
  <c r="G32" i="67" s="1"/>
  <c r="N26" i="85"/>
  <c r="M26" i="85" s="1"/>
  <c r="M33" i="85" s="1"/>
  <c r="AD26" i="85"/>
  <c r="AC26" i="85" s="1"/>
  <c r="AC33" i="85" s="1"/>
  <c r="S10" i="30" s="1"/>
  <c r="L17" i="96"/>
  <c r="H104" i="106"/>
  <c r="Y146" i="99"/>
  <c r="Z146" i="99" s="1"/>
  <c r="X131" i="99"/>
  <c r="Y131" i="99" s="1"/>
  <c r="Z131" i="99" s="1"/>
  <c r="Y121" i="99"/>
  <c r="Z121" i="99" s="1"/>
  <c r="Y105" i="99"/>
  <c r="Z105" i="99" s="1"/>
  <c r="Y152" i="99"/>
  <c r="Z152" i="99" s="1"/>
  <c r="Y148" i="99"/>
  <c r="Z148" i="99" s="1"/>
  <c r="Y123" i="99"/>
  <c r="Z123" i="99" s="1"/>
  <c r="Y107" i="99"/>
  <c r="Z107" i="99" s="1"/>
  <c r="Y115" i="99"/>
  <c r="Z115" i="99" s="1"/>
  <c r="Y129" i="99"/>
  <c r="Z129" i="99" s="1"/>
  <c r="Y113" i="99"/>
  <c r="Z113" i="99" s="1"/>
  <c r="Y109" i="99"/>
  <c r="Z109" i="99" s="1"/>
  <c r="Y116" i="99"/>
  <c r="Z116" i="99" s="1"/>
  <c r="Y151" i="99"/>
  <c r="Z151" i="99" s="1"/>
  <c r="Y111" i="99"/>
  <c r="Z111" i="99" s="1"/>
  <c r="Y130" i="99"/>
  <c r="Z130" i="99" s="1"/>
  <c r="Y144" i="99"/>
  <c r="Z144" i="99" s="1"/>
  <c r="Y124" i="99"/>
  <c r="Z124" i="99" s="1"/>
  <c r="Y147" i="99"/>
  <c r="Z147" i="99" s="1"/>
  <c r="Y119" i="99"/>
  <c r="Z119" i="99" s="1"/>
  <c r="Y125" i="99"/>
  <c r="Z125" i="99" s="1"/>
  <c r="Y120" i="99"/>
  <c r="Z120" i="99" s="1"/>
  <c r="Y103" i="99"/>
  <c r="Z103" i="99" s="1"/>
  <c r="Y114" i="99"/>
  <c r="Z114" i="99" s="1"/>
  <c r="Y133" i="99"/>
  <c r="Z133" i="99" s="1"/>
  <c r="Y108" i="99"/>
  <c r="Z108" i="99" s="1"/>
  <c r="Y128" i="99"/>
  <c r="Z128" i="99" s="1"/>
  <c r="Y104" i="99"/>
  <c r="Z104" i="99" s="1"/>
  <c r="Y127" i="99"/>
  <c r="Z127" i="99" s="1"/>
  <c r="Y149" i="99"/>
  <c r="Z149" i="99" s="1"/>
  <c r="Y150" i="99"/>
  <c r="Z150" i="99" s="1"/>
  <c r="Y126" i="99"/>
  <c r="Z126" i="99" s="1"/>
  <c r="Y122" i="99"/>
  <c r="Z122" i="99" s="1"/>
  <c r="Y117" i="99"/>
  <c r="Z117" i="99" s="1"/>
  <c r="Y106" i="99"/>
  <c r="Z106" i="99" s="1"/>
  <c r="Y112" i="99"/>
  <c r="Z112" i="99" s="1"/>
  <c r="Y145" i="99"/>
  <c r="Z145" i="99" s="1"/>
  <c r="Y118" i="99"/>
  <c r="Z118" i="99" s="1"/>
  <c r="Y132" i="99"/>
  <c r="Z132" i="99" s="1"/>
  <c r="Z75" i="28"/>
  <c r="AA75" i="28" s="1"/>
  <c r="C10" i="99"/>
  <c r="Y67" i="99"/>
  <c r="Z67" i="99" s="1"/>
  <c r="Y35" i="99"/>
  <c r="Z35" i="99" s="1"/>
  <c r="Y61" i="99"/>
  <c r="Z61" i="99" s="1"/>
  <c r="Y45" i="99"/>
  <c r="Z45" i="99" s="1"/>
  <c r="Y51" i="99"/>
  <c r="Z51" i="99" s="1"/>
  <c r="Y54" i="99"/>
  <c r="Z54" i="99" s="1"/>
  <c r="Y166" i="99"/>
  <c r="Z166" i="99" s="1"/>
  <c r="Y48" i="99"/>
  <c r="Z48" i="99" s="1"/>
  <c r="Y66" i="99"/>
  <c r="Z66" i="99" s="1"/>
  <c r="Y155" i="99"/>
  <c r="Z155" i="99" s="1"/>
  <c r="Y38" i="99"/>
  <c r="Z38" i="99" s="1"/>
  <c r="Y56" i="99"/>
  <c r="Z56" i="99" s="1"/>
  <c r="Y74" i="99"/>
  <c r="Z74" i="99" s="1"/>
  <c r="Y164" i="99"/>
  <c r="Z164" i="99" s="1"/>
  <c r="Y33" i="99"/>
  <c r="Z33" i="99" s="1"/>
  <c r="Y65" i="99"/>
  <c r="Z65" i="99" s="1"/>
  <c r="Y28" i="99"/>
  <c r="Z28" i="99" s="1"/>
  <c r="Y46" i="99"/>
  <c r="Z46" i="99" s="1"/>
  <c r="Y64" i="99"/>
  <c r="Z64" i="99" s="1"/>
  <c r="Y157" i="99"/>
  <c r="Z157" i="99" s="1"/>
  <c r="Y162" i="99"/>
  <c r="Z162" i="99" s="1"/>
  <c r="Y41" i="99"/>
  <c r="Z41" i="99" s="1"/>
  <c r="Y70" i="99"/>
  <c r="Z70" i="99" s="1"/>
  <c r="Y29" i="99"/>
  <c r="Z29" i="99" s="1"/>
  <c r="Y30" i="99"/>
  <c r="Z30" i="99" s="1"/>
  <c r="Y68" i="99"/>
  <c r="Z68" i="99" s="1"/>
  <c r="Y34" i="99"/>
  <c r="Z34" i="99" s="1"/>
  <c r="Y55" i="99"/>
  <c r="Z55" i="99" s="1"/>
  <c r="Y69" i="99"/>
  <c r="Z69" i="99" s="1"/>
  <c r="Y159" i="99"/>
  <c r="Z159" i="99" s="1"/>
  <c r="Y42" i="99"/>
  <c r="Z42" i="99" s="1"/>
  <c r="Y60" i="99"/>
  <c r="Z60" i="99" s="1"/>
  <c r="Y40" i="99"/>
  <c r="Z40" i="99" s="1"/>
  <c r="Y72" i="99"/>
  <c r="Z72" i="99" s="1"/>
  <c r="Y32" i="99"/>
  <c r="Z32" i="99" s="1"/>
  <c r="Y50" i="99"/>
  <c r="Z50" i="99" s="1"/>
  <c r="Y71" i="99"/>
  <c r="Z71" i="99" s="1"/>
  <c r="Y161" i="99"/>
  <c r="Z161" i="99" s="1"/>
  <c r="Y31" i="99"/>
  <c r="Z31" i="99" s="1"/>
  <c r="Y52" i="99"/>
  <c r="Z52" i="99" s="1"/>
  <c r="Y58" i="99"/>
  <c r="Z58" i="99" s="1"/>
  <c r="Y43" i="99"/>
  <c r="Z43" i="99" s="1"/>
  <c r="Y153" i="99"/>
  <c r="Z153" i="99" s="1"/>
  <c r="Y36" i="99"/>
  <c r="Z36" i="99" s="1"/>
  <c r="Y158" i="99"/>
  <c r="Z158" i="99" s="1"/>
  <c r="Y37" i="99"/>
  <c r="Z37" i="99" s="1"/>
  <c r="Y59" i="99"/>
  <c r="Z59" i="99" s="1"/>
  <c r="Y73" i="99"/>
  <c r="Z73" i="99" s="1"/>
  <c r="Y163" i="99"/>
  <c r="Z163" i="99" s="1"/>
  <c r="Y154" i="99"/>
  <c r="Z154" i="99" s="1"/>
  <c r="Y49" i="99"/>
  <c r="Z49" i="99" s="1"/>
  <c r="Y63" i="99"/>
  <c r="Z63" i="99" s="1"/>
  <c r="Y156" i="99"/>
  <c r="Z156" i="99" s="1"/>
  <c r="Y47" i="99"/>
  <c r="Z47" i="99" s="1"/>
  <c r="Y39" i="99"/>
  <c r="Z39" i="99" s="1"/>
  <c r="Y53" i="99"/>
  <c r="Z53" i="99" s="1"/>
  <c r="Y75" i="99"/>
  <c r="Z75" i="99" s="1"/>
  <c r="Y165" i="99"/>
  <c r="Z165" i="99" s="1"/>
  <c r="Y44" i="99"/>
  <c r="Z44" i="99" s="1"/>
  <c r="Y62" i="99"/>
  <c r="Z62" i="99" s="1"/>
  <c r="Y160" i="99"/>
  <c r="Z160" i="99" s="1"/>
  <c r="Y57" i="99"/>
  <c r="Z57" i="99" s="1"/>
  <c r="X84" i="99"/>
  <c r="Y84" i="99" s="1"/>
  <c r="Z84" i="99" s="1"/>
  <c r="X80" i="99"/>
  <c r="Y80" i="99" s="1"/>
  <c r="Z80" i="99" s="1"/>
  <c r="X85" i="99"/>
  <c r="Y85" i="99" s="1"/>
  <c r="Z85" i="99" s="1"/>
  <c r="X81" i="99"/>
  <c r="Y81" i="99" s="1"/>
  <c r="Z81" i="99" s="1"/>
  <c r="X78" i="99"/>
  <c r="Y78" i="99" s="1"/>
  <c r="Z78" i="99" s="1"/>
  <c r="X83" i="99"/>
  <c r="Y83" i="99" s="1"/>
  <c r="Z83" i="99" s="1"/>
  <c r="X82" i="99"/>
  <c r="Y82" i="99" s="1"/>
  <c r="Z82" i="99" s="1"/>
  <c r="X79" i="99"/>
  <c r="Y79" i="99" s="1"/>
  <c r="Z79" i="99" s="1"/>
  <c r="Z76" i="28"/>
  <c r="AA76" i="28" s="1"/>
  <c r="J26" i="52"/>
  <c r="I26" i="52" s="1"/>
  <c r="I65" i="52" s="1"/>
  <c r="Z26" i="52"/>
  <c r="Y26" i="52" s="1"/>
  <c r="Y65" i="52" s="1"/>
  <c r="H11" i="67"/>
  <c r="G11" i="67" s="1"/>
  <c r="O11" i="67"/>
  <c r="O36" i="67" s="1"/>
  <c r="Z36" i="9"/>
  <c r="Y36" i="9" s="1"/>
  <c r="Y61" i="9" s="1"/>
  <c r="AH36" i="9"/>
  <c r="AG36" i="9" s="1"/>
  <c r="AG62" i="9" s="1"/>
  <c r="H18" i="94"/>
  <c r="G18" i="94" s="1"/>
  <c r="G31" i="94" s="1"/>
  <c r="H88" i="33" s="1"/>
  <c r="P18" i="94"/>
  <c r="O18" i="94" s="1"/>
  <c r="O30" i="94" s="1"/>
  <c r="X18" i="94"/>
  <c r="W18" i="94" s="1"/>
  <c r="AF18" i="94"/>
  <c r="AE18" i="94" s="1"/>
  <c r="AE30" i="94" s="1"/>
  <c r="T18" i="94"/>
  <c r="S18" i="94" s="1"/>
  <c r="S30" i="94" s="1"/>
  <c r="AJ18" i="94"/>
  <c r="AI18" i="94" s="1"/>
  <c r="AI31" i="94" s="1"/>
  <c r="E24" i="43"/>
  <c r="F24" i="43" s="1"/>
  <c r="L26" i="48"/>
  <c r="K26" i="48" s="1"/>
  <c r="T26" i="48"/>
  <c r="S26" i="48" s="1"/>
  <c r="S66" i="48" s="1"/>
  <c r="N14" i="33" s="1"/>
  <c r="AB26" i="48"/>
  <c r="AA26" i="48" s="1"/>
  <c r="AJ26" i="48"/>
  <c r="AI26" i="48" s="1"/>
  <c r="AI66" i="48" s="1"/>
  <c r="V14" i="33" s="1"/>
  <c r="N26" i="48"/>
  <c r="M26" i="48" s="1"/>
  <c r="M66" i="48" s="1"/>
  <c r="K14" i="33" s="1"/>
  <c r="AD26" i="48"/>
  <c r="AC26" i="48" s="1"/>
  <c r="AC66" i="48" s="1"/>
  <c r="S14" i="33" s="1"/>
  <c r="J26" i="48"/>
  <c r="I26" i="48" s="1"/>
  <c r="I66" i="48" s="1"/>
  <c r="I14" i="33" s="1"/>
  <c r="Z26" i="48"/>
  <c r="Y26" i="48" s="1"/>
  <c r="Y66" i="48" s="1"/>
  <c r="J26" i="61"/>
  <c r="I26" i="61" s="1"/>
  <c r="R26" i="61"/>
  <c r="Q26" i="61" s="1"/>
  <c r="Q65" i="61" s="1"/>
  <c r="Z26" i="61"/>
  <c r="Y26" i="61" s="1"/>
  <c r="Y65" i="61" s="1"/>
  <c r="AH26" i="61"/>
  <c r="AG26" i="61" s="1"/>
  <c r="AG65" i="61" s="1"/>
  <c r="L26" i="61"/>
  <c r="K26" i="61" s="1"/>
  <c r="K66" i="61" s="1"/>
  <c r="T26" i="61"/>
  <c r="S26" i="61" s="1"/>
  <c r="S65" i="61" s="1"/>
  <c r="AB26" i="61"/>
  <c r="AA26" i="61" s="1"/>
  <c r="AA66" i="61" s="1"/>
  <c r="AJ26" i="61"/>
  <c r="AI26" i="61" s="1"/>
  <c r="AI65" i="61" s="1"/>
  <c r="AF26" i="61"/>
  <c r="AE26" i="61" s="1"/>
  <c r="AE66" i="61" s="1"/>
  <c r="T18" i="33" s="1"/>
  <c r="L43" i="64"/>
  <c r="K43" i="64" s="1"/>
  <c r="K79" i="64" s="1"/>
  <c r="J26" i="81"/>
  <c r="I26" i="81" s="1"/>
  <c r="I66" i="81" s="1"/>
  <c r="H26" i="81"/>
  <c r="G26" i="81" s="1"/>
  <c r="G66" i="81" s="1"/>
  <c r="J12" i="79"/>
  <c r="I12" i="79" s="1"/>
  <c r="I29" i="79" s="1"/>
  <c r="L12" i="78"/>
  <c r="K12" i="78" s="1"/>
  <c r="K33" i="78" s="1"/>
  <c r="AI51" i="8"/>
  <c r="AJ51" i="8" s="1"/>
  <c r="H6" i="43"/>
  <c r="G6" i="43" s="1"/>
  <c r="G18" i="43" s="1"/>
  <c r="W18" i="43"/>
  <c r="H26" i="62"/>
  <c r="G26" i="62" s="1"/>
  <c r="G66" i="62" s="1"/>
  <c r="H19" i="33" s="1"/>
  <c r="P26" i="62"/>
  <c r="O26" i="62" s="1"/>
  <c r="O66" i="62" s="1"/>
  <c r="X26" i="62"/>
  <c r="W26" i="62" s="1"/>
  <c r="AF26" i="62"/>
  <c r="AE26" i="62" s="1"/>
  <c r="AE65" i="62" s="1"/>
  <c r="AN26" i="62"/>
  <c r="AM26" i="62" s="1"/>
  <c r="AM66" i="62" s="1"/>
  <c r="AJ26" i="62"/>
  <c r="AI26" i="62" s="1"/>
  <c r="AI65" i="62" s="1"/>
  <c r="H26" i="63"/>
  <c r="G26" i="63" s="1"/>
  <c r="G66" i="63" s="1"/>
  <c r="H20" i="33" s="1"/>
  <c r="P26" i="63"/>
  <c r="O26" i="63" s="1"/>
  <c r="O65" i="63" s="1"/>
  <c r="X26" i="63"/>
  <c r="W26" i="63" s="1"/>
  <c r="W66" i="63" s="1"/>
  <c r="P20" i="33" s="1"/>
  <c r="AF26" i="63"/>
  <c r="AE26" i="63" s="1"/>
  <c r="AE65" i="63" s="1"/>
  <c r="AN26" i="63"/>
  <c r="AM26" i="63" s="1"/>
  <c r="AM65" i="63" s="1"/>
  <c r="L26" i="63"/>
  <c r="K26" i="63" s="1"/>
  <c r="K66" i="63" s="1"/>
  <c r="T26" i="63"/>
  <c r="S26" i="63" s="1"/>
  <c r="S66" i="63" s="1"/>
  <c r="AB26" i="63"/>
  <c r="AA26" i="63" s="1"/>
  <c r="AA65" i="63" s="1"/>
  <c r="AJ26" i="63"/>
  <c r="AI26" i="63" s="1"/>
  <c r="AI66" i="63" s="1"/>
  <c r="V12" i="80"/>
  <c r="U12" i="80" s="1"/>
  <c r="U30" i="80" s="1"/>
  <c r="N13" i="95"/>
  <c r="M13" i="95" s="1"/>
  <c r="M30" i="95" s="1"/>
  <c r="H27" i="8"/>
  <c r="G27" i="8" s="1"/>
  <c r="G47" i="8" s="1"/>
  <c r="X27" i="8"/>
  <c r="W27" i="8" s="1"/>
  <c r="W47" i="8" s="1"/>
  <c r="P86" i="32" s="1"/>
  <c r="V27" i="8"/>
  <c r="U27" i="8" s="1"/>
  <c r="U47" i="8" s="1"/>
  <c r="O86" i="32" s="1"/>
  <c r="T16" i="28"/>
  <c r="AA16" i="28" s="1"/>
  <c r="D6" i="99"/>
  <c r="C8" i="99"/>
  <c r="E6" i="99"/>
  <c r="B8" i="99"/>
  <c r="C6" i="99"/>
  <c r="G11" i="28"/>
  <c r="AF23" i="84"/>
  <c r="AE23" i="84" s="1"/>
  <c r="AE30" i="84" s="1"/>
  <c r="F62" i="53"/>
  <c r="E62" i="53" s="1"/>
  <c r="E69" i="53" s="1"/>
  <c r="G16" i="30" s="1"/>
  <c r="N62" i="53"/>
  <c r="M62" i="53" s="1"/>
  <c r="M69" i="53" s="1"/>
  <c r="K16" i="30" s="1"/>
  <c r="V62" i="53"/>
  <c r="U62" i="53" s="1"/>
  <c r="U69" i="53" s="1"/>
  <c r="AD62" i="53"/>
  <c r="AC62" i="53" s="1"/>
  <c r="AC69" i="53" s="1"/>
  <c r="S16" i="30" s="1"/>
  <c r="F76" i="64"/>
  <c r="E76" i="64" s="1"/>
  <c r="E83" i="64" s="1"/>
  <c r="E79" i="30" s="1"/>
  <c r="H33" i="65"/>
  <c r="G33" i="65" s="1"/>
  <c r="G40" i="65" s="1"/>
  <c r="U22" i="43"/>
  <c r="O22" i="30" s="1"/>
  <c r="J27" i="47"/>
  <c r="I27" i="47" s="1"/>
  <c r="I34" i="47" s="1"/>
  <c r="R27" i="47"/>
  <c r="Q27" i="47" s="1"/>
  <c r="Q34" i="47" s="1"/>
  <c r="M5" i="30" s="1"/>
  <c r="Z27" i="47"/>
  <c r="Y27" i="47" s="1"/>
  <c r="Y34" i="47" s="1"/>
  <c r="Q5" i="30" s="1"/>
  <c r="AH27" i="47"/>
  <c r="AG27" i="47" s="1"/>
  <c r="AG34" i="47" s="1"/>
  <c r="J23" i="84"/>
  <c r="I23" i="84" s="1"/>
  <c r="I30" i="84" s="1"/>
  <c r="I8" i="30" s="1"/>
  <c r="Z23" i="84"/>
  <c r="Y23" i="84" s="1"/>
  <c r="Y30" i="84" s="1"/>
  <c r="Q8" i="30" s="1"/>
  <c r="L27" i="47"/>
  <c r="K27" i="47" s="1"/>
  <c r="K34" i="47" s="1"/>
  <c r="J5" i="30" s="1"/>
  <c r="T27" i="47"/>
  <c r="S27" i="47" s="1"/>
  <c r="S34" i="47" s="1"/>
  <c r="N5" i="30" s="1"/>
  <c r="AB27" i="47"/>
  <c r="AA27" i="47" s="1"/>
  <c r="AA34" i="47" s="1"/>
  <c r="R5" i="30" s="1"/>
  <c r="L62" i="81"/>
  <c r="K62" i="81" s="1"/>
  <c r="J62" i="59"/>
  <c r="I62" i="59" s="1"/>
  <c r="I69" i="59" s="1"/>
  <c r="R62" i="59"/>
  <c r="Q62" i="59" s="1"/>
  <c r="Q69" i="59" s="1"/>
  <c r="Z62" i="59"/>
  <c r="Y62" i="59" s="1"/>
  <c r="Y69" i="59" s="1"/>
  <c r="AH62" i="59"/>
  <c r="AG62" i="59" s="1"/>
  <c r="AG69" i="59" s="1"/>
  <c r="L62" i="60"/>
  <c r="K62" i="60" s="1"/>
  <c r="T62" i="60"/>
  <c r="S62" i="60" s="1"/>
  <c r="S69" i="60" s="1"/>
  <c r="N17" i="30" s="1"/>
  <c r="AB62" i="60"/>
  <c r="AA62" i="60" s="1"/>
  <c r="AA69" i="60" s="1"/>
  <c r="R17" i="30" s="1"/>
  <c r="J62" i="61"/>
  <c r="I62" i="61" s="1"/>
  <c r="I69" i="61" s="1"/>
  <c r="R62" i="61"/>
  <c r="Q62" i="61" s="1"/>
  <c r="Z62" i="61"/>
  <c r="Y62" i="61" s="1"/>
  <c r="Y69" i="61" s="1"/>
  <c r="Q18" i="30" s="1"/>
  <c r="L62" i="63"/>
  <c r="K62" i="63" s="1"/>
  <c r="K69" i="63" s="1"/>
  <c r="J20" i="30" s="1"/>
  <c r="T62" i="63"/>
  <c r="S62" i="63" s="1"/>
  <c r="S69" i="63" s="1"/>
  <c r="J62" i="81"/>
  <c r="I62" i="81" s="1"/>
  <c r="F32" i="67"/>
  <c r="E32" i="67" s="1"/>
  <c r="E39" i="67" s="1"/>
  <c r="N32" i="67"/>
  <c r="M32" i="67" s="1"/>
  <c r="M39" i="67" s="1"/>
  <c r="J30" i="78"/>
  <c r="I30" i="78" s="1"/>
  <c r="I37" i="78" s="1"/>
  <c r="I62" i="30" s="1"/>
  <c r="R30" i="78"/>
  <c r="Q30" i="78" s="1"/>
  <c r="Q37" i="78" s="1"/>
  <c r="M62" i="30" s="1"/>
  <c r="Z30" i="78"/>
  <c r="Y30" i="78" s="1"/>
  <c r="AH30" i="78"/>
  <c r="AG30" i="78" s="1"/>
  <c r="AG37" i="78" s="1"/>
  <c r="L58" i="9"/>
  <c r="K58" i="9" s="1"/>
  <c r="K65" i="9" s="1"/>
  <c r="AK22" i="75"/>
  <c r="AK22" i="43"/>
  <c r="W22" i="30" s="1"/>
  <c r="L16" i="46"/>
  <c r="K16" i="46" s="1"/>
  <c r="N27" i="47"/>
  <c r="M27" i="47" s="1"/>
  <c r="M34" i="47" s="1"/>
  <c r="V27" i="47"/>
  <c r="U27" i="47" s="1"/>
  <c r="U34" i="47" s="1"/>
  <c r="AJ62" i="60"/>
  <c r="AI62" i="60" s="1"/>
  <c r="AI69" i="60" s="1"/>
  <c r="V17" i="30" s="1"/>
  <c r="AH62" i="61"/>
  <c r="AG62" i="61" s="1"/>
  <c r="AG69" i="61" s="1"/>
  <c r="P22" i="88"/>
  <c r="O22" i="88" s="1"/>
  <c r="O29" i="88" s="1"/>
  <c r="AF22" i="88"/>
  <c r="AE22" i="88" s="1"/>
  <c r="AE29" i="88" s="1"/>
  <c r="F29" i="83"/>
  <c r="E29" i="83" s="1"/>
  <c r="E36" i="83" s="1"/>
  <c r="V29" i="83"/>
  <c r="U29" i="83" s="1"/>
  <c r="U36" i="83" s="1"/>
  <c r="O9" i="30" s="1"/>
  <c r="AL29" i="83"/>
  <c r="AK29" i="83" s="1"/>
  <c r="AK36" i="83" s="1"/>
  <c r="AL62" i="53"/>
  <c r="AK62" i="53" s="1"/>
  <c r="AK69" i="53" s="1"/>
  <c r="W16" i="30" s="1"/>
  <c r="J76" i="64"/>
  <c r="I76" i="64" s="1"/>
  <c r="I83" i="64" s="1"/>
  <c r="E81" i="30" s="1"/>
  <c r="N30" i="78"/>
  <c r="M30" i="78" s="1"/>
  <c r="M37" i="78" s="1"/>
  <c r="V30" i="78"/>
  <c r="U30" i="78" s="1"/>
  <c r="U37" i="78" s="1"/>
  <c r="O62" i="30" s="1"/>
  <c r="AL30" i="78"/>
  <c r="AK30" i="78" s="1"/>
  <c r="AK37" i="78" s="1"/>
  <c r="J58" i="9"/>
  <c r="I58" i="9" s="1"/>
  <c r="I65" i="9" s="1"/>
  <c r="I85" i="30" s="1"/>
  <c r="Z58" i="9"/>
  <c r="Y58" i="9" s="1"/>
  <c r="Y65" i="9" s="1"/>
  <c r="Q85" i="30" s="1"/>
  <c r="AF58" i="9"/>
  <c r="AE58" i="9" s="1"/>
  <c r="AE65" i="9" s="1"/>
  <c r="X15" i="75"/>
  <c r="W15" i="75" s="1"/>
  <c r="W22" i="75" s="1"/>
  <c r="P24" i="30" s="1"/>
  <c r="F62" i="60"/>
  <c r="E62" i="60" s="1"/>
  <c r="E69" i="60" s="1"/>
  <c r="N62" i="60"/>
  <c r="M62" i="60" s="1"/>
  <c r="M69" i="60" s="1"/>
  <c r="K17" i="30" s="1"/>
  <c r="V62" i="60"/>
  <c r="U62" i="60" s="1"/>
  <c r="U69" i="60" s="1"/>
  <c r="AD62" i="60"/>
  <c r="AC62" i="60" s="1"/>
  <c r="AC69" i="60" s="1"/>
  <c r="AL62" i="60"/>
  <c r="AK62" i="60" s="1"/>
  <c r="AK69" i="60" s="1"/>
  <c r="P62" i="60"/>
  <c r="O62" i="60" s="1"/>
  <c r="O69" i="60" s="1"/>
  <c r="AF62" i="60"/>
  <c r="AE62" i="60" s="1"/>
  <c r="J62" i="60"/>
  <c r="I62" i="60" s="1"/>
  <c r="I69" i="60" s="1"/>
  <c r="I17" i="30" s="1"/>
  <c r="Z62" i="60"/>
  <c r="Y62" i="60" s="1"/>
  <c r="Y69" i="60" s="1"/>
  <c r="AD62" i="61"/>
  <c r="AC62" i="61" s="1"/>
  <c r="AC69" i="61" s="1"/>
  <c r="S18" i="30" s="1"/>
  <c r="H62" i="61"/>
  <c r="G62" i="61" s="1"/>
  <c r="G69" i="61" s="1"/>
  <c r="X62" i="61"/>
  <c r="W62" i="61" s="1"/>
  <c r="W69" i="61" s="1"/>
  <c r="P18" i="30" s="1"/>
  <c r="AN62" i="61"/>
  <c r="AM62" i="61" s="1"/>
  <c r="AM69" i="61" s="1"/>
  <c r="AB62" i="62"/>
  <c r="AA62" i="62" s="1"/>
  <c r="AA69" i="62" s="1"/>
  <c r="R19" i="30" s="1"/>
  <c r="H76" i="64"/>
  <c r="G76" i="64" s="1"/>
  <c r="G83" i="64" s="1"/>
  <c r="E80" i="30" s="1"/>
  <c r="H62" i="81"/>
  <c r="G62" i="81" s="1"/>
  <c r="G69" i="81" s="1"/>
  <c r="N28" i="68"/>
  <c r="M28" i="68" s="1"/>
  <c r="M35" i="68" s="1"/>
  <c r="K61" i="30" s="1"/>
  <c r="O61" i="30"/>
  <c r="N29" i="83"/>
  <c r="M29" i="83" s="1"/>
  <c r="M36" i="83" s="1"/>
  <c r="AD29" i="83"/>
  <c r="AC29" i="83" s="1"/>
  <c r="AC36" i="83" s="1"/>
  <c r="AB62" i="63"/>
  <c r="AA62" i="63" s="1"/>
  <c r="AA69" i="63" s="1"/>
  <c r="R20" i="30" s="1"/>
  <c r="AJ62" i="63"/>
  <c r="AI62" i="63" s="1"/>
  <c r="AI69" i="63" s="1"/>
  <c r="F62" i="63"/>
  <c r="E62" i="63" s="1"/>
  <c r="E69" i="63" s="1"/>
  <c r="N62" i="63"/>
  <c r="M62" i="63" s="1"/>
  <c r="M69" i="63" s="1"/>
  <c r="V62" i="63"/>
  <c r="U62" i="63" s="1"/>
  <c r="U69" i="63" s="1"/>
  <c r="O20" i="30" s="1"/>
  <c r="AD62" i="63"/>
  <c r="AC62" i="63" s="1"/>
  <c r="AC69" i="63" s="1"/>
  <c r="AL62" i="63"/>
  <c r="AK62" i="63" s="1"/>
  <c r="AK69" i="63" s="1"/>
  <c r="W20" i="30" s="1"/>
  <c r="H62" i="63"/>
  <c r="G62" i="63" s="1"/>
  <c r="G69" i="63" s="1"/>
  <c r="H20" i="30" s="1"/>
  <c r="P62" i="63"/>
  <c r="O62" i="63" s="1"/>
  <c r="O69" i="63" s="1"/>
  <c r="L20" i="30" s="1"/>
  <c r="X62" i="63"/>
  <c r="W62" i="63" s="1"/>
  <c r="W69" i="63" s="1"/>
  <c r="P20" i="30" s="1"/>
  <c r="AN62" i="63"/>
  <c r="AM62" i="63" s="1"/>
  <c r="AM69" i="63" s="1"/>
  <c r="L32" i="67"/>
  <c r="K32" i="67" s="1"/>
  <c r="K39" i="67" s="1"/>
  <c r="H58" i="9"/>
  <c r="G58" i="9" s="1"/>
  <c r="G65" i="9" s="1"/>
  <c r="X58" i="9"/>
  <c r="W58" i="9" s="1"/>
  <c r="W65" i="9" s="1"/>
  <c r="P85" i="30" s="1"/>
  <c r="AH58" i="9"/>
  <c r="AG58" i="9" s="1"/>
  <c r="AG65" i="9" s="1"/>
  <c r="U85" i="30" s="1"/>
  <c r="AN58" i="9"/>
  <c r="AM58" i="9" s="1"/>
  <c r="AM65" i="9" s="1"/>
  <c r="H15" i="75"/>
  <c r="G15" i="75" s="1"/>
  <c r="G22" i="75" s="1"/>
  <c r="H24" i="30" s="1"/>
  <c r="AD27" i="47"/>
  <c r="AC27" i="47" s="1"/>
  <c r="AC34" i="47" s="1"/>
  <c r="P29" i="83"/>
  <c r="O29" i="83" s="1"/>
  <c r="O36" i="83" s="1"/>
  <c r="L9" i="30" s="1"/>
  <c r="AF29" i="83"/>
  <c r="AE29" i="83" s="1"/>
  <c r="AE36" i="83" s="1"/>
  <c r="T9" i="30" s="1"/>
  <c r="AF62" i="63"/>
  <c r="AE62" i="63" s="1"/>
  <c r="AE69" i="63" s="1"/>
  <c r="T20" i="30" s="1"/>
  <c r="H62" i="53"/>
  <c r="G62" i="53" s="1"/>
  <c r="G69" i="53" s="1"/>
  <c r="H16" i="30" s="1"/>
  <c r="P62" i="53"/>
  <c r="O62" i="53" s="1"/>
  <c r="O69" i="53" s="1"/>
  <c r="L16" i="30" s="1"/>
  <c r="X62" i="53"/>
  <c r="W62" i="53" s="1"/>
  <c r="W69" i="53" s="1"/>
  <c r="P16" i="30" s="1"/>
  <c r="AF62" i="53"/>
  <c r="AE62" i="53" s="1"/>
  <c r="AE69" i="53" s="1"/>
  <c r="T16" i="30" s="1"/>
  <c r="AN62" i="53"/>
  <c r="AM62" i="53" s="1"/>
  <c r="AM69" i="53" s="1"/>
  <c r="J62" i="53"/>
  <c r="I62" i="53" s="1"/>
  <c r="I69" i="53" s="1"/>
  <c r="I16" i="30" s="1"/>
  <c r="R62" i="53"/>
  <c r="Q62" i="53" s="1"/>
  <c r="Q69" i="53" s="1"/>
  <c r="M16" i="30" s="1"/>
  <c r="Z62" i="53"/>
  <c r="Y62" i="53" s="1"/>
  <c r="Y69" i="53" s="1"/>
  <c r="Q16" i="30" s="1"/>
  <c r="AH62" i="53"/>
  <c r="AG62" i="53" s="1"/>
  <c r="AG69" i="53" s="1"/>
  <c r="U16" i="30" s="1"/>
  <c r="H62" i="62"/>
  <c r="G62" i="62" s="1"/>
  <c r="G69" i="62" s="1"/>
  <c r="P62" i="62"/>
  <c r="O62" i="62" s="1"/>
  <c r="O69" i="62" s="1"/>
  <c r="L19" i="30" s="1"/>
  <c r="X62" i="62"/>
  <c r="W62" i="62" s="1"/>
  <c r="AF62" i="62"/>
  <c r="AE62" i="62" s="1"/>
  <c r="AE69" i="62" s="1"/>
  <c r="AN62" i="62"/>
  <c r="AM62" i="62" s="1"/>
  <c r="AM69" i="62" s="1"/>
  <c r="R62" i="62"/>
  <c r="Q62" i="62" s="1"/>
  <c r="Q69" i="62" s="1"/>
  <c r="M19" i="30" s="1"/>
  <c r="AH62" i="62"/>
  <c r="AG62" i="62" s="1"/>
  <c r="AG69" i="62" s="1"/>
  <c r="L62" i="62"/>
  <c r="K62" i="62" s="1"/>
  <c r="K69" i="62" s="1"/>
  <c r="J19" i="30" s="1"/>
  <c r="F30" i="78"/>
  <c r="E30" i="78" s="1"/>
  <c r="E37" i="78" s="1"/>
  <c r="G62" i="30" s="1"/>
  <c r="AD30" i="78"/>
  <c r="AC30" i="78" s="1"/>
  <c r="AC37" i="78" s="1"/>
  <c r="N15" i="75"/>
  <c r="M15" i="75" s="1"/>
  <c r="M22" i="75" s="1"/>
  <c r="J29" i="83"/>
  <c r="I29" i="83" s="1"/>
  <c r="I36" i="83" s="1"/>
  <c r="I9" i="30" s="1"/>
  <c r="Z29" i="83"/>
  <c r="Y29" i="83" s="1"/>
  <c r="Y36" i="83" s="1"/>
  <c r="Q9" i="30" s="1"/>
  <c r="T26" i="85"/>
  <c r="S26" i="85" s="1"/>
  <c r="S33" i="85" s="1"/>
  <c r="AJ26" i="85"/>
  <c r="AI26" i="85" s="1"/>
  <c r="AI33" i="85" s="1"/>
  <c r="V10" i="30" s="1"/>
  <c r="L62" i="59"/>
  <c r="K62" i="59" s="1"/>
  <c r="K69" i="59" s="1"/>
  <c r="T62" i="59"/>
  <c r="S62" i="59" s="1"/>
  <c r="S69" i="59" s="1"/>
  <c r="AB62" i="59"/>
  <c r="AA62" i="59" s="1"/>
  <c r="AA69" i="59" s="1"/>
  <c r="AJ62" i="59"/>
  <c r="AI62" i="59" s="1"/>
  <c r="AI69" i="59" s="1"/>
  <c r="L62" i="48"/>
  <c r="K62" i="48" s="1"/>
  <c r="K69" i="48" s="1"/>
  <c r="J14" i="30" s="1"/>
  <c r="T62" i="48"/>
  <c r="S62" i="48" s="1"/>
  <c r="S69" i="48" s="1"/>
  <c r="AB62" i="48"/>
  <c r="AA62" i="48" s="1"/>
  <c r="AA69" i="48" s="1"/>
  <c r="R14" i="30" s="1"/>
  <c r="AJ62" i="48"/>
  <c r="AI62" i="48" s="1"/>
  <c r="AI69" i="48" s="1"/>
  <c r="V14" i="30" s="1"/>
  <c r="L76" i="64"/>
  <c r="K76" i="64" s="1"/>
  <c r="K83" i="64" s="1"/>
  <c r="T58" i="9"/>
  <c r="S58" i="9" s="1"/>
  <c r="S65" i="9" s="1"/>
  <c r="N85" i="30" s="1"/>
  <c r="AJ58" i="9"/>
  <c r="AI58" i="9" s="1"/>
  <c r="AI65" i="9" s="1"/>
  <c r="V85" i="30" s="1"/>
  <c r="H16" i="46"/>
  <c r="G16" i="46" s="1"/>
  <c r="G23" i="46" s="1"/>
  <c r="V16" i="46"/>
  <c r="U16" i="46" s="1"/>
  <c r="U23" i="46" s="1"/>
  <c r="F27" i="47"/>
  <c r="E27" i="47" s="1"/>
  <c r="E34" i="47" s="1"/>
  <c r="G5" i="30" s="1"/>
  <c r="AL27" i="47"/>
  <c r="AK27" i="47" s="1"/>
  <c r="AK34" i="47" s="1"/>
  <c r="W5" i="30" s="1"/>
  <c r="AB25" i="51"/>
  <c r="AA25" i="51" s="1"/>
  <c r="AA32" i="51" s="1"/>
  <c r="R7" i="30" s="1"/>
  <c r="P23" i="84"/>
  <c r="O23" i="84" s="1"/>
  <c r="O30" i="84" s="1"/>
  <c r="L29" i="83"/>
  <c r="K29" i="83" s="1"/>
  <c r="K36" i="83" s="1"/>
  <c r="J9" i="30" s="1"/>
  <c r="AB29" i="83"/>
  <c r="AA29" i="83" s="1"/>
  <c r="AA36" i="83" s="1"/>
  <c r="R9" i="30" s="1"/>
  <c r="N23" i="87"/>
  <c r="M23" i="87" s="1"/>
  <c r="M30" i="87" s="1"/>
  <c r="K11" i="30" s="1"/>
  <c r="AD23" i="87"/>
  <c r="AC23" i="87" s="1"/>
  <c r="AC30" i="87" s="1"/>
  <c r="S11" i="30" s="1"/>
  <c r="R62" i="60"/>
  <c r="Q62" i="60" s="1"/>
  <c r="Q69" i="60" s="1"/>
  <c r="M17" i="30" s="1"/>
  <c r="AH62" i="60"/>
  <c r="AG62" i="60" s="1"/>
  <c r="AG69" i="60" s="1"/>
  <c r="U17" i="30" s="1"/>
  <c r="N62" i="61"/>
  <c r="M62" i="61" s="1"/>
  <c r="M69" i="61" s="1"/>
  <c r="T27" i="95"/>
  <c r="S27" i="95" s="1"/>
  <c r="S34" i="95" s="1"/>
  <c r="E71" i="30" s="1"/>
  <c r="F62" i="59"/>
  <c r="E62" i="59" s="1"/>
  <c r="E69" i="59" s="1"/>
  <c r="N62" i="59"/>
  <c r="M62" i="59" s="1"/>
  <c r="M69" i="59" s="1"/>
  <c r="V62" i="59"/>
  <c r="U62" i="59" s="1"/>
  <c r="U69" i="59" s="1"/>
  <c r="AD62" i="59"/>
  <c r="AC62" i="59" s="1"/>
  <c r="AC69" i="59" s="1"/>
  <c r="AL62" i="59"/>
  <c r="AK62" i="59" s="1"/>
  <c r="AK69" i="59" s="1"/>
  <c r="F62" i="45"/>
  <c r="E62" i="45" s="1"/>
  <c r="E69" i="45" s="1"/>
  <c r="G13" i="30" s="1"/>
  <c r="N62" i="45"/>
  <c r="M62" i="45" s="1"/>
  <c r="M69" i="45" s="1"/>
  <c r="V62" i="45"/>
  <c r="U62" i="45" s="1"/>
  <c r="U69" i="45" s="1"/>
  <c r="O13" i="30" s="1"/>
  <c r="AD62" i="45"/>
  <c r="AC62" i="45" s="1"/>
  <c r="AC69" i="45" s="1"/>
  <c r="S13" i="30" s="1"/>
  <c r="AL62" i="45"/>
  <c r="AK62" i="45" s="1"/>
  <c r="AK69" i="45" s="1"/>
  <c r="F62" i="48"/>
  <c r="E62" i="48" s="1"/>
  <c r="E69" i="48" s="1"/>
  <c r="N62" i="48"/>
  <c r="M62" i="48" s="1"/>
  <c r="M69" i="48" s="1"/>
  <c r="K14" i="30" s="1"/>
  <c r="V62" i="48"/>
  <c r="U62" i="48" s="1"/>
  <c r="U69" i="48" s="1"/>
  <c r="O14" i="30" s="1"/>
  <c r="AD62" i="48"/>
  <c r="AC62" i="48" s="1"/>
  <c r="AC69" i="48" s="1"/>
  <c r="AL62" i="48"/>
  <c r="AK62" i="48" s="1"/>
  <c r="AK69" i="48" s="1"/>
  <c r="L62" i="52"/>
  <c r="K62" i="52" s="1"/>
  <c r="K69" i="52" s="1"/>
  <c r="J15" i="30" s="1"/>
  <c r="T62" i="52"/>
  <c r="S62" i="52" s="1"/>
  <c r="S69" i="52" s="1"/>
  <c r="N15" i="30" s="1"/>
  <c r="AB62" i="52"/>
  <c r="AA62" i="52" s="1"/>
  <c r="AJ62" i="52"/>
  <c r="AI62" i="52" s="1"/>
  <c r="AI69" i="52" s="1"/>
  <c r="L22" i="88"/>
  <c r="K22" i="88" s="1"/>
  <c r="K29" i="88" s="1"/>
  <c r="J21" i="30" s="1"/>
  <c r="AB22" i="88"/>
  <c r="AA22" i="88" s="1"/>
  <c r="AA29" i="88" s="1"/>
  <c r="R21" i="30" s="1"/>
  <c r="J33" i="65"/>
  <c r="I33" i="65" s="1"/>
  <c r="F62" i="81"/>
  <c r="E62" i="81" s="1"/>
  <c r="E69" i="81" s="1"/>
  <c r="M62" i="81"/>
  <c r="M69" i="81" s="1"/>
  <c r="H28" i="68"/>
  <c r="G28" i="68" s="1"/>
  <c r="G35" i="68" s="1"/>
  <c r="H61" i="30" s="1"/>
  <c r="P28" i="68"/>
  <c r="O28" i="68" s="1"/>
  <c r="L28" i="68"/>
  <c r="K28" i="68" s="1"/>
  <c r="K35" i="68" s="1"/>
  <c r="J61" i="30" s="1"/>
  <c r="T28" i="68"/>
  <c r="S28" i="68" s="1"/>
  <c r="S35" i="68" s="1"/>
  <c r="N61" i="30" s="1"/>
  <c r="H30" i="78"/>
  <c r="G30" i="78" s="1"/>
  <c r="G37" i="78" s="1"/>
  <c r="P30" i="78"/>
  <c r="O30" i="78" s="1"/>
  <c r="X30" i="78"/>
  <c r="W30" i="78" s="1"/>
  <c r="W37" i="78" s="1"/>
  <c r="AF30" i="78"/>
  <c r="AE30" i="78" s="1"/>
  <c r="AE37" i="78" s="1"/>
  <c r="AM30" i="78"/>
  <c r="AM37" i="78" s="1"/>
  <c r="AB58" i="9"/>
  <c r="AA58" i="9" s="1"/>
  <c r="AA65" i="9" s="1"/>
  <c r="R85" i="30" s="1"/>
  <c r="L15" i="75"/>
  <c r="K15" i="75" s="1"/>
  <c r="K22" i="75" s="1"/>
  <c r="J24" i="30" s="1"/>
  <c r="N16" i="46"/>
  <c r="M16" i="46" s="1"/>
  <c r="M23" i="46" s="1"/>
  <c r="H27" i="47"/>
  <c r="G27" i="47" s="1"/>
  <c r="G34" i="47" s="1"/>
  <c r="H5" i="30" s="1"/>
  <c r="P27" i="47"/>
  <c r="O27" i="47" s="1"/>
  <c r="O34" i="47" s="1"/>
  <c r="X27" i="47"/>
  <c r="W27" i="47" s="1"/>
  <c r="W34" i="47" s="1"/>
  <c r="P5" i="30" s="1"/>
  <c r="AF27" i="47"/>
  <c r="AE27" i="47" s="1"/>
  <c r="AE34" i="47" s="1"/>
  <c r="T5" i="30" s="1"/>
  <c r="H25" i="51"/>
  <c r="G25" i="51" s="1"/>
  <c r="G32" i="51" s="1"/>
  <c r="H7" i="30" s="1"/>
  <c r="P25" i="51"/>
  <c r="O25" i="51" s="1"/>
  <c r="O32" i="51" s="1"/>
  <c r="L7" i="30" s="1"/>
  <c r="X25" i="51"/>
  <c r="W25" i="51" s="1"/>
  <c r="W32" i="51" s="1"/>
  <c r="P7" i="30" s="1"/>
  <c r="AF25" i="51"/>
  <c r="AE25" i="51" s="1"/>
  <c r="AE32" i="51" s="1"/>
  <c r="T7" i="30" s="1"/>
  <c r="N25" i="51"/>
  <c r="M25" i="51" s="1"/>
  <c r="M32" i="51" s="1"/>
  <c r="AL25" i="51"/>
  <c r="AK25" i="51" s="1"/>
  <c r="AK32" i="51" s="1"/>
  <c r="W7" i="30" s="1"/>
  <c r="H29" i="83"/>
  <c r="G29" i="83" s="1"/>
  <c r="G36" i="83" s="1"/>
  <c r="H9" i="30" s="1"/>
  <c r="R29" i="83"/>
  <c r="Q29" i="83" s="1"/>
  <c r="Q36" i="83" s="1"/>
  <c r="X29" i="83"/>
  <c r="W29" i="83" s="1"/>
  <c r="W36" i="83" s="1"/>
  <c r="P9" i="30" s="1"/>
  <c r="AH29" i="83"/>
  <c r="AG29" i="83" s="1"/>
  <c r="AG36" i="83" s="1"/>
  <c r="U9" i="30" s="1"/>
  <c r="F62" i="52"/>
  <c r="E62" i="52" s="1"/>
  <c r="E69" i="52" s="1"/>
  <c r="G15" i="30" s="1"/>
  <c r="N62" i="52"/>
  <c r="M62" i="52" s="1"/>
  <c r="M69" i="52" s="1"/>
  <c r="K15" i="30" s="1"/>
  <c r="V62" i="52"/>
  <c r="U62" i="52" s="1"/>
  <c r="U69" i="52" s="1"/>
  <c r="O15" i="30" s="1"/>
  <c r="AD62" i="52"/>
  <c r="AC62" i="52" s="1"/>
  <c r="AC69" i="52" s="1"/>
  <c r="S15" i="30" s="1"/>
  <c r="AL62" i="52"/>
  <c r="AK62" i="52" s="1"/>
  <c r="AK69" i="52" s="1"/>
  <c r="L62" i="53"/>
  <c r="K62" i="53" s="1"/>
  <c r="K69" i="53" s="1"/>
  <c r="J16" i="30" s="1"/>
  <c r="T62" i="53"/>
  <c r="S62" i="53" s="1"/>
  <c r="S69" i="53" s="1"/>
  <c r="N16" i="30" s="1"/>
  <c r="AB62" i="53"/>
  <c r="AA62" i="53" s="1"/>
  <c r="AA69" i="53" s="1"/>
  <c r="R16" i="30" s="1"/>
  <c r="AJ62" i="53"/>
  <c r="AI62" i="53" s="1"/>
  <c r="AI69" i="53" s="1"/>
  <c r="V16" i="30" s="1"/>
  <c r="H62" i="60"/>
  <c r="G62" i="60" s="1"/>
  <c r="G69" i="60" s="1"/>
  <c r="H17" i="30" s="1"/>
  <c r="X62" i="60"/>
  <c r="W62" i="60" s="1"/>
  <c r="W69" i="60" s="1"/>
  <c r="P17" i="30" s="1"/>
  <c r="AN62" i="60"/>
  <c r="AM62" i="60" s="1"/>
  <c r="AM69" i="60" s="1"/>
  <c r="P62" i="61"/>
  <c r="O62" i="61" s="1"/>
  <c r="O69" i="61" s="1"/>
  <c r="L18" i="30" s="1"/>
  <c r="AF62" i="61"/>
  <c r="AE62" i="61" s="1"/>
  <c r="X22" i="88"/>
  <c r="W22" i="88" s="1"/>
  <c r="W29" i="88" s="1"/>
  <c r="AM22" i="88"/>
  <c r="AM29" i="88" s="1"/>
  <c r="L33" i="65"/>
  <c r="K33" i="65" s="1"/>
  <c r="K40" i="65" s="1"/>
  <c r="J28" i="68"/>
  <c r="I28" i="68" s="1"/>
  <c r="I35" i="68" s="1"/>
  <c r="I61" i="30" s="1"/>
  <c r="R28" i="68"/>
  <c r="Q28" i="68" s="1"/>
  <c r="Q35" i="68" s="1"/>
  <c r="R27" i="95"/>
  <c r="Q27" i="95" s="1"/>
  <c r="Q34" i="95" s="1"/>
  <c r="E70" i="30" s="1"/>
  <c r="G9" i="65"/>
  <c r="H9" i="65" s="1"/>
  <c r="G7" i="65"/>
  <c r="H7" i="65" s="1"/>
  <c r="D10" i="99"/>
  <c r="E30" i="66"/>
  <c r="F30" i="66" s="1"/>
  <c r="F83" i="28"/>
  <c r="E29" i="66"/>
  <c r="F29" i="66" s="1"/>
  <c r="O6" i="64"/>
  <c r="G19" i="65"/>
  <c r="H19" i="65" s="1"/>
  <c r="H22" i="65" s="1"/>
  <c r="G22" i="65" s="1"/>
  <c r="G38" i="65" s="1"/>
  <c r="G8" i="65"/>
  <c r="H8" i="65" s="1"/>
  <c r="B10" i="99"/>
  <c r="B11" i="99"/>
  <c r="H23" i="96"/>
  <c r="G23" i="96" s="1"/>
  <c r="G47" i="96" s="1"/>
  <c r="H43" i="96"/>
  <c r="G43" i="96" s="1"/>
  <c r="G50" i="96" s="1"/>
  <c r="G10" i="28"/>
  <c r="I4" i="66" s="1"/>
  <c r="V47" i="28"/>
  <c r="D30" i="2"/>
  <c r="E30" i="2" s="1"/>
  <c r="J161" i="2"/>
  <c r="K24" i="32"/>
  <c r="K34" i="44"/>
  <c r="J4" i="30" s="1"/>
  <c r="E298" i="2"/>
  <c r="B304" i="2" s="1"/>
  <c r="D304" i="2" s="1"/>
  <c r="E304" i="2" s="1"/>
  <c r="J37" i="35"/>
  <c r="I37" i="35" s="1"/>
  <c r="I59" i="35" s="1"/>
  <c r="I84" i="32" s="1"/>
  <c r="Z37" i="35"/>
  <c r="Y37" i="35" s="1"/>
  <c r="Y59" i="35" s="1"/>
  <c r="T54" i="35"/>
  <c r="S54" i="35" s="1"/>
  <c r="AJ54" i="35"/>
  <c r="AI54" i="35" s="1"/>
  <c r="Q34" i="94"/>
  <c r="M88" i="30" s="1"/>
  <c r="E29" i="2"/>
  <c r="I180" i="2"/>
  <c r="B184" i="2" s="1"/>
  <c r="E184" i="2" s="1"/>
  <c r="E187" i="2" s="1"/>
  <c r="B221" i="2" s="1"/>
  <c r="F37" i="35"/>
  <c r="E37" i="35" s="1"/>
  <c r="E59" i="35" s="1"/>
  <c r="V37" i="35"/>
  <c r="U37" i="35" s="1"/>
  <c r="U59" i="35" s="1"/>
  <c r="AL37" i="35"/>
  <c r="AK37" i="35" s="1"/>
  <c r="AK59" i="35" s="1"/>
  <c r="K34" i="94"/>
  <c r="J88" i="30" s="1"/>
  <c r="AA34" i="94"/>
  <c r="R88" i="30" s="1"/>
  <c r="G34" i="44"/>
  <c r="W34" i="44"/>
  <c r="O34" i="44"/>
  <c r="AI34" i="44"/>
  <c r="V4" i="30" s="1"/>
  <c r="G4" i="30"/>
  <c r="F5" i="47"/>
  <c r="P5" i="47"/>
  <c r="V5" i="47"/>
  <c r="V10" i="47" s="1"/>
  <c r="U10" i="47" s="1"/>
  <c r="AL5" i="47"/>
  <c r="O12" i="47"/>
  <c r="P12" i="47" s="1"/>
  <c r="P14" i="47" s="1"/>
  <c r="O14" i="47" s="1"/>
  <c r="O32" i="47" s="1"/>
  <c r="P7" i="47"/>
  <c r="AE12" i="47"/>
  <c r="AF12" i="47" s="1"/>
  <c r="AF14" i="47" s="1"/>
  <c r="AE14" i="47" s="1"/>
  <c r="AE32" i="47" s="1"/>
  <c r="T5" i="32" s="1"/>
  <c r="AF7" i="47"/>
  <c r="I17" i="50"/>
  <c r="J17" i="50" s="1"/>
  <c r="J5" i="50"/>
  <c r="AJ5" i="50"/>
  <c r="AK64" i="35"/>
  <c r="AG64" i="35"/>
  <c r="AC64" i="35"/>
  <c r="Y64" i="35"/>
  <c r="U64" i="35"/>
  <c r="Q64" i="35"/>
  <c r="M64" i="35"/>
  <c r="I64" i="35"/>
  <c r="E64" i="35"/>
  <c r="AM64" i="35"/>
  <c r="AI64" i="35"/>
  <c r="AE64" i="35"/>
  <c r="AA64" i="35"/>
  <c r="W64" i="35"/>
  <c r="S64" i="35"/>
  <c r="O64" i="35"/>
  <c r="K64" i="35"/>
  <c r="G64" i="35"/>
  <c r="AD42" i="9"/>
  <c r="AC42" i="9" s="1"/>
  <c r="AC63" i="9" s="1"/>
  <c r="O85" i="30"/>
  <c r="X25" i="94"/>
  <c r="W25" i="94" s="1"/>
  <c r="W33" i="94" s="1"/>
  <c r="P88" i="31" s="1"/>
  <c r="AM25" i="94"/>
  <c r="AM33" i="94" s="1"/>
  <c r="E68" i="2"/>
  <c r="E164" i="2"/>
  <c r="E165" i="2"/>
  <c r="J7" i="66"/>
  <c r="T7" i="66"/>
  <c r="H7" i="66"/>
  <c r="N7" i="66"/>
  <c r="F7" i="66"/>
  <c r="L7" i="66"/>
  <c r="F4" i="35"/>
  <c r="R26" i="35"/>
  <c r="AH26" i="35"/>
  <c r="T31" i="35"/>
  <c r="AJ31" i="35"/>
  <c r="H37" i="35"/>
  <c r="G37" i="35" s="1"/>
  <c r="G59" i="35" s="1"/>
  <c r="H84" i="32" s="1"/>
  <c r="L37" i="35"/>
  <c r="K37" i="35" s="1"/>
  <c r="K59" i="35" s="1"/>
  <c r="J84" i="32" s="1"/>
  <c r="P37" i="35"/>
  <c r="O37" i="35" s="1"/>
  <c r="O59" i="35" s="1"/>
  <c r="T37" i="35"/>
  <c r="S37" i="35" s="1"/>
  <c r="S59" i="35" s="1"/>
  <c r="N84" i="32" s="1"/>
  <c r="N94" i="32" s="1"/>
  <c r="X37" i="35"/>
  <c r="W37" i="35" s="1"/>
  <c r="W59" i="35" s="1"/>
  <c r="P84" i="32" s="1"/>
  <c r="AB37" i="35"/>
  <c r="AA37" i="35" s="1"/>
  <c r="AA59" i="35" s="1"/>
  <c r="R84" i="32" s="1"/>
  <c r="R94" i="32" s="1"/>
  <c r="AF37" i="35"/>
  <c r="AE37" i="35" s="1"/>
  <c r="AE59" i="35" s="1"/>
  <c r="AJ37" i="35"/>
  <c r="AI37" i="35" s="1"/>
  <c r="AI59" i="35" s="1"/>
  <c r="V84" i="32" s="1"/>
  <c r="AN37" i="35"/>
  <c r="AM37" i="35" s="1"/>
  <c r="AM59" i="35" s="1"/>
  <c r="F41" i="35"/>
  <c r="F53" i="35"/>
  <c r="N54" i="35"/>
  <c r="M54" i="35" s="1"/>
  <c r="V54" i="35"/>
  <c r="U54" i="35" s="1"/>
  <c r="AD54" i="35"/>
  <c r="AC54" i="35" s="1"/>
  <c r="AL54" i="35"/>
  <c r="AK54" i="35" s="1"/>
  <c r="AB36" i="9"/>
  <c r="AA36" i="9" s="1"/>
  <c r="AJ36" i="9"/>
  <c r="AI36" i="9" s="1"/>
  <c r="J42" i="9"/>
  <c r="I42" i="9" s="1"/>
  <c r="I63" i="9" s="1"/>
  <c r="Z42" i="9"/>
  <c r="Y42" i="9" s="1"/>
  <c r="Y63" i="9" s="1"/>
  <c r="Q85" i="32" s="1"/>
  <c r="G52" i="8"/>
  <c r="W52" i="8"/>
  <c r="AI52" i="8"/>
  <c r="AJ52" i="8" s="1"/>
  <c r="AE52" i="8"/>
  <c r="AF52" i="8" s="1"/>
  <c r="AA52" i="8"/>
  <c r="AB52" i="8" s="1"/>
  <c r="S52" i="8"/>
  <c r="T52" i="8" s="1"/>
  <c r="O52" i="8"/>
  <c r="P52" i="8" s="1"/>
  <c r="G88" i="32"/>
  <c r="P25" i="94"/>
  <c r="O25" i="94" s="1"/>
  <c r="O33" i="94" s="1"/>
  <c r="L88" i="31" s="1"/>
  <c r="J25" i="94"/>
  <c r="I25" i="94" s="1"/>
  <c r="I33" i="94" s="1"/>
  <c r="Z25" i="94"/>
  <c r="Y25" i="94" s="1"/>
  <c r="Y33" i="94" s="1"/>
  <c r="Z33" i="94" s="1"/>
  <c r="M34" i="94"/>
  <c r="AK34" i="94"/>
  <c r="AG34" i="94"/>
  <c r="U88" i="30" s="1"/>
  <c r="M19" i="75"/>
  <c r="K24" i="33" s="1"/>
  <c r="M18" i="75"/>
  <c r="AI25" i="75"/>
  <c r="AJ25" i="75" s="1"/>
  <c r="Y25" i="75"/>
  <c r="Z25" i="75" s="1"/>
  <c r="S25" i="75"/>
  <c r="T25" i="75" s="1"/>
  <c r="I25" i="75"/>
  <c r="J25" i="75" s="1"/>
  <c r="AE25" i="75"/>
  <c r="AF25" i="75" s="1"/>
  <c r="O25" i="75"/>
  <c r="P25" i="75" s="1"/>
  <c r="E25" i="75"/>
  <c r="F25" i="75" s="1"/>
  <c r="V24" i="44"/>
  <c r="U24" i="44" s="1"/>
  <c r="U33" i="44" s="1"/>
  <c r="O4" i="31" s="1"/>
  <c r="AC22" i="44"/>
  <c r="AD22" i="44" s="1"/>
  <c r="AD24" i="44" s="1"/>
  <c r="AC24" i="44" s="1"/>
  <c r="AC33" i="44" s="1"/>
  <c r="AD9" i="44"/>
  <c r="T18" i="44"/>
  <c r="S18" i="44" s="1"/>
  <c r="S32" i="44" s="1"/>
  <c r="AF18" i="44"/>
  <c r="AE18" i="44" s="1"/>
  <c r="AE32" i="44" s="1"/>
  <c r="T4" i="32" s="1"/>
  <c r="AA34" i="44"/>
  <c r="R4" i="30" s="1"/>
  <c r="L5" i="47"/>
  <c r="R5" i="47"/>
  <c r="AB5" i="47"/>
  <c r="AH5" i="47"/>
  <c r="L7" i="47"/>
  <c r="K12" i="47"/>
  <c r="L12" i="47" s="1"/>
  <c r="L14" i="47" s="1"/>
  <c r="K14" i="47" s="1"/>
  <c r="AB7" i="47"/>
  <c r="AA12" i="47"/>
  <c r="AB12" i="47" s="1"/>
  <c r="AB14" i="47" s="1"/>
  <c r="AA14" i="47" s="1"/>
  <c r="N14" i="47"/>
  <c r="M14" i="47" s="1"/>
  <c r="M32" i="47" s="1"/>
  <c r="K5" i="32" s="1"/>
  <c r="W86" i="32"/>
  <c r="AF25" i="94"/>
  <c r="AE25" i="94" s="1"/>
  <c r="AE33" i="94" s="1"/>
  <c r="S34" i="94"/>
  <c r="AI34" i="94"/>
  <c r="O88" i="30"/>
  <c r="H88" i="30"/>
  <c r="G67" i="2"/>
  <c r="E147" i="2"/>
  <c r="B191" i="2" s="1"/>
  <c r="B189" i="2"/>
  <c r="F42" i="35"/>
  <c r="N36" i="9"/>
  <c r="M36" i="9" s="1"/>
  <c r="AD36" i="9"/>
  <c r="AC36" i="9" s="1"/>
  <c r="AL36" i="9"/>
  <c r="AK36" i="9" s="1"/>
  <c r="Z54" i="9"/>
  <c r="Y54" i="9" s="1"/>
  <c r="Y64" i="9" s="1"/>
  <c r="K52" i="8"/>
  <c r="AM18" i="94"/>
  <c r="AC34" i="94"/>
  <c r="AM34" i="94"/>
  <c r="AC25" i="75"/>
  <c r="AD25" i="75" s="1"/>
  <c r="AA25" i="75"/>
  <c r="AB25" i="75" s="1"/>
  <c r="J22" i="31"/>
  <c r="F23" i="44"/>
  <c r="F24" i="44" s="1"/>
  <c r="E24" i="44" s="1"/>
  <c r="L18" i="44"/>
  <c r="K18" i="44" s="1"/>
  <c r="K32" i="44" s="1"/>
  <c r="J4" i="32" s="1"/>
  <c r="AB18" i="44"/>
  <c r="AA18" i="44" s="1"/>
  <c r="AA32" i="44" s="1"/>
  <c r="R4" i="32" s="1"/>
  <c r="G22" i="44"/>
  <c r="H22" i="44" s="1"/>
  <c r="W22" i="44"/>
  <c r="X22" i="44" s="1"/>
  <c r="AK34" i="44"/>
  <c r="H5" i="47"/>
  <c r="H10" i="47" s="1"/>
  <c r="G10" i="47" s="1"/>
  <c r="N5" i="47"/>
  <c r="X5" i="47"/>
  <c r="X10" i="47" s="1"/>
  <c r="W10" i="47" s="1"/>
  <c r="AD5" i="47"/>
  <c r="J14" i="47"/>
  <c r="I14" i="47" s="1"/>
  <c r="I32" i="47" s="1"/>
  <c r="V14" i="47"/>
  <c r="U14" i="47" s="1"/>
  <c r="U32" i="47" s="1"/>
  <c r="O5" i="32" s="1"/>
  <c r="J22" i="47"/>
  <c r="I22" i="47" s="1"/>
  <c r="I33" i="47" s="1"/>
  <c r="I5" i="31" s="1"/>
  <c r="R22" i="47"/>
  <c r="Q22" i="47" s="1"/>
  <c r="Q33" i="47" s="1"/>
  <c r="M5" i="31" s="1"/>
  <c r="AH22" i="47"/>
  <c r="AG22" i="47" s="1"/>
  <c r="AG33" i="47" s="1"/>
  <c r="U5" i="31" s="1"/>
  <c r="L42" i="8"/>
  <c r="K42" i="8" s="1"/>
  <c r="E67" i="2"/>
  <c r="E73" i="2" s="1"/>
  <c r="E166" i="2"/>
  <c r="G68" i="2"/>
  <c r="G164" i="2"/>
  <c r="G165" i="2"/>
  <c r="G166" i="2"/>
  <c r="J175" i="2"/>
  <c r="Z54" i="35"/>
  <c r="Y54" i="35" s="1"/>
  <c r="AH54" i="35"/>
  <c r="AG54" i="35" s="1"/>
  <c r="X36" i="9"/>
  <c r="W36" i="9" s="1"/>
  <c r="AF36" i="9"/>
  <c r="AE36" i="9" s="1"/>
  <c r="AN36" i="9"/>
  <c r="AM36" i="9" s="1"/>
  <c r="R42" i="9"/>
  <c r="Q42" i="9" s="1"/>
  <c r="Q63" i="9" s="1"/>
  <c r="AH42" i="9"/>
  <c r="AG42" i="9" s="1"/>
  <c r="AG63" i="9" s="1"/>
  <c r="N58" i="9"/>
  <c r="M58" i="9" s="1"/>
  <c r="AD58" i="9"/>
  <c r="AC58" i="9" s="1"/>
  <c r="N27" i="8"/>
  <c r="M27" i="8" s="1"/>
  <c r="M47" i="8" s="1"/>
  <c r="H42" i="8"/>
  <c r="G42" i="8" s="1"/>
  <c r="V42" i="8"/>
  <c r="U42" i="8" s="1"/>
  <c r="L21" i="94"/>
  <c r="K21" i="94" s="1"/>
  <c r="K32" i="94" s="1"/>
  <c r="J88" i="32" s="1"/>
  <c r="P21" i="94"/>
  <c r="O21" i="94" s="1"/>
  <c r="O32" i="94" s="1"/>
  <c r="L88" i="32" s="1"/>
  <c r="X21" i="94"/>
  <c r="W21" i="94" s="1"/>
  <c r="W32" i="94" s="1"/>
  <c r="AB21" i="94"/>
  <c r="AA21" i="94" s="1"/>
  <c r="AA32" i="94" s="1"/>
  <c r="R88" i="32" s="1"/>
  <c r="AF21" i="94"/>
  <c r="AE21" i="94" s="1"/>
  <c r="AE32" i="94" s="1"/>
  <c r="AM21" i="94"/>
  <c r="AM32" i="94" s="1"/>
  <c r="S88" i="32"/>
  <c r="N25" i="94"/>
  <c r="M25" i="94" s="1"/>
  <c r="M33" i="94" s="1"/>
  <c r="I34" i="94"/>
  <c r="I88" i="30" s="1"/>
  <c r="E34" i="94"/>
  <c r="G88" i="30" s="1"/>
  <c r="T88" i="30"/>
  <c r="W34" i="94"/>
  <c r="AG25" i="75"/>
  <c r="AH25" i="75" s="1"/>
  <c r="W22" i="32"/>
  <c r="M22" i="44"/>
  <c r="N22" i="44" s="1"/>
  <c r="N24" i="44" s="1"/>
  <c r="M24" i="44" s="1"/>
  <c r="N9" i="44"/>
  <c r="M34" i="44"/>
  <c r="AC34" i="44"/>
  <c r="U34" i="44"/>
  <c r="J5" i="47"/>
  <c r="T5" i="47"/>
  <c r="Z5" i="47"/>
  <c r="AJ5" i="47"/>
  <c r="S12" i="47"/>
  <c r="T12" i="47" s="1"/>
  <c r="T14" i="47" s="1"/>
  <c r="S14" i="47" s="1"/>
  <c r="T7" i="47"/>
  <c r="AJ7" i="47"/>
  <c r="AD14" i="47"/>
  <c r="AC14" i="47" s="1"/>
  <c r="AC32" i="47" s="1"/>
  <c r="S5" i="32" s="1"/>
  <c r="E51" i="8"/>
  <c r="F51" i="8" s="1"/>
  <c r="I51" i="8"/>
  <c r="J51" i="8" s="1"/>
  <c r="Q51" i="8"/>
  <c r="R51" i="8" s="1"/>
  <c r="Y51" i="8"/>
  <c r="Z51" i="8" s="1"/>
  <c r="AC51" i="8"/>
  <c r="AD51" i="8" s="1"/>
  <c r="AG51" i="8"/>
  <c r="AH51" i="8" s="1"/>
  <c r="F18" i="94"/>
  <c r="E18" i="94" s="1"/>
  <c r="N18" i="94"/>
  <c r="M18" i="94" s="1"/>
  <c r="V18" i="94"/>
  <c r="U18" i="94" s="1"/>
  <c r="AD18" i="94"/>
  <c r="AC18" i="94" s="1"/>
  <c r="AL18" i="94"/>
  <c r="AK18" i="94" s="1"/>
  <c r="K20" i="94"/>
  <c r="K22" i="94" s="1"/>
  <c r="L22" i="94" s="1"/>
  <c r="S20" i="94"/>
  <c r="S22" i="94" s="1"/>
  <c r="T22" i="94" s="1"/>
  <c r="R25" i="94"/>
  <c r="Q25" i="94" s="1"/>
  <c r="Q33" i="94" s="1"/>
  <c r="M88" i="31" s="1"/>
  <c r="AH25" i="94"/>
  <c r="AG25" i="94" s="1"/>
  <c r="AG33" i="94" s="1"/>
  <c r="U88" i="31" s="1"/>
  <c r="K22" i="44"/>
  <c r="L22" i="44" s="1"/>
  <c r="L24" i="44" s="1"/>
  <c r="K24" i="44" s="1"/>
  <c r="K33" i="44" s="1"/>
  <c r="AA22" i="44"/>
  <c r="AB22" i="44" s="1"/>
  <c r="AB24" i="44" s="1"/>
  <c r="AA24" i="44" s="1"/>
  <c r="Y34" i="44"/>
  <c r="AH5" i="50"/>
  <c r="AG17" i="50"/>
  <c r="AH17" i="50" s="1"/>
  <c r="W25" i="83"/>
  <c r="X25" i="83" s="1"/>
  <c r="X6" i="83"/>
  <c r="AA17" i="50"/>
  <c r="AB17" i="50" s="1"/>
  <c r="Q15" i="84"/>
  <c r="R15" i="84" s="1"/>
  <c r="Q12" i="84"/>
  <c r="R12" i="84" s="1"/>
  <c r="R14" i="84" s="1"/>
  <c r="Q14" i="84" s="1"/>
  <c r="Q28" i="84" s="1"/>
  <c r="M8" i="32" s="1"/>
  <c r="R5" i="84"/>
  <c r="Q20" i="84"/>
  <c r="R20" i="84" s="1"/>
  <c r="R23" i="84" s="1"/>
  <c r="Q23" i="84" s="1"/>
  <c r="Q17" i="84"/>
  <c r="R17" i="84" s="1"/>
  <c r="AG15" i="84"/>
  <c r="AH15" i="84" s="1"/>
  <c r="AG12" i="84"/>
  <c r="AH12" i="84" s="1"/>
  <c r="AH14" i="84" s="1"/>
  <c r="AG14" i="84" s="1"/>
  <c r="AG28" i="84" s="1"/>
  <c r="U8" i="32" s="1"/>
  <c r="AH5" i="84"/>
  <c r="AG20" i="84"/>
  <c r="AH20" i="84" s="1"/>
  <c r="AH23" i="84" s="1"/>
  <c r="AG23" i="84" s="1"/>
  <c r="AG17" i="84"/>
  <c r="AH17" i="84" s="1"/>
  <c r="O51" i="8"/>
  <c r="P51" i="8" s="1"/>
  <c r="S51" i="8"/>
  <c r="T51" i="8" s="1"/>
  <c r="AA51" i="8"/>
  <c r="AB51" i="8" s="1"/>
  <c r="AE51" i="8"/>
  <c r="AF51" i="8" s="1"/>
  <c r="I52" i="8"/>
  <c r="J52" i="8" s="1"/>
  <c r="M52" i="8"/>
  <c r="Q52" i="8"/>
  <c r="R52" i="8" s="1"/>
  <c r="U52" i="8"/>
  <c r="Y52" i="8"/>
  <c r="Z52" i="8" s="1"/>
  <c r="AC52" i="8"/>
  <c r="AD52" i="8" s="1"/>
  <c r="AG52" i="8"/>
  <c r="AH52" i="8" s="1"/>
  <c r="J18" i="94"/>
  <c r="I18" i="94" s="1"/>
  <c r="R18" i="94"/>
  <c r="Q18" i="94" s="1"/>
  <c r="Z18" i="94"/>
  <c r="Y18" i="94" s="1"/>
  <c r="AH18" i="94"/>
  <c r="AG18" i="94" s="1"/>
  <c r="N12" i="75"/>
  <c r="M12" i="75" s="1"/>
  <c r="M21" i="75" s="1"/>
  <c r="K24" i="31" s="1"/>
  <c r="N12" i="46"/>
  <c r="M12" i="46" s="1"/>
  <c r="I24" i="43"/>
  <c r="J24" i="43" s="1"/>
  <c r="S22" i="44"/>
  <c r="T22" i="44" s="1"/>
  <c r="AI22" i="44"/>
  <c r="AJ22" i="44" s="1"/>
  <c r="R5" i="50"/>
  <c r="Q17" i="50"/>
  <c r="R17" i="50" s="1"/>
  <c r="L21" i="51"/>
  <c r="K21" i="51" s="1"/>
  <c r="K31" i="51" s="1"/>
  <c r="J7" i="31" s="1"/>
  <c r="T21" i="51"/>
  <c r="S21" i="51" s="1"/>
  <c r="S31" i="51" s="1"/>
  <c r="N7" i="31" s="1"/>
  <c r="AB21" i="51"/>
  <c r="AA21" i="51" s="1"/>
  <c r="AA31" i="51" s="1"/>
  <c r="AJ21" i="51"/>
  <c r="AI21" i="51" s="1"/>
  <c r="AI31" i="51" s="1"/>
  <c r="V7" i="31" s="1"/>
  <c r="H21" i="51"/>
  <c r="G21" i="51" s="1"/>
  <c r="G31" i="51" s="1"/>
  <c r="H7" i="31" s="1"/>
  <c r="P21" i="51"/>
  <c r="O21" i="51" s="1"/>
  <c r="O31" i="51" s="1"/>
  <c r="L7" i="31" s="1"/>
  <c r="X21" i="51"/>
  <c r="W21" i="51" s="1"/>
  <c r="W31" i="51" s="1"/>
  <c r="AF21" i="51"/>
  <c r="AE21" i="51" s="1"/>
  <c r="AE31" i="51" s="1"/>
  <c r="T7" i="31" s="1"/>
  <c r="AJ23" i="84"/>
  <c r="AI23" i="84" s="1"/>
  <c r="Q7" i="84"/>
  <c r="R7" i="84" s="1"/>
  <c r="AG7" i="84"/>
  <c r="AH7" i="84" s="1"/>
  <c r="Q22" i="83"/>
  <c r="R22" i="83" s="1"/>
  <c r="R5" i="83"/>
  <c r="AG22" i="83"/>
  <c r="AH22" i="83" s="1"/>
  <c r="AH5" i="83"/>
  <c r="G25" i="83"/>
  <c r="H25" i="83" s="1"/>
  <c r="H6" i="83"/>
  <c r="F25" i="94"/>
  <c r="E25" i="94" s="1"/>
  <c r="E33" i="94" s="1"/>
  <c r="V25" i="94"/>
  <c r="U25" i="94" s="1"/>
  <c r="U33" i="94" s="1"/>
  <c r="AL25" i="94"/>
  <c r="AK25" i="94" s="1"/>
  <c r="AK33" i="94" s="1"/>
  <c r="W88" i="31" s="1"/>
  <c r="X6" i="75"/>
  <c r="W6" i="75" s="1"/>
  <c r="J9" i="44"/>
  <c r="Z9" i="44"/>
  <c r="Z11" i="44" s="1"/>
  <c r="Y11" i="44" s="1"/>
  <c r="O22" i="44"/>
  <c r="P22" i="44" s="1"/>
  <c r="AE22" i="44"/>
  <c r="AF22" i="44" s="1"/>
  <c r="T5" i="50"/>
  <c r="S17" i="50"/>
  <c r="T17" i="50" s="1"/>
  <c r="Y17" i="50"/>
  <c r="Z17" i="50" s="1"/>
  <c r="Z5" i="50"/>
  <c r="K17" i="50"/>
  <c r="L17" i="50" s="1"/>
  <c r="E20" i="50"/>
  <c r="F20" i="50" s="1"/>
  <c r="F22" i="50" s="1"/>
  <c r="E22" i="50" s="1"/>
  <c r="E31" i="50" s="1"/>
  <c r="U20" i="50"/>
  <c r="V20" i="50" s="1"/>
  <c r="M23" i="50"/>
  <c r="N23" i="50" s="1"/>
  <c r="N25" i="50" s="1"/>
  <c r="M25" i="50" s="1"/>
  <c r="U23" i="50"/>
  <c r="V23" i="50" s="1"/>
  <c r="V25" i="50" s="1"/>
  <c r="U25" i="50" s="1"/>
  <c r="M15" i="84"/>
  <c r="N15" i="84" s="1"/>
  <c r="M12" i="84"/>
  <c r="N12" i="84" s="1"/>
  <c r="N14" i="84" s="1"/>
  <c r="M14" i="84" s="1"/>
  <c r="M28" i="84" s="1"/>
  <c r="N5" i="84"/>
  <c r="N9" i="84" s="1"/>
  <c r="M9" i="84" s="1"/>
  <c r="AC15" i="84"/>
  <c r="AD15" i="84" s="1"/>
  <c r="AC12" i="84"/>
  <c r="AD12" i="84" s="1"/>
  <c r="AD14" i="84" s="1"/>
  <c r="AC14" i="84" s="1"/>
  <c r="AC28" i="84" s="1"/>
  <c r="AD5" i="84"/>
  <c r="AD9" i="84" s="1"/>
  <c r="AC9" i="84" s="1"/>
  <c r="I17" i="84"/>
  <c r="J17" i="84" s="1"/>
  <c r="Y17" i="84"/>
  <c r="Z17" i="84" s="1"/>
  <c r="M22" i="83"/>
  <c r="N22" i="83" s="1"/>
  <c r="N5" i="83"/>
  <c r="AC22" i="83"/>
  <c r="AD22" i="83" s="1"/>
  <c r="AD5" i="83"/>
  <c r="U9" i="32"/>
  <c r="F21" i="51"/>
  <c r="E21" i="51" s="1"/>
  <c r="E31" i="51" s="1"/>
  <c r="N21" i="51"/>
  <c r="M21" i="51" s="1"/>
  <c r="M31" i="51" s="1"/>
  <c r="V21" i="51"/>
  <c r="U21" i="51" s="1"/>
  <c r="U31" i="51" s="1"/>
  <c r="O7" i="31" s="1"/>
  <c r="AD21" i="51"/>
  <c r="AC21" i="51" s="1"/>
  <c r="AC31" i="51" s="1"/>
  <c r="AL21" i="51"/>
  <c r="AK21" i="51" s="1"/>
  <c r="AK31" i="51" s="1"/>
  <c r="I7" i="32"/>
  <c r="U7" i="32"/>
  <c r="I15" i="84"/>
  <c r="J15" i="84" s="1"/>
  <c r="I12" i="84"/>
  <c r="J12" i="84" s="1"/>
  <c r="J14" i="84" s="1"/>
  <c r="I14" i="84" s="1"/>
  <c r="I28" i="84" s="1"/>
  <c r="J5" i="84"/>
  <c r="Y15" i="84"/>
  <c r="Z15" i="84" s="1"/>
  <c r="Y12" i="84"/>
  <c r="Z12" i="84" s="1"/>
  <c r="Z14" i="84" s="1"/>
  <c r="Y14" i="84" s="1"/>
  <c r="Y28" i="84" s="1"/>
  <c r="Z5" i="84"/>
  <c r="AB23" i="84"/>
  <c r="AA23" i="84" s="1"/>
  <c r="I22" i="83"/>
  <c r="J22" i="83" s="1"/>
  <c r="J5" i="83"/>
  <c r="Y22" i="83"/>
  <c r="Z22" i="83" s="1"/>
  <c r="Z5" i="83"/>
  <c r="AF26" i="83"/>
  <c r="AE26" i="83" s="1"/>
  <c r="AE35" i="83" s="1"/>
  <c r="T9" i="31" s="1"/>
  <c r="Q33" i="85"/>
  <c r="M10" i="30" s="1"/>
  <c r="L14" i="32"/>
  <c r="L101" i="32" s="1"/>
  <c r="O17" i="50"/>
  <c r="P17" i="50" s="1"/>
  <c r="AE17" i="50"/>
  <c r="AF17" i="50" s="1"/>
  <c r="I20" i="50"/>
  <c r="J20" i="50" s="1"/>
  <c r="AG20" i="50"/>
  <c r="AH20" i="50" s="1"/>
  <c r="I23" i="50"/>
  <c r="J23" i="50" s="1"/>
  <c r="J25" i="50" s="1"/>
  <c r="I25" i="50" s="1"/>
  <c r="Q23" i="50"/>
  <c r="R23" i="50" s="1"/>
  <c r="R25" i="50" s="1"/>
  <c r="Q25" i="50" s="1"/>
  <c r="AG23" i="50"/>
  <c r="AH23" i="50" s="1"/>
  <c r="AH25" i="50" s="1"/>
  <c r="AG25" i="50" s="1"/>
  <c r="E15" i="84"/>
  <c r="F15" i="84" s="1"/>
  <c r="E12" i="84"/>
  <c r="F12" i="84" s="1"/>
  <c r="F14" i="84" s="1"/>
  <c r="E14" i="84" s="1"/>
  <c r="E28" i="84" s="1"/>
  <c r="F5" i="84"/>
  <c r="F9" i="84" s="1"/>
  <c r="E9" i="84" s="1"/>
  <c r="U15" i="84"/>
  <c r="V15" i="84" s="1"/>
  <c r="U12" i="84"/>
  <c r="V12" i="84" s="1"/>
  <c r="V14" i="84" s="1"/>
  <c r="U14" i="84" s="1"/>
  <c r="U28" i="84" s="1"/>
  <c r="V5" i="84"/>
  <c r="V9" i="84" s="1"/>
  <c r="U9" i="84" s="1"/>
  <c r="AK15" i="84"/>
  <c r="AL15" i="84" s="1"/>
  <c r="AK12" i="84"/>
  <c r="AL12" i="84" s="1"/>
  <c r="AL14" i="84" s="1"/>
  <c r="AK14" i="84" s="1"/>
  <c r="AK28" i="84" s="1"/>
  <c r="AL5" i="84"/>
  <c r="AL9" i="84" s="1"/>
  <c r="AK9" i="84" s="1"/>
  <c r="E17" i="84"/>
  <c r="F17" i="84" s="1"/>
  <c r="M17" i="84"/>
  <c r="N17" i="84" s="1"/>
  <c r="U17" i="84"/>
  <c r="V17" i="84" s="1"/>
  <c r="AC17" i="84"/>
  <c r="AD17" i="84" s="1"/>
  <c r="AK17" i="84"/>
  <c r="AL17" i="84" s="1"/>
  <c r="E20" i="84"/>
  <c r="F20" i="84" s="1"/>
  <c r="F23" i="84" s="1"/>
  <c r="E23" i="84" s="1"/>
  <c r="M20" i="84"/>
  <c r="N20" i="84" s="1"/>
  <c r="N23" i="84" s="1"/>
  <c r="M23" i="84" s="1"/>
  <c r="U20" i="84"/>
  <c r="V20" i="84" s="1"/>
  <c r="V23" i="84" s="1"/>
  <c r="U23" i="84" s="1"/>
  <c r="AC20" i="84"/>
  <c r="AD20" i="84" s="1"/>
  <c r="AD23" i="84" s="1"/>
  <c r="AC23" i="84" s="1"/>
  <c r="AK20" i="84"/>
  <c r="AL20" i="84" s="1"/>
  <c r="AL23" i="84" s="1"/>
  <c r="AK23" i="84" s="1"/>
  <c r="E22" i="83"/>
  <c r="F22" i="83" s="1"/>
  <c r="F5" i="83"/>
  <c r="U22" i="83"/>
  <c r="V22" i="83" s="1"/>
  <c r="V5" i="83"/>
  <c r="AK22" i="83"/>
  <c r="AL22" i="83" s="1"/>
  <c r="AL5" i="83"/>
  <c r="P6" i="83"/>
  <c r="AF6" i="83"/>
  <c r="J19" i="83"/>
  <c r="I19" i="83" s="1"/>
  <c r="I34" i="83" s="1"/>
  <c r="Z19" i="83"/>
  <c r="Y19" i="83" s="1"/>
  <c r="Y34" i="83" s="1"/>
  <c r="G8" i="85"/>
  <c r="H8" i="85" s="1"/>
  <c r="H6" i="85"/>
  <c r="G21" i="85"/>
  <c r="H21" i="85" s="1"/>
  <c r="G24" i="85"/>
  <c r="H24" i="85" s="1"/>
  <c r="H26" i="85" s="1"/>
  <c r="G26" i="85" s="1"/>
  <c r="W8" i="85"/>
  <c r="X8" i="85" s="1"/>
  <c r="X6" i="85"/>
  <c r="W21" i="85"/>
  <c r="X21" i="85" s="1"/>
  <c r="W24" i="85"/>
  <c r="X24" i="85" s="1"/>
  <c r="X26" i="85" s="1"/>
  <c r="W26" i="85" s="1"/>
  <c r="AI36" i="83"/>
  <c r="K8" i="85"/>
  <c r="L8" i="85" s="1"/>
  <c r="L6" i="85"/>
  <c r="AA8" i="85"/>
  <c r="AB8" i="85" s="1"/>
  <c r="AB6" i="85"/>
  <c r="S15" i="85"/>
  <c r="T15" i="85" s="1"/>
  <c r="T14" i="85"/>
  <c r="AI15" i="85"/>
  <c r="AJ15" i="85" s="1"/>
  <c r="AJ14" i="85"/>
  <c r="K21" i="85"/>
  <c r="L21" i="85" s="1"/>
  <c r="AA21" i="85"/>
  <c r="AB21" i="85" s="1"/>
  <c r="S21" i="87"/>
  <c r="T21" i="87" s="1"/>
  <c r="T23" i="87" s="1"/>
  <c r="S23" i="87" s="1"/>
  <c r="S19" i="87"/>
  <c r="T19" i="87" s="1"/>
  <c r="S9" i="87"/>
  <c r="T9" i="87" s="1"/>
  <c r="T7" i="87"/>
  <c r="AI21" i="87"/>
  <c r="AJ21" i="87" s="1"/>
  <c r="AJ23" i="87" s="1"/>
  <c r="AI23" i="87" s="1"/>
  <c r="AI19" i="87"/>
  <c r="AJ19" i="87" s="1"/>
  <c r="AI9" i="87"/>
  <c r="AJ9" i="87" s="1"/>
  <c r="AJ7" i="87"/>
  <c r="K14" i="87"/>
  <c r="L14" i="87" s="1"/>
  <c r="L13" i="87"/>
  <c r="AA14" i="87"/>
  <c r="AB14" i="87" s="1"/>
  <c r="AB13" i="87"/>
  <c r="Q22" i="86"/>
  <c r="R22" i="86" s="1"/>
  <c r="R24" i="86" s="1"/>
  <c r="Q24" i="86" s="1"/>
  <c r="Q19" i="86"/>
  <c r="R19" i="86" s="1"/>
  <c r="AG22" i="86"/>
  <c r="AH22" i="86" s="1"/>
  <c r="AH24" i="86" s="1"/>
  <c r="AG24" i="86" s="1"/>
  <c r="AG19" i="86"/>
  <c r="AH19" i="86" s="1"/>
  <c r="Q17" i="86"/>
  <c r="R17" i="86" s="1"/>
  <c r="AG17" i="86"/>
  <c r="AH17" i="86" s="1"/>
  <c r="L26" i="59"/>
  <c r="K26" i="59" s="1"/>
  <c r="L16" i="32"/>
  <c r="L103" i="32" s="1"/>
  <c r="G18" i="32"/>
  <c r="G105" i="32" s="1"/>
  <c r="W18" i="32"/>
  <c r="W105" i="32" s="1"/>
  <c r="Q19" i="32"/>
  <c r="Q106" i="32" s="1"/>
  <c r="O15" i="85"/>
  <c r="P15" i="85" s="1"/>
  <c r="P14" i="85"/>
  <c r="AE15" i="85"/>
  <c r="AF15" i="85" s="1"/>
  <c r="AF14" i="85"/>
  <c r="O21" i="87"/>
  <c r="P21" i="87" s="1"/>
  <c r="P23" i="87" s="1"/>
  <c r="O23" i="87" s="1"/>
  <c r="O19" i="87"/>
  <c r="P19" i="87" s="1"/>
  <c r="O9" i="87"/>
  <c r="P9" i="87" s="1"/>
  <c r="P7" i="87"/>
  <c r="AE21" i="87"/>
  <c r="AF21" i="87" s="1"/>
  <c r="AF23" i="87" s="1"/>
  <c r="AE23" i="87" s="1"/>
  <c r="AE19" i="87"/>
  <c r="AF19" i="87" s="1"/>
  <c r="AE9" i="87"/>
  <c r="AF9" i="87" s="1"/>
  <c r="AF7" i="87"/>
  <c r="G14" i="87"/>
  <c r="H14" i="87" s="1"/>
  <c r="H13" i="87"/>
  <c r="W14" i="87"/>
  <c r="X14" i="87" s="1"/>
  <c r="X13" i="87"/>
  <c r="M22" i="86"/>
  <c r="N22" i="86" s="1"/>
  <c r="N24" i="86" s="1"/>
  <c r="M24" i="86" s="1"/>
  <c r="M19" i="86"/>
  <c r="N19" i="86" s="1"/>
  <c r="AC22" i="86"/>
  <c r="AD22" i="86" s="1"/>
  <c r="AD24" i="86" s="1"/>
  <c r="AC24" i="86" s="1"/>
  <c r="AC19" i="86"/>
  <c r="AD19" i="86" s="1"/>
  <c r="M14" i="86"/>
  <c r="N14" i="86" s="1"/>
  <c r="N16" i="86" s="1"/>
  <c r="M16" i="86" s="1"/>
  <c r="M29" i="86" s="1"/>
  <c r="AC14" i="86"/>
  <c r="AD14" i="86" s="1"/>
  <c r="AD16" i="86" s="1"/>
  <c r="AC16" i="86" s="1"/>
  <c r="AC29" i="86" s="1"/>
  <c r="F26" i="45"/>
  <c r="E26" i="45" s="1"/>
  <c r="N26" i="45"/>
  <c r="M26" i="45" s="1"/>
  <c r="V26" i="45"/>
  <c r="U26" i="45" s="1"/>
  <c r="AD26" i="45"/>
  <c r="AC26" i="45" s="1"/>
  <c r="AL26" i="45"/>
  <c r="AK26" i="45" s="1"/>
  <c r="J26" i="45"/>
  <c r="I26" i="45" s="1"/>
  <c r="R26" i="45"/>
  <c r="Q26" i="45" s="1"/>
  <c r="Z26" i="45"/>
  <c r="Y26" i="45" s="1"/>
  <c r="AH26" i="45"/>
  <c r="AG26" i="45" s="1"/>
  <c r="Q65" i="48"/>
  <c r="S16" i="31"/>
  <c r="AC66" i="60"/>
  <c r="S17" i="33" s="1"/>
  <c r="J19" i="32"/>
  <c r="J106" i="32" s="1"/>
  <c r="R19" i="32"/>
  <c r="R106" i="32" s="1"/>
  <c r="N19" i="83"/>
  <c r="M19" i="83" s="1"/>
  <c r="M34" i="83" s="1"/>
  <c r="K9" i="32" s="1"/>
  <c r="AD19" i="83"/>
  <c r="AC19" i="83" s="1"/>
  <c r="AC34" i="83" s="1"/>
  <c r="S9" i="32" s="1"/>
  <c r="S8" i="85"/>
  <c r="T8" i="85" s="1"/>
  <c r="T6" i="85"/>
  <c r="AI8" i="85"/>
  <c r="AJ8" i="85" s="1"/>
  <c r="AJ6" i="85"/>
  <c r="R17" i="85"/>
  <c r="Q17" i="85" s="1"/>
  <c r="Q31" i="85" s="1"/>
  <c r="M10" i="32" s="1"/>
  <c r="K15" i="85"/>
  <c r="L15" i="85" s="1"/>
  <c r="L14" i="85"/>
  <c r="AA15" i="85"/>
  <c r="AB15" i="85" s="1"/>
  <c r="AB14" i="85"/>
  <c r="S21" i="85"/>
  <c r="T21" i="85" s="1"/>
  <c r="AI21" i="85"/>
  <c r="AJ21" i="85" s="1"/>
  <c r="K24" i="85"/>
  <c r="L24" i="85" s="1"/>
  <c r="L26" i="85" s="1"/>
  <c r="K26" i="85" s="1"/>
  <c r="AA24" i="85"/>
  <c r="AB24" i="85" s="1"/>
  <c r="AB26" i="85" s="1"/>
  <c r="AA26" i="85" s="1"/>
  <c r="K21" i="87"/>
  <c r="L21" i="87" s="1"/>
  <c r="L23" i="87" s="1"/>
  <c r="K23" i="87" s="1"/>
  <c r="K19" i="87"/>
  <c r="L19" i="87" s="1"/>
  <c r="K9" i="87"/>
  <c r="L9" i="87" s="1"/>
  <c r="L7" i="87"/>
  <c r="AA21" i="87"/>
  <c r="AB21" i="87" s="1"/>
  <c r="AB23" i="87" s="1"/>
  <c r="AA23" i="87" s="1"/>
  <c r="AA19" i="87"/>
  <c r="AB19" i="87" s="1"/>
  <c r="AA9" i="87"/>
  <c r="AB9" i="87" s="1"/>
  <c r="AB7" i="87"/>
  <c r="S14" i="87"/>
  <c r="T14" i="87" s="1"/>
  <c r="T13" i="87"/>
  <c r="AI14" i="87"/>
  <c r="AJ14" i="87" s="1"/>
  <c r="AJ13" i="87"/>
  <c r="I22" i="86"/>
  <c r="J22" i="86" s="1"/>
  <c r="J24" i="86" s="1"/>
  <c r="I24" i="86" s="1"/>
  <c r="I19" i="86"/>
  <c r="J19" i="86" s="1"/>
  <c r="Y22" i="86"/>
  <c r="Z22" i="86" s="1"/>
  <c r="Z24" i="86" s="1"/>
  <c r="Y24" i="86" s="1"/>
  <c r="Y19" i="86"/>
  <c r="Z19" i="86" s="1"/>
  <c r="Q14" i="86"/>
  <c r="R14" i="86" s="1"/>
  <c r="R16" i="86" s="1"/>
  <c r="Q16" i="86" s="1"/>
  <c r="Q29" i="86" s="1"/>
  <c r="AG14" i="86"/>
  <c r="AH14" i="86" s="1"/>
  <c r="AH16" i="86" s="1"/>
  <c r="AG16" i="86" s="1"/>
  <c r="AG29" i="86" s="1"/>
  <c r="I17" i="86"/>
  <c r="J17" i="86" s="1"/>
  <c r="Y17" i="86"/>
  <c r="Z17" i="86" s="1"/>
  <c r="H26" i="59"/>
  <c r="G26" i="59" s="1"/>
  <c r="P26" i="59"/>
  <c r="O26" i="59" s="1"/>
  <c r="X26" i="59"/>
  <c r="W26" i="59" s="1"/>
  <c r="AF26" i="59"/>
  <c r="AE26" i="59" s="1"/>
  <c r="T26" i="59"/>
  <c r="S26" i="59" s="1"/>
  <c r="AB26" i="59"/>
  <c r="AA26" i="59" s="1"/>
  <c r="AJ26" i="59"/>
  <c r="AI26" i="59" s="1"/>
  <c r="L50" i="59"/>
  <c r="K50" i="59" s="1"/>
  <c r="K68" i="59" s="1"/>
  <c r="T50" i="59"/>
  <c r="S50" i="59" s="1"/>
  <c r="S68" i="59" s="1"/>
  <c r="AB50" i="59"/>
  <c r="AA50" i="59" s="1"/>
  <c r="AA68" i="59" s="1"/>
  <c r="AJ50" i="59"/>
  <c r="AI50" i="59" s="1"/>
  <c r="AI68" i="59" s="1"/>
  <c r="V50" i="59"/>
  <c r="U50" i="59" s="1"/>
  <c r="AL50" i="59"/>
  <c r="AK50" i="59" s="1"/>
  <c r="AK68" i="59" s="1"/>
  <c r="P50" i="59"/>
  <c r="O50" i="59" s="1"/>
  <c r="O68" i="59" s="1"/>
  <c r="AF50" i="59"/>
  <c r="AE50" i="59" s="1"/>
  <c r="AE68" i="59" s="1"/>
  <c r="I13" i="31"/>
  <c r="H15" i="31"/>
  <c r="U17" i="32"/>
  <c r="U104" i="32" s="1"/>
  <c r="O8" i="85"/>
  <c r="P8" i="85" s="1"/>
  <c r="P6" i="85"/>
  <c r="AE8" i="85"/>
  <c r="AF8" i="85" s="1"/>
  <c r="AF6" i="85"/>
  <c r="N17" i="85"/>
  <c r="M17" i="85" s="1"/>
  <c r="M31" i="85" s="1"/>
  <c r="G15" i="85"/>
  <c r="H15" i="85" s="1"/>
  <c r="H14" i="85"/>
  <c r="W15" i="85"/>
  <c r="X15" i="85" s="1"/>
  <c r="X14" i="85"/>
  <c r="O24" i="85"/>
  <c r="P24" i="85" s="1"/>
  <c r="P26" i="85" s="1"/>
  <c r="O26" i="85" s="1"/>
  <c r="AE24" i="85"/>
  <c r="AF24" i="85" s="1"/>
  <c r="AF26" i="85" s="1"/>
  <c r="AE26" i="85" s="1"/>
  <c r="G21" i="87"/>
  <c r="H21" i="87" s="1"/>
  <c r="H23" i="87" s="1"/>
  <c r="G23" i="87" s="1"/>
  <c r="G19" i="87"/>
  <c r="H19" i="87" s="1"/>
  <c r="G9" i="87"/>
  <c r="H9" i="87" s="1"/>
  <c r="H7" i="87"/>
  <c r="W21" i="87"/>
  <c r="X21" i="87" s="1"/>
  <c r="X23" i="87" s="1"/>
  <c r="W23" i="87" s="1"/>
  <c r="W19" i="87"/>
  <c r="X19" i="87" s="1"/>
  <c r="W9" i="87"/>
  <c r="X9" i="87" s="1"/>
  <c r="X7" i="87"/>
  <c r="O14" i="87"/>
  <c r="P14" i="87" s="1"/>
  <c r="P13" i="87"/>
  <c r="AE14" i="87"/>
  <c r="AF14" i="87" s="1"/>
  <c r="AF13" i="87"/>
  <c r="E22" i="86"/>
  <c r="F22" i="86" s="1"/>
  <c r="F24" i="86" s="1"/>
  <c r="E24" i="86" s="1"/>
  <c r="E19" i="86"/>
  <c r="F19" i="86" s="1"/>
  <c r="U22" i="86"/>
  <c r="V22" i="86" s="1"/>
  <c r="V24" i="86" s="1"/>
  <c r="U24" i="86" s="1"/>
  <c r="U19" i="86"/>
  <c r="V19" i="86" s="1"/>
  <c r="AK22" i="86"/>
  <c r="AL22" i="86" s="1"/>
  <c r="AL24" i="86" s="1"/>
  <c r="AK24" i="86" s="1"/>
  <c r="AK19" i="86"/>
  <c r="AL19" i="86" s="1"/>
  <c r="E14" i="86"/>
  <c r="F14" i="86" s="1"/>
  <c r="F16" i="86" s="1"/>
  <c r="E16" i="86" s="1"/>
  <c r="E29" i="86" s="1"/>
  <c r="U14" i="86"/>
  <c r="V14" i="86" s="1"/>
  <c r="V16" i="86" s="1"/>
  <c r="U16" i="86" s="1"/>
  <c r="U29" i="86" s="1"/>
  <c r="AK14" i="86"/>
  <c r="AL14" i="86" s="1"/>
  <c r="AL16" i="86" s="1"/>
  <c r="AK16" i="86" s="1"/>
  <c r="AK29" i="86" s="1"/>
  <c r="M17" i="86"/>
  <c r="N17" i="86" s="1"/>
  <c r="AC17" i="86"/>
  <c r="AD17" i="86" s="1"/>
  <c r="J26" i="59"/>
  <c r="I26" i="59" s="1"/>
  <c r="R26" i="59"/>
  <c r="Q26" i="59" s="1"/>
  <c r="Z26" i="59"/>
  <c r="Y26" i="59" s="1"/>
  <c r="AH26" i="59"/>
  <c r="AG26" i="59" s="1"/>
  <c r="F50" i="59"/>
  <c r="E50" i="59" s="1"/>
  <c r="I13" i="32"/>
  <c r="I100" i="32" s="1"/>
  <c r="M13" i="32"/>
  <c r="M100" i="32" s="1"/>
  <c r="Q13" i="32"/>
  <c r="Q100" i="32" s="1"/>
  <c r="O66" i="48"/>
  <c r="L14" i="33" s="1"/>
  <c r="T14" i="32"/>
  <c r="T101" i="32" s="1"/>
  <c r="P15" i="32"/>
  <c r="P102" i="32" s="1"/>
  <c r="U66" i="53"/>
  <c r="O16" i="33" s="1"/>
  <c r="J16" i="31"/>
  <c r="AE69" i="60"/>
  <c r="W69" i="62"/>
  <c r="G15" i="31"/>
  <c r="I17" i="32"/>
  <c r="I104" i="32" s="1"/>
  <c r="Q17" i="32"/>
  <c r="Q104" i="32" s="1"/>
  <c r="S18" i="32"/>
  <c r="S105" i="32" s="1"/>
  <c r="AE69" i="61"/>
  <c r="T18" i="30" s="1"/>
  <c r="M19" i="32"/>
  <c r="M106" i="32" s="1"/>
  <c r="J20" i="32"/>
  <c r="J107" i="32" s="1"/>
  <c r="G20" i="50"/>
  <c r="H20" i="50" s="1"/>
  <c r="H22" i="50" s="1"/>
  <c r="G22" i="50" s="1"/>
  <c r="S20" i="50"/>
  <c r="T20" i="50" s="1"/>
  <c r="W20" i="50"/>
  <c r="X20" i="50" s="1"/>
  <c r="X22" i="50" s="1"/>
  <c r="W22" i="50" s="1"/>
  <c r="AA20" i="50"/>
  <c r="AB20" i="50" s="1"/>
  <c r="AI20" i="50"/>
  <c r="AJ20" i="50" s="1"/>
  <c r="H62" i="45"/>
  <c r="G62" i="45" s="1"/>
  <c r="P62" i="45"/>
  <c r="O62" i="45" s="1"/>
  <c r="X62" i="45"/>
  <c r="W62" i="45" s="1"/>
  <c r="AF62" i="45"/>
  <c r="AE62" i="45" s="1"/>
  <c r="AN62" i="45"/>
  <c r="AM62" i="45" s="1"/>
  <c r="J62" i="45"/>
  <c r="I62" i="45" s="1"/>
  <c r="R62" i="45"/>
  <c r="Q62" i="45" s="1"/>
  <c r="Z62" i="45"/>
  <c r="Y62" i="45" s="1"/>
  <c r="AH62" i="45"/>
  <c r="AG62" i="45" s="1"/>
  <c r="AA69" i="52"/>
  <c r="G16" i="32"/>
  <c r="G103" i="32" s="1"/>
  <c r="K16" i="32"/>
  <c r="K103" i="32" s="1"/>
  <c r="O16" i="32"/>
  <c r="O103" i="32" s="1"/>
  <c r="S16" i="32"/>
  <c r="S103" i="32" s="1"/>
  <c r="W16" i="32"/>
  <c r="W103" i="32" s="1"/>
  <c r="AA65" i="60"/>
  <c r="AM66" i="61"/>
  <c r="Q69" i="61"/>
  <c r="M18" i="30" s="1"/>
  <c r="O18" i="32"/>
  <c r="O105" i="32" s="1"/>
  <c r="G7" i="84"/>
  <c r="H7" i="84" s="1"/>
  <c r="K7" i="84"/>
  <c r="L7" i="84" s="1"/>
  <c r="L9" i="84" s="1"/>
  <c r="K9" i="84" s="1"/>
  <c r="O7" i="84"/>
  <c r="P7" i="84" s="1"/>
  <c r="P9" i="84" s="1"/>
  <c r="O9" i="84" s="1"/>
  <c r="S7" i="84"/>
  <c r="T7" i="84" s="1"/>
  <c r="W7" i="84"/>
  <c r="X7" i="84" s="1"/>
  <c r="X9" i="84" s="1"/>
  <c r="W9" i="84" s="1"/>
  <c r="AA7" i="84"/>
  <c r="AB7" i="84" s="1"/>
  <c r="AE7" i="84"/>
  <c r="AF7" i="84" s="1"/>
  <c r="AI7" i="84"/>
  <c r="AJ7" i="84" s="1"/>
  <c r="AJ9" i="84" s="1"/>
  <c r="AI9" i="84" s="1"/>
  <c r="G17" i="84"/>
  <c r="H17" i="84" s="1"/>
  <c r="K17" i="84"/>
  <c r="L17" i="84" s="1"/>
  <c r="O17" i="84"/>
  <c r="P17" i="84" s="1"/>
  <c r="S17" i="84"/>
  <c r="T17" i="84" s="1"/>
  <c r="W17" i="84"/>
  <c r="X17" i="84" s="1"/>
  <c r="AA17" i="84"/>
  <c r="AB17" i="84" s="1"/>
  <c r="AE17" i="84"/>
  <c r="AF17" i="84" s="1"/>
  <c r="AF19" i="84" s="1"/>
  <c r="AE19" i="84" s="1"/>
  <c r="AE29" i="84" s="1"/>
  <c r="T8" i="31" s="1"/>
  <c r="AI17" i="84"/>
  <c r="AJ17" i="84" s="1"/>
  <c r="F10" i="83"/>
  <c r="J10" i="83"/>
  <c r="N10" i="83"/>
  <c r="R10" i="83"/>
  <c r="V10" i="83"/>
  <c r="Z10" i="83"/>
  <c r="AD10" i="83"/>
  <c r="AH10" i="83"/>
  <c r="AL10" i="83"/>
  <c r="E21" i="85"/>
  <c r="F21" i="85" s="1"/>
  <c r="I21" i="85"/>
  <c r="J21" i="85" s="1"/>
  <c r="M21" i="85"/>
  <c r="N21" i="85" s="1"/>
  <c r="Q21" i="85"/>
  <c r="R21" i="85" s="1"/>
  <c r="U21" i="85"/>
  <c r="V21" i="85" s="1"/>
  <c r="Y21" i="85"/>
  <c r="Z21" i="85" s="1"/>
  <c r="AC21" i="85"/>
  <c r="AD21" i="85" s="1"/>
  <c r="AG21" i="85"/>
  <c r="AH21" i="85" s="1"/>
  <c r="AK21" i="85"/>
  <c r="AL21" i="85" s="1"/>
  <c r="G14" i="86"/>
  <c r="H14" i="86" s="1"/>
  <c r="H16" i="86" s="1"/>
  <c r="G16" i="86" s="1"/>
  <c r="K14" i="86"/>
  <c r="L14" i="86" s="1"/>
  <c r="L16" i="86" s="1"/>
  <c r="K16" i="86" s="1"/>
  <c r="K29" i="86" s="1"/>
  <c r="O14" i="86"/>
  <c r="P14" i="86" s="1"/>
  <c r="P16" i="86" s="1"/>
  <c r="O16" i="86" s="1"/>
  <c r="S14" i="86"/>
  <c r="T14" i="86" s="1"/>
  <c r="T16" i="86" s="1"/>
  <c r="S16" i="86" s="1"/>
  <c r="W14" i="86"/>
  <c r="X14" i="86" s="1"/>
  <c r="X16" i="86" s="1"/>
  <c r="W16" i="86" s="1"/>
  <c r="AA14" i="86"/>
  <c r="AB14" i="86" s="1"/>
  <c r="AB16" i="86" s="1"/>
  <c r="AA16" i="86" s="1"/>
  <c r="AA29" i="86" s="1"/>
  <c r="AE14" i="86"/>
  <c r="AF14" i="86" s="1"/>
  <c r="AF16" i="86" s="1"/>
  <c r="AE16" i="86" s="1"/>
  <c r="AE29" i="86" s="1"/>
  <c r="AI14" i="86"/>
  <c r="AJ14" i="86" s="1"/>
  <c r="AJ16" i="86" s="1"/>
  <c r="AI16" i="86" s="1"/>
  <c r="H26" i="45"/>
  <c r="G26" i="45" s="1"/>
  <c r="P26" i="45"/>
  <c r="O26" i="45" s="1"/>
  <c r="X26" i="45"/>
  <c r="W26" i="45" s="1"/>
  <c r="AF26" i="45"/>
  <c r="AE26" i="45" s="1"/>
  <c r="AN26" i="45"/>
  <c r="AM26" i="45" s="1"/>
  <c r="G13" i="31"/>
  <c r="O13" i="31"/>
  <c r="W13" i="31"/>
  <c r="L50" i="48"/>
  <c r="K50" i="48" s="1"/>
  <c r="K68" i="48" s="1"/>
  <c r="T50" i="48"/>
  <c r="S50" i="48" s="1"/>
  <c r="S68" i="48" s="1"/>
  <c r="AB50" i="48"/>
  <c r="AA50" i="48" s="1"/>
  <c r="AA68" i="48" s="1"/>
  <c r="AJ50" i="48"/>
  <c r="AI50" i="48" s="1"/>
  <c r="AI68" i="48" s="1"/>
  <c r="H62" i="48"/>
  <c r="G62" i="48" s="1"/>
  <c r="P62" i="48"/>
  <c r="O62" i="48" s="1"/>
  <c r="X62" i="48"/>
  <c r="W62" i="48" s="1"/>
  <c r="AF62" i="48"/>
  <c r="AE62" i="48" s="1"/>
  <c r="AN62" i="48"/>
  <c r="AM62" i="48" s="1"/>
  <c r="J62" i="48"/>
  <c r="I62" i="48" s="1"/>
  <c r="R62" i="48"/>
  <c r="Q62" i="48" s="1"/>
  <c r="Z62" i="48"/>
  <c r="Y62" i="48" s="1"/>
  <c r="AH62" i="48"/>
  <c r="AG62" i="48" s="1"/>
  <c r="U66" i="52"/>
  <c r="O15" i="33" s="1"/>
  <c r="I15" i="32"/>
  <c r="I102" i="32" s="1"/>
  <c r="M15" i="32"/>
  <c r="M102" i="32" s="1"/>
  <c r="U15" i="32"/>
  <c r="U102" i="32" s="1"/>
  <c r="AE65" i="52"/>
  <c r="H26" i="53"/>
  <c r="G26" i="53" s="1"/>
  <c r="P26" i="53"/>
  <c r="O26" i="53" s="1"/>
  <c r="X26" i="53"/>
  <c r="W26" i="53" s="1"/>
  <c r="AF26" i="53"/>
  <c r="AE26" i="53" s="1"/>
  <c r="AN26" i="53"/>
  <c r="AM26" i="53" s="1"/>
  <c r="P17" i="32"/>
  <c r="P104" i="32" s="1"/>
  <c r="V17" i="32"/>
  <c r="V104" i="32" s="1"/>
  <c r="K69" i="60"/>
  <c r="K18" i="32"/>
  <c r="K105" i="32" s="1"/>
  <c r="L50" i="61"/>
  <c r="K50" i="61" s="1"/>
  <c r="K68" i="61" s="1"/>
  <c r="T50" i="61"/>
  <c r="S50" i="61" s="1"/>
  <c r="S68" i="61" s="1"/>
  <c r="N18" i="31" s="1"/>
  <c r="AB50" i="61"/>
  <c r="AA50" i="61" s="1"/>
  <c r="AA68" i="61" s="1"/>
  <c r="AJ50" i="61"/>
  <c r="AI50" i="61" s="1"/>
  <c r="AI68" i="61" s="1"/>
  <c r="L62" i="61"/>
  <c r="K62" i="61" s="1"/>
  <c r="T62" i="61"/>
  <c r="S62" i="61" s="1"/>
  <c r="AB62" i="61"/>
  <c r="AA62" i="61" s="1"/>
  <c r="AJ62" i="61"/>
  <c r="AI62" i="61" s="1"/>
  <c r="F62" i="61"/>
  <c r="E62" i="61" s="1"/>
  <c r="V62" i="61"/>
  <c r="U62" i="61" s="1"/>
  <c r="AL62" i="61"/>
  <c r="AK62" i="61" s="1"/>
  <c r="L26" i="62"/>
  <c r="K26" i="62" s="1"/>
  <c r="AB26" i="62"/>
  <c r="AA26" i="62" s="1"/>
  <c r="J62" i="62"/>
  <c r="I62" i="62" s="1"/>
  <c r="Z62" i="62"/>
  <c r="Y62" i="62" s="1"/>
  <c r="N62" i="62"/>
  <c r="M62" i="62" s="1"/>
  <c r="AD62" i="62"/>
  <c r="AC62" i="62" s="1"/>
  <c r="V20" i="31"/>
  <c r="U29" i="88"/>
  <c r="H62" i="59"/>
  <c r="G62" i="59" s="1"/>
  <c r="P62" i="59"/>
  <c r="O62" i="59" s="1"/>
  <c r="X62" i="59"/>
  <c r="W62" i="59" s="1"/>
  <c r="AF62" i="59"/>
  <c r="AE62" i="59" s="1"/>
  <c r="AN62" i="59"/>
  <c r="AM62" i="59" s="1"/>
  <c r="L62" i="45"/>
  <c r="K62" i="45" s="1"/>
  <c r="T62" i="45"/>
  <c r="S62" i="45" s="1"/>
  <c r="AB62" i="45"/>
  <c r="AA62" i="45" s="1"/>
  <c r="AJ62" i="45"/>
  <c r="AI62" i="45" s="1"/>
  <c r="G14" i="32"/>
  <c r="G101" i="32" s="1"/>
  <c r="K14" i="32"/>
  <c r="K101" i="32" s="1"/>
  <c r="O14" i="32"/>
  <c r="O101" i="32" s="1"/>
  <c r="S14" i="32"/>
  <c r="S101" i="32" s="1"/>
  <c r="W14" i="32"/>
  <c r="W101" i="32" s="1"/>
  <c r="L50" i="52"/>
  <c r="K50" i="52" s="1"/>
  <c r="K68" i="52" s="1"/>
  <c r="J15" i="31" s="1"/>
  <c r="T50" i="52"/>
  <c r="S50" i="52" s="1"/>
  <c r="S68" i="52" s="1"/>
  <c r="N15" i="31" s="1"/>
  <c r="AB50" i="52"/>
  <c r="AA50" i="52" s="1"/>
  <c r="AA68" i="52" s="1"/>
  <c r="AJ50" i="52"/>
  <c r="AI50" i="52" s="1"/>
  <c r="AI68" i="52" s="1"/>
  <c r="V15" i="31" s="1"/>
  <c r="H62" i="52"/>
  <c r="G62" i="52" s="1"/>
  <c r="P62" i="52"/>
  <c r="O62" i="52" s="1"/>
  <c r="X62" i="52"/>
  <c r="W62" i="52" s="1"/>
  <c r="AF62" i="52"/>
  <c r="AE62" i="52" s="1"/>
  <c r="AN62" i="52"/>
  <c r="AM62" i="52" s="1"/>
  <c r="J62" i="52"/>
  <c r="I62" i="52" s="1"/>
  <c r="R62" i="52"/>
  <c r="Q62" i="52" s="1"/>
  <c r="Z62" i="52"/>
  <c r="Y62" i="52" s="1"/>
  <c r="AH62" i="52"/>
  <c r="AG62" i="52" s="1"/>
  <c r="H26" i="60"/>
  <c r="G26" i="60" s="1"/>
  <c r="P26" i="60"/>
  <c r="O26" i="60" s="1"/>
  <c r="X26" i="60"/>
  <c r="W26" i="60" s="1"/>
  <c r="AF26" i="60"/>
  <c r="AE26" i="60" s="1"/>
  <c r="AN26" i="60"/>
  <c r="AM26" i="60" s="1"/>
  <c r="P50" i="61"/>
  <c r="O50" i="61" s="1"/>
  <c r="O68" i="61" s="1"/>
  <c r="L18" i="31" s="1"/>
  <c r="AF50" i="61"/>
  <c r="AE50" i="61" s="1"/>
  <c r="AE68" i="61" s="1"/>
  <c r="T18" i="31" s="1"/>
  <c r="U19" i="32"/>
  <c r="U106" i="32" s="1"/>
  <c r="V19" i="31"/>
  <c r="T62" i="62"/>
  <c r="S62" i="62" s="1"/>
  <c r="AJ62" i="62"/>
  <c r="AI62" i="62" s="1"/>
  <c r="F62" i="62"/>
  <c r="E62" i="62" s="1"/>
  <c r="V62" i="62"/>
  <c r="U62" i="62" s="1"/>
  <c r="AL62" i="62"/>
  <c r="AK62" i="62" s="1"/>
  <c r="AB14" i="88"/>
  <c r="AA14" i="88" s="1"/>
  <c r="AA27" i="88" s="1"/>
  <c r="R21" i="32" s="1"/>
  <c r="I40" i="65"/>
  <c r="K54" i="66"/>
  <c r="F50" i="60"/>
  <c r="E50" i="60" s="1"/>
  <c r="E68" i="60" s="1"/>
  <c r="N50" i="60"/>
  <c r="M50" i="60" s="1"/>
  <c r="M68" i="60" s="1"/>
  <c r="K17" i="31" s="1"/>
  <c r="V50" i="60"/>
  <c r="U50" i="60" s="1"/>
  <c r="U68" i="60" s="1"/>
  <c r="AD50" i="60"/>
  <c r="AC50" i="60" s="1"/>
  <c r="AC68" i="60" s="1"/>
  <c r="AL50" i="60"/>
  <c r="AK50" i="60" s="1"/>
  <c r="AK68" i="60" s="1"/>
  <c r="J26" i="62"/>
  <c r="I26" i="62" s="1"/>
  <c r="R26" i="62"/>
  <c r="Q26" i="62" s="1"/>
  <c r="Z26" i="62"/>
  <c r="Y26" i="62" s="1"/>
  <c r="AH26" i="62"/>
  <c r="AG26" i="62" s="1"/>
  <c r="E43" i="32"/>
  <c r="O35" i="68"/>
  <c r="F26" i="61"/>
  <c r="E26" i="61" s="1"/>
  <c r="N26" i="61"/>
  <c r="M26" i="61" s="1"/>
  <c r="V26" i="61"/>
  <c r="U26" i="61" s="1"/>
  <c r="AD26" i="61"/>
  <c r="AC26" i="61" s="1"/>
  <c r="AL26" i="61"/>
  <c r="AK26" i="61" s="1"/>
  <c r="F50" i="61"/>
  <c r="E50" i="61" s="1"/>
  <c r="E68" i="61" s="1"/>
  <c r="G18" i="31" s="1"/>
  <c r="N50" i="61"/>
  <c r="M50" i="61" s="1"/>
  <c r="M68" i="61" s="1"/>
  <c r="K18" i="31" s="1"/>
  <c r="V50" i="61"/>
  <c r="U50" i="61" s="1"/>
  <c r="U68" i="61" s="1"/>
  <c r="O18" i="31" s="1"/>
  <c r="AD50" i="61"/>
  <c r="AC50" i="61" s="1"/>
  <c r="AC68" i="61" s="1"/>
  <c r="S18" i="31" s="1"/>
  <c r="AL50" i="61"/>
  <c r="AK50" i="61" s="1"/>
  <c r="AK68" i="61" s="1"/>
  <c r="W18" i="31" s="1"/>
  <c r="J26" i="63"/>
  <c r="I26" i="63" s="1"/>
  <c r="R26" i="63"/>
  <c r="Q26" i="63" s="1"/>
  <c r="Z26" i="63"/>
  <c r="Y26" i="63" s="1"/>
  <c r="AH26" i="63"/>
  <c r="AG26" i="63" s="1"/>
  <c r="T20" i="32"/>
  <c r="T107" i="32" s="1"/>
  <c r="F50" i="63"/>
  <c r="E50" i="63" s="1"/>
  <c r="E68" i="63" s="1"/>
  <c r="N50" i="63"/>
  <c r="M50" i="63" s="1"/>
  <c r="M68" i="63" s="1"/>
  <c r="K20" i="31" s="1"/>
  <c r="V50" i="63"/>
  <c r="U50" i="63" s="1"/>
  <c r="U68" i="63" s="1"/>
  <c r="O20" i="31" s="1"/>
  <c r="AD50" i="63"/>
  <c r="AC50" i="63" s="1"/>
  <c r="AC68" i="63" s="1"/>
  <c r="S20" i="31" s="1"/>
  <c r="AL50" i="63"/>
  <c r="AK50" i="63" s="1"/>
  <c r="AK68" i="63" s="1"/>
  <c r="E12" i="88"/>
  <c r="F12" i="88" s="1"/>
  <c r="F14" i="88" s="1"/>
  <c r="E14" i="88" s="1"/>
  <c r="E7" i="88"/>
  <c r="F7" i="88" s="1"/>
  <c r="I12" i="88"/>
  <c r="J12" i="88" s="1"/>
  <c r="J14" i="88" s="1"/>
  <c r="I14" i="88" s="1"/>
  <c r="I27" i="88" s="1"/>
  <c r="I7" i="88"/>
  <c r="J7" i="88" s="1"/>
  <c r="M12" i="88"/>
  <c r="N12" i="88" s="1"/>
  <c r="N14" i="88" s="1"/>
  <c r="M14" i="88" s="1"/>
  <c r="M27" i="88" s="1"/>
  <c r="M7" i="88"/>
  <c r="N7" i="88" s="1"/>
  <c r="Q12" i="88"/>
  <c r="R12" i="88" s="1"/>
  <c r="R14" i="88" s="1"/>
  <c r="Q14" i="88" s="1"/>
  <c r="Q27" i="88" s="1"/>
  <c r="Q7" i="88"/>
  <c r="R7" i="88" s="1"/>
  <c r="U12" i="88"/>
  <c r="V12" i="88" s="1"/>
  <c r="V14" i="88" s="1"/>
  <c r="U14" i="88" s="1"/>
  <c r="U7" i="88"/>
  <c r="V7" i="88" s="1"/>
  <c r="Y12" i="88"/>
  <c r="Z12" i="88" s="1"/>
  <c r="Z14" i="88" s="1"/>
  <c r="Y14" i="88" s="1"/>
  <c r="Y27" i="88" s="1"/>
  <c r="Y7" i="88"/>
  <c r="Z7" i="88" s="1"/>
  <c r="AC12" i="88"/>
  <c r="AD12" i="88" s="1"/>
  <c r="AD14" i="88" s="1"/>
  <c r="AC14" i="88" s="1"/>
  <c r="AC27" i="88" s="1"/>
  <c r="AC7" i="88"/>
  <c r="AD7" i="88" s="1"/>
  <c r="AG12" i="88"/>
  <c r="AH12" i="88" s="1"/>
  <c r="AH14" i="88" s="1"/>
  <c r="AG14" i="88" s="1"/>
  <c r="AG27" i="88" s="1"/>
  <c r="AG7" i="88"/>
  <c r="AH7" i="88" s="1"/>
  <c r="AK12" i="88"/>
  <c r="AL12" i="88" s="1"/>
  <c r="AL14" i="88" s="1"/>
  <c r="AK14" i="88" s="1"/>
  <c r="AK7" i="88"/>
  <c r="AL7" i="88" s="1"/>
  <c r="I17" i="88"/>
  <c r="J17" i="88" s="1"/>
  <c r="J19" i="88" s="1"/>
  <c r="I19" i="88" s="1"/>
  <c r="I28" i="88" s="1"/>
  <c r="Q17" i="88"/>
  <c r="R17" i="88" s="1"/>
  <c r="R19" i="88" s="1"/>
  <c r="Q19" i="88" s="1"/>
  <c r="Q28" i="88" s="1"/>
  <c r="M21" i="31" s="1"/>
  <c r="Y17" i="88"/>
  <c r="Z17" i="88" s="1"/>
  <c r="Z19" i="88" s="1"/>
  <c r="Y19" i="88" s="1"/>
  <c r="Y28" i="88" s="1"/>
  <c r="AG17" i="88"/>
  <c r="AH17" i="88" s="1"/>
  <c r="AH19" i="88" s="1"/>
  <c r="AG19" i="88" s="1"/>
  <c r="AG28" i="88" s="1"/>
  <c r="I20" i="88"/>
  <c r="J20" i="88" s="1"/>
  <c r="J22" i="88" s="1"/>
  <c r="I22" i="88" s="1"/>
  <c r="Q20" i="88"/>
  <c r="R20" i="88" s="1"/>
  <c r="R22" i="88" s="1"/>
  <c r="Q22" i="88" s="1"/>
  <c r="Y20" i="88"/>
  <c r="Z20" i="88" s="1"/>
  <c r="Z22" i="88" s="1"/>
  <c r="Y22" i="88" s="1"/>
  <c r="AG20" i="88"/>
  <c r="AH20" i="88" s="1"/>
  <c r="AH22" i="88" s="1"/>
  <c r="AG22" i="88" s="1"/>
  <c r="F43" i="64"/>
  <c r="E43" i="64" s="1"/>
  <c r="N43" i="64"/>
  <c r="M43" i="64" s="1"/>
  <c r="I69" i="81"/>
  <c r="E45" i="32"/>
  <c r="J50" i="60"/>
  <c r="I50" i="60" s="1"/>
  <c r="I68" i="60" s="1"/>
  <c r="I17" i="31" s="1"/>
  <c r="R50" i="60"/>
  <c r="Q50" i="60" s="1"/>
  <c r="Q68" i="60" s="1"/>
  <c r="M17" i="31" s="1"/>
  <c r="Z50" i="60"/>
  <c r="Y50" i="60" s="1"/>
  <c r="Y68" i="60" s="1"/>
  <c r="Q17" i="31" s="1"/>
  <c r="AH50" i="60"/>
  <c r="AG50" i="60" s="1"/>
  <c r="AG68" i="60" s="1"/>
  <c r="U17" i="31" s="1"/>
  <c r="F26" i="62"/>
  <c r="E26" i="62" s="1"/>
  <c r="N26" i="62"/>
  <c r="M26" i="62" s="1"/>
  <c r="V26" i="62"/>
  <c r="U26" i="62" s="1"/>
  <c r="AD26" i="62"/>
  <c r="AC26" i="62" s="1"/>
  <c r="AL26" i="62"/>
  <c r="AK26" i="62" s="1"/>
  <c r="F50" i="62"/>
  <c r="E50" i="62" s="1"/>
  <c r="E68" i="62" s="1"/>
  <c r="N50" i="62"/>
  <c r="M50" i="62" s="1"/>
  <c r="M68" i="62" s="1"/>
  <c r="V50" i="62"/>
  <c r="U50" i="62" s="1"/>
  <c r="U68" i="62" s="1"/>
  <c r="AD50" i="62"/>
  <c r="AC50" i="62" s="1"/>
  <c r="AC68" i="62" s="1"/>
  <c r="AL50" i="62"/>
  <c r="AK50" i="62" s="1"/>
  <c r="AK68" i="62" s="1"/>
  <c r="W19" i="31" s="1"/>
  <c r="J62" i="63"/>
  <c r="I62" i="63" s="1"/>
  <c r="R62" i="63"/>
  <c r="Q62" i="63" s="1"/>
  <c r="Z62" i="63"/>
  <c r="Y62" i="63" s="1"/>
  <c r="AH62" i="63"/>
  <c r="AG62" i="63" s="1"/>
  <c r="F5" i="88"/>
  <c r="J5" i="88"/>
  <c r="N5" i="88"/>
  <c r="R5" i="88"/>
  <c r="V5" i="88"/>
  <c r="Z5" i="88"/>
  <c r="AD5" i="88"/>
  <c r="AH5" i="88"/>
  <c r="AL5" i="88"/>
  <c r="H43" i="64"/>
  <c r="G43" i="64" s="1"/>
  <c r="J43" i="64"/>
  <c r="I43" i="64" s="1"/>
  <c r="E82" i="30"/>
  <c r="E79" i="32"/>
  <c r="E82" i="32"/>
  <c r="E33" i="30"/>
  <c r="C13" i="99"/>
  <c r="G13" i="99" s="1"/>
  <c r="F17" i="96"/>
  <c r="F23" i="96" s="1"/>
  <c r="E23" i="96" s="1"/>
  <c r="B12" i="99"/>
  <c r="G12" i="99" s="1"/>
  <c r="K34" i="96"/>
  <c r="E38" i="30"/>
  <c r="E42" i="30"/>
  <c r="X51" i="28" s="1"/>
  <c r="E46" i="30"/>
  <c r="X52" i="28" s="1"/>
  <c r="O54" i="66"/>
  <c r="K59" i="30"/>
  <c r="K62" i="31"/>
  <c r="G39" i="67"/>
  <c r="D32" i="64"/>
  <c r="F26" i="81"/>
  <c r="E26" i="81" s="1"/>
  <c r="J38" i="81"/>
  <c r="I38" i="81" s="1"/>
  <c r="I67" i="81" s="1"/>
  <c r="AK53" i="96"/>
  <c r="AL53" i="96" s="1"/>
  <c r="AG53" i="96"/>
  <c r="AH53" i="96" s="1"/>
  <c r="AC53" i="96"/>
  <c r="AD53" i="96" s="1"/>
  <c r="Y53" i="96"/>
  <c r="Z53" i="96" s="1"/>
  <c r="U53" i="96"/>
  <c r="V53" i="96" s="1"/>
  <c r="Q53" i="96"/>
  <c r="R53" i="96" s="1"/>
  <c r="M53" i="96"/>
  <c r="N53" i="96" s="1"/>
  <c r="L18" i="96"/>
  <c r="J43" i="96"/>
  <c r="I43" i="96" s="1"/>
  <c r="W53" i="96"/>
  <c r="X53" i="96" s="1"/>
  <c r="AE53" i="96"/>
  <c r="AF53" i="96" s="1"/>
  <c r="AM53" i="96"/>
  <c r="R7" i="66"/>
  <c r="R26" i="66" s="1"/>
  <c r="Q26" i="66" s="1"/>
  <c r="G54" i="66"/>
  <c r="X12" i="80"/>
  <c r="W12" i="80" s="1"/>
  <c r="L18" i="80"/>
  <c r="K18" i="80" s="1"/>
  <c r="K32" i="80" s="1"/>
  <c r="J60" i="32" s="1"/>
  <c r="W34" i="80"/>
  <c r="P60" i="30" s="1"/>
  <c r="K59" i="32"/>
  <c r="J13" i="68"/>
  <c r="I13" i="68" s="1"/>
  <c r="N62" i="32"/>
  <c r="O37" i="78"/>
  <c r="L62" i="30" s="1"/>
  <c r="G17" i="88"/>
  <c r="H17" i="88" s="1"/>
  <c r="H19" i="88" s="1"/>
  <c r="G19" i="88" s="1"/>
  <c r="G28" i="88" s="1"/>
  <c r="H21" i="31" s="1"/>
  <c r="K17" i="88"/>
  <c r="L17" i="88" s="1"/>
  <c r="L19" i="88" s="1"/>
  <c r="K19" i="88" s="1"/>
  <c r="O17" i="88"/>
  <c r="P17" i="88" s="1"/>
  <c r="P19" i="88" s="1"/>
  <c r="O19" i="88" s="1"/>
  <c r="S17" i="88"/>
  <c r="T17" i="88" s="1"/>
  <c r="T19" i="88" s="1"/>
  <c r="S19" i="88" s="1"/>
  <c r="W17" i="88"/>
  <c r="X17" i="88" s="1"/>
  <c r="X19" i="88" s="1"/>
  <c r="W19" i="88" s="1"/>
  <c r="AA17" i="88"/>
  <c r="AB17" i="88" s="1"/>
  <c r="AB19" i="88" s="1"/>
  <c r="AA19" i="88" s="1"/>
  <c r="AE17" i="88"/>
  <c r="AF17" i="88" s="1"/>
  <c r="AF19" i="88" s="1"/>
  <c r="AE19" i="88" s="1"/>
  <c r="AE28" i="88" s="1"/>
  <c r="AI17" i="88"/>
  <c r="AJ17" i="88" s="1"/>
  <c r="AJ19" i="88" s="1"/>
  <c r="AI19" i="88" s="1"/>
  <c r="AM17" i="88"/>
  <c r="AM19" i="88" s="1"/>
  <c r="L16" i="65"/>
  <c r="K16" i="65" s="1"/>
  <c r="L29" i="65"/>
  <c r="K29" i="65" s="1"/>
  <c r="K39" i="65" s="1"/>
  <c r="F38" i="81"/>
  <c r="E38" i="81" s="1"/>
  <c r="E67" i="81" s="1"/>
  <c r="F28" i="96"/>
  <c r="E28" i="96" s="1"/>
  <c r="E48" i="96" s="1"/>
  <c r="F39" i="96"/>
  <c r="E39" i="96" s="1"/>
  <c r="E49" i="96" s="1"/>
  <c r="I54" i="66"/>
  <c r="Q54" i="66"/>
  <c r="S54" i="66"/>
  <c r="L12" i="80"/>
  <c r="K12" i="80" s="1"/>
  <c r="H19" i="80"/>
  <c r="H25" i="80" s="1"/>
  <c r="G25" i="80" s="1"/>
  <c r="G33" i="80" s="1"/>
  <c r="H60" i="31" s="1"/>
  <c r="K34" i="80"/>
  <c r="J60" i="30" s="1"/>
  <c r="P12" i="78"/>
  <c r="O12" i="78" s="1"/>
  <c r="O62" i="31"/>
  <c r="M26" i="81"/>
  <c r="C11" i="99"/>
  <c r="J17" i="96"/>
  <c r="F43" i="96"/>
  <c r="E43" i="96" s="1"/>
  <c r="S53" i="96"/>
  <c r="T53" i="96" s="1"/>
  <c r="AA53" i="96"/>
  <c r="AB53" i="96" s="1"/>
  <c r="AI53" i="96"/>
  <c r="AJ53" i="96" s="1"/>
  <c r="J38" i="66"/>
  <c r="I38" i="66" s="1"/>
  <c r="I52" i="66" s="1"/>
  <c r="R38" i="66"/>
  <c r="Q38" i="66" s="1"/>
  <c r="Q52" i="66" s="1"/>
  <c r="N38" i="66"/>
  <c r="M38" i="66" s="1"/>
  <c r="M52" i="66" s="1"/>
  <c r="E46" i="32"/>
  <c r="V52" i="28" s="1"/>
  <c r="Q40" i="66"/>
  <c r="R40" i="66" s="1"/>
  <c r="R45" i="66" s="1"/>
  <c r="Q45" i="66" s="1"/>
  <c r="Q53" i="66" s="1"/>
  <c r="V18" i="80"/>
  <c r="U18" i="80" s="1"/>
  <c r="U32" i="80" s="1"/>
  <c r="O60" i="32" s="1"/>
  <c r="L25" i="80"/>
  <c r="K25" i="80" s="1"/>
  <c r="K33" i="80" s="1"/>
  <c r="W60" i="31"/>
  <c r="U34" i="80"/>
  <c r="G34" i="80"/>
  <c r="F13" i="68"/>
  <c r="E13" i="68" s="1"/>
  <c r="L25" i="68"/>
  <c r="K25" i="68" s="1"/>
  <c r="K34" i="68" s="1"/>
  <c r="J61" i="31" s="1"/>
  <c r="T25" i="68"/>
  <c r="S25" i="68" s="1"/>
  <c r="S34" i="68" s="1"/>
  <c r="T62" i="31"/>
  <c r="Y37" i="78"/>
  <c r="Q62" i="30" s="1"/>
  <c r="K62" i="30"/>
  <c r="S62" i="30"/>
  <c r="J29" i="67"/>
  <c r="I29" i="67" s="1"/>
  <c r="F29" i="67"/>
  <c r="E29" i="67" s="1"/>
  <c r="E38" i="67" s="1"/>
  <c r="N29" i="67"/>
  <c r="M29" i="67" s="1"/>
  <c r="M38" i="67" s="1"/>
  <c r="AA68" i="28"/>
  <c r="E28" i="3"/>
  <c r="F4" i="78"/>
  <c r="F12" i="78" s="1"/>
  <c r="E12" i="78" s="1"/>
  <c r="J4" i="78"/>
  <c r="J12" i="78" s="1"/>
  <c r="I12" i="78" s="1"/>
  <c r="N4" i="78"/>
  <c r="N12" i="78" s="1"/>
  <c r="M12" i="78" s="1"/>
  <c r="M32" i="78" s="1"/>
  <c r="K62" i="34" s="1"/>
  <c r="R4" i="78"/>
  <c r="R12" i="78" s="1"/>
  <c r="Q12" i="78" s="1"/>
  <c r="V4" i="78"/>
  <c r="V12" i="78" s="1"/>
  <c r="U12" i="78" s="1"/>
  <c r="Z4" i="78"/>
  <c r="Z12" i="78" s="1"/>
  <c r="Y12" i="78" s="1"/>
  <c r="AD4" i="78"/>
  <c r="AD12" i="78" s="1"/>
  <c r="AC12" i="78" s="1"/>
  <c r="AH4" i="78"/>
  <c r="AH12" i="78" s="1"/>
  <c r="AG12" i="78" s="1"/>
  <c r="AL4" i="78"/>
  <c r="AL12" i="78" s="1"/>
  <c r="AK12" i="78" s="1"/>
  <c r="E65" i="30"/>
  <c r="E72" i="30"/>
  <c r="E72" i="31"/>
  <c r="E66" i="32"/>
  <c r="E72" i="33"/>
  <c r="E72" i="34"/>
  <c r="E67" i="31"/>
  <c r="E71" i="31"/>
  <c r="E67" i="32"/>
  <c r="E66" i="31"/>
  <c r="E72" i="32"/>
  <c r="E65" i="32"/>
  <c r="E69" i="33"/>
  <c r="L13" i="95"/>
  <c r="K13" i="95" s="1"/>
  <c r="T13" i="95"/>
  <c r="S13" i="95" s="1"/>
  <c r="L29" i="67"/>
  <c r="K29" i="67" s="1"/>
  <c r="K38" i="67" s="1"/>
  <c r="J21" i="78"/>
  <c r="I21" i="78" s="1"/>
  <c r="I35" i="78" s="1"/>
  <c r="R21" i="78"/>
  <c r="Q21" i="78" s="1"/>
  <c r="Q35" i="78" s="1"/>
  <c r="M62" i="32" s="1"/>
  <c r="Z21" i="78"/>
  <c r="Y21" i="78" s="1"/>
  <c r="Y35" i="78" s="1"/>
  <c r="AH21" i="78"/>
  <c r="AG21" i="78" s="1"/>
  <c r="AG35" i="78" s="1"/>
  <c r="L30" i="78"/>
  <c r="K30" i="78" s="1"/>
  <c r="T30" i="78"/>
  <c r="S30" i="78" s="1"/>
  <c r="AB30" i="78"/>
  <c r="AA30" i="78" s="1"/>
  <c r="AJ30" i="78"/>
  <c r="AI30" i="78" s="1"/>
  <c r="O30" i="95"/>
  <c r="L11" i="67"/>
  <c r="K11" i="67" s="1"/>
  <c r="AA67" i="28"/>
  <c r="B41" i="106"/>
  <c r="L86" i="34"/>
  <c r="T86" i="34"/>
  <c r="X86" i="34"/>
  <c r="L17" i="32"/>
  <c r="L104" i="32" s="1"/>
  <c r="T17" i="32"/>
  <c r="T104" i="32" s="1"/>
  <c r="G60" i="34"/>
  <c r="G59" i="33"/>
  <c r="G12" i="28"/>
  <c r="G13" i="28"/>
  <c r="G14" i="28"/>
  <c r="M28" i="3"/>
  <c r="M13" i="43" s="1"/>
  <c r="N13" i="43" s="1"/>
  <c r="N15" i="43" s="1"/>
  <c r="M15" i="43" s="1"/>
  <c r="M22" i="43" s="1"/>
  <c r="K22" i="30" s="1"/>
  <c r="G16" i="28"/>
  <c r="G59" i="34"/>
  <c r="G86" i="33"/>
  <c r="G60" i="33"/>
  <c r="G22" i="33"/>
  <c r="O59" i="33"/>
  <c r="S61" i="33"/>
  <c r="S59" i="33"/>
  <c r="S60" i="33"/>
  <c r="S86" i="33"/>
  <c r="S22" i="33"/>
  <c r="S24" i="33"/>
  <c r="W61" i="33"/>
  <c r="W59" i="33"/>
  <c r="G24" i="33"/>
  <c r="K28" i="3"/>
  <c r="K13" i="43" s="1"/>
  <c r="L13" i="43" s="1"/>
  <c r="L15" i="43" s="1"/>
  <c r="K15" i="43" s="1"/>
  <c r="K22" i="43" s="1"/>
  <c r="J22" i="30" s="1"/>
  <c r="S28" i="3"/>
  <c r="S13" i="43" s="1"/>
  <c r="T13" i="43" s="1"/>
  <c r="T15" i="43" s="1"/>
  <c r="S15" i="43" s="1"/>
  <c r="AA28" i="3"/>
  <c r="AA13" i="43" s="1"/>
  <c r="AB13" i="43" s="1"/>
  <c r="AB15" i="43" s="1"/>
  <c r="AA15" i="43" s="1"/>
  <c r="AI28" i="3"/>
  <c r="AI13" i="43" s="1"/>
  <c r="AJ13" i="43" s="1"/>
  <c r="AJ15" i="43" s="1"/>
  <c r="AI15" i="43" s="1"/>
  <c r="N86" i="34"/>
  <c r="R86" i="34"/>
  <c r="V86" i="34"/>
  <c r="L24" i="33"/>
  <c r="L112" i="33" s="1"/>
  <c r="L22" i="33"/>
  <c r="L110" i="33" s="1"/>
  <c r="L60" i="33"/>
  <c r="P61" i="33"/>
  <c r="P59" i="33"/>
  <c r="T86" i="33"/>
  <c r="T61" i="33"/>
  <c r="T24" i="33"/>
  <c r="T22" i="33"/>
  <c r="M22" i="33"/>
  <c r="M110" i="33" s="1"/>
  <c r="I24" i="33"/>
  <c r="Q59" i="33"/>
  <c r="I60" i="33"/>
  <c r="I86" i="33"/>
  <c r="M60" i="33"/>
  <c r="M59" i="33"/>
  <c r="Q60" i="33"/>
  <c r="U60" i="33"/>
  <c r="I22" i="33"/>
  <c r="U24" i="33"/>
  <c r="U112" i="33" s="1"/>
  <c r="T59" i="33"/>
  <c r="Q86" i="33"/>
  <c r="U22" i="33"/>
  <c r="U110" i="33" s="1"/>
  <c r="Q24" i="33"/>
  <c r="L59" i="33"/>
  <c r="U59" i="33"/>
  <c r="T60" i="33"/>
  <c r="U61" i="33"/>
  <c r="G62" i="32"/>
  <c r="K62" i="32"/>
  <c r="O62" i="32"/>
  <c r="S62" i="32"/>
  <c r="J24" i="32"/>
  <c r="J16" i="32"/>
  <c r="J103" i="32" s="1"/>
  <c r="J13" i="32"/>
  <c r="J100" i="32" s="1"/>
  <c r="N85" i="32"/>
  <c r="N59" i="32"/>
  <c r="N22" i="32"/>
  <c r="N19" i="32"/>
  <c r="N106" i="32" s="1"/>
  <c r="N14" i="32"/>
  <c r="N101" i="32" s="1"/>
  <c r="N86" i="32"/>
  <c r="R85" i="32"/>
  <c r="R20" i="32"/>
  <c r="R107" i="32" s="1"/>
  <c r="R17" i="32"/>
  <c r="R104" i="32" s="1"/>
  <c r="R86" i="32"/>
  <c r="R59" i="32"/>
  <c r="R22" i="32"/>
  <c r="V85" i="32"/>
  <c r="V60" i="32"/>
  <c r="V18" i="32"/>
  <c r="V105" i="32" s="1"/>
  <c r="V15" i="32"/>
  <c r="V102" i="32" s="1"/>
  <c r="V7" i="32"/>
  <c r="V19" i="32"/>
  <c r="V106" i="32" s="1"/>
  <c r="V86" i="32"/>
  <c r="L9" i="32"/>
  <c r="L13" i="32"/>
  <c r="L100" i="32" s="1"/>
  <c r="R13" i="32"/>
  <c r="R100" i="32" s="1"/>
  <c r="V14" i="32"/>
  <c r="V101" i="32" s="1"/>
  <c r="J15" i="32"/>
  <c r="J102" i="32" s="1"/>
  <c r="R15" i="32"/>
  <c r="R102" i="32" s="1"/>
  <c r="N16" i="32"/>
  <c r="N103" i="32" s="1"/>
  <c r="V16" i="32"/>
  <c r="V103" i="32" s="1"/>
  <c r="J17" i="32"/>
  <c r="J104" i="32" s="1"/>
  <c r="N18" i="32"/>
  <c r="N105" i="32" s="1"/>
  <c r="T18" i="32"/>
  <c r="T105" i="32" s="1"/>
  <c r="L19" i="32"/>
  <c r="L106" i="32" s="1"/>
  <c r="N20" i="32"/>
  <c r="N107" i="32" s="1"/>
  <c r="V20" i="32"/>
  <c r="V107" i="32" s="1"/>
  <c r="V22" i="32"/>
  <c r="L24" i="32"/>
  <c r="V24" i="32"/>
  <c r="L59" i="32"/>
  <c r="T59" i="32"/>
  <c r="P60" i="32"/>
  <c r="R61" i="32"/>
  <c r="P62" i="32"/>
  <c r="I62" i="31"/>
  <c r="I60" i="31"/>
  <c r="I59" i="31"/>
  <c r="I18" i="31"/>
  <c r="I24" i="31"/>
  <c r="I22" i="31"/>
  <c r="M60" i="31"/>
  <c r="M24" i="31"/>
  <c r="M86" i="31"/>
  <c r="M61" i="31"/>
  <c r="M59" i="31"/>
  <c r="M22" i="31"/>
  <c r="M15" i="31"/>
  <c r="M20" i="31"/>
  <c r="Q60" i="31"/>
  <c r="Q19" i="31"/>
  <c r="Q22" i="31"/>
  <c r="Q86" i="31"/>
  <c r="Q61" i="31"/>
  <c r="Q59" i="31"/>
  <c r="Q24" i="31"/>
  <c r="U62" i="31"/>
  <c r="U60" i="31"/>
  <c r="U86" i="31"/>
  <c r="U61" i="31"/>
  <c r="U20" i="31"/>
  <c r="U59" i="31"/>
  <c r="U24" i="31"/>
  <c r="U22" i="31"/>
  <c r="U15" i="31"/>
  <c r="U85" i="31"/>
  <c r="U16" i="31"/>
  <c r="H7" i="32"/>
  <c r="R8" i="32"/>
  <c r="N9" i="32"/>
  <c r="T13" i="32"/>
  <c r="T100" i="32" s="1"/>
  <c r="J14" i="32"/>
  <c r="J101" i="32" s="1"/>
  <c r="P14" i="32"/>
  <c r="P101" i="32" s="1"/>
  <c r="T15" i="32"/>
  <c r="T102" i="32" s="1"/>
  <c r="H16" i="32"/>
  <c r="H103" i="32" s="1"/>
  <c r="P16" i="32"/>
  <c r="P103" i="32" s="1"/>
  <c r="H18" i="32"/>
  <c r="H105" i="32" s="1"/>
  <c r="N24" i="32"/>
  <c r="V59" i="32"/>
  <c r="R60" i="32"/>
  <c r="V62" i="32"/>
  <c r="H86" i="32"/>
  <c r="H62" i="32"/>
  <c r="H22" i="32"/>
  <c r="H17" i="32"/>
  <c r="H104" i="32" s="1"/>
  <c r="H14" i="32"/>
  <c r="H101" i="32" s="1"/>
  <c r="H85" i="32"/>
  <c r="H24" i="32"/>
  <c r="H19" i="32"/>
  <c r="H106" i="32" s="1"/>
  <c r="L86" i="32"/>
  <c r="L110" i="32" s="1"/>
  <c r="L85" i="32"/>
  <c r="L60" i="32"/>
  <c r="L20" i="32"/>
  <c r="L107" i="32" s="1"/>
  <c r="L15" i="32"/>
  <c r="L102" i="32" s="1"/>
  <c r="L7" i="32"/>
  <c r="L62" i="32"/>
  <c r="P18" i="32"/>
  <c r="P105" i="32" s="1"/>
  <c r="P13" i="32"/>
  <c r="P100" i="32" s="1"/>
  <c r="P61" i="32"/>
  <c r="P19" i="32"/>
  <c r="P106" i="32" s="1"/>
  <c r="T86" i="32"/>
  <c r="T110" i="32" s="1"/>
  <c r="T61" i="32"/>
  <c r="T24" i="32"/>
  <c r="T19" i="32"/>
  <c r="T106" i="32" s="1"/>
  <c r="T16" i="32"/>
  <c r="T103" i="32" s="1"/>
  <c r="T85" i="32"/>
  <c r="T60" i="32"/>
  <c r="P7" i="32"/>
  <c r="P9" i="32"/>
  <c r="H13" i="32"/>
  <c r="H100" i="32" s="1"/>
  <c r="N13" i="32"/>
  <c r="N100" i="32" s="1"/>
  <c r="V13" i="32"/>
  <c r="V100" i="32" s="1"/>
  <c r="R14" i="32"/>
  <c r="R101" i="32" s="1"/>
  <c r="H15" i="32"/>
  <c r="H102" i="32" s="1"/>
  <c r="N15" i="32"/>
  <c r="N102" i="32" s="1"/>
  <c r="R16" i="32"/>
  <c r="R103" i="32" s="1"/>
  <c r="N17" i="32"/>
  <c r="N104" i="32" s="1"/>
  <c r="J18" i="32"/>
  <c r="J105" i="32" s="1"/>
  <c r="R18" i="32"/>
  <c r="R105" i="32" s="1"/>
  <c r="H20" i="32"/>
  <c r="H107" i="32" s="1"/>
  <c r="P20" i="32"/>
  <c r="P107" i="32" s="1"/>
  <c r="R24" i="32"/>
  <c r="P59" i="32"/>
  <c r="V61" i="32"/>
  <c r="J62" i="32"/>
  <c r="M14" i="31"/>
  <c r="I86" i="31"/>
  <c r="T5" i="31"/>
  <c r="P19" i="31"/>
  <c r="N60" i="30"/>
  <c r="N86" i="30"/>
  <c r="N4" i="30"/>
  <c r="N59" i="30"/>
  <c r="N24" i="30"/>
  <c r="R60" i="30"/>
  <c r="R15" i="30"/>
  <c r="R59" i="30"/>
  <c r="R24" i="30"/>
  <c r="R86" i="30"/>
  <c r="R61" i="30"/>
  <c r="R22" i="30"/>
  <c r="V60" i="30"/>
  <c r="V22" i="30"/>
  <c r="V24" i="30"/>
  <c r="V86" i="30"/>
  <c r="V59" i="30"/>
  <c r="N22" i="30"/>
  <c r="V61" i="30"/>
  <c r="L13" i="31"/>
  <c r="T13" i="31"/>
  <c r="H18" i="31"/>
  <c r="T22" i="31"/>
  <c r="H24" i="31"/>
  <c r="H16" i="31"/>
  <c r="H20" i="31"/>
  <c r="L60" i="31"/>
  <c r="L22" i="31"/>
  <c r="L19" i="31"/>
  <c r="L14" i="31"/>
  <c r="L86" i="31"/>
  <c r="L59" i="31"/>
  <c r="P61" i="31"/>
  <c r="P14" i="31"/>
  <c r="P62" i="31"/>
  <c r="T59" i="31"/>
  <c r="T86" i="31"/>
  <c r="T112" i="31" s="1"/>
  <c r="T61" i="31"/>
  <c r="T19" i="31"/>
  <c r="T20" i="31"/>
  <c r="L24" i="31"/>
  <c r="I60" i="34"/>
  <c r="N86" i="33"/>
  <c r="N110" i="33" s="1"/>
  <c r="R86" i="33"/>
  <c r="R112" i="33" s="1"/>
  <c r="V86" i="33"/>
  <c r="R59" i="33"/>
  <c r="V60" i="33"/>
  <c r="I59" i="32"/>
  <c r="I24" i="32"/>
  <c r="I112" i="32" s="1"/>
  <c r="I22" i="32"/>
  <c r="I20" i="32"/>
  <c r="I107" i="32" s="1"/>
  <c r="I18" i="32"/>
  <c r="I105" i="32" s="1"/>
  <c r="I16" i="32"/>
  <c r="I103" i="32" s="1"/>
  <c r="I14" i="32"/>
  <c r="I101" i="32" s="1"/>
  <c r="I12" i="32"/>
  <c r="M59" i="32"/>
  <c r="M24" i="32"/>
  <c r="M22" i="32"/>
  <c r="M20" i="32"/>
  <c r="M107" i="32" s="1"/>
  <c r="M18" i="32"/>
  <c r="M105" i="32" s="1"/>
  <c r="M16" i="32"/>
  <c r="M103" i="32" s="1"/>
  <c r="M14" i="32"/>
  <c r="M101" i="32" s="1"/>
  <c r="Q61" i="32"/>
  <c r="Q59" i="32"/>
  <c r="Q24" i="32"/>
  <c r="Q112" i="32" s="1"/>
  <c r="Q22" i="32"/>
  <c r="Q110" i="32" s="1"/>
  <c r="Q20" i="32"/>
  <c r="Q107" i="32" s="1"/>
  <c r="Q18" i="32"/>
  <c r="Q105" i="32" s="1"/>
  <c r="Q16" i="32"/>
  <c r="Q103" i="32" s="1"/>
  <c r="Q14" i="32"/>
  <c r="Q101" i="32" s="1"/>
  <c r="Q12" i="32"/>
  <c r="U61" i="32"/>
  <c r="U59" i="32"/>
  <c r="U24" i="32"/>
  <c r="U22" i="32"/>
  <c r="U20" i="32"/>
  <c r="U107" i="32" s="1"/>
  <c r="U18" i="32"/>
  <c r="U105" i="32" s="1"/>
  <c r="U16" i="32"/>
  <c r="U103" i="32" s="1"/>
  <c r="U14" i="32"/>
  <c r="U101" i="32" s="1"/>
  <c r="U5" i="32"/>
  <c r="Q7" i="32"/>
  <c r="M9" i="32"/>
  <c r="U13" i="32"/>
  <c r="U100" i="32" s="1"/>
  <c r="Q15" i="32"/>
  <c r="Q102" i="32" s="1"/>
  <c r="M17" i="32"/>
  <c r="M104" i="32" s="1"/>
  <c r="I19" i="32"/>
  <c r="I106" i="32" s="1"/>
  <c r="Q60" i="32"/>
  <c r="U86" i="32"/>
  <c r="G59" i="31"/>
  <c r="G24" i="31"/>
  <c r="G22" i="31"/>
  <c r="G60" i="31"/>
  <c r="K59" i="31"/>
  <c r="O61" i="31"/>
  <c r="O59" i="31"/>
  <c r="O22" i="31"/>
  <c r="S61" i="31"/>
  <c r="S59" i="31"/>
  <c r="S24" i="31"/>
  <c r="S112" i="31" s="1"/>
  <c r="S22" i="31"/>
  <c r="S110" i="31" s="1"/>
  <c r="S21" i="31"/>
  <c r="W61" i="31"/>
  <c r="W59" i="31"/>
  <c r="W24" i="31"/>
  <c r="K14" i="31"/>
  <c r="W62" i="31"/>
  <c r="G86" i="31"/>
  <c r="I86" i="30"/>
  <c r="I60" i="30"/>
  <c r="I24" i="30"/>
  <c r="I22" i="30"/>
  <c r="I4" i="30"/>
  <c r="I59" i="30"/>
  <c r="M59" i="30"/>
  <c r="M24" i="30"/>
  <c r="M86" i="30"/>
  <c r="Q88" i="30"/>
  <c r="Q22" i="30"/>
  <c r="Q60" i="30"/>
  <c r="Q86" i="30"/>
  <c r="Q61" i="30"/>
  <c r="Q59" i="30"/>
  <c r="Q24" i="30"/>
  <c r="U60" i="30"/>
  <c r="U86" i="30"/>
  <c r="U61" i="30"/>
  <c r="U59" i="30"/>
  <c r="M4" i="30"/>
  <c r="U4" i="30"/>
  <c r="M22" i="30"/>
  <c r="W5" i="32"/>
  <c r="G7" i="32"/>
  <c r="K7" i="32"/>
  <c r="O7" i="32"/>
  <c r="S7" i="32"/>
  <c r="W9" i="32"/>
  <c r="G13" i="32"/>
  <c r="G100" i="32" s="1"/>
  <c r="K13" i="32"/>
  <c r="K100" i="32" s="1"/>
  <c r="O13" i="32"/>
  <c r="O100" i="32" s="1"/>
  <c r="S13" i="32"/>
  <c r="S100" i="32" s="1"/>
  <c r="W13" i="32"/>
  <c r="W100" i="32" s="1"/>
  <c r="G15" i="32"/>
  <c r="G102" i="32" s="1"/>
  <c r="K15" i="32"/>
  <c r="K102" i="32" s="1"/>
  <c r="O15" i="32"/>
  <c r="O102" i="32" s="1"/>
  <c r="S15" i="32"/>
  <c r="S102" i="32" s="1"/>
  <c r="W15" i="32"/>
  <c r="W102" i="32" s="1"/>
  <c r="G17" i="32"/>
  <c r="G104" i="32" s="1"/>
  <c r="K17" i="32"/>
  <c r="K104" i="32" s="1"/>
  <c r="O17" i="32"/>
  <c r="O104" i="32" s="1"/>
  <c r="S17" i="32"/>
  <c r="S104" i="32" s="1"/>
  <c r="W17" i="32"/>
  <c r="W104" i="32" s="1"/>
  <c r="G19" i="32"/>
  <c r="G106" i="32" s="1"/>
  <c r="K19" i="32"/>
  <c r="K106" i="32" s="1"/>
  <c r="O19" i="32"/>
  <c r="O106" i="32" s="1"/>
  <c r="S19" i="32"/>
  <c r="S106" i="32" s="1"/>
  <c r="W19" i="32"/>
  <c r="W106" i="32" s="1"/>
  <c r="G60" i="32"/>
  <c r="K60" i="32"/>
  <c r="S60" i="32"/>
  <c r="W60" i="32"/>
  <c r="N86" i="31"/>
  <c r="R86" i="31"/>
  <c r="V86" i="31"/>
  <c r="J13" i="31"/>
  <c r="N13" i="31"/>
  <c r="J17" i="31"/>
  <c r="N17" i="31"/>
  <c r="R17" i="31"/>
  <c r="V22" i="31"/>
  <c r="R24" i="31"/>
  <c r="N59" i="31"/>
  <c r="R60" i="31"/>
  <c r="G86" i="30"/>
  <c r="G59" i="30"/>
  <c r="G24" i="30"/>
  <c r="K60" i="30"/>
  <c r="S86" i="30"/>
  <c r="S61" i="30"/>
  <c r="W88" i="30"/>
  <c r="W62" i="30"/>
  <c r="W59" i="30"/>
  <c r="O4" i="30"/>
  <c r="O24" i="30"/>
  <c r="L59" i="30"/>
  <c r="L24" i="30"/>
  <c r="L112" i="30" s="1"/>
  <c r="L22" i="30"/>
  <c r="L110" i="30" s="1"/>
  <c r="P61" i="30"/>
  <c r="P59" i="30"/>
  <c r="T61" i="30"/>
  <c r="T59" i="30"/>
  <c r="T24" i="30"/>
  <c r="T22" i="30"/>
  <c r="L5" i="30"/>
  <c r="T86" i="30"/>
  <c r="L88" i="30"/>
  <c r="O32" i="78" l="1"/>
  <c r="L62" i="34" s="1"/>
  <c r="T22" i="47"/>
  <c r="S22" i="47" s="1"/>
  <c r="S33" i="47" s="1"/>
  <c r="N5" i="31" s="1"/>
  <c r="J54" i="9"/>
  <c r="I54" i="9" s="1"/>
  <c r="I64" i="9" s="1"/>
  <c r="I85" i="31" s="1"/>
  <c r="I106" i="31" s="1"/>
  <c r="G110" i="30"/>
  <c r="AG64" i="62"/>
  <c r="AG71" i="62" s="1"/>
  <c r="AH71" i="62" s="1"/>
  <c r="L19" i="84"/>
  <c r="K19" i="84" s="1"/>
  <c r="K29" i="84" s="1"/>
  <c r="H19" i="84"/>
  <c r="G19" i="84" s="1"/>
  <c r="G29" i="84" s="1"/>
  <c r="AC29" i="94"/>
  <c r="AD32" i="94" s="1"/>
  <c r="AJ19" i="84"/>
  <c r="AI19" i="84" s="1"/>
  <c r="AI29" i="84" s="1"/>
  <c r="AH26" i="83"/>
  <c r="AG26" i="83" s="1"/>
  <c r="AG35" i="83" s="1"/>
  <c r="L25" i="94"/>
  <c r="K25" i="94" s="1"/>
  <c r="K33" i="94" s="1"/>
  <c r="T54" i="9"/>
  <c r="S54" i="9" s="1"/>
  <c r="S64" i="9" s="1"/>
  <c r="N85" i="31" s="1"/>
  <c r="N103" i="31" s="1"/>
  <c r="L35" i="8"/>
  <c r="K35" i="8" s="1"/>
  <c r="K48" i="8" s="1"/>
  <c r="J86" i="31" s="1"/>
  <c r="L54" i="9"/>
  <c r="K54" i="9" s="1"/>
  <c r="K64" i="9" s="1"/>
  <c r="J85" i="31" s="1"/>
  <c r="J100" i="31" s="1"/>
  <c r="AD26" i="83"/>
  <c r="AC26" i="83" s="1"/>
  <c r="AC35" i="83" s="1"/>
  <c r="X19" i="84"/>
  <c r="W19" i="84" s="1"/>
  <c r="W25" i="84" s="1"/>
  <c r="X30" i="84" s="1"/>
  <c r="AB22" i="47"/>
  <c r="AA22" i="47" s="1"/>
  <c r="AA33" i="47" s="1"/>
  <c r="R5" i="31" s="1"/>
  <c r="H35" i="8"/>
  <c r="G35" i="8" s="1"/>
  <c r="G48" i="8" s="1"/>
  <c r="H86" i="31" s="1"/>
  <c r="H54" i="9"/>
  <c r="G54" i="9" s="1"/>
  <c r="G64" i="9" s="1"/>
  <c r="H85" i="31" s="1"/>
  <c r="H105" i="31" s="1"/>
  <c r="N54" i="9"/>
  <c r="M54" i="9" s="1"/>
  <c r="M64" i="9" s="1"/>
  <c r="K85" i="31" s="1"/>
  <c r="K100" i="31" s="1"/>
  <c r="F54" i="9"/>
  <c r="P19" i="84"/>
  <c r="O19" i="84" s="1"/>
  <c r="AJ22" i="47"/>
  <c r="AI22" i="47" s="1"/>
  <c r="AI33" i="47" s="1"/>
  <c r="V5" i="31" s="1"/>
  <c r="Q30" i="95"/>
  <c r="R36" i="9"/>
  <c r="Q36" i="9" s="1"/>
  <c r="J36" i="9"/>
  <c r="I36" i="9" s="1"/>
  <c r="I62" i="9" s="1"/>
  <c r="I85" i="33" s="1"/>
  <c r="P36" i="9"/>
  <c r="O36" i="9" s="1"/>
  <c r="H36" i="9"/>
  <c r="G36" i="9" s="1"/>
  <c r="V20" i="8"/>
  <c r="U20" i="8" s="1"/>
  <c r="U45" i="8" s="1"/>
  <c r="V36" i="9"/>
  <c r="U36" i="9" s="1"/>
  <c r="N20" i="8"/>
  <c r="M20" i="8" s="1"/>
  <c r="F36" i="9"/>
  <c r="E36" i="9" s="1"/>
  <c r="T36" i="9"/>
  <c r="S36" i="9" s="1"/>
  <c r="L20" i="8"/>
  <c r="K20" i="8" s="1"/>
  <c r="L36" i="9"/>
  <c r="K36" i="9" s="1"/>
  <c r="K20" i="50"/>
  <c r="L20" i="50" s="1"/>
  <c r="L22" i="50" s="1"/>
  <c r="K22" i="50" s="1"/>
  <c r="AC23" i="50"/>
  <c r="AD23" i="50" s="1"/>
  <c r="AD25" i="50" s="1"/>
  <c r="AC25" i="50" s="1"/>
  <c r="G7" i="88"/>
  <c r="H7" i="88" s="1"/>
  <c r="T5" i="84"/>
  <c r="T9" i="84" s="1"/>
  <c r="S9" i="84" s="1"/>
  <c r="AE23" i="50"/>
  <c r="AF23" i="50" s="1"/>
  <c r="AF25" i="50" s="1"/>
  <c r="AE25" i="50" s="1"/>
  <c r="AE32" i="50" s="1"/>
  <c r="AJ5" i="44"/>
  <c r="AJ11" i="44" s="1"/>
  <c r="AI11" i="44" s="1"/>
  <c r="H12" i="79"/>
  <c r="G12" i="79" s="1"/>
  <c r="T42" i="8"/>
  <c r="S42" i="8" s="1"/>
  <c r="K19" i="86"/>
  <c r="L19" i="86" s="1"/>
  <c r="K8" i="50"/>
  <c r="L8" i="50" s="1"/>
  <c r="AE8" i="50"/>
  <c r="AF8" i="50" s="1"/>
  <c r="K22" i="86"/>
  <c r="L22" i="86" s="1"/>
  <c r="L24" i="86" s="1"/>
  <c r="K24" i="86" s="1"/>
  <c r="H5" i="88"/>
  <c r="O20" i="50"/>
  <c r="P20" i="50" s="1"/>
  <c r="AK23" i="50"/>
  <c r="AL23" i="50" s="1"/>
  <c r="AL25" i="50" s="1"/>
  <c r="AK25" i="50" s="1"/>
  <c r="F54" i="35"/>
  <c r="E54" i="35" s="1"/>
  <c r="G12" i="88"/>
  <c r="H12" i="88" s="1"/>
  <c r="H14" i="88" s="1"/>
  <c r="G14" i="88" s="1"/>
  <c r="G27" i="88" s="1"/>
  <c r="H21" i="32" s="1"/>
  <c r="H108" i="32" s="1"/>
  <c r="AE16" i="87"/>
  <c r="AF16" i="87" s="1"/>
  <c r="S15" i="84"/>
  <c r="T15" i="84" s="1"/>
  <c r="T19" i="84" s="1"/>
  <c r="S19" i="84" s="1"/>
  <c r="S29" i="84" s="1"/>
  <c r="O8" i="50"/>
  <c r="P8" i="50" s="1"/>
  <c r="AF54" i="35"/>
  <c r="AE54" i="35" s="1"/>
  <c r="AE61" i="35" s="1"/>
  <c r="P52" i="112"/>
  <c r="O52" i="112" s="1"/>
  <c r="P35" i="8"/>
  <c r="O35" i="8" s="1"/>
  <c r="V35" i="8"/>
  <c r="U35" i="8" s="1"/>
  <c r="U48" i="8" s="1"/>
  <c r="O86" i="31" s="1"/>
  <c r="O110" i="31" s="1"/>
  <c r="AN22" i="47"/>
  <c r="AM22" i="47" s="1"/>
  <c r="AM33" i="47" s="1"/>
  <c r="J35" i="8"/>
  <c r="I35" i="8" s="1"/>
  <c r="AA8" i="50"/>
  <c r="AB8" i="50" s="1"/>
  <c r="G8" i="50"/>
  <c r="H8" i="50" s="1"/>
  <c r="F11" i="44"/>
  <c r="E11" i="44" s="1"/>
  <c r="AF54" i="9"/>
  <c r="AE54" i="9" s="1"/>
  <c r="AE64" i="9" s="1"/>
  <c r="T85" i="31" s="1"/>
  <c r="R54" i="35"/>
  <c r="Q54" i="35" s="1"/>
  <c r="R54" i="9"/>
  <c r="Q54" i="9" s="1"/>
  <c r="Q64" i="9" s="1"/>
  <c r="M85" i="31" s="1"/>
  <c r="M107" i="31" s="1"/>
  <c r="P54" i="9"/>
  <c r="O54" i="9" s="1"/>
  <c r="O64" i="9" s="1"/>
  <c r="L85" i="31" s="1"/>
  <c r="L105" i="31" s="1"/>
  <c r="H20" i="8"/>
  <c r="G20" i="8" s="1"/>
  <c r="G46" i="8" s="1"/>
  <c r="H86" i="33" s="1"/>
  <c r="N35" i="8"/>
  <c r="M35" i="8" s="1"/>
  <c r="M48" i="8" s="1"/>
  <c r="K86" i="31" s="1"/>
  <c r="AB19" i="84"/>
  <c r="AA19" i="84" s="1"/>
  <c r="AA29" i="84" s="1"/>
  <c r="R8" i="31" s="1"/>
  <c r="AI8" i="50"/>
  <c r="AJ8" i="50" s="1"/>
  <c r="F6" i="50"/>
  <c r="Y23" i="50"/>
  <c r="Z23" i="50" s="1"/>
  <c r="Z25" i="50" s="1"/>
  <c r="Y25" i="50" s="1"/>
  <c r="Z32" i="94"/>
  <c r="E9" i="87"/>
  <c r="F9" i="87" s="1"/>
  <c r="T23" i="84"/>
  <c r="S23" i="84" s="1"/>
  <c r="S30" i="84" s="1"/>
  <c r="N8" i="30" s="1"/>
  <c r="S110" i="32"/>
  <c r="AF47" i="112"/>
  <c r="AE47" i="112" s="1"/>
  <c r="AE58" i="112" s="1"/>
  <c r="P31" i="112"/>
  <c r="O31" i="112" s="1"/>
  <c r="O56" i="112" s="1"/>
  <c r="L47" i="112"/>
  <c r="K47" i="112" s="1"/>
  <c r="K58" i="112" s="1"/>
  <c r="F19" i="68"/>
  <c r="E19" i="68" s="1"/>
  <c r="R112" i="34"/>
  <c r="U112" i="34"/>
  <c r="M78" i="64"/>
  <c r="N83" i="64" s="1"/>
  <c r="X17" i="85"/>
  <c r="W17" i="85" s="1"/>
  <c r="W31" i="85" s="1"/>
  <c r="P10" i="32" s="1"/>
  <c r="P97" i="32" s="1"/>
  <c r="T15" i="87"/>
  <c r="S15" i="87" s="1"/>
  <c r="S28" i="87" s="1"/>
  <c r="K28" i="79"/>
  <c r="L29" i="79" s="1"/>
  <c r="K30" i="79"/>
  <c r="R47" i="112"/>
  <c r="Q47" i="112" s="1"/>
  <c r="Q58" i="112" s="1"/>
  <c r="J42" i="8"/>
  <c r="I42" i="8" s="1"/>
  <c r="J52" i="112"/>
  <c r="I52" i="112" s="1"/>
  <c r="I59" i="112" s="1"/>
  <c r="AF35" i="8"/>
  <c r="AE35" i="8" s="1"/>
  <c r="O59" i="112"/>
  <c r="P42" i="8"/>
  <c r="O42" i="8" s="1"/>
  <c r="H47" i="112"/>
  <c r="G47" i="112" s="1"/>
  <c r="G58" i="112" s="1"/>
  <c r="V31" i="112"/>
  <c r="U31" i="112" s="1"/>
  <c r="N47" i="112"/>
  <c r="M47" i="112" s="1"/>
  <c r="M58" i="112" s="1"/>
  <c r="AN9" i="85"/>
  <c r="AM22" i="85"/>
  <c r="AN22" i="85" s="1"/>
  <c r="AM13" i="50"/>
  <c r="AM8" i="50"/>
  <c r="AN8" i="50" s="1"/>
  <c r="AN6" i="50"/>
  <c r="AM23" i="50"/>
  <c r="AN23" i="50" s="1"/>
  <c r="AN25" i="50" s="1"/>
  <c r="AM25" i="50" s="1"/>
  <c r="AM20" i="50"/>
  <c r="AN20" i="50" s="1"/>
  <c r="AN5" i="87"/>
  <c r="AM16" i="87"/>
  <c r="AN16" i="87" s="1"/>
  <c r="AN5" i="51"/>
  <c r="AM9" i="51"/>
  <c r="AN9" i="51" s="1"/>
  <c r="AM20" i="86"/>
  <c r="AN20" i="86" s="1"/>
  <c r="T31" i="112"/>
  <c r="S31" i="112" s="1"/>
  <c r="G36" i="67"/>
  <c r="F54" i="33"/>
  <c r="J147" i="2"/>
  <c r="R31" i="112"/>
  <c r="Q31" i="112" s="1"/>
  <c r="R35" i="8"/>
  <c r="Q35" i="8" s="1"/>
  <c r="J31" i="112"/>
  <c r="I31" i="112" s="1"/>
  <c r="AF42" i="8"/>
  <c r="AE42" i="8" s="1"/>
  <c r="H31" i="112"/>
  <c r="G31" i="112" s="1"/>
  <c r="V52" i="112"/>
  <c r="U52" i="112" s="1"/>
  <c r="F52" i="112"/>
  <c r="E52" i="112" s="1"/>
  <c r="E59" i="112" s="1"/>
  <c r="AM22" i="44"/>
  <c r="AN22" i="44" s="1"/>
  <c r="AN9" i="44"/>
  <c r="AN7" i="87"/>
  <c r="AM9" i="87"/>
  <c r="AN9" i="87" s="1"/>
  <c r="AM19" i="87"/>
  <c r="AN19" i="87" s="1"/>
  <c r="AM21" i="87"/>
  <c r="AN21" i="87" s="1"/>
  <c r="AN23" i="87" s="1"/>
  <c r="AM23" i="87" s="1"/>
  <c r="AM14" i="87"/>
  <c r="AN14" i="87" s="1"/>
  <c r="AN13" i="87"/>
  <c r="AN5" i="84"/>
  <c r="AM17" i="84"/>
  <c r="AN17" i="84" s="1"/>
  <c r="AM7" i="84"/>
  <c r="AN7" i="84" s="1"/>
  <c r="AM20" i="84"/>
  <c r="AN20" i="84" s="1"/>
  <c r="AN23" i="84" s="1"/>
  <c r="AM23" i="84" s="1"/>
  <c r="AM15" i="84"/>
  <c r="AN15" i="84" s="1"/>
  <c r="AM12" i="84"/>
  <c r="AN12" i="84" s="1"/>
  <c r="AN14" i="84" s="1"/>
  <c r="AM14" i="84" s="1"/>
  <c r="AM28" i="84" s="1"/>
  <c r="T52" i="112"/>
  <c r="S52" i="112" s="1"/>
  <c r="T35" i="8"/>
  <c r="S35" i="8" s="1"/>
  <c r="L31" i="112"/>
  <c r="K31" i="112" s="1"/>
  <c r="F54" i="32"/>
  <c r="V62" i="28" s="1"/>
  <c r="G66" i="48"/>
  <c r="H14" i="33" s="1"/>
  <c r="R52" i="112"/>
  <c r="Q52" i="112" s="1"/>
  <c r="R42" i="8"/>
  <c r="Q42" i="8" s="1"/>
  <c r="J47" i="112"/>
  <c r="I47" i="112" s="1"/>
  <c r="I58" i="112" s="1"/>
  <c r="AF31" i="112"/>
  <c r="AE31" i="112" s="1"/>
  <c r="AF52" i="112"/>
  <c r="AE52" i="112" s="1"/>
  <c r="P47" i="112"/>
  <c r="O47" i="112" s="1"/>
  <c r="O58" i="112" s="1"/>
  <c r="H52" i="112"/>
  <c r="G52" i="112" s="1"/>
  <c r="N31" i="112"/>
  <c r="M31" i="112" s="1"/>
  <c r="N52" i="112"/>
  <c r="M52" i="112" s="1"/>
  <c r="AM12" i="47"/>
  <c r="AN12" i="47" s="1"/>
  <c r="AN14" i="47" s="1"/>
  <c r="AM14" i="47" s="1"/>
  <c r="AM32" i="47" s="1"/>
  <c r="AN7" i="47"/>
  <c r="AN10" i="47" s="1"/>
  <c r="AM10" i="47" s="1"/>
  <c r="AM21" i="44"/>
  <c r="AN21" i="44" s="1"/>
  <c r="AN5" i="44"/>
  <c r="AN6" i="87"/>
  <c r="AM18" i="87"/>
  <c r="AN18" i="87" s="1"/>
  <c r="AN10" i="83"/>
  <c r="AM23" i="83"/>
  <c r="AN23" i="83" s="1"/>
  <c r="AN5" i="50"/>
  <c r="AM17" i="50"/>
  <c r="AN17" i="50" s="1"/>
  <c r="AN5" i="83"/>
  <c r="AN12" i="83" s="1"/>
  <c r="AM12" i="83" s="1"/>
  <c r="AM22" i="83"/>
  <c r="AN22" i="83" s="1"/>
  <c r="AN26" i="83" s="1"/>
  <c r="AM26" i="83" s="1"/>
  <c r="T47" i="112"/>
  <c r="S47" i="112" s="1"/>
  <c r="S58" i="112" s="1"/>
  <c r="L52" i="112"/>
  <c r="K52" i="112" s="1"/>
  <c r="F54" i="31"/>
  <c r="Z26" i="83"/>
  <c r="Y26" i="83" s="1"/>
  <c r="N11" i="44"/>
  <c r="M11" i="44" s="1"/>
  <c r="G180" i="2"/>
  <c r="B185" i="2" s="1"/>
  <c r="E185" i="2" s="1"/>
  <c r="G28" i="79"/>
  <c r="H32" i="79" s="1"/>
  <c r="V47" i="112"/>
  <c r="U47" i="112" s="1"/>
  <c r="U58" i="112" s="1"/>
  <c r="F47" i="112"/>
  <c r="E47" i="112" s="1"/>
  <c r="E58" i="112" s="1"/>
  <c r="F31" i="112"/>
  <c r="E31" i="112" s="1"/>
  <c r="AN14" i="85"/>
  <c r="AM15" i="85"/>
  <c r="AN15" i="85" s="1"/>
  <c r="AN7" i="51"/>
  <c r="AM8" i="51"/>
  <c r="AN8" i="51" s="1"/>
  <c r="AM22" i="86"/>
  <c r="AN22" i="86" s="1"/>
  <c r="AN24" i="86" s="1"/>
  <c r="AM24" i="86" s="1"/>
  <c r="AM19" i="86"/>
  <c r="AN19" i="86" s="1"/>
  <c r="AM14" i="86"/>
  <c r="AN14" i="86" s="1"/>
  <c r="AN16" i="86" s="1"/>
  <c r="AM16" i="86" s="1"/>
  <c r="AM29" i="86" s="1"/>
  <c r="AM17" i="86"/>
  <c r="AN17" i="86" s="1"/>
  <c r="AM21" i="85"/>
  <c r="AN21" i="85" s="1"/>
  <c r="AN6" i="85"/>
  <c r="AM8" i="85"/>
  <c r="AN8" i="85" s="1"/>
  <c r="AM24" i="85"/>
  <c r="AN24" i="85" s="1"/>
  <c r="AN26" i="85" s="1"/>
  <c r="AM26" i="85" s="1"/>
  <c r="AM32" i="51"/>
  <c r="AN5" i="85"/>
  <c r="AM18" i="85"/>
  <c r="AN18" i="85" s="1"/>
  <c r="U62" i="28"/>
  <c r="W62" i="28"/>
  <c r="X62" i="28"/>
  <c r="X63" i="28"/>
  <c r="V63" i="28"/>
  <c r="W63" i="28"/>
  <c r="U63" i="28"/>
  <c r="H9" i="80"/>
  <c r="H12" i="80" s="1"/>
  <c r="G12" i="80" s="1"/>
  <c r="G30" i="80" s="1"/>
  <c r="G14" i="80"/>
  <c r="H14" i="80" s="1"/>
  <c r="H18" i="80" s="1"/>
  <c r="G18" i="80" s="1"/>
  <c r="G32" i="80" s="1"/>
  <c r="H60" i="32" s="1"/>
  <c r="M112" i="34"/>
  <c r="M110" i="32"/>
  <c r="M112" i="32"/>
  <c r="I110" i="32"/>
  <c r="AL30" i="80"/>
  <c r="S112" i="34"/>
  <c r="M110" i="34"/>
  <c r="E54" i="9"/>
  <c r="E64" i="9" s="1"/>
  <c r="G85" i="31" s="1"/>
  <c r="K67" i="81"/>
  <c r="F51" i="32"/>
  <c r="V58" i="28" s="1"/>
  <c r="T63" i="28"/>
  <c r="V59" i="28"/>
  <c r="E30" i="65"/>
  <c r="F30" i="65" s="1"/>
  <c r="F33" i="65" s="1"/>
  <c r="E33" i="65" s="1"/>
  <c r="E35" i="65" s="1"/>
  <c r="E32" i="34" s="1"/>
  <c r="G112" i="34"/>
  <c r="I110" i="34"/>
  <c r="S110" i="34"/>
  <c r="G110" i="34"/>
  <c r="U110" i="34"/>
  <c r="K69" i="81"/>
  <c r="F51" i="30"/>
  <c r="U59" i="28"/>
  <c r="U58" i="28"/>
  <c r="K68" i="81"/>
  <c r="F51" i="31"/>
  <c r="AL31" i="80"/>
  <c r="AL34" i="80"/>
  <c r="AL32" i="80"/>
  <c r="AL33" i="80"/>
  <c r="S8" i="66"/>
  <c r="S6" i="66" s="1"/>
  <c r="U4" i="66"/>
  <c r="J94" i="32"/>
  <c r="U110" i="30"/>
  <c r="W24" i="30"/>
  <c r="V112" i="33"/>
  <c r="K18" i="75"/>
  <c r="S110" i="30"/>
  <c r="Q110" i="33"/>
  <c r="N112" i="34"/>
  <c r="I112" i="34"/>
  <c r="T25" i="94"/>
  <c r="S25" i="94" s="1"/>
  <c r="S33" i="94" s="1"/>
  <c r="N88" i="31" s="1"/>
  <c r="AK22" i="85"/>
  <c r="AL22" i="85" s="1"/>
  <c r="AL23" i="85" s="1"/>
  <c r="AK23" i="85" s="1"/>
  <c r="AK32" i="85" s="1"/>
  <c r="W10" i="31" s="1"/>
  <c r="AL9" i="85"/>
  <c r="AL11" i="85" s="1"/>
  <c r="AK11" i="85" s="1"/>
  <c r="AK30" i="85" s="1"/>
  <c r="W10" i="33" s="1"/>
  <c r="AL7" i="51"/>
  <c r="AK8" i="51"/>
  <c r="AL8" i="51" s="1"/>
  <c r="AC22" i="85"/>
  <c r="AD22" i="85" s="1"/>
  <c r="AD23" i="85" s="1"/>
  <c r="AC23" i="85" s="1"/>
  <c r="AC32" i="85" s="1"/>
  <c r="AD9" i="85"/>
  <c r="AD11" i="85" s="1"/>
  <c r="AC11" i="85" s="1"/>
  <c r="AC30" i="85" s="1"/>
  <c r="S10" i="33" s="1"/>
  <c r="AD7" i="51"/>
  <c r="AC8" i="51"/>
  <c r="AD8" i="51" s="1"/>
  <c r="U22" i="85"/>
  <c r="V22" i="85" s="1"/>
  <c r="V23" i="85" s="1"/>
  <c r="U23" i="85" s="1"/>
  <c r="U32" i="85" s="1"/>
  <c r="V9" i="85"/>
  <c r="V5" i="51"/>
  <c r="U9" i="51"/>
  <c r="V9" i="51" s="1"/>
  <c r="M24" i="83"/>
  <c r="N24" i="83" s="1"/>
  <c r="N26" i="83" s="1"/>
  <c r="M26" i="83" s="1"/>
  <c r="M35" i="83" s="1"/>
  <c r="N11" i="83"/>
  <c r="M13" i="50"/>
  <c r="N6" i="50"/>
  <c r="M8" i="50"/>
  <c r="N8" i="50" s="1"/>
  <c r="E24" i="83"/>
  <c r="F24" i="83" s="1"/>
  <c r="F26" i="83" s="1"/>
  <c r="E26" i="83" s="1"/>
  <c r="E35" i="83" s="1"/>
  <c r="F11" i="83"/>
  <c r="E13" i="50"/>
  <c r="E8" i="50"/>
  <c r="F8" i="50" s="1"/>
  <c r="AJ6" i="87"/>
  <c r="AI18" i="87"/>
  <c r="AJ18" i="87" s="1"/>
  <c r="AJ5" i="51"/>
  <c r="AI9" i="51"/>
  <c r="AJ9" i="51" s="1"/>
  <c r="AA20" i="86"/>
  <c r="AB20" i="86" s="1"/>
  <c r="AB21" i="86" s="1"/>
  <c r="AA21" i="86" s="1"/>
  <c r="S20" i="86"/>
  <c r="T20" i="86" s="1"/>
  <c r="S13" i="50"/>
  <c r="T6" i="50"/>
  <c r="K22" i="83"/>
  <c r="L22" i="83" s="1"/>
  <c r="L5" i="83"/>
  <c r="L11" i="83"/>
  <c r="K24" i="83"/>
  <c r="L24" i="83" s="1"/>
  <c r="L7" i="51"/>
  <c r="K8" i="51"/>
  <c r="L8" i="51" s="1"/>
  <c r="AG22" i="85"/>
  <c r="AH22" i="85" s="1"/>
  <c r="AH23" i="85" s="1"/>
  <c r="AG23" i="85" s="1"/>
  <c r="AG32" i="85" s="1"/>
  <c r="AH9" i="85"/>
  <c r="Z5" i="87"/>
  <c r="Y16" i="87"/>
  <c r="Z16" i="87" s="1"/>
  <c r="Z6" i="50"/>
  <c r="Y13" i="50"/>
  <c r="Y8" i="50"/>
  <c r="Z8" i="50" s="1"/>
  <c r="R11" i="83"/>
  <c r="Q24" i="83"/>
  <c r="R24" i="83" s="1"/>
  <c r="R26" i="83" s="1"/>
  <c r="Q26" i="83" s="1"/>
  <c r="Q35" i="83" s="1"/>
  <c r="M9" i="31" s="1"/>
  <c r="R7" i="51"/>
  <c r="Q8" i="51"/>
  <c r="R8" i="51" s="1"/>
  <c r="I22" i="85"/>
  <c r="J22" i="85" s="1"/>
  <c r="J23" i="85" s="1"/>
  <c r="I23" i="85" s="1"/>
  <c r="I32" i="85" s="1"/>
  <c r="J9" i="85"/>
  <c r="J6" i="50"/>
  <c r="I13" i="50"/>
  <c r="I8" i="50"/>
  <c r="J8" i="50" s="1"/>
  <c r="AF6" i="87"/>
  <c r="AF10" i="87" s="1"/>
  <c r="AE10" i="87" s="1"/>
  <c r="AE27" i="87" s="1"/>
  <c r="AE18" i="87"/>
  <c r="AF18" i="87" s="1"/>
  <c r="AF20" i="87" s="1"/>
  <c r="AE20" i="87" s="1"/>
  <c r="AE29" i="87" s="1"/>
  <c r="T11" i="31" s="1"/>
  <c r="AF7" i="51"/>
  <c r="AE8" i="51"/>
  <c r="AF8" i="51" s="1"/>
  <c r="X5" i="87"/>
  <c r="W16" i="87"/>
  <c r="X16" i="87" s="1"/>
  <c r="W13" i="50"/>
  <c r="X6" i="50"/>
  <c r="X10" i="50" s="1"/>
  <c r="W10" i="50" s="1"/>
  <c r="P11" i="83"/>
  <c r="P12" i="83" s="1"/>
  <c r="O12" i="83" s="1"/>
  <c r="O24" i="83"/>
  <c r="P24" i="83" s="1"/>
  <c r="P26" i="83" s="1"/>
  <c r="O26" i="83" s="1"/>
  <c r="O35" i="83" s="1"/>
  <c r="L9" i="31" s="1"/>
  <c r="P7" i="51"/>
  <c r="O8" i="51"/>
  <c r="P8" i="51" s="1"/>
  <c r="G20" i="86"/>
  <c r="H20" i="86" s="1"/>
  <c r="H21" i="86" s="1"/>
  <c r="G21" i="86" s="1"/>
  <c r="G30" i="86" s="1"/>
  <c r="H12" i="31" s="1"/>
  <c r="H7" i="51"/>
  <c r="G8" i="51"/>
  <c r="H8" i="51" s="1"/>
  <c r="H17" i="85"/>
  <c r="G17" i="85" s="1"/>
  <c r="G31" i="85" s="1"/>
  <c r="H10" i="32" s="1"/>
  <c r="H97" i="32" s="1"/>
  <c r="H11" i="86"/>
  <c r="G11" i="86" s="1"/>
  <c r="G27" i="86" s="1"/>
  <c r="AK20" i="86"/>
  <c r="AL20" i="86" s="1"/>
  <c r="AL21" i="86" s="1"/>
  <c r="AK21" i="86" s="1"/>
  <c r="AK30" i="86" s="1"/>
  <c r="W12" i="31" s="1"/>
  <c r="AC20" i="86"/>
  <c r="AD20" i="86" s="1"/>
  <c r="AD21" i="86" s="1"/>
  <c r="AC21" i="86" s="1"/>
  <c r="AC30" i="86" s="1"/>
  <c r="S12" i="31" s="1"/>
  <c r="AD11" i="86"/>
  <c r="AC11" i="86" s="1"/>
  <c r="AC28" i="86" s="1"/>
  <c r="U20" i="86"/>
  <c r="V20" i="86" s="1"/>
  <c r="V21" i="86" s="1"/>
  <c r="U21" i="86" s="1"/>
  <c r="U30" i="86" s="1"/>
  <c r="O12" i="31" s="1"/>
  <c r="V11" i="86"/>
  <c r="U11" i="86" s="1"/>
  <c r="U28" i="86" s="1"/>
  <c r="M22" i="85"/>
  <c r="N22" i="85" s="1"/>
  <c r="N23" i="85" s="1"/>
  <c r="M23" i="85" s="1"/>
  <c r="M32" i="85" s="1"/>
  <c r="N9" i="85"/>
  <c r="N11" i="85" s="1"/>
  <c r="M11" i="85" s="1"/>
  <c r="M30" i="85" s="1"/>
  <c r="K10" i="33" s="1"/>
  <c r="N5" i="51"/>
  <c r="M9" i="51"/>
  <c r="N9" i="51" s="1"/>
  <c r="F5" i="87"/>
  <c r="E16" i="87"/>
  <c r="F16" i="87" s="1"/>
  <c r="E9" i="51"/>
  <c r="F9" i="51" s="1"/>
  <c r="F5" i="51"/>
  <c r="AI22" i="85"/>
  <c r="AJ22" i="85" s="1"/>
  <c r="AJ23" i="85" s="1"/>
  <c r="AI23" i="85" s="1"/>
  <c r="AI32" i="85" s="1"/>
  <c r="AJ9" i="85"/>
  <c r="AJ7" i="51"/>
  <c r="AI8" i="51"/>
  <c r="AJ8" i="51" s="1"/>
  <c r="AA22" i="85"/>
  <c r="AB22" i="85" s="1"/>
  <c r="AB23" i="85" s="1"/>
  <c r="AA23" i="85" s="1"/>
  <c r="AA32" i="85" s="1"/>
  <c r="R10" i="31" s="1"/>
  <c r="AB9" i="85"/>
  <c r="AB5" i="51"/>
  <c r="AA9" i="51"/>
  <c r="AB9" i="51" s="1"/>
  <c r="T6" i="87"/>
  <c r="S18" i="87"/>
  <c r="T18" i="87" s="1"/>
  <c r="T5" i="51"/>
  <c r="S9" i="51"/>
  <c r="T9" i="51" s="1"/>
  <c r="L5" i="87"/>
  <c r="K16" i="87"/>
  <c r="L16" i="87" s="1"/>
  <c r="K22" i="85"/>
  <c r="L22" i="85" s="1"/>
  <c r="L23" i="85" s="1"/>
  <c r="K23" i="85" s="1"/>
  <c r="K32" i="85" s="1"/>
  <c r="J10" i="31" s="1"/>
  <c r="L9" i="85"/>
  <c r="L11" i="85" s="1"/>
  <c r="K11" i="85" s="1"/>
  <c r="K29" i="85" s="1"/>
  <c r="AG20" i="86"/>
  <c r="AH20" i="86" s="1"/>
  <c r="AH5" i="51"/>
  <c r="AG9" i="51"/>
  <c r="AH9" i="51" s="1"/>
  <c r="Y20" i="86"/>
  <c r="Z20" i="86" s="1"/>
  <c r="Z21" i="86" s="1"/>
  <c r="Y21" i="86" s="1"/>
  <c r="Y30" i="86" s="1"/>
  <c r="Q12" i="31" s="1"/>
  <c r="R5" i="87"/>
  <c r="Q16" i="87"/>
  <c r="R16" i="87" s="1"/>
  <c r="Q22" i="85"/>
  <c r="R22" i="85" s="1"/>
  <c r="R23" i="85" s="1"/>
  <c r="Q23" i="85" s="1"/>
  <c r="Q32" i="85" s="1"/>
  <c r="M10" i="31" s="1"/>
  <c r="R9" i="85"/>
  <c r="R11" i="85" s="1"/>
  <c r="Q11" i="85" s="1"/>
  <c r="Q30" i="85" s="1"/>
  <c r="M10" i="33" s="1"/>
  <c r="J6" i="87"/>
  <c r="I18" i="87"/>
  <c r="J18" i="87" s="1"/>
  <c r="AE22" i="85"/>
  <c r="AF22" i="85" s="1"/>
  <c r="AF23" i="85" s="1"/>
  <c r="AE23" i="85" s="1"/>
  <c r="AE32" i="85" s="1"/>
  <c r="T10" i="31" s="1"/>
  <c r="AF9" i="85"/>
  <c r="AF11" i="85" s="1"/>
  <c r="AE11" i="85" s="1"/>
  <c r="AE30" i="85" s="1"/>
  <c r="W22" i="85"/>
  <c r="X22" i="85" s="1"/>
  <c r="X23" i="85" s="1"/>
  <c r="W23" i="85" s="1"/>
  <c r="W32" i="85" s="1"/>
  <c r="P10" i="31" s="1"/>
  <c r="X9" i="85"/>
  <c r="X11" i="85" s="1"/>
  <c r="W11" i="85" s="1"/>
  <c r="W29" i="85" s="1"/>
  <c r="X7" i="51"/>
  <c r="W8" i="51"/>
  <c r="X8" i="51" s="1"/>
  <c r="O20" i="86"/>
  <c r="P20" i="86" s="1"/>
  <c r="P21" i="86" s="1"/>
  <c r="O21" i="86" s="1"/>
  <c r="P11" i="86"/>
  <c r="O11" i="86" s="1"/>
  <c r="P5" i="51"/>
  <c r="O9" i="51"/>
  <c r="P9" i="51" s="1"/>
  <c r="G22" i="85"/>
  <c r="H22" i="85" s="1"/>
  <c r="H23" i="85" s="1"/>
  <c r="G23" i="85" s="1"/>
  <c r="G32" i="85" s="1"/>
  <c r="H10" i="31" s="1"/>
  <c r="H9" i="85"/>
  <c r="H11" i="85" s="1"/>
  <c r="G11" i="85" s="1"/>
  <c r="G30" i="85" s="1"/>
  <c r="AL5" i="87"/>
  <c r="AK16" i="87"/>
  <c r="AL16" i="87" s="1"/>
  <c r="AK13" i="50"/>
  <c r="AL6" i="50"/>
  <c r="AK8" i="50"/>
  <c r="AL8" i="50" s="1"/>
  <c r="AD5" i="87"/>
  <c r="AC16" i="87"/>
  <c r="AD16" i="87" s="1"/>
  <c r="AC13" i="50"/>
  <c r="AD6" i="50"/>
  <c r="AC8" i="50"/>
  <c r="AD8" i="50" s="1"/>
  <c r="V5" i="87"/>
  <c r="U16" i="87"/>
  <c r="V16" i="87" s="1"/>
  <c r="V6" i="87"/>
  <c r="V10" i="87" s="1"/>
  <c r="U10" i="87" s="1"/>
  <c r="U18" i="87"/>
  <c r="V18" i="87" s="1"/>
  <c r="V7" i="51"/>
  <c r="U8" i="51"/>
  <c r="V8" i="51" s="1"/>
  <c r="M20" i="86"/>
  <c r="N20" i="86" s="1"/>
  <c r="N21" i="86" s="1"/>
  <c r="M21" i="86" s="1"/>
  <c r="M30" i="86" s="1"/>
  <c r="K12" i="31" s="1"/>
  <c r="N7" i="51"/>
  <c r="M8" i="51"/>
  <c r="N8" i="51" s="1"/>
  <c r="E20" i="86"/>
  <c r="F20" i="86" s="1"/>
  <c r="F21" i="86" s="1"/>
  <c r="E21" i="86" s="1"/>
  <c r="E30" i="86" s="1"/>
  <c r="G12" i="31" s="1"/>
  <c r="E8" i="51"/>
  <c r="F8" i="51" s="1"/>
  <c r="F7" i="51"/>
  <c r="AI20" i="86"/>
  <c r="AJ20" i="86" s="1"/>
  <c r="AJ21" i="86" s="1"/>
  <c r="AI21" i="86" s="1"/>
  <c r="AI30" i="86" s="1"/>
  <c r="V12" i="31" s="1"/>
  <c r="AJ11" i="86"/>
  <c r="AI11" i="86" s="1"/>
  <c r="AA18" i="87"/>
  <c r="AB18" i="87" s="1"/>
  <c r="AB6" i="87"/>
  <c r="AB10" i="87" s="1"/>
  <c r="AA10" i="87" s="1"/>
  <c r="AA26" i="87" s="1"/>
  <c r="AB7" i="51"/>
  <c r="AA8" i="51"/>
  <c r="AB8" i="51" s="1"/>
  <c r="T11" i="83"/>
  <c r="S24" i="83"/>
  <c r="T24" i="83" s="1"/>
  <c r="T26" i="83" s="1"/>
  <c r="S26" i="83" s="1"/>
  <c r="S35" i="83" s="1"/>
  <c r="N9" i="31" s="1"/>
  <c r="T7" i="51"/>
  <c r="S8" i="51"/>
  <c r="T8" i="51" s="1"/>
  <c r="K18" i="87"/>
  <c r="L18" i="87" s="1"/>
  <c r="L6" i="87"/>
  <c r="L10" i="87" s="1"/>
  <c r="K10" i="87" s="1"/>
  <c r="K26" i="87" s="1"/>
  <c r="K13" i="50"/>
  <c r="L6" i="50"/>
  <c r="AH6" i="87"/>
  <c r="AG18" i="87"/>
  <c r="AH18" i="87" s="1"/>
  <c r="AH7" i="51"/>
  <c r="AG8" i="51"/>
  <c r="AH8" i="51" s="1"/>
  <c r="Z6" i="87"/>
  <c r="Y18" i="87"/>
  <c r="Z18" i="87" s="1"/>
  <c r="Z5" i="51"/>
  <c r="Y9" i="51"/>
  <c r="Z9" i="51" s="1"/>
  <c r="Q20" i="86"/>
  <c r="R20" i="86" s="1"/>
  <c r="R21" i="86" s="1"/>
  <c r="Q21" i="86" s="1"/>
  <c r="Q30" i="86" s="1"/>
  <c r="M12" i="31" s="1"/>
  <c r="Q13" i="50"/>
  <c r="R6" i="50"/>
  <c r="Q8" i="50"/>
  <c r="R8" i="50" s="1"/>
  <c r="I24" i="83"/>
  <c r="J24" i="83" s="1"/>
  <c r="J26" i="83" s="1"/>
  <c r="I26" i="83" s="1"/>
  <c r="I35" i="83" s="1"/>
  <c r="J11" i="83"/>
  <c r="J5" i="51"/>
  <c r="I9" i="51"/>
  <c r="J9" i="51" s="1"/>
  <c r="AE13" i="50"/>
  <c r="AF6" i="50"/>
  <c r="AF5" i="51"/>
  <c r="AE9" i="51"/>
  <c r="AF9" i="51" s="1"/>
  <c r="W20" i="86"/>
  <c r="X20" i="86" s="1"/>
  <c r="X21" i="86" s="1"/>
  <c r="W21" i="86" s="1"/>
  <c r="W30" i="86" s="1"/>
  <c r="P12" i="31" s="1"/>
  <c r="X11" i="86"/>
  <c r="W11" i="86" s="1"/>
  <c r="W27" i="86" s="1"/>
  <c r="X5" i="51"/>
  <c r="W9" i="51"/>
  <c r="X9" i="51" s="1"/>
  <c r="O22" i="85"/>
  <c r="P22" i="85" s="1"/>
  <c r="P23" i="85" s="1"/>
  <c r="O23" i="85" s="1"/>
  <c r="O32" i="85" s="1"/>
  <c r="L10" i="31" s="1"/>
  <c r="P9" i="85"/>
  <c r="O13" i="50"/>
  <c r="P6" i="50"/>
  <c r="P10" i="50" s="1"/>
  <c r="O10" i="50" s="1"/>
  <c r="O29" i="50" s="1"/>
  <c r="H5" i="87"/>
  <c r="G16" i="87"/>
  <c r="H16" i="87" s="1"/>
  <c r="H6" i="87"/>
  <c r="G18" i="87"/>
  <c r="H18" i="87" s="1"/>
  <c r="H5" i="51"/>
  <c r="G9" i="51"/>
  <c r="H9" i="51" s="1"/>
  <c r="T11" i="86"/>
  <c r="S11" i="86" s="1"/>
  <c r="S28" i="86" s="1"/>
  <c r="N12" i="33" s="1"/>
  <c r="X26" i="83"/>
  <c r="W26" i="83" s="1"/>
  <c r="W35" i="83" s="1"/>
  <c r="P9" i="31" s="1"/>
  <c r="AL6" i="87"/>
  <c r="AL10" i="87" s="1"/>
  <c r="AK10" i="87" s="1"/>
  <c r="AK26" i="87" s="1"/>
  <c r="AK18" i="87"/>
  <c r="AL18" i="87" s="1"/>
  <c r="AL5" i="51"/>
  <c r="AK9" i="51"/>
  <c r="AL9" i="51" s="1"/>
  <c r="AD6" i="87"/>
  <c r="AC18" i="87"/>
  <c r="AD18" i="87" s="1"/>
  <c r="AD5" i="51"/>
  <c r="AC9" i="51"/>
  <c r="AD9" i="51" s="1"/>
  <c r="U24" i="83"/>
  <c r="V24" i="83" s="1"/>
  <c r="V26" i="83" s="1"/>
  <c r="U26" i="83" s="1"/>
  <c r="U35" i="83" s="1"/>
  <c r="V11" i="83"/>
  <c r="U13" i="50"/>
  <c r="V6" i="50"/>
  <c r="U8" i="50"/>
  <c r="V8" i="50" s="1"/>
  <c r="N5" i="87"/>
  <c r="M16" i="87"/>
  <c r="N16" i="87" s="1"/>
  <c r="N6" i="87"/>
  <c r="M18" i="87"/>
  <c r="N18" i="87" s="1"/>
  <c r="E22" i="85"/>
  <c r="F22" i="85" s="1"/>
  <c r="F23" i="85" s="1"/>
  <c r="E23" i="85" s="1"/>
  <c r="E32" i="85" s="1"/>
  <c r="G10" i="31" s="1"/>
  <c r="F9" i="85"/>
  <c r="F11" i="85" s="1"/>
  <c r="E11" i="85" s="1"/>
  <c r="E30" i="85" s="1"/>
  <c r="G10" i="33" s="1"/>
  <c r="F6" i="87"/>
  <c r="F10" i="87" s="1"/>
  <c r="E10" i="87" s="1"/>
  <c r="E26" i="87" s="1"/>
  <c r="E18" i="87"/>
  <c r="F18" i="87" s="1"/>
  <c r="AJ5" i="87"/>
  <c r="AI16" i="87"/>
  <c r="AJ16" i="87" s="1"/>
  <c r="AI13" i="50"/>
  <c r="AJ6" i="50"/>
  <c r="AJ10" i="50" s="1"/>
  <c r="AI10" i="50" s="1"/>
  <c r="AI28" i="50" s="1"/>
  <c r="AB5" i="87"/>
  <c r="AA16" i="87"/>
  <c r="AB16" i="87" s="1"/>
  <c r="AA13" i="50"/>
  <c r="AB6" i="50"/>
  <c r="AB10" i="50" s="1"/>
  <c r="AA10" i="50" s="1"/>
  <c r="AA28" i="50" s="1"/>
  <c r="T5" i="87"/>
  <c r="S16" i="87"/>
  <c r="T16" i="87" s="1"/>
  <c r="S22" i="85"/>
  <c r="T22" i="85" s="1"/>
  <c r="T23" i="85" s="1"/>
  <c r="S23" i="85" s="1"/>
  <c r="S32" i="85" s="1"/>
  <c r="T9" i="85"/>
  <c r="K20" i="86"/>
  <c r="L20" i="86" s="1"/>
  <c r="L11" i="86"/>
  <c r="K11" i="86" s="1"/>
  <c r="K27" i="86" s="1"/>
  <c r="L5" i="51"/>
  <c r="K9" i="51"/>
  <c r="L9" i="51" s="1"/>
  <c r="AH5" i="87"/>
  <c r="AG16" i="87"/>
  <c r="AH16" i="87" s="1"/>
  <c r="AG13" i="50"/>
  <c r="AH6" i="50"/>
  <c r="AG8" i="50"/>
  <c r="AH8" i="50" s="1"/>
  <c r="Y22" i="85"/>
  <c r="Z22" i="85" s="1"/>
  <c r="Z23" i="85" s="1"/>
  <c r="Y23" i="85" s="1"/>
  <c r="Y32" i="85" s="1"/>
  <c r="Z9" i="85"/>
  <c r="Z11" i="85" s="1"/>
  <c r="Y11" i="85" s="1"/>
  <c r="Z7" i="51"/>
  <c r="Y8" i="51"/>
  <c r="Z8" i="51" s="1"/>
  <c r="R6" i="87"/>
  <c r="Q18" i="87"/>
  <c r="R18" i="87" s="1"/>
  <c r="R5" i="51"/>
  <c r="Q9" i="51"/>
  <c r="R9" i="51" s="1"/>
  <c r="J5" i="87"/>
  <c r="J10" i="87" s="1"/>
  <c r="I10" i="87" s="1"/>
  <c r="I16" i="87"/>
  <c r="J16" i="87" s="1"/>
  <c r="J11" i="86"/>
  <c r="I11" i="86" s="1"/>
  <c r="J20" i="86"/>
  <c r="J21" i="86" s="1"/>
  <c r="I21" i="86" s="1"/>
  <c r="I30" i="86" s="1"/>
  <c r="I12" i="31" s="1"/>
  <c r="J7" i="51"/>
  <c r="I8" i="51"/>
  <c r="J8" i="51" s="1"/>
  <c r="AE20" i="86"/>
  <c r="AF20" i="86" s="1"/>
  <c r="AF21" i="86" s="1"/>
  <c r="AE21" i="86" s="1"/>
  <c r="AE30" i="86" s="1"/>
  <c r="T12" i="31" s="1"/>
  <c r="AF11" i="86"/>
  <c r="AE11" i="86" s="1"/>
  <c r="AE27" i="86" s="1"/>
  <c r="W18" i="87"/>
  <c r="X18" i="87" s="1"/>
  <c r="X6" i="87"/>
  <c r="P6" i="87"/>
  <c r="P10" i="87" s="1"/>
  <c r="O10" i="87" s="1"/>
  <c r="O26" i="87" s="1"/>
  <c r="O18" i="87"/>
  <c r="P18" i="87" s="1"/>
  <c r="P20" i="87" s="1"/>
  <c r="O20" i="87" s="1"/>
  <c r="O29" i="87" s="1"/>
  <c r="L11" i="31" s="1"/>
  <c r="G24" i="83"/>
  <c r="H24" i="83" s="1"/>
  <c r="H26" i="83" s="1"/>
  <c r="G26" i="83" s="1"/>
  <c r="H11" i="83"/>
  <c r="H12" i="83" s="1"/>
  <c r="G12" i="83" s="1"/>
  <c r="G33" i="83" s="1"/>
  <c r="G13" i="50"/>
  <c r="H6" i="50"/>
  <c r="H10" i="50" s="1"/>
  <c r="G10" i="50" s="1"/>
  <c r="AF9" i="84"/>
  <c r="AE9" i="84" s="1"/>
  <c r="AE27" i="84" s="1"/>
  <c r="V22" i="50"/>
  <c r="U22" i="50" s="1"/>
  <c r="U31" i="50" s="1"/>
  <c r="O6" i="31" s="1"/>
  <c r="AK19" i="43"/>
  <c r="AB17" i="85"/>
  <c r="AA17" i="85" s="1"/>
  <c r="AA31" i="85" s="1"/>
  <c r="AF17" i="85"/>
  <c r="AE17" i="85" s="1"/>
  <c r="AE31" i="85" s="1"/>
  <c r="T10" i="32" s="1"/>
  <c r="P17" i="85"/>
  <c r="O17" i="85" s="1"/>
  <c r="O31" i="85" s="1"/>
  <c r="L10" i="32" s="1"/>
  <c r="L15" i="87"/>
  <c r="K15" i="87" s="1"/>
  <c r="K28" i="87" s="1"/>
  <c r="J11" i="32" s="1"/>
  <c r="J98" i="32" s="1"/>
  <c r="V11" i="44"/>
  <c r="U11" i="44" s="1"/>
  <c r="U30" i="44" s="1"/>
  <c r="E180" i="2"/>
  <c r="B186" i="2" s="1"/>
  <c r="D186" i="2" s="1"/>
  <c r="E186" i="2" s="1"/>
  <c r="G73" i="2"/>
  <c r="B78" i="2" s="1"/>
  <c r="W66" i="48"/>
  <c r="P14" i="33" s="1"/>
  <c r="AK32" i="78"/>
  <c r="W62" i="34" s="1"/>
  <c r="W65" i="63"/>
  <c r="I65" i="48"/>
  <c r="K23" i="46"/>
  <c r="T7" i="28"/>
  <c r="T6" i="28"/>
  <c r="AA64" i="62"/>
  <c r="R19" i="34" s="1"/>
  <c r="R106" i="34" s="1"/>
  <c r="K17" i="75"/>
  <c r="L22" i="75" s="1"/>
  <c r="K34" i="78"/>
  <c r="G11" i="65"/>
  <c r="H11" i="65" s="1"/>
  <c r="E4" i="66"/>
  <c r="E31" i="95"/>
  <c r="E64" i="33" s="1"/>
  <c r="E36" i="65"/>
  <c r="Q65" i="53"/>
  <c r="M66" i="52"/>
  <c r="K15" i="33" s="1"/>
  <c r="J9" i="84"/>
  <c r="I9" i="84" s="1"/>
  <c r="I26" i="84" s="1"/>
  <c r="AB9" i="84"/>
  <c r="AA9" i="84" s="1"/>
  <c r="AA26" i="84" s="1"/>
  <c r="W65" i="61"/>
  <c r="S65" i="60"/>
  <c r="M64" i="52"/>
  <c r="M72" i="52" s="1"/>
  <c r="N72" i="52" s="1"/>
  <c r="Y66" i="60"/>
  <c r="Q17" i="33" s="1"/>
  <c r="G19" i="75"/>
  <c r="H24" i="33" s="1"/>
  <c r="H112" i="33" s="1"/>
  <c r="AK66" i="60"/>
  <c r="E65" i="59"/>
  <c r="E29" i="95"/>
  <c r="F30" i="95" s="1"/>
  <c r="G34" i="78"/>
  <c r="H62" i="33" s="1"/>
  <c r="Y64" i="59"/>
  <c r="Z67" i="59" s="1"/>
  <c r="M64" i="45"/>
  <c r="M72" i="45" s="1"/>
  <c r="N72" i="45" s="1"/>
  <c r="G30" i="95"/>
  <c r="AM64" i="60"/>
  <c r="AN68" i="60" s="1"/>
  <c r="AI66" i="61"/>
  <c r="W64" i="61"/>
  <c r="W72" i="61" s="1"/>
  <c r="X72" i="61" s="1"/>
  <c r="AK17" i="43"/>
  <c r="AL18" i="43" s="1"/>
  <c r="E32" i="78"/>
  <c r="F36" i="78" s="1"/>
  <c r="M64" i="81"/>
  <c r="M72" i="81" s="1"/>
  <c r="AA64" i="60"/>
  <c r="R17" i="34" s="1"/>
  <c r="R104" i="34" s="1"/>
  <c r="AF9" i="88"/>
  <c r="AE9" i="88" s="1"/>
  <c r="AE25" i="88" s="1"/>
  <c r="G10" i="99"/>
  <c r="O38" i="64"/>
  <c r="P38" i="64" s="1"/>
  <c r="O36" i="64"/>
  <c r="O37" i="64"/>
  <c r="Y136" i="99" s="1"/>
  <c r="Z136" i="99" s="1"/>
  <c r="AG66" i="61"/>
  <c r="U18" i="33" s="1"/>
  <c r="S65" i="45"/>
  <c r="AH10" i="47"/>
  <c r="AG10" i="47" s="1"/>
  <c r="AG29" i="47" s="1"/>
  <c r="AH34" i="47" s="1"/>
  <c r="F10" i="47"/>
  <c r="E10" i="47" s="1"/>
  <c r="E29" i="47" s="1"/>
  <c r="E37" i="47" s="1"/>
  <c r="F37" i="47" s="1"/>
  <c r="AB12" i="83"/>
  <c r="AA12" i="83" s="1"/>
  <c r="AA31" i="83" s="1"/>
  <c r="R9" i="34" s="1"/>
  <c r="G65" i="81"/>
  <c r="AM64" i="63"/>
  <c r="AM72" i="63" s="1"/>
  <c r="AN72" i="63" s="1"/>
  <c r="AI65" i="63"/>
  <c r="H9" i="88"/>
  <c r="G9" i="88" s="1"/>
  <c r="G26" i="88" s="1"/>
  <c r="H21" i="33" s="1"/>
  <c r="AM66" i="63"/>
  <c r="M17" i="43"/>
  <c r="M24" i="43" s="1"/>
  <c r="N24" i="43" s="1"/>
  <c r="G32" i="78"/>
  <c r="H35" i="78" s="1"/>
  <c r="AG64" i="53"/>
  <c r="AH67" i="53" s="1"/>
  <c r="I65" i="81"/>
  <c r="AA66" i="60"/>
  <c r="AI66" i="62"/>
  <c r="V19" i="33" s="1"/>
  <c r="AG66" i="60"/>
  <c r="U17" i="33" s="1"/>
  <c r="Y65" i="48"/>
  <c r="AA65" i="61"/>
  <c r="G19" i="43"/>
  <c r="H22" i="33" s="1"/>
  <c r="H110" i="33" s="1"/>
  <c r="Q29" i="95"/>
  <c r="R33" i="95" s="1"/>
  <c r="AC64" i="53"/>
  <c r="AC72" i="53" s="1"/>
  <c r="AD72" i="53" s="1"/>
  <c r="AK65" i="63"/>
  <c r="AG65" i="52"/>
  <c r="Y66" i="52"/>
  <c r="Q15" i="33" s="1"/>
  <c r="S64" i="63"/>
  <c r="S72" i="63" s="1"/>
  <c r="T72" i="63" s="1"/>
  <c r="Y64" i="61"/>
  <c r="Z69" i="61" s="1"/>
  <c r="E66" i="63"/>
  <c r="E65" i="48"/>
  <c r="AC66" i="53"/>
  <c r="S16" i="33" s="1"/>
  <c r="M64" i="59"/>
  <c r="M71" i="59" s="1"/>
  <c r="N71" i="59" s="1"/>
  <c r="M65" i="59"/>
  <c r="K80" i="64"/>
  <c r="I78" i="64"/>
  <c r="J81" i="64" s="1"/>
  <c r="S100" i="31"/>
  <c r="S108" i="31"/>
  <c r="AG64" i="59"/>
  <c r="AG71" i="59" s="1"/>
  <c r="AH71" i="59" s="1"/>
  <c r="AM64" i="61"/>
  <c r="AM72" i="61" s="1"/>
  <c r="AN72" i="61" s="1"/>
  <c r="G17" i="43"/>
  <c r="H22" i="43" s="1"/>
  <c r="W60" i="9"/>
  <c r="X63" i="9" s="1"/>
  <c r="K65" i="63"/>
  <c r="K64" i="81"/>
  <c r="E51" i="34" s="1"/>
  <c r="G29" i="95"/>
  <c r="H34" i="95" s="1"/>
  <c r="U32" i="78"/>
  <c r="W76" i="28"/>
  <c r="G78" i="64"/>
  <c r="H82" i="64" s="1"/>
  <c r="Q64" i="59"/>
  <c r="R67" i="59" s="1"/>
  <c r="E64" i="48"/>
  <c r="E73" i="48" s="1"/>
  <c r="F73" i="48" s="1"/>
  <c r="AG64" i="61"/>
  <c r="AH67" i="61" s="1"/>
  <c r="U60" i="9"/>
  <c r="U67" i="9" s="1"/>
  <c r="V67" i="9" s="1"/>
  <c r="K66" i="60"/>
  <c r="AI65" i="45"/>
  <c r="K64" i="60"/>
  <c r="K72" i="60" s="1"/>
  <c r="L72" i="60" s="1"/>
  <c r="S65" i="48"/>
  <c r="AC64" i="59"/>
  <c r="AC71" i="59" s="1"/>
  <c r="AD71" i="59" s="1"/>
  <c r="O34" i="67"/>
  <c r="AM33" i="78"/>
  <c r="O105" i="31"/>
  <c r="K66" i="81"/>
  <c r="O65" i="52"/>
  <c r="O65" i="61"/>
  <c r="M65" i="53"/>
  <c r="Q66" i="60"/>
  <c r="M17" i="33" s="1"/>
  <c r="M66" i="60"/>
  <c r="K17" i="33" s="1"/>
  <c r="AK64" i="48"/>
  <c r="AK73" i="48" s="1"/>
  <c r="AL73" i="48" s="1"/>
  <c r="AA34" i="78"/>
  <c r="R62" i="33" s="1"/>
  <c r="O35" i="67"/>
  <c r="U31" i="80"/>
  <c r="O60" i="33" s="1"/>
  <c r="U65" i="63"/>
  <c r="S64" i="53"/>
  <c r="T66" i="53" s="1"/>
  <c r="K64" i="63"/>
  <c r="L67" i="63" s="1"/>
  <c r="S65" i="53"/>
  <c r="AE66" i="62"/>
  <c r="T19" i="33" s="1"/>
  <c r="I64" i="53"/>
  <c r="J68" i="53" s="1"/>
  <c r="I65" i="53"/>
  <c r="AE66" i="48"/>
  <c r="T14" i="33" s="1"/>
  <c r="AC66" i="59"/>
  <c r="O107" i="31"/>
  <c r="M36" i="67"/>
  <c r="AM32" i="78"/>
  <c r="O66" i="63"/>
  <c r="L20" i="33" s="1"/>
  <c r="E66" i="52"/>
  <c r="AK65" i="48"/>
  <c r="E64" i="52"/>
  <c r="F67" i="52" s="1"/>
  <c r="O100" i="30"/>
  <c r="J104" i="31"/>
  <c r="M94" i="32"/>
  <c r="U94" i="32"/>
  <c r="K94" i="32"/>
  <c r="S94" i="32"/>
  <c r="P94" i="32"/>
  <c r="H94" i="32"/>
  <c r="V94" i="32"/>
  <c r="I94" i="32"/>
  <c r="K65" i="81"/>
  <c r="O102" i="30"/>
  <c r="O102" i="31"/>
  <c r="O100" i="31"/>
  <c r="S105" i="31"/>
  <c r="S102" i="31"/>
  <c r="U46" i="8"/>
  <c r="O86" i="33" s="1"/>
  <c r="O112" i="33" s="1"/>
  <c r="Y62" i="9"/>
  <c r="Q85" i="33" s="1"/>
  <c r="J102" i="31"/>
  <c r="AC64" i="45"/>
  <c r="AD67" i="45" s="1"/>
  <c r="W17" i="75"/>
  <c r="P22" i="34" s="1"/>
  <c r="I64" i="61"/>
  <c r="J67" i="61" s="1"/>
  <c r="U17" i="43"/>
  <c r="V21" i="43" s="1"/>
  <c r="AK64" i="52"/>
  <c r="AK72" i="52" s="1"/>
  <c r="AL72" i="52" s="1"/>
  <c r="G64" i="63"/>
  <c r="G72" i="63" s="1"/>
  <c r="H72" i="63" s="1"/>
  <c r="W64" i="62"/>
  <c r="W71" i="62" s="1"/>
  <c r="X71" i="62" s="1"/>
  <c r="AK17" i="75"/>
  <c r="AL20" i="75" s="1"/>
  <c r="AI60" i="9"/>
  <c r="AI67" i="9" s="1"/>
  <c r="AJ67" i="9" s="1"/>
  <c r="Y64" i="53"/>
  <c r="Z67" i="53" s="1"/>
  <c r="E36" i="31"/>
  <c r="U64" i="53"/>
  <c r="U72" i="53" s="1"/>
  <c r="V72" i="53" s="1"/>
  <c r="G17" i="75"/>
  <c r="G25" i="75" s="1"/>
  <c r="H25" i="75" s="1"/>
  <c r="X15" i="87"/>
  <c r="W15" i="87" s="1"/>
  <c r="W28" i="87" s="1"/>
  <c r="P11" i="32" s="1"/>
  <c r="P98" i="32" s="1"/>
  <c r="H99" i="30"/>
  <c r="AJ17" i="85"/>
  <c r="AI17" i="85" s="1"/>
  <c r="AI31" i="85" s="1"/>
  <c r="V10" i="32" s="1"/>
  <c r="V97" i="32" s="1"/>
  <c r="L17" i="85"/>
  <c r="K17" i="85" s="1"/>
  <c r="K31" i="85" s="1"/>
  <c r="J10" i="32" s="1"/>
  <c r="J97" i="32" s="1"/>
  <c r="T17" i="85"/>
  <c r="S17" i="85" s="1"/>
  <c r="S31" i="85" s="1"/>
  <c r="N10" i="32" s="1"/>
  <c r="N97" i="32" s="1"/>
  <c r="J96" i="32"/>
  <c r="AL26" i="83"/>
  <c r="AK26" i="83" s="1"/>
  <c r="AK35" i="83" s="1"/>
  <c r="W9" i="31" s="1"/>
  <c r="L23" i="96"/>
  <c r="K23" i="96" s="1"/>
  <c r="K47" i="96" s="1"/>
  <c r="O103" i="31"/>
  <c r="O29" i="94"/>
  <c r="O36" i="94" s="1"/>
  <c r="P36" i="94" s="1"/>
  <c r="K30" i="94"/>
  <c r="AA65" i="52"/>
  <c r="S101" i="31"/>
  <c r="S107" i="31"/>
  <c r="U103" i="31"/>
  <c r="AE32" i="78"/>
  <c r="AE33" i="78"/>
  <c r="AE34" i="78"/>
  <c r="T62" i="33" s="1"/>
  <c r="W65" i="62"/>
  <c r="AG65" i="53"/>
  <c r="AK65" i="53"/>
  <c r="E65" i="53"/>
  <c r="U64" i="48"/>
  <c r="U73" i="48" s="1"/>
  <c r="V73" i="48" s="1"/>
  <c r="AF24" i="44"/>
  <c r="AE24" i="44" s="1"/>
  <c r="AE33" i="44" s="1"/>
  <c r="AK19" i="75"/>
  <c r="W24" i="33" s="1"/>
  <c r="V104" i="31"/>
  <c r="V100" i="31"/>
  <c r="I30" i="79"/>
  <c r="G65" i="63"/>
  <c r="M65" i="63"/>
  <c r="W66" i="62"/>
  <c r="P19" i="33" s="1"/>
  <c r="AI64" i="63"/>
  <c r="AJ67" i="63" s="1"/>
  <c r="U66" i="59"/>
  <c r="K65" i="61"/>
  <c r="AH11" i="44"/>
  <c r="AG11" i="44" s="1"/>
  <c r="AG31" i="44" s="1"/>
  <c r="O101" i="31"/>
  <c r="AE65" i="61"/>
  <c r="U17" i="75"/>
  <c r="U25" i="75" s="1"/>
  <c r="V25" i="75" s="1"/>
  <c r="W65" i="52"/>
  <c r="U18" i="75"/>
  <c r="S103" i="31"/>
  <c r="AH12" i="83"/>
  <c r="AG12" i="83" s="1"/>
  <c r="AG33" i="83" s="1"/>
  <c r="AI29" i="94"/>
  <c r="AJ33" i="94" s="1"/>
  <c r="L9" i="88"/>
  <c r="K9" i="88" s="1"/>
  <c r="K25" i="88" s="1"/>
  <c r="J11" i="85"/>
  <c r="I11" i="85" s="1"/>
  <c r="I29" i="85" s="1"/>
  <c r="G45" i="8"/>
  <c r="K78" i="64"/>
  <c r="K86" i="64" s="1"/>
  <c r="L86" i="64" s="1"/>
  <c r="M46" i="8"/>
  <c r="K86" i="33" s="1"/>
  <c r="K110" i="33" s="1"/>
  <c r="M45" i="8"/>
  <c r="AC64" i="48"/>
  <c r="AD67" i="48" s="1"/>
  <c r="AA31" i="94"/>
  <c r="R88" i="33" s="1"/>
  <c r="U18" i="43"/>
  <c r="AI66" i="52"/>
  <c r="V15" i="33" s="1"/>
  <c r="AC65" i="48"/>
  <c r="G100" i="30"/>
  <c r="U29" i="80"/>
  <c r="G64" i="81"/>
  <c r="G72" i="81" s="1"/>
  <c r="H72" i="81" s="1"/>
  <c r="O64" i="63"/>
  <c r="O72" i="63" s="1"/>
  <c r="P72" i="63" s="1"/>
  <c r="Y66" i="61"/>
  <c r="Q18" i="33" s="1"/>
  <c r="E66" i="60"/>
  <c r="G17" i="33" s="1"/>
  <c r="U66" i="60"/>
  <c r="O17" i="33" s="1"/>
  <c r="AI64" i="53"/>
  <c r="AI72" i="53" s="1"/>
  <c r="AJ72" i="53" s="1"/>
  <c r="AK65" i="52"/>
  <c r="AL12" i="83"/>
  <c r="AK12" i="83" s="1"/>
  <c r="AK33" i="83" s="1"/>
  <c r="S64" i="60"/>
  <c r="T67" i="60" s="1"/>
  <c r="M64" i="53"/>
  <c r="M72" i="53" s="1"/>
  <c r="N72" i="53" s="1"/>
  <c r="S66" i="62"/>
  <c r="N19" i="33" s="1"/>
  <c r="AI65" i="53"/>
  <c r="Y65" i="53"/>
  <c r="J11" i="44"/>
  <c r="I11" i="44" s="1"/>
  <c r="I31" i="44" s="1"/>
  <c r="AL11" i="44"/>
  <c r="AK11" i="44" s="1"/>
  <c r="AK30" i="44" s="1"/>
  <c r="AD11" i="44"/>
  <c r="AC11" i="44" s="1"/>
  <c r="AC30" i="44" s="1"/>
  <c r="G30" i="94"/>
  <c r="U19" i="43"/>
  <c r="O22" i="33" s="1"/>
  <c r="S66" i="52"/>
  <c r="N15" i="33" s="1"/>
  <c r="AF10" i="50"/>
  <c r="AE10" i="50" s="1"/>
  <c r="AE29" i="50" s="1"/>
  <c r="R11" i="44"/>
  <c r="Q11" i="44" s="1"/>
  <c r="Q30" i="44" s="1"/>
  <c r="F10" i="50"/>
  <c r="E10" i="50" s="1"/>
  <c r="E28" i="50" s="1"/>
  <c r="G103" i="30"/>
  <c r="I36" i="67"/>
  <c r="O29" i="95"/>
  <c r="P32" i="95" s="1"/>
  <c r="AI65" i="48"/>
  <c r="AD12" i="83"/>
  <c r="AC12" i="83" s="1"/>
  <c r="AC32" i="83" s="1"/>
  <c r="AE64" i="62"/>
  <c r="AE71" i="62" s="1"/>
  <c r="AF71" i="62" s="1"/>
  <c r="AF11" i="44"/>
  <c r="AE11" i="44" s="1"/>
  <c r="AF10" i="47"/>
  <c r="AE10" i="47" s="1"/>
  <c r="AE31" i="47" s="1"/>
  <c r="AL10" i="47"/>
  <c r="AK10" i="47" s="1"/>
  <c r="AK30" i="47" s="1"/>
  <c r="S31" i="94"/>
  <c r="N88" i="33" s="1"/>
  <c r="U64" i="52"/>
  <c r="V68" i="52" s="1"/>
  <c r="P9" i="88"/>
  <c r="O9" i="88" s="1"/>
  <c r="O24" i="88" s="1"/>
  <c r="X12" i="83"/>
  <c r="W12" i="83" s="1"/>
  <c r="Q88" i="31"/>
  <c r="U91" i="32"/>
  <c r="W64" i="63"/>
  <c r="W72" i="63" s="1"/>
  <c r="X72" i="63" s="1"/>
  <c r="V102" i="31"/>
  <c r="V107" i="31"/>
  <c r="S66" i="61"/>
  <c r="N18" i="33" s="1"/>
  <c r="AA65" i="53"/>
  <c r="H9" i="84"/>
  <c r="G9" i="84" s="1"/>
  <c r="G27" i="84" s="1"/>
  <c r="G64" i="62"/>
  <c r="G71" i="62" s="1"/>
  <c r="H71" i="62" s="1"/>
  <c r="Q64" i="53"/>
  <c r="AK65" i="59"/>
  <c r="W19" i="43"/>
  <c r="P22" i="33" s="1"/>
  <c r="W17" i="43"/>
  <c r="P24" i="34" s="1"/>
  <c r="AK18" i="75"/>
  <c r="S65" i="63"/>
  <c r="AC66" i="63"/>
  <c r="S20" i="33" s="1"/>
  <c r="AM65" i="62"/>
  <c r="G65" i="62"/>
  <c r="Q65" i="52"/>
  <c r="AM64" i="62"/>
  <c r="AM71" i="62" s="1"/>
  <c r="AN71" i="62" s="1"/>
  <c r="I65" i="60"/>
  <c r="T10" i="50"/>
  <c r="S10" i="50" s="1"/>
  <c r="S29" i="50" s="1"/>
  <c r="G65" i="52"/>
  <c r="M30" i="80"/>
  <c r="W110" i="31"/>
  <c r="M29" i="80"/>
  <c r="AA64" i="53"/>
  <c r="AB66" i="53" s="1"/>
  <c r="U65" i="53"/>
  <c r="K66" i="45"/>
  <c r="J13" i="33" s="1"/>
  <c r="AM66" i="48"/>
  <c r="M64" i="48"/>
  <c r="M73" i="48" s="1"/>
  <c r="N73" i="48" s="1"/>
  <c r="M65" i="48"/>
  <c r="AF12" i="83"/>
  <c r="AE12" i="83" s="1"/>
  <c r="AE33" i="83" s="1"/>
  <c r="J10" i="47"/>
  <c r="I10" i="47" s="1"/>
  <c r="I30" i="47" s="1"/>
  <c r="M18" i="43"/>
  <c r="R10" i="47"/>
  <c r="Q10" i="47" s="1"/>
  <c r="Q30" i="47" s="1"/>
  <c r="I29" i="94"/>
  <c r="I88" i="34" s="1"/>
  <c r="O108" i="31"/>
  <c r="AD31" i="28"/>
  <c r="W46" i="8"/>
  <c r="P86" i="33" s="1"/>
  <c r="W44" i="8"/>
  <c r="P86" i="34" s="1"/>
  <c r="W112" i="31"/>
  <c r="K64" i="59"/>
  <c r="K71" i="59" s="1"/>
  <c r="L71" i="59" s="1"/>
  <c r="O107" i="30"/>
  <c r="V106" i="31"/>
  <c r="V103" i="31"/>
  <c r="Q64" i="61"/>
  <c r="R68" i="61" s="1"/>
  <c r="AH21" i="86"/>
  <c r="AG21" i="86" s="1"/>
  <c r="AG30" i="86" s="1"/>
  <c r="U12" i="31" s="1"/>
  <c r="AA64" i="59"/>
  <c r="AA71" i="59" s="1"/>
  <c r="AB71" i="59" s="1"/>
  <c r="T104" i="31"/>
  <c r="AI64" i="59"/>
  <c r="AI71" i="59" s="1"/>
  <c r="AJ71" i="59" s="1"/>
  <c r="G34" i="67"/>
  <c r="L106" i="30"/>
  <c r="L103" i="30"/>
  <c r="G64" i="61"/>
  <c r="H18" i="34" s="1"/>
  <c r="H105" i="34" s="1"/>
  <c r="L105" i="30"/>
  <c r="L107" i="30"/>
  <c r="O64" i="62"/>
  <c r="O71" i="62" s="1"/>
  <c r="P71" i="62" s="1"/>
  <c r="AD49" i="35"/>
  <c r="AC49" i="35" s="1"/>
  <c r="AC60" i="35" s="1"/>
  <c r="S84" i="31" s="1"/>
  <c r="S92" i="31" s="1"/>
  <c r="N33" i="35"/>
  <c r="M33" i="35" s="1"/>
  <c r="M57" i="35" s="1"/>
  <c r="AH33" i="35"/>
  <c r="AG33" i="35" s="1"/>
  <c r="T33" i="35"/>
  <c r="S33" i="35" s="1"/>
  <c r="T49" i="35"/>
  <c r="S49" i="35" s="1"/>
  <c r="S60" i="35" s="1"/>
  <c r="N84" i="31" s="1"/>
  <c r="N94" i="31" s="1"/>
  <c r="AF33" i="35"/>
  <c r="AE33" i="35" s="1"/>
  <c r="AE57" i="35" s="1"/>
  <c r="AF49" i="35"/>
  <c r="AE49" i="35" s="1"/>
  <c r="R33" i="35"/>
  <c r="Q33" i="35" s="1"/>
  <c r="R49" i="35"/>
  <c r="Q49" i="35" s="1"/>
  <c r="AL33" i="35"/>
  <c r="AK33" i="35" s="1"/>
  <c r="AL49" i="35"/>
  <c r="AK49" i="35" s="1"/>
  <c r="P33" i="35"/>
  <c r="O33" i="35" s="1"/>
  <c r="O57" i="35" s="1"/>
  <c r="P49" i="35"/>
  <c r="O49" i="35" s="1"/>
  <c r="O60" i="35" s="1"/>
  <c r="L84" i="31" s="1"/>
  <c r="AD33" i="35"/>
  <c r="AC33" i="35" s="1"/>
  <c r="AC57" i="35" s="1"/>
  <c r="AH49" i="35"/>
  <c r="AG49" i="35" s="1"/>
  <c r="AG60" i="35" s="1"/>
  <c r="U84" i="31" s="1"/>
  <c r="U91" i="31" s="1"/>
  <c r="L33" i="35"/>
  <c r="K33" i="35" s="1"/>
  <c r="K58" i="35" s="1"/>
  <c r="L49" i="35"/>
  <c r="K49" i="35" s="1"/>
  <c r="AJ33" i="35"/>
  <c r="AI33" i="35" s="1"/>
  <c r="AI58" i="35" s="1"/>
  <c r="AJ49" i="35"/>
  <c r="AI49" i="35" s="1"/>
  <c r="AI60" i="35" s="1"/>
  <c r="V84" i="31" s="1"/>
  <c r="V33" i="35"/>
  <c r="U33" i="35" s="1"/>
  <c r="V49" i="35"/>
  <c r="U49" i="35" s="1"/>
  <c r="U60" i="35" s="1"/>
  <c r="O84" i="31" s="1"/>
  <c r="O94" i="31" s="1"/>
  <c r="F33" i="35"/>
  <c r="E33" i="35" s="1"/>
  <c r="F49" i="35"/>
  <c r="E49" i="35" s="1"/>
  <c r="AB33" i="35"/>
  <c r="AA33" i="35" s="1"/>
  <c r="AA58" i="35" s="1"/>
  <c r="AB49" i="35"/>
  <c r="AA49" i="35" s="1"/>
  <c r="AN33" i="35"/>
  <c r="AM33" i="35" s="1"/>
  <c r="AM57" i="35" s="1"/>
  <c r="AN49" i="35"/>
  <c r="AM49" i="35" s="1"/>
  <c r="Z33" i="35"/>
  <c r="Y33" i="35" s="1"/>
  <c r="Z49" i="35"/>
  <c r="Y49" i="35" s="1"/>
  <c r="J33" i="35"/>
  <c r="I33" i="35" s="1"/>
  <c r="J49" i="35"/>
  <c r="I49" i="35" s="1"/>
  <c r="X33" i="35"/>
  <c r="W33" i="35" s="1"/>
  <c r="X49" i="35"/>
  <c r="W49" i="35" s="1"/>
  <c r="W60" i="35" s="1"/>
  <c r="H49" i="35"/>
  <c r="G49" i="35" s="1"/>
  <c r="G60" i="35" s="1"/>
  <c r="H84" i="31" s="1"/>
  <c r="H92" i="31" s="1"/>
  <c r="M97" i="32"/>
  <c r="S92" i="32"/>
  <c r="J91" i="32"/>
  <c r="M96" i="32"/>
  <c r="M98" i="32"/>
  <c r="U96" i="32"/>
  <c r="M95" i="32"/>
  <c r="K98" i="32"/>
  <c r="K96" i="32"/>
  <c r="U97" i="32"/>
  <c r="K92" i="32"/>
  <c r="U92" i="32"/>
  <c r="M91" i="32"/>
  <c r="S98" i="32"/>
  <c r="AJ15" i="87"/>
  <c r="AI15" i="87" s="1"/>
  <c r="AI28" i="87" s="1"/>
  <c r="V11" i="32" s="1"/>
  <c r="V98" i="32" s="1"/>
  <c r="AB15" i="87"/>
  <c r="AA15" i="87" s="1"/>
  <c r="AA28" i="87" s="1"/>
  <c r="R11" i="32" s="1"/>
  <c r="R98" i="32" s="1"/>
  <c r="P15" i="87"/>
  <c r="O15" i="87" s="1"/>
  <c r="O28" i="87" s="1"/>
  <c r="L11" i="32" s="1"/>
  <c r="AF15" i="87"/>
  <c r="AE15" i="87" s="1"/>
  <c r="AE28" i="87" s="1"/>
  <c r="T11" i="32" s="1"/>
  <c r="H15" i="87"/>
  <c r="G15" i="87" s="1"/>
  <c r="G28" i="87" s="1"/>
  <c r="H11" i="32" s="1"/>
  <c r="H98" i="32" s="1"/>
  <c r="F19" i="84"/>
  <c r="E19" i="84" s="1"/>
  <c r="E29" i="84" s="1"/>
  <c r="G8" i="31" s="1"/>
  <c r="J19" i="84"/>
  <c r="I19" i="84" s="1"/>
  <c r="I29" i="84" s="1"/>
  <c r="K31" i="44"/>
  <c r="AI30" i="94"/>
  <c r="V96" i="32"/>
  <c r="P10" i="47"/>
  <c r="O10" i="47" s="1"/>
  <c r="O29" i="47" s="1"/>
  <c r="P32" i="47" s="1"/>
  <c r="T9" i="88"/>
  <c r="S9" i="88" s="1"/>
  <c r="S26" i="88" s="1"/>
  <c r="AJ9" i="88"/>
  <c r="AI9" i="88" s="1"/>
  <c r="AI25" i="88" s="1"/>
  <c r="T12" i="83"/>
  <c r="S12" i="83" s="1"/>
  <c r="S33" i="83" s="1"/>
  <c r="N9" i="33" s="1"/>
  <c r="L10" i="50"/>
  <c r="K10" i="50" s="1"/>
  <c r="K29" i="50" s="1"/>
  <c r="AJ12" i="83"/>
  <c r="AI12" i="83" s="1"/>
  <c r="AI32" i="83" s="1"/>
  <c r="AB9" i="88"/>
  <c r="AA9" i="88" s="1"/>
  <c r="AA25" i="88" s="1"/>
  <c r="W31" i="44"/>
  <c r="P4" i="33" s="1"/>
  <c r="W30" i="44"/>
  <c r="S34" i="78"/>
  <c r="N62" i="33" s="1"/>
  <c r="S33" i="78"/>
  <c r="G16" i="33"/>
  <c r="G35" i="67"/>
  <c r="W32" i="78"/>
  <c r="W34" i="78"/>
  <c r="AE64" i="63"/>
  <c r="AE72" i="63" s="1"/>
  <c r="AF72" i="63" s="1"/>
  <c r="AA66" i="63"/>
  <c r="R20" i="33" s="1"/>
  <c r="AE66" i="63"/>
  <c r="T20" i="33" s="1"/>
  <c r="Q66" i="61"/>
  <c r="M18" i="33" s="1"/>
  <c r="G65" i="61"/>
  <c r="U66" i="48"/>
  <c r="O14" i="33" s="1"/>
  <c r="O65" i="62"/>
  <c r="J103" i="31"/>
  <c r="AG66" i="48"/>
  <c r="U14" i="33" s="1"/>
  <c r="AK64" i="53"/>
  <c r="AL68" i="53" s="1"/>
  <c r="E64" i="53"/>
  <c r="I66" i="52"/>
  <c r="Z10" i="47"/>
  <c r="Y10" i="47" s="1"/>
  <c r="Y30" i="47" s="1"/>
  <c r="K19" i="43"/>
  <c r="J22" i="33" s="1"/>
  <c r="N10" i="47"/>
  <c r="M10" i="47" s="1"/>
  <c r="M31" i="47" s="1"/>
  <c r="AM65" i="52"/>
  <c r="W107" i="30"/>
  <c r="I28" i="79"/>
  <c r="M31" i="95"/>
  <c r="E68" i="33" s="1"/>
  <c r="I31" i="95"/>
  <c r="AH10" i="87"/>
  <c r="AG10" i="87" s="1"/>
  <c r="AG27" i="87" s="1"/>
  <c r="AI65" i="60"/>
  <c r="AI64" i="60"/>
  <c r="AJ68" i="60" s="1"/>
  <c r="AA64" i="63"/>
  <c r="AB67" i="63" s="1"/>
  <c r="AC65" i="52"/>
  <c r="AA66" i="45"/>
  <c r="R13" i="33" s="1"/>
  <c r="Z9" i="84"/>
  <c r="Y9" i="84" s="1"/>
  <c r="Y27" i="84" s="1"/>
  <c r="AD10" i="47"/>
  <c r="AC10" i="47" s="1"/>
  <c r="AC30" i="47" s="1"/>
  <c r="K17" i="43"/>
  <c r="K24" i="43" s="1"/>
  <c r="G102" i="30"/>
  <c r="J107" i="31"/>
  <c r="I29" i="95"/>
  <c r="J33" i="95" s="1"/>
  <c r="M29" i="95"/>
  <c r="N33" i="95" s="1"/>
  <c r="E36" i="67"/>
  <c r="K65" i="53"/>
  <c r="K64" i="53"/>
  <c r="K72" i="53" s="1"/>
  <c r="L72" i="53" s="1"/>
  <c r="AC64" i="52"/>
  <c r="AC72" i="52" s="1"/>
  <c r="AD72" i="52" s="1"/>
  <c r="J10" i="50"/>
  <c r="I10" i="50" s="1"/>
  <c r="I28" i="50" s="1"/>
  <c r="K65" i="52"/>
  <c r="AM9" i="88"/>
  <c r="AM26" i="88" s="1"/>
  <c r="I103" i="30"/>
  <c r="O31" i="94"/>
  <c r="L88" i="33" s="1"/>
  <c r="AH9" i="88"/>
  <c r="AG9" i="88" s="1"/>
  <c r="AG24" i="88" s="1"/>
  <c r="AH28" i="88" s="1"/>
  <c r="R9" i="88"/>
  <c r="Q9" i="88" s="1"/>
  <c r="Q24" i="88" s="1"/>
  <c r="R27" i="88" s="1"/>
  <c r="AH11" i="85"/>
  <c r="AG11" i="85" s="1"/>
  <c r="AG30" i="85" s="1"/>
  <c r="U10" i="33" s="1"/>
  <c r="AM25" i="88"/>
  <c r="K91" i="32"/>
  <c r="AE31" i="94"/>
  <c r="T88" i="33" s="1"/>
  <c r="AG61" i="9"/>
  <c r="X9" i="88"/>
  <c r="W9" i="88" s="1"/>
  <c r="W25" i="88" s="1"/>
  <c r="J39" i="96"/>
  <c r="I39" i="96" s="1"/>
  <c r="I49" i="96" s="1"/>
  <c r="E25" i="31" s="1"/>
  <c r="AB11" i="86"/>
  <c r="AA11" i="86" s="1"/>
  <c r="AA27" i="86" s="1"/>
  <c r="P108" i="32"/>
  <c r="Z19" i="84"/>
  <c r="Y19" i="84" s="1"/>
  <c r="Y29" i="84" s="1"/>
  <c r="Q8" i="31" s="1"/>
  <c r="X24" i="44"/>
  <c r="W24" i="44" s="1"/>
  <c r="W29" i="44" s="1"/>
  <c r="X34" i="44" s="1"/>
  <c r="I61" i="9"/>
  <c r="H24" i="44"/>
  <c r="G24" i="44" s="1"/>
  <c r="G29" i="44" s="1"/>
  <c r="H34" i="44" s="1"/>
  <c r="V11" i="85"/>
  <c r="U11" i="85" s="1"/>
  <c r="U29" i="85" s="1"/>
  <c r="P103" i="31"/>
  <c r="AJ24" i="44"/>
  <c r="AI24" i="44" s="1"/>
  <c r="AI33" i="44" s="1"/>
  <c r="V4" i="31" s="1"/>
  <c r="AI33" i="78"/>
  <c r="AI34" i="78"/>
  <c r="V62" i="33" s="1"/>
  <c r="AH11" i="86"/>
  <c r="AG11" i="86" s="1"/>
  <c r="AG27" i="86" s="1"/>
  <c r="T24" i="44"/>
  <c r="S24" i="44" s="1"/>
  <c r="S33" i="44" s="1"/>
  <c r="AL19" i="84"/>
  <c r="AK19" i="84" s="1"/>
  <c r="AK29" i="84" s="1"/>
  <c r="W8" i="31" s="1"/>
  <c r="Z22" i="50"/>
  <c r="Y22" i="50" s="1"/>
  <c r="Y31" i="50" s="1"/>
  <c r="Q6" i="31" s="1"/>
  <c r="P24" i="44"/>
  <c r="O24" i="44" s="1"/>
  <c r="O29" i="44" s="1"/>
  <c r="W29" i="94"/>
  <c r="W36" i="94" s="1"/>
  <c r="X36" i="94" s="1"/>
  <c r="W45" i="8"/>
  <c r="T21" i="86"/>
  <c r="S21" i="86" s="1"/>
  <c r="S30" i="86" s="1"/>
  <c r="N12" i="31" s="1"/>
  <c r="R22" i="50"/>
  <c r="Q22" i="50" s="1"/>
  <c r="Q31" i="50" s="1"/>
  <c r="M6" i="31" s="1"/>
  <c r="AH22" i="50"/>
  <c r="AG22" i="50" s="1"/>
  <c r="AG31" i="50" s="1"/>
  <c r="U6" i="31" s="1"/>
  <c r="J23" i="96"/>
  <c r="I23" i="96" s="1"/>
  <c r="I47" i="96" s="1"/>
  <c r="AB31" i="28"/>
  <c r="F38" i="66"/>
  <c r="E38" i="66" s="1"/>
  <c r="E52" i="66" s="1"/>
  <c r="E38" i="32" s="1"/>
  <c r="E17" i="99"/>
  <c r="Z9" i="88"/>
  <c r="Y9" i="88" s="1"/>
  <c r="Y24" i="88" s="1"/>
  <c r="J9" i="88"/>
  <c r="I9" i="88" s="1"/>
  <c r="I26" i="88" s="1"/>
  <c r="AB11" i="85"/>
  <c r="AA11" i="85" s="1"/>
  <c r="T10" i="87"/>
  <c r="S10" i="87" s="1"/>
  <c r="AH9" i="84"/>
  <c r="AG9" i="84" s="1"/>
  <c r="AG26" i="84" s="1"/>
  <c r="AD9" i="88"/>
  <c r="AC9" i="88" s="1"/>
  <c r="AC25" i="88" s="1"/>
  <c r="V12" i="83"/>
  <c r="U12" i="83" s="1"/>
  <c r="AJ10" i="47"/>
  <c r="AI10" i="47" s="1"/>
  <c r="F11" i="86"/>
  <c r="E11" i="86" s="1"/>
  <c r="E28" i="86" s="1"/>
  <c r="AJ11" i="85"/>
  <c r="AI11" i="85" s="1"/>
  <c r="AI30" i="85" s="1"/>
  <c r="P11" i="85"/>
  <c r="O11" i="85" s="1"/>
  <c r="O29" i="85" s="1"/>
  <c r="T105" i="31"/>
  <c r="R95" i="32"/>
  <c r="T106" i="31"/>
  <c r="Q112" i="33"/>
  <c r="V81" i="28"/>
  <c r="X81" i="28"/>
  <c r="W81" i="28"/>
  <c r="Z12" i="83"/>
  <c r="Y12" i="83" s="1"/>
  <c r="Y33" i="83" s="1"/>
  <c r="S112" i="33"/>
  <c r="N82" i="64"/>
  <c r="AG64" i="60"/>
  <c r="AG72" i="60" s="1"/>
  <c r="AH72" i="60" s="1"/>
  <c r="I64" i="60"/>
  <c r="J68" i="60" s="1"/>
  <c r="K64" i="48"/>
  <c r="K73" i="48" s="1"/>
  <c r="L73" i="48" s="1"/>
  <c r="I64" i="81"/>
  <c r="I72" i="81" s="1"/>
  <c r="J72" i="81" s="1"/>
  <c r="AI64" i="52"/>
  <c r="AI72" i="52" s="1"/>
  <c r="AJ72" i="52" s="1"/>
  <c r="AI64" i="48"/>
  <c r="AJ67" i="48" s="1"/>
  <c r="K29" i="44"/>
  <c r="L34" i="44" s="1"/>
  <c r="U64" i="63"/>
  <c r="M64" i="60"/>
  <c r="M72" i="60" s="1"/>
  <c r="N72" i="60" s="1"/>
  <c r="K64" i="52"/>
  <c r="AE64" i="61"/>
  <c r="AE72" i="61" s="1"/>
  <c r="AF72" i="61" s="1"/>
  <c r="G18" i="28"/>
  <c r="G8" i="99"/>
  <c r="G7" i="99"/>
  <c r="I5" i="65"/>
  <c r="I23" i="65" s="1"/>
  <c r="J23" i="65" s="1"/>
  <c r="G45" i="96"/>
  <c r="G46" i="96" s="1"/>
  <c r="M8" i="66"/>
  <c r="M41" i="66" s="1"/>
  <c r="N41" i="66" s="1"/>
  <c r="N45" i="66" s="1"/>
  <c r="M45" i="66" s="1"/>
  <c r="M53" i="66" s="1"/>
  <c r="E42" i="31" s="1"/>
  <c r="G26" i="65"/>
  <c r="H26" i="65" s="1"/>
  <c r="I6" i="65"/>
  <c r="I28" i="65" s="1"/>
  <c r="J28" i="65" s="1"/>
  <c r="G14" i="65"/>
  <c r="H14" i="65" s="1"/>
  <c r="I10" i="65"/>
  <c r="J10" i="65" s="1"/>
  <c r="G4" i="66"/>
  <c r="H4" i="66" s="1"/>
  <c r="H26" i="66" s="1"/>
  <c r="G26" i="66" s="1"/>
  <c r="G51" i="66" s="1"/>
  <c r="G11" i="99"/>
  <c r="P35" i="78"/>
  <c r="N9" i="88"/>
  <c r="M9" i="88" s="1"/>
  <c r="M25" i="88" s="1"/>
  <c r="AL11" i="86"/>
  <c r="AK11" i="86" s="1"/>
  <c r="AK27" i="86" s="1"/>
  <c r="N12" i="83"/>
  <c r="M12" i="83" s="1"/>
  <c r="M33" i="83" s="1"/>
  <c r="I65" i="61"/>
  <c r="I66" i="61"/>
  <c r="I18" i="33" s="1"/>
  <c r="I105" i="33" s="1"/>
  <c r="W31" i="94"/>
  <c r="P88" i="33" s="1"/>
  <c r="W30" i="94"/>
  <c r="H13" i="68"/>
  <c r="G13" i="68" s="1"/>
  <c r="G31" i="68" s="1"/>
  <c r="W64" i="60"/>
  <c r="P17" i="34" s="1"/>
  <c r="P104" i="34" s="1"/>
  <c r="AA65" i="48"/>
  <c r="AA66" i="48"/>
  <c r="R14" i="33" s="1"/>
  <c r="T13" i="68"/>
  <c r="S13" i="68" s="1"/>
  <c r="S31" i="68" s="1"/>
  <c r="AL9" i="88"/>
  <c r="AK9" i="88" s="1"/>
  <c r="AK26" i="88" s="1"/>
  <c r="V9" i="88"/>
  <c r="U9" i="88" s="1"/>
  <c r="U26" i="88" s="1"/>
  <c r="F9" i="88"/>
  <c r="E9" i="88" s="1"/>
  <c r="E24" i="88" s="1"/>
  <c r="F29" i="88" s="1"/>
  <c r="N81" i="64"/>
  <c r="T11" i="85"/>
  <c r="S11" i="85" s="1"/>
  <c r="S30" i="85" s="1"/>
  <c r="J12" i="83"/>
  <c r="I12" i="83" s="1"/>
  <c r="R12" i="83"/>
  <c r="Q12" i="83" s="1"/>
  <c r="T10" i="47"/>
  <c r="S10" i="47" s="1"/>
  <c r="S31" i="47" s="1"/>
  <c r="P13" i="68"/>
  <c r="O13" i="68" s="1"/>
  <c r="O31" i="68" s="1"/>
  <c r="Z11" i="86"/>
  <c r="Y11" i="86" s="1"/>
  <c r="Y28" i="86" s="1"/>
  <c r="N11" i="86"/>
  <c r="M11" i="86" s="1"/>
  <c r="M28" i="86" s="1"/>
  <c r="R11" i="86"/>
  <c r="Q11" i="86" s="1"/>
  <c r="Q28" i="86" s="1"/>
  <c r="F12" i="83"/>
  <c r="E12" i="83" s="1"/>
  <c r="E32" i="83" s="1"/>
  <c r="R9" i="84"/>
  <c r="Q9" i="84" s="1"/>
  <c r="Q26" i="84" s="1"/>
  <c r="K65" i="48"/>
  <c r="K66" i="48"/>
  <c r="J14" i="33" s="1"/>
  <c r="G110" i="33"/>
  <c r="N110" i="30"/>
  <c r="P112" i="31"/>
  <c r="G13" i="65"/>
  <c r="G6" i="99"/>
  <c r="I17" i="65"/>
  <c r="R108" i="32"/>
  <c r="P96" i="32"/>
  <c r="W110" i="32"/>
  <c r="M92" i="32"/>
  <c r="U103" i="30"/>
  <c r="T107" i="31"/>
  <c r="J110" i="32"/>
  <c r="R93" i="30"/>
  <c r="R92" i="30"/>
  <c r="R112" i="32"/>
  <c r="R96" i="30"/>
  <c r="N112" i="32"/>
  <c r="J106" i="31"/>
  <c r="T101" i="31"/>
  <c r="P104" i="31"/>
  <c r="P107" i="31"/>
  <c r="R91" i="30"/>
  <c r="H96" i="32"/>
  <c r="U100" i="31"/>
  <c r="G112" i="33"/>
  <c r="V112" i="32"/>
  <c r="G112" i="30"/>
  <c r="V110" i="31"/>
  <c r="I104" i="30"/>
  <c r="M105" i="30"/>
  <c r="T102" i="31"/>
  <c r="T103" i="31"/>
  <c r="P110" i="31"/>
  <c r="U101" i="31"/>
  <c r="N112" i="30"/>
  <c r="U104" i="31"/>
  <c r="R96" i="32"/>
  <c r="J108" i="32"/>
  <c r="R104" i="30"/>
  <c r="J112" i="32"/>
  <c r="W75" i="28"/>
  <c r="R106" i="30"/>
  <c r="T112" i="32"/>
  <c r="R107" i="30"/>
  <c r="R103" i="30"/>
  <c r="V110" i="32"/>
  <c r="T110" i="34"/>
  <c r="P36" i="78"/>
  <c r="P37" i="78"/>
  <c r="Q112" i="30"/>
  <c r="S112" i="30"/>
  <c r="I98" i="32"/>
  <c r="N112" i="31"/>
  <c r="P105" i="31"/>
  <c r="N110" i="34"/>
  <c r="W106" i="31"/>
  <c r="T108" i="32"/>
  <c r="P104" i="30"/>
  <c r="N110" i="31"/>
  <c r="T110" i="31"/>
  <c r="T100" i="31"/>
  <c r="V110" i="30"/>
  <c r="H112" i="32"/>
  <c r="H95" i="32"/>
  <c r="J95" i="32"/>
  <c r="T110" i="33"/>
  <c r="T110" i="30"/>
  <c r="P103" i="30"/>
  <c r="U104" i="30"/>
  <c r="V112" i="31"/>
  <c r="U102" i="31"/>
  <c r="R110" i="33"/>
  <c r="T112" i="33"/>
  <c r="R110" i="34"/>
  <c r="V75" i="28"/>
  <c r="P100" i="31"/>
  <c r="R108" i="30"/>
  <c r="W112" i="32"/>
  <c r="T112" i="30"/>
  <c r="V112" i="30"/>
  <c r="N102" i="30"/>
  <c r="I105" i="31"/>
  <c r="R110" i="32"/>
  <c r="R91" i="32"/>
  <c r="I110" i="33"/>
  <c r="N112" i="33"/>
  <c r="S110" i="33"/>
  <c r="V110" i="34"/>
  <c r="L112" i="34"/>
  <c r="C18" i="99"/>
  <c r="C19" i="99" s="1"/>
  <c r="B18" i="99"/>
  <c r="AD30" i="28"/>
  <c r="AA66" i="28"/>
  <c r="I39" i="66"/>
  <c r="J39" i="66" s="1"/>
  <c r="J45" i="66" s="1"/>
  <c r="I45" i="66" s="1"/>
  <c r="I53" i="66" s="1"/>
  <c r="E40" i="31" s="1"/>
  <c r="K8" i="66"/>
  <c r="J4" i="66"/>
  <c r="J26" i="66" s="1"/>
  <c r="I26" i="66" s="1"/>
  <c r="I51" i="66" s="1"/>
  <c r="E33" i="68"/>
  <c r="E30" i="68"/>
  <c r="AI28" i="88"/>
  <c r="AI29" i="86"/>
  <c r="V8" i="31"/>
  <c r="R10" i="32"/>
  <c r="R97" i="32" s="1"/>
  <c r="I8" i="32"/>
  <c r="I95" i="32" s="1"/>
  <c r="W31" i="47"/>
  <c r="W30" i="47"/>
  <c r="K32" i="47"/>
  <c r="N37" i="78"/>
  <c r="N35" i="78"/>
  <c r="N36" i="78"/>
  <c r="O28" i="88"/>
  <c r="U21" i="31"/>
  <c r="U108" i="31" s="1"/>
  <c r="O29" i="86"/>
  <c r="O29" i="84"/>
  <c r="O25" i="84"/>
  <c r="P30" i="84" s="1"/>
  <c r="U12" i="32"/>
  <c r="U99" i="32" s="1"/>
  <c r="E27" i="84"/>
  <c r="E26" i="84"/>
  <c r="Y35" i="83"/>
  <c r="Q8" i="32"/>
  <c r="K6" i="31"/>
  <c r="AA33" i="44"/>
  <c r="AA29" i="44"/>
  <c r="AB32" i="44" s="1"/>
  <c r="S32" i="47"/>
  <c r="M30" i="44"/>
  <c r="M31" i="44"/>
  <c r="E78" i="2"/>
  <c r="B234" i="2"/>
  <c r="I21" i="31"/>
  <c r="U21" i="32"/>
  <c r="Q21" i="32"/>
  <c r="Q108" i="32" s="1"/>
  <c r="M21" i="32"/>
  <c r="I21" i="32"/>
  <c r="W8" i="32"/>
  <c r="AA28" i="88"/>
  <c r="K28" i="88"/>
  <c r="Q21" i="31"/>
  <c r="AK27" i="88"/>
  <c r="U27" i="88"/>
  <c r="E27" i="88"/>
  <c r="J12" i="32"/>
  <c r="J99" i="32" s="1"/>
  <c r="J8" i="31"/>
  <c r="O27" i="84"/>
  <c r="O26" i="84"/>
  <c r="M12" i="32"/>
  <c r="M99" i="32" s="1"/>
  <c r="G8" i="32"/>
  <c r="G6" i="31"/>
  <c r="M33" i="44"/>
  <c r="M29" i="44"/>
  <c r="N34" i="44" s="1"/>
  <c r="G31" i="47"/>
  <c r="G30" i="47"/>
  <c r="G29" i="47"/>
  <c r="H34" i="47" s="1"/>
  <c r="AA32" i="47"/>
  <c r="AG31" i="47"/>
  <c r="U31" i="47"/>
  <c r="U30" i="47"/>
  <c r="S28" i="88"/>
  <c r="S29" i="86"/>
  <c r="W27" i="84"/>
  <c r="W26" i="84"/>
  <c r="Z68" i="59"/>
  <c r="AM28" i="88"/>
  <c r="W28" i="88"/>
  <c r="Q51" i="66"/>
  <c r="Q50" i="66"/>
  <c r="W29" i="86"/>
  <c r="G29" i="86"/>
  <c r="K27" i="84"/>
  <c r="K26" i="84"/>
  <c r="W31" i="50"/>
  <c r="G31" i="50"/>
  <c r="AK27" i="84"/>
  <c r="AK26" i="84"/>
  <c r="O8" i="32"/>
  <c r="I27" i="84"/>
  <c r="E74" i="2"/>
  <c r="B79" i="2"/>
  <c r="E33" i="44"/>
  <c r="E29" i="44"/>
  <c r="AK33" i="44"/>
  <c r="U29" i="44"/>
  <c r="V34" i="44" s="1"/>
  <c r="H96" i="30"/>
  <c r="M112" i="30"/>
  <c r="I110" i="30"/>
  <c r="AC30" i="28"/>
  <c r="AB30" i="28"/>
  <c r="O1" i="106" s="1"/>
  <c r="Y33" i="78"/>
  <c r="Y34" i="78"/>
  <c r="Y66" i="63"/>
  <c r="Y65" i="63"/>
  <c r="E65" i="61"/>
  <c r="E66" i="61"/>
  <c r="O17" i="31"/>
  <c r="O104" i="31" s="1"/>
  <c r="E32" i="33"/>
  <c r="T21" i="30"/>
  <c r="G66" i="60"/>
  <c r="G65" i="60"/>
  <c r="Q69" i="52"/>
  <c r="Q64" i="52"/>
  <c r="K64" i="45"/>
  <c r="K69" i="45"/>
  <c r="O64" i="59"/>
  <c r="P68" i="59" s="1"/>
  <c r="O69" i="59"/>
  <c r="O20" i="33"/>
  <c r="K66" i="62"/>
  <c r="K65" i="62"/>
  <c r="J18" i="31"/>
  <c r="J105" i="31" s="1"/>
  <c r="W17" i="30"/>
  <c r="W104" i="30" s="1"/>
  <c r="O17" i="30"/>
  <c r="O104" i="30" s="1"/>
  <c r="W64" i="48"/>
  <c r="W69" i="48"/>
  <c r="W100" i="31"/>
  <c r="P21" i="30"/>
  <c r="P108" i="30" s="1"/>
  <c r="K18" i="30"/>
  <c r="U18" i="30"/>
  <c r="U105" i="30" s="1"/>
  <c r="W108" i="31"/>
  <c r="E68" i="59"/>
  <c r="E64" i="59"/>
  <c r="F65" i="59" s="1"/>
  <c r="T12" i="32"/>
  <c r="K30" i="87"/>
  <c r="AG66" i="45"/>
  <c r="AG65" i="45"/>
  <c r="R18" i="33"/>
  <c r="AI30" i="87"/>
  <c r="S30" i="87"/>
  <c r="Q9" i="32"/>
  <c r="M30" i="84"/>
  <c r="V19" i="84"/>
  <c r="U19" i="84" s="1"/>
  <c r="U29" i="84" s="1"/>
  <c r="K30" i="84"/>
  <c r="K25" i="84"/>
  <c r="L29" i="84" s="1"/>
  <c r="K8" i="32"/>
  <c r="K95" i="32" s="1"/>
  <c r="AI27" i="84"/>
  <c r="AI26" i="84"/>
  <c r="M32" i="50"/>
  <c r="M7" i="30"/>
  <c r="S6" i="31"/>
  <c r="AG31" i="94"/>
  <c r="AG30" i="94"/>
  <c r="W6" i="31"/>
  <c r="P86" i="30"/>
  <c r="P112" i="30" s="1"/>
  <c r="I33" i="44"/>
  <c r="S88" i="30"/>
  <c r="M49" i="8"/>
  <c r="M44" i="8"/>
  <c r="N52" i="8" s="1"/>
  <c r="AA61" i="9"/>
  <c r="AA62" i="9"/>
  <c r="H94" i="30"/>
  <c r="P105" i="30"/>
  <c r="H18" i="30"/>
  <c r="W103" i="30"/>
  <c r="R112" i="31"/>
  <c r="R104" i="31"/>
  <c r="R15" i="31"/>
  <c r="R102" i="31" s="1"/>
  <c r="R100" i="31"/>
  <c r="R9" i="31"/>
  <c r="R7" i="31"/>
  <c r="K21" i="32"/>
  <c r="K108" i="32" s="1"/>
  <c r="S96" i="32"/>
  <c r="M110" i="30"/>
  <c r="Q105" i="30"/>
  <c r="M104" i="30"/>
  <c r="I112" i="30"/>
  <c r="I18" i="30"/>
  <c r="I105" i="30" s="1"/>
  <c r="W105" i="31"/>
  <c r="G112" i="31"/>
  <c r="U110" i="32"/>
  <c r="J17" i="33"/>
  <c r="L112" i="31"/>
  <c r="H110" i="31"/>
  <c r="H112" i="31"/>
  <c r="U112" i="30"/>
  <c r="V108" i="30"/>
  <c r="R110" i="30"/>
  <c r="R101" i="30"/>
  <c r="R112" i="30"/>
  <c r="N104" i="30"/>
  <c r="J17" i="30"/>
  <c r="R110" i="31"/>
  <c r="T84" i="32"/>
  <c r="T96" i="32" s="1"/>
  <c r="U105" i="31"/>
  <c r="U9" i="31"/>
  <c r="U106" i="31"/>
  <c r="Q110" i="31"/>
  <c r="M112" i="31"/>
  <c r="L112" i="32"/>
  <c r="P91" i="32"/>
  <c r="R12" i="32"/>
  <c r="R99" i="32" s="1"/>
  <c r="N110" i="32"/>
  <c r="I101" i="33"/>
  <c r="I112" i="33"/>
  <c r="V112" i="34"/>
  <c r="O7" i="66"/>
  <c r="O6" i="66"/>
  <c r="P6" i="66" s="1"/>
  <c r="X112" i="34"/>
  <c r="L110" i="34"/>
  <c r="AI37" i="78"/>
  <c r="AI32" i="78"/>
  <c r="V62" i="34" s="1"/>
  <c r="U62" i="32"/>
  <c r="S31" i="95"/>
  <c r="S30" i="95"/>
  <c r="E66" i="30"/>
  <c r="AK34" i="78"/>
  <c r="AK33" i="78"/>
  <c r="U34" i="78"/>
  <c r="U33" i="78"/>
  <c r="E34" i="78"/>
  <c r="E33" i="78"/>
  <c r="N61" i="31"/>
  <c r="G30" i="79"/>
  <c r="G29" i="79"/>
  <c r="E40" i="32"/>
  <c r="V53" i="28" s="1"/>
  <c r="O34" i="78"/>
  <c r="O33" i="78"/>
  <c r="P33" i="78" s="1"/>
  <c r="K29" i="80"/>
  <c r="J60" i="34" s="1"/>
  <c r="E40" i="30"/>
  <c r="X53" i="28" s="1"/>
  <c r="X55" i="28" s="1"/>
  <c r="E27" i="31"/>
  <c r="K37" i="65"/>
  <c r="K36" i="65"/>
  <c r="P62" i="30"/>
  <c r="H62" i="30"/>
  <c r="E39" i="30"/>
  <c r="S29" i="95"/>
  <c r="L13" i="68"/>
  <c r="K13" i="68" s="1"/>
  <c r="E28" i="33"/>
  <c r="I80" i="64"/>
  <c r="I79" i="64"/>
  <c r="Y64" i="63"/>
  <c r="Y69" i="63"/>
  <c r="S19" i="31"/>
  <c r="S106" i="31" s="1"/>
  <c r="AK65" i="62"/>
  <c r="AK66" i="62"/>
  <c r="E65" i="62"/>
  <c r="E66" i="62"/>
  <c r="Y29" i="88"/>
  <c r="Q66" i="63"/>
  <c r="Q65" i="63"/>
  <c r="AC66" i="61"/>
  <c r="AC65" i="61"/>
  <c r="I65" i="62"/>
  <c r="I66" i="62"/>
  <c r="E34" i="30"/>
  <c r="S20" i="30"/>
  <c r="K20" i="30"/>
  <c r="E64" i="62"/>
  <c r="F68" i="62" s="1"/>
  <c r="E69" i="62"/>
  <c r="AH67" i="62"/>
  <c r="AE66" i="60"/>
  <c r="AE65" i="60"/>
  <c r="I69" i="52"/>
  <c r="I64" i="52"/>
  <c r="O64" i="52"/>
  <c r="O69" i="52"/>
  <c r="AI64" i="45"/>
  <c r="AI69" i="45"/>
  <c r="AM69" i="59"/>
  <c r="AM64" i="59"/>
  <c r="G69" i="59"/>
  <c r="G64" i="59"/>
  <c r="I64" i="62"/>
  <c r="I69" i="62"/>
  <c r="O64" i="61"/>
  <c r="P66" i="61" s="1"/>
  <c r="AI69" i="61"/>
  <c r="AI64" i="61"/>
  <c r="V18" i="31"/>
  <c r="V105" i="31" s="1"/>
  <c r="V18" i="33"/>
  <c r="AK64" i="60"/>
  <c r="AL69" i="60" s="1"/>
  <c r="U64" i="60"/>
  <c r="E64" i="60"/>
  <c r="F69" i="60" s="1"/>
  <c r="AM66" i="53"/>
  <c r="AM65" i="53"/>
  <c r="G66" i="53"/>
  <c r="G65" i="53"/>
  <c r="I69" i="48"/>
  <c r="I64" i="48"/>
  <c r="O64" i="48"/>
  <c r="P65" i="48" s="1"/>
  <c r="O69" i="48"/>
  <c r="N14" i="31"/>
  <c r="O66" i="45"/>
  <c r="O65" i="45"/>
  <c r="G64" i="60"/>
  <c r="AA64" i="52"/>
  <c r="AB68" i="52" s="1"/>
  <c r="Y69" i="45"/>
  <c r="Y64" i="45"/>
  <c r="AE64" i="45"/>
  <c r="AE69" i="45"/>
  <c r="S64" i="59"/>
  <c r="H19" i="30"/>
  <c r="AM64" i="53"/>
  <c r="G64" i="53"/>
  <c r="U19" i="30"/>
  <c r="U106" i="30" s="1"/>
  <c r="AH69" i="62"/>
  <c r="Q17" i="30"/>
  <c r="Q104" i="30" s="1"/>
  <c r="AE64" i="60"/>
  <c r="AF69" i="60" s="1"/>
  <c r="M16" i="33"/>
  <c r="W16" i="33"/>
  <c r="W101" i="31"/>
  <c r="AG66" i="59"/>
  <c r="AG65" i="59"/>
  <c r="G12" i="32"/>
  <c r="AK31" i="86"/>
  <c r="U31" i="86"/>
  <c r="E31" i="86"/>
  <c r="O33" i="85"/>
  <c r="S10" i="32"/>
  <c r="S97" i="32" s="1"/>
  <c r="O16" i="30"/>
  <c r="O103" i="30" s="1"/>
  <c r="U68" i="59"/>
  <c r="U64" i="59"/>
  <c r="AM65" i="59"/>
  <c r="AM66" i="59"/>
  <c r="G65" i="59"/>
  <c r="G66" i="59"/>
  <c r="AA31" i="86"/>
  <c r="Y66" i="45"/>
  <c r="Y65" i="45"/>
  <c r="AC66" i="45"/>
  <c r="AC65" i="45"/>
  <c r="AA64" i="48"/>
  <c r="AB68" i="48" s="1"/>
  <c r="K66" i="59"/>
  <c r="K65" i="59"/>
  <c r="W9" i="30"/>
  <c r="G9" i="30"/>
  <c r="G33" i="85"/>
  <c r="AK30" i="84"/>
  <c r="E30" i="84"/>
  <c r="AG32" i="50"/>
  <c r="AF22" i="50"/>
  <c r="AE22" i="50" s="1"/>
  <c r="K9" i="30"/>
  <c r="W7" i="31"/>
  <c r="G7" i="31"/>
  <c r="W13" i="30"/>
  <c r="W100" i="30" s="1"/>
  <c r="O10" i="30"/>
  <c r="N19" i="84"/>
  <c r="M19" i="84" s="1"/>
  <c r="M29" i="84" s="1"/>
  <c r="AK32" i="50"/>
  <c r="E32" i="50"/>
  <c r="V95" i="32"/>
  <c r="T22" i="50"/>
  <c r="S22" i="50" s="1"/>
  <c r="O88" i="31"/>
  <c r="O7" i="30"/>
  <c r="U7" i="30"/>
  <c r="M22" i="46"/>
  <c r="Y30" i="94"/>
  <c r="Z30" i="94" s="1"/>
  <c r="Y31" i="94"/>
  <c r="N95" i="32"/>
  <c r="Q30" i="84"/>
  <c r="AB22" i="50"/>
  <c r="AA22" i="50" s="1"/>
  <c r="T6" i="30"/>
  <c r="L6" i="30"/>
  <c r="U31" i="94"/>
  <c r="U30" i="94"/>
  <c r="S4" i="30"/>
  <c r="AA31" i="44"/>
  <c r="AA30" i="44"/>
  <c r="P88" i="30"/>
  <c r="M65" i="9"/>
  <c r="AE62" i="9"/>
  <c r="AE61" i="9"/>
  <c r="AG61" i="35"/>
  <c r="H33" i="35"/>
  <c r="G33" i="35" s="1"/>
  <c r="U29" i="47"/>
  <c r="I5" i="32"/>
  <c r="I92" i="32" s="1"/>
  <c r="G29" i="94"/>
  <c r="H33" i="94" s="1"/>
  <c r="AK62" i="9"/>
  <c r="AK61" i="9"/>
  <c r="E62" i="9"/>
  <c r="E61" i="9"/>
  <c r="U5" i="30"/>
  <c r="AB10" i="47"/>
  <c r="AA10" i="47" s="1"/>
  <c r="AA29" i="47" s="1"/>
  <c r="M29" i="94"/>
  <c r="N33" i="94" s="1"/>
  <c r="AK60" i="9"/>
  <c r="S62" i="9"/>
  <c r="S61" i="9"/>
  <c r="U61" i="35"/>
  <c r="B193" i="2"/>
  <c r="S85" i="32"/>
  <c r="N49" i="35"/>
  <c r="M49" i="35" s="1"/>
  <c r="M60" i="35" s="1"/>
  <c r="J22" i="50"/>
  <c r="I22" i="50" s="1"/>
  <c r="I31" i="50" s="1"/>
  <c r="L4" i="30"/>
  <c r="P4" i="30"/>
  <c r="AA29" i="94"/>
  <c r="AB32" i="94" s="1"/>
  <c r="I60" i="9"/>
  <c r="J64" i="9" s="1"/>
  <c r="B260" i="2"/>
  <c r="B230" i="2"/>
  <c r="B231" i="2" s="1"/>
  <c r="B283" i="2" s="1"/>
  <c r="S91" i="32"/>
  <c r="Q29" i="94"/>
  <c r="R34" i="94" s="1"/>
  <c r="AG60" i="9"/>
  <c r="Q84" i="32"/>
  <c r="Q92" i="32" s="1"/>
  <c r="P84" i="30"/>
  <c r="P99" i="30" s="1"/>
  <c r="P112" i="32"/>
  <c r="N108" i="32"/>
  <c r="I62" i="32"/>
  <c r="I38" i="67"/>
  <c r="I34" i="67"/>
  <c r="E32" i="68"/>
  <c r="E31" i="68"/>
  <c r="O60" i="30"/>
  <c r="E66" i="81"/>
  <c r="E65" i="81"/>
  <c r="AK65" i="61"/>
  <c r="AK66" i="61"/>
  <c r="Q66" i="62"/>
  <c r="Q65" i="62"/>
  <c r="K69" i="61"/>
  <c r="K64" i="61"/>
  <c r="L66" i="61" s="1"/>
  <c r="O65" i="53"/>
  <c r="O66" i="53"/>
  <c r="R14" i="31"/>
  <c r="R101" i="31" s="1"/>
  <c r="W66" i="45"/>
  <c r="W65" i="45"/>
  <c r="AG69" i="45"/>
  <c r="AG64" i="45"/>
  <c r="AM64" i="45"/>
  <c r="AM69" i="45"/>
  <c r="G64" i="45"/>
  <c r="G69" i="45"/>
  <c r="G21" i="30"/>
  <c r="G108" i="30" s="1"/>
  <c r="L17" i="30"/>
  <c r="L104" i="30" s="1"/>
  <c r="O64" i="53"/>
  <c r="P69" i="53" s="1"/>
  <c r="I66" i="59"/>
  <c r="I65" i="59"/>
  <c r="O12" i="32"/>
  <c r="AE33" i="85"/>
  <c r="S66" i="59"/>
  <c r="S65" i="59"/>
  <c r="O65" i="59"/>
  <c r="O66" i="59"/>
  <c r="AA30" i="87"/>
  <c r="S14" i="30"/>
  <c r="K13" i="30"/>
  <c r="AK66" i="45"/>
  <c r="AK65" i="45"/>
  <c r="E66" i="45"/>
  <c r="E65" i="45"/>
  <c r="I32" i="50"/>
  <c r="K7" i="31"/>
  <c r="AK64" i="45"/>
  <c r="E64" i="45"/>
  <c r="F69" i="45" s="1"/>
  <c r="AC27" i="84"/>
  <c r="AC26" i="84"/>
  <c r="AG30" i="84"/>
  <c r="R19" i="84"/>
  <c r="Q19" i="84" s="1"/>
  <c r="Q29" i="84" s="1"/>
  <c r="AC30" i="94"/>
  <c r="AC31" i="94"/>
  <c r="G44" i="8"/>
  <c r="H52" i="8" s="1"/>
  <c r="G49" i="8"/>
  <c r="AM62" i="9"/>
  <c r="AM61" i="9"/>
  <c r="G62" i="9"/>
  <c r="G61" i="9"/>
  <c r="I61" i="35"/>
  <c r="K46" i="8"/>
  <c r="K45" i="8"/>
  <c r="AM60" i="9"/>
  <c r="AN65" i="9" s="1"/>
  <c r="M62" i="9"/>
  <c r="M61" i="9"/>
  <c r="B196" i="2"/>
  <c r="Q62" i="9"/>
  <c r="Q61" i="9"/>
  <c r="H8" i="30"/>
  <c r="H95" i="30" s="1"/>
  <c r="N4" i="32"/>
  <c r="N91" i="32" s="1"/>
  <c r="Y31" i="44"/>
  <c r="Y30" i="44"/>
  <c r="AK29" i="94"/>
  <c r="AL33" i="94" s="1"/>
  <c r="AC61" i="35"/>
  <c r="G84" i="32"/>
  <c r="B233" i="2"/>
  <c r="J84" i="30"/>
  <c r="J94" i="30" s="1"/>
  <c r="Y60" i="9"/>
  <c r="Z61" i="9" s="1"/>
  <c r="H92" i="30"/>
  <c r="P107" i="30"/>
  <c r="L61" i="30"/>
  <c r="G17" i="30"/>
  <c r="G104" i="30" s="1"/>
  <c r="R106" i="31"/>
  <c r="Q110" i="30"/>
  <c r="M106" i="30"/>
  <c r="M103" i="30"/>
  <c r="W103" i="31"/>
  <c r="W20" i="31"/>
  <c r="W107" i="31" s="1"/>
  <c r="U95" i="32"/>
  <c r="U112" i="32"/>
  <c r="I97" i="32"/>
  <c r="U19" i="34"/>
  <c r="U106" i="34" s="1"/>
  <c r="P7" i="31"/>
  <c r="T88" i="31"/>
  <c r="P101" i="31"/>
  <c r="V20" i="30"/>
  <c r="V107" i="30" s="1"/>
  <c r="V88" i="30"/>
  <c r="V103" i="30"/>
  <c r="V101" i="30"/>
  <c r="V15" i="30"/>
  <c r="V102" i="30" s="1"/>
  <c r="R94" i="30"/>
  <c r="R102" i="30"/>
  <c r="N20" i="30"/>
  <c r="N107" i="30" s="1"/>
  <c r="N10" i="30"/>
  <c r="J6" i="30"/>
  <c r="P106" i="31"/>
  <c r="T88" i="32"/>
  <c r="P92" i="32"/>
  <c r="H110" i="32"/>
  <c r="N96" i="32"/>
  <c r="U110" i="31"/>
  <c r="U107" i="31"/>
  <c r="Q112" i="31"/>
  <c r="I103" i="31"/>
  <c r="I110" i="31"/>
  <c r="P95" i="32"/>
  <c r="V21" i="32"/>
  <c r="V108" i="32" s="1"/>
  <c r="N11" i="32"/>
  <c r="N98" i="32" s="1"/>
  <c r="W17" i="33"/>
  <c r="G20" i="33"/>
  <c r="V110" i="33"/>
  <c r="AA37" i="78"/>
  <c r="AA32" i="78"/>
  <c r="Q62" i="32"/>
  <c r="K31" i="95"/>
  <c r="K30" i="95"/>
  <c r="K29" i="95"/>
  <c r="E68" i="30"/>
  <c r="AG33" i="78"/>
  <c r="AG34" i="78"/>
  <c r="Q33" i="78"/>
  <c r="Q34" i="78"/>
  <c r="T112" i="34"/>
  <c r="M34" i="67"/>
  <c r="N38" i="67" s="1"/>
  <c r="AG32" i="78"/>
  <c r="Q32" i="78"/>
  <c r="M62" i="34" s="1"/>
  <c r="H60" i="30"/>
  <c r="J60" i="31"/>
  <c r="M66" i="81"/>
  <c r="M65" i="81"/>
  <c r="E45" i="30"/>
  <c r="E27" i="32"/>
  <c r="V67" i="28" s="1"/>
  <c r="V72" i="28" s="1"/>
  <c r="W30" i="80"/>
  <c r="W31" i="80"/>
  <c r="I50" i="96"/>
  <c r="W29" i="80"/>
  <c r="E43" i="30"/>
  <c r="I86" i="64"/>
  <c r="J86" i="64" s="1"/>
  <c r="Q69" i="63"/>
  <c r="Q64" i="63"/>
  <c r="O19" i="31"/>
  <c r="O106" i="31" s="1"/>
  <c r="AC65" i="62"/>
  <c r="AC66" i="62"/>
  <c r="M80" i="64"/>
  <c r="M79" i="64"/>
  <c r="N79" i="64" s="1"/>
  <c r="Q29" i="88"/>
  <c r="I66" i="63"/>
  <c r="I65" i="63"/>
  <c r="U65" i="61"/>
  <c r="U66" i="61"/>
  <c r="W60" i="30"/>
  <c r="AG66" i="62"/>
  <c r="AG65" i="62"/>
  <c r="AH65" i="62" s="1"/>
  <c r="W17" i="31"/>
  <c r="W104" i="31" s="1"/>
  <c r="G17" i="31"/>
  <c r="E41" i="30"/>
  <c r="L21" i="30"/>
  <c r="L108" i="30" s="1"/>
  <c r="AC64" i="63"/>
  <c r="AD65" i="63" s="1"/>
  <c r="M64" i="63"/>
  <c r="N69" i="63" s="1"/>
  <c r="V20" i="33"/>
  <c r="N20" i="33"/>
  <c r="AI69" i="62"/>
  <c r="AI64" i="62"/>
  <c r="AJ65" i="62" s="1"/>
  <c r="W66" i="60"/>
  <c r="W65" i="60"/>
  <c r="AG69" i="52"/>
  <c r="AG64" i="52"/>
  <c r="AM64" i="52"/>
  <c r="AM69" i="52"/>
  <c r="G64" i="52"/>
  <c r="G69" i="52"/>
  <c r="AA64" i="45"/>
  <c r="AA69" i="45"/>
  <c r="AE64" i="59"/>
  <c r="AF68" i="59" s="1"/>
  <c r="AE69" i="59"/>
  <c r="L108" i="32"/>
  <c r="AC64" i="62"/>
  <c r="AD68" i="62" s="1"/>
  <c r="AC69" i="62"/>
  <c r="AK64" i="61"/>
  <c r="AL68" i="61" s="1"/>
  <c r="AK69" i="61"/>
  <c r="AA69" i="61"/>
  <c r="AA64" i="61"/>
  <c r="AB68" i="61" s="1"/>
  <c r="R18" i="31"/>
  <c r="R105" i="31" s="1"/>
  <c r="S17" i="30"/>
  <c r="AE65" i="53"/>
  <c r="AE66" i="53"/>
  <c r="AG69" i="48"/>
  <c r="AG64" i="48"/>
  <c r="AH65" i="48" s="1"/>
  <c r="AM64" i="48"/>
  <c r="AM69" i="48"/>
  <c r="G64" i="48"/>
  <c r="G69" i="48"/>
  <c r="J14" i="31"/>
  <c r="J101" i="31" s="1"/>
  <c r="AM66" i="45"/>
  <c r="AM65" i="45"/>
  <c r="G66" i="45"/>
  <c r="G65" i="45"/>
  <c r="K21" i="30"/>
  <c r="AH68" i="62"/>
  <c r="S64" i="52"/>
  <c r="T68" i="52" s="1"/>
  <c r="Q69" i="45"/>
  <c r="Q64" i="45"/>
  <c r="W64" i="45"/>
  <c r="W69" i="45"/>
  <c r="W21" i="30"/>
  <c r="W108" i="30" s="1"/>
  <c r="T67" i="63"/>
  <c r="AE64" i="53"/>
  <c r="AF69" i="53" s="1"/>
  <c r="K64" i="62"/>
  <c r="L69" i="62" s="1"/>
  <c r="Y64" i="60"/>
  <c r="T17" i="30"/>
  <c r="Y66" i="59"/>
  <c r="Y65" i="59"/>
  <c r="W30" i="87"/>
  <c r="G30" i="87"/>
  <c r="AC64" i="61"/>
  <c r="H102" i="31"/>
  <c r="I15" i="33"/>
  <c r="I102" i="33" s="1"/>
  <c r="AI66" i="59"/>
  <c r="AI65" i="59"/>
  <c r="AE65" i="59"/>
  <c r="AE66" i="59"/>
  <c r="K31" i="86"/>
  <c r="AA33" i="85"/>
  <c r="W14" i="30"/>
  <c r="W101" i="30" s="1"/>
  <c r="O101" i="30"/>
  <c r="G14" i="30"/>
  <c r="G101" i="30" s="1"/>
  <c r="AD69" i="45"/>
  <c r="Q66" i="45"/>
  <c r="Q65" i="45"/>
  <c r="U66" i="45"/>
  <c r="U65" i="45"/>
  <c r="S12" i="32"/>
  <c r="S99" i="32" s="1"/>
  <c r="M11" i="30"/>
  <c r="J18" i="33"/>
  <c r="N14" i="30"/>
  <c r="N101" i="30" s="1"/>
  <c r="AG31" i="86"/>
  <c r="Q31" i="86"/>
  <c r="U98" i="32"/>
  <c r="I10" i="30"/>
  <c r="Z69" i="59"/>
  <c r="I9" i="32"/>
  <c r="I96" i="32" s="1"/>
  <c r="AC30" i="84"/>
  <c r="U27" i="84"/>
  <c r="U26" i="84"/>
  <c r="Y32" i="50"/>
  <c r="P22" i="50"/>
  <c r="O22" i="50" s="1"/>
  <c r="S8" i="32"/>
  <c r="S95" i="32" s="1"/>
  <c r="S7" i="31"/>
  <c r="U64" i="45"/>
  <c r="V69" i="45" s="1"/>
  <c r="W10" i="30"/>
  <c r="AD19" i="84"/>
  <c r="AC19" i="84" s="1"/>
  <c r="AC29" i="84" s="1"/>
  <c r="AC32" i="50"/>
  <c r="AE25" i="84"/>
  <c r="AF30" i="84" s="1"/>
  <c r="W19" i="75"/>
  <c r="W18" i="75"/>
  <c r="G88" i="31"/>
  <c r="AI30" i="84"/>
  <c r="AI25" i="84"/>
  <c r="AJ29" i="84" s="1"/>
  <c r="Q31" i="94"/>
  <c r="Q30" i="94"/>
  <c r="K7" i="30"/>
  <c r="L5" i="32"/>
  <c r="AE29" i="94"/>
  <c r="AF33" i="94" s="1"/>
  <c r="J88" i="31"/>
  <c r="M30" i="94"/>
  <c r="M31" i="94"/>
  <c r="S5" i="30"/>
  <c r="V4" i="32"/>
  <c r="V91" i="32" s="1"/>
  <c r="U29" i="94"/>
  <c r="V33" i="94" s="1"/>
  <c r="E29" i="94"/>
  <c r="F34" i="94" s="1"/>
  <c r="K88" i="31"/>
  <c r="P88" i="32"/>
  <c r="U49" i="8"/>
  <c r="K86" i="32"/>
  <c r="U85" i="32"/>
  <c r="W62" i="9"/>
  <c r="W61" i="9"/>
  <c r="Y61" i="35"/>
  <c r="K44" i="8"/>
  <c r="L52" i="8" s="1"/>
  <c r="K49" i="8"/>
  <c r="O5" i="30"/>
  <c r="S4" i="31"/>
  <c r="E31" i="44"/>
  <c r="E30" i="44"/>
  <c r="AC62" i="9"/>
  <c r="AC61" i="9"/>
  <c r="P8" i="30"/>
  <c r="O31" i="44"/>
  <c r="O30" i="44"/>
  <c r="G31" i="44"/>
  <c r="G30" i="44"/>
  <c r="K88" i="30"/>
  <c r="I85" i="32"/>
  <c r="V31" i="28" s="1"/>
  <c r="K61" i="9"/>
  <c r="K62" i="9"/>
  <c r="M61" i="35"/>
  <c r="B85" i="2"/>
  <c r="B88" i="2" s="1"/>
  <c r="M17" i="75"/>
  <c r="K22" i="34" s="1"/>
  <c r="J112" i="31"/>
  <c r="J88" i="33"/>
  <c r="T85" i="30"/>
  <c r="T105" i="30" s="1"/>
  <c r="AJ22" i="50"/>
  <c r="AI22" i="50" s="1"/>
  <c r="W29" i="47"/>
  <c r="W84" i="32"/>
  <c r="W97" i="32" s="1"/>
  <c r="V88" i="33"/>
  <c r="U85" i="33"/>
  <c r="U103" i="33" s="1"/>
  <c r="S61" i="35"/>
  <c r="O110" i="32"/>
  <c r="Q103" i="30"/>
  <c r="K112" i="31"/>
  <c r="G110" i="31"/>
  <c r="L110" i="31"/>
  <c r="K36" i="67"/>
  <c r="K35" i="67"/>
  <c r="K37" i="78"/>
  <c r="X76" i="28" s="1"/>
  <c r="K32" i="78"/>
  <c r="I33" i="78"/>
  <c r="I34" i="78"/>
  <c r="Y32" i="78"/>
  <c r="I32" i="78"/>
  <c r="J35" i="78" s="1"/>
  <c r="K31" i="80"/>
  <c r="K30" i="80"/>
  <c r="Q49" i="66"/>
  <c r="R52" i="66" s="1"/>
  <c r="I32" i="68"/>
  <c r="I31" i="68"/>
  <c r="L34" i="96"/>
  <c r="L39" i="96" s="1"/>
  <c r="K39" i="96" s="1"/>
  <c r="K49" i="96" s="1"/>
  <c r="K41" i="96"/>
  <c r="L41" i="96" s="1"/>
  <c r="L43" i="96" s="1"/>
  <c r="K43" i="96" s="1"/>
  <c r="AG69" i="63"/>
  <c r="AG64" i="63"/>
  <c r="M65" i="62"/>
  <c r="M66" i="62"/>
  <c r="AG29" i="88"/>
  <c r="AK64" i="63"/>
  <c r="AL66" i="63" s="1"/>
  <c r="E64" i="63"/>
  <c r="F65" i="63" s="1"/>
  <c r="J20" i="33"/>
  <c r="U64" i="62"/>
  <c r="U69" i="62"/>
  <c r="AM66" i="60"/>
  <c r="AM65" i="60"/>
  <c r="W64" i="52"/>
  <c r="W69" i="52"/>
  <c r="R107" i="31"/>
  <c r="Y69" i="62"/>
  <c r="Y64" i="62"/>
  <c r="E64" i="61"/>
  <c r="F68" i="61" s="1"/>
  <c r="E69" i="61"/>
  <c r="Q69" i="48"/>
  <c r="Q64" i="48"/>
  <c r="R66" i="48" s="1"/>
  <c r="S21" i="32"/>
  <c r="M61" i="30"/>
  <c r="K110" i="31"/>
  <c r="G19" i="31"/>
  <c r="G20" i="31"/>
  <c r="I91" i="32"/>
  <c r="I99" i="32"/>
  <c r="R17" i="33"/>
  <c r="T21" i="31"/>
  <c r="T108" i="31" s="1"/>
  <c r="V9" i="30"/>
  <c r="V104" i="30"/>
  <c r="N103" i="30"/>
  <c r="N12" i="30"/>
  <c r="N108" i="30"/>
  <c r="J85" i="30"/>
  <c r="L84" i="32"/>
  <c r="L95" i="32" s="1"/>
  <c r="U112" i="31"/>
  <c r="Q85" i="31"/>
  <c r="Q104" i="31" s="1"/>
  <c r="M110" i="31"/>
  <c r="I112" i="31"/>
  <c r="I88" i="31"/>
  <c r="I104" i="33"/>
  <c r="I103" i="33"/>
  <c r="G17" i="28"/>
  <c r="P110" i="32"/>
  <c r="S37" i="78"/>
  <c r="S32" i="78"/>
  <c r="N62" i="34" s="1"/>
  <c r="AC34" i="78"/>
  <c r="AC33" i="78"/>
  <c r="M34" i="78"/>
  <c r="M33" i="78"/>
  <c r="N33" i="78" s="1"/>
  <c r="AC32" i="78"/>
  <c r="S62" i="34" s="1"/>
  <c r="E34" i="67"/>
  <c r="K34" i="67"/>
  <c r="L37" i="67" s="1"/>
  <c r="U62" i="30"/>
  <c r="J62" i="33"/>
  <c r="M32" i="68"/>
  <c r="M31" i="68"/>
  <c r="E42" i="32"/>
  <c r="E50" i="96"/>
  <c r="E45" i="96"/>
  <c r="F48" i="96" s="1"/>
  <c r="E47" i="96"/>
  <c r="K35" i="65"/>
  <c r="L39" i="65" s="1"/>
  <c r="E35" i="31" s="1"/>
  <c r="T62" i="30"/>
  <c r="Q32" i="68"/>
  <c r="Q31" i="68"/>
  <c r="M86" i="64"/>
  <c r="N86" i="64" s="1"/>
  <c r="E82" i="34"/>
  <c r="E28" i="30"/>
  <c r="G80" i="64"/>
  <c r="G79" i="64"/>
  <c r="I64" i="63"/>
  <c r="I69" i="63"/>
  <c r="K19" i="31"/>
  <c r="U65" i="62"/>
  <c r="U66" i="62"/>
  <c r="E80" i="64"/>
  <c r="E79" i="64"/>
  <c r="I29" i="88"/>
  <c r="AG66" i="63"/>
  <c r="AG65" i="63"/>
  <c r="M66" i="61"/>
  <c r="M65" i="61"/>
  <c r="E78" i="64"/>
  <c r="E79" i="34" s="1"/>
  <c r="Y65" i="62"/>
  <c r="Y66" i="62"/>
  <c r="S17" i="31"/>
  <c r="S104" i="31" s="1"/>
  <c r="E64" i="81"/>
  <c r="F69" i="81" s="1"/>
  <c r="G20" i="30"/>
  <c r="G107" i="30" s="1"/>
  <c r="AK64" i="62"/>
  <c r="AL68" i="62" s="1"/>
  <c r="AK69" i="62"/>
  <c r="S69" i="62"/>
  <c r="S64" i="62"/>
  <c r="O66" i="60"/>
  <c r="O65" i="60"/>
  <c r="Y69" i="52"/>
  <c r="Y64" i="52"/>
  <c r="AE64" i="52"/>
  <c r="AF65" i="52" s="1"/>
  <c r="AE69" i="52"/>
  <c r="S64" i="45"/>
  <c r="S69" i="45"/>
  <c r="W69" i="59"/>
  <c r="W64" i="59"/>
  <c r="O21" i="30"/>
  <c r="O108" i="30" s="1"/>
  <c r="M64" i="62"/>
  <c r="N68" i="62" s="1"/>
  <c r="M69" i="62"/>
  <c r="AA66" i="62"/>
  <c r="AA65" i="62"/>
  <c r="U64" i="61"/>
  <c r="U69" i="61"/>
  <c r="S69" i="61"/>
  <c r="S64" i="61"/>
  <c r="T65" i="61" s="1"/>
  <c r="Q64" i="60"/>
  <c r="R68" i="60" s="1"/>
  <c r="AC64" i="60"/>
  <c r="AD65" i="60" s="1"/>
  <c r="W66" i="53"/>
  <c r="W65" i="53"/>
  <c r="Y69" i="48"/>
  <c r="Y64" i="48"/>
  <c r="AE64" i="48"/>
  <c r="AF65" i="48" s="1"/>
  <c r="AE69" i="48"/>
  <c r="V14" i="31"/>
  <c r="V101" i="31" s="1"/>
  <c r="AE66" i="45"/>
  <c r="AE65" i="45"/>
  <c r="T19" i="30"/>
  <c r="I69" i="45"/>
  <c r="I64" i="45"/>
  <c r="O64" i="45"/>
  <c r="O69" i="45"/>
  <c r="M64" i="61"/>
  <c r="N69" i="61" s="1"/>
  <c r="O64" i="60"/>
  <c r="W64" i="53"/>
  <c r="X69" i="53" s="1"/>
  <c r="W102" i="31"/>
  <c r="Q64" i="62"/>
  <c r="P19" i="30"/>
  <c r="P106" i="30" s="1"/>
  <c r="L19" i="33"/>
  <c r="R103" i="31"/>
  <c r="Q66" i="59"/>
  <c r="Q65" i="59"/>
  <c r="W12" i="32"/>
  <c r="K10" i="32"/>
  <c r="K97" i="32" s="1"/>
  <c r="P102" i="31"/>
  <c r="I100" i="31"/>
  <c r="AK64" i="59"/>
  <c r="AL68" i="59" s="1"/>
  <c r="AA66" i="59"/>
  <c r="AA65" i="59"/>
  <c r="W65" i="59"/>
  <c r="W66" i="59"/>
  <c r="Y31" i="86"/>
  <c r="I31" i="86"/>
  <c r="K33" i="85"/>
  <c r="AD68" i="53"/>
  <c r="W15" i="30"/>
  <c r="W102" i="30" s="1"/>
  <c r="Q14" i="33"/>
  <c r="I66" i="45"/>
  <c r="I65" i="45"/>
  <c r="M66" i="45"/>
  <c r="M65" i="45"/>
  <c r="K12" i="32"/>
  <c r="K99" i="32" s="1"/>
  <c r="AC31" i="86"/>
  <c r="M31" i="86"/>
  <c r="AE30" i="87"/>
  <c r="O30" i="87"/>
  <c r="S64" i="48"/>
  <c r="T68" i="48" s="1"/>
  <c r="I64" i="59"/>
  <c r="J69" i="59" s="1"/>
  <c r="W33" i="85"/>
  <c r="K10" i="30"/>
  <c r="U30" i="84"/>
  <c r="Q32" i="50"/>
  <c r="S9" i="30"/>
  <c r="AA30" i="84"/>
  <c r="G10" i="30"/>
  <c r="M9" i="30"/>
  <c r="M27" i="84"/>
  <c r="M26" i="84"/>
  <c r="U32" i="50"/>
  <c r="T8" i="30"/>
  <c r="I30" i="94"/>
  <c r="I31" i="94"/>
  <c r="AH19" i="84"/>
  <c r="AG19" i="84" s="1"/>
  <c r="AG29" i="84" s="1"/>
  <c r="L8" i="30"/>
  <c r="H93" i="30"/>
  <c r="W29" i="50"/>
  <c r="W28" i="50"/>
  <c r="Q4" i="30"/>
  <c r="J4" i="31"/>
  <c r="AK31" i="94"/>
  <c r="AK30" i="94"/>
  <c r="E31" i="94"/>
  <c r="E30" i="94"/>
  <c r="V5" i="32"/>
  <c r="V92" i="32" s="1"/>
  <c r="K4" i="30"/>
  <c r="AC65" i="9"/>
  <c r="AC60" i="9"/>
  <c r="AD63" i="9" s="1"/>
  <c r="M85" i="32"/>
  <c r="O62" i="9"/>
  <c r="O61" i="9"/>
  <c r="Q61" i="35"/>
  <c r="Y36" i="94"/>
  <c r="Z36" i="94" s="1"/>
  <c r="W4" i="30"/>
  <c r="S31" i="44"/>
  <c r="S30" i="44"/>
  <c r="J110" i="31"/>
  <c r="AM29" i="94"/>
  <c r="AM31" i="94"/>
  <c r="AM30" i="94"/>
  <c r="H85" i="30"/>
  <c r="H107" i="30" s="1"/>
  <c r="U62" i="9"/>
  <c r="U61" i="9"/>
  <c r="N88" i="30"/>
  <c r="AE28" i="50"/>
  <c r="K5" i="30"/>
  <c r="I5" i="30"/>
  <c r="H5" i="32"/>
  <c r="H92" i="32" s="1"/>
  <c r="L10" i="47"/>
  <c r="K10" i="47" s="1"/>
  <c r="K29" i="47" s="1"/>
  <c r="AI31" i="44"/>
  <c r="AI30" i="44"/>
  <c r="O112" i="32"/>
  <c r="AA60" i="9"/>
  <c r="AB65" i="9" s="1"/>
  <c r="AI62" i="9"/>
  <c r="AI61" i="9"/>
  <c r="AK61" i="35"/>
  <c r="E61" i="35"/>
  <c r="K24" i="30"/>
  <c r="AE60" i="9"/>
  <c r="AF65" i="9" s="1"/>
  <c r="Y29" i="44"/>
  <c r="H4" i="30"/>
  <c r="H91" i="30" s="1"/>
  <c r="O84" i="32"/>
  <c r="O96" i="32" s="1"/>
  <c r="H91" i="32"/>
  <c r="AI61" i="35"/>
  <c r="T84" i="30"/>
  <c r="L84" i="30"/>
  <c r="L99" i="30" s="1"/>
  <c r="AG29" i="94"/>
  <c r="AH34" i="94" s="1"/>
  <c r="AG30" i="47" l="1"/>
  <c r="S13" i="34"/>
  <c r="S100" i="34" s="1"/>
  <c r="AJ63" i="9"/>
  <c r="AL33" i="78"/>
  <c r="L104" i="31"/>
  <c r="L101" i="31"/>
  <c r="AC36" i="94"/>
  <c r="AD36" i="94" s="1"/>
  <c r="L106" i="31"/>
  <c r="N104" i="31"/>
  <c r="AL35" i="78"/>
  <c r="AD34" i="94"/>
  <c r="W29" i="84"/>
  <c r="N107" i="31"/>
  <c r="N106" i="31"/>
  <c r="S60" i="9"/>
  <c r="T65" i="9" s="1"/>
  <c r="I107" i="31"/>
  <c r="I101" i="31"/>
  <c r="I102" i="31"/>
  <c r="H103" i="31"/>
  <c r="O112" i="31"/>
  <c r="I108" i="31"/>
  <c r="I104" i="31"/>
  <c r="N68" i="59"/>
  <c r="N69" i="59"/>
  <c r="X20" i="87"/>
  <c r="W20" i="87" s="1"/>
  <c r="W29" i="87" s="1"/>
  <c r="P11" i="31" s="1"/>
  <c r="AN67" i="60"/>
  <c r="H107" i="31"/>
  <c r="M105" i="31"/>
  <c r="W31" i="83"/>
  <c r="X34" i="83" s="1"/>
  <c r="H104" i="31"/>
  <c r="AD66" i="59"/>
  <c r="AN65" i="60"/>
  <c r="K29" i="94"/>
  <c r="L30" i="94" s="1"/>
  <c r="E60" i="9"/>
  <c r="F63" i="9" s="1"/>
  <c r="Q60" i="9"/>
  <c r="M108" i="31"/>
  <c r="M106" i="31"/>
  <c r="M104" i="31"/>
  <c r="AA25" i="84"/>
  <c r="H106" i="31"/>
  <c r="G60" i="9"/>
  <c r="H65" i="9" s="1"/>
  <c r="U44" i="8"/>
  <c r="V47" i="8" s="1"/>
  <c r="L68" i="60"/>
  <c r="H101" i="31"/>
  <c r="M100" i="31"/>
  <c r="H108" i="31"/>
  <c r="M103" i="31"/>
  <c r="M101" i="31"/>
  <c r="AL65" i="48"/>
  <c r="I25" i="84"/>
  <c r="I34" i="84" s="1"/>
  <c r="J34" i="84" s="1"/>
  <c r="S29" i="94"/>
  <c r="T34" i="94" s="1"/>
  <c r="AN69" i="63"/>
  <c r="M102" i="31"/>
  <c r="H100" i="31"/>
  <c r="AI29" i="47"/>
  <c r="AJ33" i="47" s="1"/>
  <c r="Z66" i="59"/>
  <c r="L102" i="31"/>
  <c r="T68" i="63"/>
  <c r="L107" i="31"/>
  <c r="Y71" i="59"/>
  <c r="Z71" i="59" s="1"/>
  <c r="S88" i="34"/>
  <c r="L103" i="31"/>
  <c r="N102" i="31"/>
  <c r="N100" i="31"/>
  <c r="L21" i="86"/>
  <c r="K21" i="86" s="1"/>
  <c r="K30" i="86" s="1"/>
  <c r="J12" i="31" s="1"/>
  <c r="T66" i="63"/>
  <c r="AD30" i="94"/>
  <c r="M60" i="9"/>
  <c r="N64" i="9" s="1"/>
  <c r="AD69" i="53"/>
  <c r="N101" i="31"/>
  <c r="AD33" i="94"/>
  <c r="T69" i="63"/>
  <c r="L100" i="31"/>
  <c r="S16" i="34"/>
  <c r="S103" i="34" s="1"/>
  <c r="N105" i="31"/>
  <c r="AD67" i="53"/>
  <c r="AD65" i="53"/>
  <c r="AB67" i="62"/>
  <c r="N20" i="34"/>
  <c r="N107" i="34" s="1"/>
  <c r="O60" i="9"/>
  <c r="O67" i="9" s="1"/>
  <c r="P67" i="9" s="1"/>
  <c r="J20" i="87"/>
  <c r="I20" i="87" s="1"/>
  <c r="I29" i="87" s="1"/>
  <c r="I11" i="31" s="1"/>
  <c r="R20" i="87"/>
  <c r="Q20" i="87" s="1"/>
  <c r="Q29" i="87" s="1"/>
  <c r="M11" i="31" s="1"/>
  <c r="L20" i="87"/>
  <c r="K20" i="87" s="1"/>
  <c r="K29" i="87" s="1"/>
  <c r="J11" i="31" s="1"/>
  <c r="T20" i="87"/>
  <c r="S20" i="87" s="1"/>
  <c r="S29" i="87" s="1"/>
  <c r="N11" i="31" s="1"/>
  <c r="AJ20" i="87"/>
  <c r="AI20" i="87" s="1"/>
  <c r="AI29" i="87" s="1"/>
  <c r="V11" i="31" s="1"/>
  <c r="V98" i="31" s="1"/>
  <c r="K60" i="9"/>
  <c r="L65" i="9" s="1"/>
  <c r="AN20" i="87"/>
  <c r="AM20" i="87" s="1"/>
  <c r="AM29" i="87" s="1"/>
  <c r="G28" i="86"/>
  <c r="H12" i="33" s="1"/>
  <c r="J79" i="64"/>
  <c r="U26" i="87"/>
  <c r="U27" i="87"/>
  <c r="L33" i="78"/>
  <c r="T76" i="28"/>
  <c r="E30" i="47"/>
  <c r="E70" i="34"/>
  <c r="O55" i="112"/>
  <c r="G31" i="80"/>
  <c r="H60" i="33" s="1"/>
  <c r="G29" i="80"/>
  <c r="H30" i="80" s="1"/>
  <c r="S26" i="84"/>
  <c r="S27" i="84"/>
  <c r="S25" i="84"/>
  <c r="T30" i="84" s="1"/>
  <c r="Q31" i="83"/>
  <c r="R36" i="83" s="1"/>
  <c r="AN24" i="44"/>
  <c r="AM24" i="44" s="1"/>
  <c r="AM33" i="44" s="1"/>
  <c r="AN11" i="85"/>
  <c r="AM11" i="85" s="1"/>
  <c r="AN17" i="85"/>
  <c r="AM17" i="85" s="1"/>
  <c r="AM31" i="85" s="1"/>
  <c r="AF36" i="78"/>
  <c r="T62" i="34"/>
  <c r="X36" i="78"/>
  <c r="P62" i="34"/>
  <c r="AL37" i="78"/>
  <c r="AB33" i="78"/>
  <c r="R62" i="34"/>
  <c r="U31" i="44"/>
  <c r="U30" i="85"/>
  <c r="O10" i="33" s="1"/>
  <c r="S27" i="86"/>
  <c r="X34" i="80"/>
  <c r="P60" i="34"/>
  <c r="Z37" i="78"/>
  <c r="Q62" i="34"/>
  <c r="AL36" i="78"/>
  <c r="N31" i="80"/>
  <c r="K60" i="34"/>
  <c r="V36" i="78"/>
  <c r="O62" i="34"/>
  <c r="AH37" i="78"/>
  <c r="U62" i="34"/>
  <c r="V33" i="80"/>
  <c r="O60" i="34"/>
  <c r="AA27" i="84"/>
  <c r="X10" i="87"/>
  <c r="W10" i="87" s="1"/>
  <c r="W26" i="87" s="1"/>
  <c r="L12" i="83"/>
  <c r="K12" i="83" s="1"/>
  <c r="K33" i="83" s="1"/>
  <c r="J9" i="33" s="1"/>
  <c r="AJ10" i="87"/>
  <c r="AI10" i="87" s="1"/>
  <c r="AN11" i="86"/>
  <c r="AM11" i="86" s="1"/>
  <c r="AM27" i="86" s="1"/>
  <c r="AN23" i="85"/>
  <c r="AM23" i="85" s="1"/>
  <c r="AM32" i="85" s="1"/>
  <c r="AB65" i="60"/>
  <c r="AB68" i="53"/>
  <c r="AB67" i="60"/>
  <c r="N68" i="45"/>
  <c r="N69" i="45"/>
  <c r="K25" i="75"/>
  <c r="L25" i="75" s="1"/>
  <c r="N22" i="43"/>
  <c r="N65" i="52"/>
  <c r="K13" i="34"/>
  <c r="K100" i="34" s="1"/>
  <c r="H65" i="63"/>
  <c r="AN15" i="87"/>
  <c r="AM15" i="87" s="1"/>
  <c r="AM28" i="87" s="1"/>
  <c r="L33" i="79"/>
  <c r="L32" i="79"/>
  <c r="J59" i="33"/>
  <c r="I59" i="33"/>
  <c r="J59" i="34"/>
  <c r="I59" i="34"/>
  <c r="L31" i="79"/>
  <c r="L30" i="79"/>
  <c r="H33" i="79"/>
  <c r="H59" i="34"/>
  <c r="H31" i="79"/>
  <c r="H29" i="79"/>
  <c r="AM31" i="83"/>
  <c r="AM35" i="83"/>
  <c r="AM31" i="47"/>
  <c r="AM30" i="47"/>
  <c r="AM29" i="47"/>
  <c r="AN33" i="47" s="1"/>
  <c r="O33" i="83"/>
  <c r="O32" i="83"/>
  <c r="O31" i="83"/>
  <c r="P36" i="83" s="1"/>
  <c r="AA30" i="86"/>
  <c r="R12" i="31" s="1"/>
  <c r="AA26" i="86"/>
  <c r="AA34" i="86" s="1"/>
  <c r="AB34" i="86" s="1"/>
  <c r="AM33" i="85"/>
  <c r="K59" i="112"/>
  <c r="K54" i="112"/>
  <c r="G54" i="112"/>
  <c r="G59" i="112"/>
  <c r="U59" i="112"/>
  <c r="U54" i="112"/>
  <c r="V58" i="112" s="1"/>
  <c r="I54" i="112"/>
  <c r="I55" i="112"/>
  <c r="I56" i="112"/>
  <c r="AM32" i="50"/>
  <c r="J59" i="112"/>
  <c r="E31" i="47"/>
  <c r="E25" i="84"/>
  <c r="F28" i="84" s="1"/>
  <c r="F33" i="95"/>
  <c r="E81" i="34"/>
  <c r="W24" i="34"/>
  <c r="AH20" i="87"/>
  <c r="AG20" i="87" s="1"/>
  <c r="AG29" i="87" s="1"/>
  <c r="U11" i="31" s="1"/>
  <c r="AM30" i="85"/>
  <c r="AM29" i="85"/>
  <c r="AN21" i="86"/>
  <c r="AM21" i="86" s="1"/>
  <c r="AM30" i="86" s="1"/>
  <c r="AM31" i="86"/>
  <c r="K56" i="112"/>
  <c r="K55" i="112"/>
  <c r="AN19" i="84"/>
  <c r="AM19" i="84" s="1"/>
  <c r="AM29" i="84" s="1"/>
  <c r="AM30" i="87"/>
  <c r="AN10" i="87"/>
  <c r="AM10" i="87" s="1"/>
  <c r="AN10" i="50"/>
  <c r="AM10" i="50" s="1"/>
  <c r="U55" i="112"/>
  <c r="U56" i="112"/>
  <c r="O54" i="112"/>
  <c r="P59" i="112" s="1"/>
  <c r="T63" i="9"/>
  <c r="P34" i="94"/>
  <c r="H34" i="78"/>
  <c r="Z66" i="60"/>
  <c r="L67" i="81"/>
  <c r="J82" i="64"/>
  <c r="F32" i="95"/>
  <c r="H37" i="67"/>
  <c r="E54" i="33"/>
  <c r="E54" i="31"/>
  <c r="E54" i="32"/>
  <c r="E54" i="34"/>
  <c r="T62" i="28" s="1"/>
  <c r="T65" i="28" s="1"/>
  <c r="AA65" i="28" s="1"/>
  <c r="H10" i="87"/>
  <c r="G10" i="87" s="1"/>
  <c r="G27" i="87" s="1"/>
  <c r="Z10" i="50"/>
  <c r="Y10" i="50" s="1"/>
  <c r="Y28" i="50" s="1"/>
  <c r="AN12" i="51"/>
  <c r="AM12" i="51" s="1"/>
  <c r="E54" i="112"/>
  <c r="F59" i="112" s="1"/>
  <c r="E55" i="112"/>
  <c r="E56" i="112"/>
  <c r="AN11" i="44"/>
  <c r="AM11" i="44" s="1"/>
  <c r="AM29" i="44" s="1"/>
  <c r="X4" i="34" s="1"/>
  <c r="M59" i="112"/>
  <c r="M54" i="112"/>
  <c r="N58" i="112" s="1"/>
  <c r="AE59" i="112"/>
  <c r="AE54" i="112"/>
  <c r="Q59" i="112"/>
  <c r="Q54" i="112"/>
  <c r="R58" i="112" s="1"/>
  <c r="AM30" i="84"/>
  <c r="G56" i="112"/>
  <c r="G55" i="112"/>
  <c r="Q56" i="112"/>
  <c r="Q55" i="112"/>
  <c r="AG26" i="88"/>
  <c r="E64" i="34"/>
  <c r="N85" i="34"/>
  <c r="AE24" i="88"/>
  <c r="AF28" i="88" s="1"/>
  <c r="J83" i="64"/>
  <c r="F34" i="95"/>
  <c r="J66" i="53"/>
  <c r="AM32" i="83"/>
  <c r="AM33" i="83"/>
  <c r="M55" i="112"/>
  <c r="M56" i="112"/>
  <c r="AE55" i="112"/>
  <c r="AE56" i="112"/>
  <c r="S59" i="112"/>
  <c r="S54" i="112"/>
  <c r="AN9" i="84"/>
  <c r="AM9" i="84" s="1"/>
  <c r="S56" i="112"/>
  <c r="S55" i="112"/>
  <c r="AN22" i="50"/>
  <c r="AM22" i="50" s="1"/>
  <c r="AM31" i="50" s="1"/>
  <c r="AM14" i="50"/>
  <c r="AN14" i="50" s="1"/>
  <c r="AN13" i="50"/>
  <c r="Y135" i="99"/>
  <c r="Z135" i="99" s="1"/>
  <c r="P36" i="64"/>
  <c r="P43" i="64" s="1"/>
  <c r="O43" i="64" s="1"/>
  <c r="P18" i="34"/>
  <c r="P105" i="34" s="1"/>
  <c r="N18" i="43"/>
  <c r="R10" i="50"/>
  <c r="Q10" i="50" s="1"/>
  <c r="Q28" i="50" s="1"/>
  <c r="AD10" i="87"/>
  <c r="AC10" i="87" s="1"/>
  <c r="AC27" i="87" s="1"/>
  <c r="X67" i="61"/>
  <c r="I28" i="86"/>
  <c r="I12" i="33" s="1"/>
  <c r="I26" i="86"/>
  <c r="J30" i="86" s="1"/>
  <c r="Z66" i="52"/>
  <c r="Y72" i="61"/>
  <c r="Z72" i="61" s="1"/>
  <c r="AA33" i="83"/>
  <c r="F33" i="78"/>
  <c r="AA71" i="62"/>
  <c r="AB71" i="62" s="1"/>
  <c r="P64" i="9"/>
  <c r="AM72" i="60"/>
  <c r="AN72" i="60" s="1"/>
  <c r="F35" i="78"/>
  <c r="P61" i="9"/>
  <c r="N66" i="59"/>
  <c r="Z67" i="61"/>
  <c r="L67" i="60"/>
  <c r="AB69" i="62"/>
  <c r="G24" i="88"/>
  <c r="H21" i="34" s="1"/>
  <c r="AB65" i="62"/>
  <c r="R32" i="95"/>
  <c r="N65" i="59"/>
  <c r="Z68" i="61"/>
  <c r="Q18" i="34"/>
  <c r="Q105" i="34" s="1"/>
  <c r="AE26" i="84"/>
  <c r="AG72" i="53"/>
  <c r="AH72" i="53" s="1"/>
  <c r="F37" i="78"/>
  <c r="P65" i="9"/>
  <c r="AN69" i="60"/>
  <c r="R30" i="95"/>
  <c r="R34" i="95"/>
  <c r="L61" i="9"/>
  <c r="Z65" i="61"/>
  <c r="R31" i="95"/>
  <c r="X17" i="34"/>
  <c r="X104" i="34" s="1"/>
  <c r="G25" i="88"/>
  <c r="N67" i="59"/>
  <c r="AB20" i="87"/>
  <c r="AA20" i="87" s="1"/>
  <c r="AA29" i="87" s="1"/>
  <c r="R11" i="31" s="1"/>
  <c r="X65" i="62"/>
  <c r="AE30" i="47"/>
  <c r="X64" i="9"/>
  <c r="X61" i="9"/>
  <c r="X65" i="9"/>
  <c r="W67" i="9"/>
  <c r="X67" i="9" s="1"/>
  <c r="P85" i="34"/>
  <c r="L20" i="75"/>
  <c r="P12" i="51"/>
  <c r="O12" i="51" s="1"/>
  <c r="F31" i="95"/>
  <c r="L19" i="75"/>
  <c r="R12" i="51"/>
  <c r="Q12" i="51" s="1"/>
  <c r="AH10" i="50"/>
  <c r="AG10" i="50" s="1"/>
  <c r="AG29" i="50" s="1"/>
  <c r="U6" i="33" s="1"/>
  <c r="X12" i="51"/>
  <c r="W12" i="51" s="1"/>
  <c r="W28" i="51" s="1"/>
  <c r="AF12" i="51"/>
  <c r="AE12" i="51" s="1"/>
  <c r="H20" i="87"/>
  <c r="G20" i="87" s="1"/>
  <c r="G29" i="87" s="1"/>
  <c r="H11" i="31" s="1"/>
  <c r="H98" i="31" s="1"/>
  <c r="R10" i="87"/>
  <c r="Q10" i="87" s="1"/>
  <c r="Z20" i="87"/>
  <c r="Y20" i="87" s="1"/>
  <c r="Y29" i="87" s="1"/>
  <c r="Q11" i="31" s="1"/>
  <c r="H20" i="34"/>
  <c r="H107" i="34" s="1"/>
  <c r="L12" i="51"/>
  <c r="K12" i="51" s="1"/>
  <c r="V10" i="50"/>
  <c r="U10" i="50" s="1"/>
  <c r="U28" i="50" s="1"/>
  <c r="AD10" i="50"/>
  <c r="AC10" i="50" s="1"/>
  <c r="AC28" i="50" s="1"/>
  <c r="G62" i="34"/>
  <c r="AE29" i="44"/>
  <c r="AF32" i="44" s="1"/>
  <c r="N20" i="87"/>
  <c r="M20" i="87" s="1"/>
  <c r="M29" i="87" s="1"/>
  <c r="K11" i="31" s="1"/>
  <c r="AD20" i="87"/>
  <c r="AC20" i="87" s="1"/>
  <c r="AC29" i="87" s="1"/>
  <c r="S11" i="31" s="1"/>
  <c r="S98" i="31" s="1"/>
  <c r="G103" i="31"/>
  <c r="G100" i="31"/>
  <c r="G108" i="31"/>
  <c r="G102" i="31"/>
  <c r="G101" i="31"/>
  <c r="G105" i="31"/>
  <c r="G107" i="31"/>
  <c r="G106" i="31"/>
  <c r="G104" i="31"/>
  <c r="V60" i="28"/>
  <c r="X65" i="28"/>
  <c r="W65" i="28"/>
  <c r="U65" i="28"/>
  <c r="V65" i="28"/>
  <c r="U60" i="28"/>
  <c r="N65" i="45"/>
  <c r="AN66" i="62"/>
  <c r="AN67" i="62"/>
  <c r="X69" i="61"/>
  <c r="X68" i="61"/>
  <c r="AB69" i="60"/>
  <c r="AN66" i="63"/>
  <c r="AB66" i="60"/>
  <c r="N66" i="48"/>
  <c r="AB68" i="60"/>
  <c r="AN65" i="63"/>
  <c r="N69" i="52"/>
  <c r="N67" i="45"/>
  <c r="X65" i="61"/>
  <c r="AL18" i="75"/>
  <c r="AN68" i="63"/>
  <c r="AA72" i="60"/>
  <c r="AB72" i="60" s="1"/>
  <c r="F66" i="48"/>
  <c r="X20" i="34"/>
  <c r="X107" i="34" s="1"/>
  <c r="W31" i="28"/>
  <c r="N67" i="52"/>
  <c r="AB67" i="53"/>
  <c r="R16" i="34"/>
  <c r="R103" i="34" s="1"/>
  <c r="AN67" i="63"/>
  <c r="X66" i="61"/>
  <c r="V33" i="28"/>
  <c r="V36" i="28" s="1"/>
  <c r="X58" i="28"/>
  <c r="X59" i="28"/>
  <c r="W58" i="28"/>
  <c r="W59" i="28"/>
  <c r="K72" i="81"/>
  <c r="L72" i="81" s="1"/>
  <c r="E51" i="30"/>
  <c r="E51" i="32"/>
  <c r="E51" i="31"/>
  <c r="E51" i="33"/>
  <c r="N20" i="43"/>
  <c r="N19" i="43"/>
  <c r="K24" i="34"/>
  <c r="N21" i="43"/>
  <c r="U6" i="66"/>
  <c r="V6" i="66" s="1"/>
  <c r="V4" i="66"/>
  <c r="H19" i="43"/>
  <c r="H21" i="43"/>
  <c r="H18" i="43"/>
  <c r="AL22" i="75"/>
  <c r="AL19" i="75"/>
  <c r="AL21" i="75"/>
  <c r="J22" i="34"/>
  <c r="L18" i="75"/>
  <c r="L21" i="75"/>
  <c r="AL20" i="43"/>
  <c r="AL22" i="43"/>
  <c r="AL21" i="43"/>
  <c r="W22" i="33"/>
  <c r="AL19" i="43"/>
  <c r="G24" i="65"/>
  <c r="H24" i="65" s="1"/>
  <c r="L96" i="31"/>
  <c r="Y30" i="85"/>
  <c r="Q10" i="33" s="1"/>
  <c r="Y28" i="85"/>
  <c r="Q10" i="34" s="1"/>
  <c r="Y29" i="85"/>
  <c r="U29" i="50"/>
  <c r="AC29" i="50"/>
  <c r="I27" i="87"/>
  <c r="I11" i="33" s="1"/>
  <c r="I26" i="87"/>
  <c r="O28" i="86"/>
  <c r="L12" i="33" s="1"/>
  <c r="O27" i="86"/>
  <c r="G35" i="83"/>
  <c r="G31" i="83"/>
  <c r="H34" i="83" s="1"/>
  <c r="AI28" i="86"/>
  <c r="V12" i="33" s="1"/>
  <c r="AI27" i="86"/>
  <c r="O30" i="86"/>
  <c r="L12" i="31" s="1"/>
  <c r="L99" i="31" s="1"/>
  <c r="O26" i="86"/>
  <c r="L12" i="34" s="1"/>
  <c r="Q26" i="87"/>
  <c r="V13" i="50"/>
  <c r="U14" i="50"/>
  <c r="V14" i="50" s="1"/>
  <c r="AD12" i="51"/>
  <c r="AC12" i="51" s="1"/>
  <c r="AL12" i="51"/>
  <c r="AK12" i="51" s="1"/>
  <c r="R13" i="50"/>
  <c r="Q14" i="50"/>
  <c r="R14" i="50" s="1"/>
  <c r="Z12" i="51"/>
  <c r="Y12" i="51" s="1"/>
  <c r="L13" i="50"/>
  <c r="K14" i="50"/>
  <c r="L14" i="50" s="1"/>
  <c r="F20" i="87"/>
  <c r="E20" i="87" s="1"/>
  <c r="E29" i="87" s="1"/>
  <c r="G11" i="31" s="1"/>
  <c r="S25" i="87"/>
  <c r="T29" i="87" s="1"/>
  <c r="AK25" i="84"/>
  <c r="AL28" i="84" s="1"/>
  <c r="U31" i="83"/>
  <c r="V36" i="83" s="1"/>
  <c r="K29" i="51"/>
  <c r="J7" i="33" s="1"/>
  <c r="AE26" i="88"/>
  <c r="T21" i="33" s="1"/>
  <c r="N10" i="87"/>
  <c r="M10" i="87" s="1"/>
  <c r="H12" i="51"/>
  <c r="G12" i="51" s="1"/>
  <c r="AF13" i="50"/>
  <c r="AE14" i="50"/>
  <c r="AF14" i="50" s="1"/>
  <c r="V20" i="87"/>
  <c r="U20" i="87" s="1"/>
  <c r="AD13" i="50"/>
  <c r="AC14" i="50"/>
  <c r="AD14" i="50" s="1"/>
  <c r="AL10" i="50"/>
  <c r="AK10" i="50" s="1"/>
  <c r="X13" i="50"/>
  <c r="W14" i="50"/>
  <c r="X14" i="50" s="1"/>
  <c r="J13" i="50"/>
  <c r="I14" i="50"/>
  <c r="J14" i="50" s="1"/>
  <c r="Z10" i="87"/>
  <c r="Y10" i="87" s="1"/>
  <c r="L26" i="83"/>
  <c r="K26" i="83" s="1"/>
  <c r="K35" i="83" s="1"/>
  <c r="J9" i="31" s="1"/>
  <c r="AJ12" i="51"/>
  <c r="AI12" i="51" s="1"/>
  <c r="F13" i="50"/>
  <c r="E14" i="50"/>
  <c r="F14" i="50" s="1"/>
  <c r="N10" i="50"/>
  <c r="M10" i="50" s="1"/>
  <c r="O32" i="68"/>
  <c r="L61" i="33" s="1"/>
  <c r="H13" i="50"/>
  <c r="G14" i="50"/>
  <c r="H14" i="50" s="1"/>
  <c r="AL13" i="50"/>
  <c r="AK14" i="50"/>
  <c r="AL14" i="50" s="1"/>
  <c r="F12" i="51"/>
  <c r="E12" i="51" s="1"/>
  <c r="Z13" i="50"/>
  <c r="Y14" i="50"/>
  <c r="Z14" i="50" s="1"/>
  <c r="N13" i="50"/>
  <c r="M14" i="50"/>
  <c r="N14" i="50" s="1"/>
  <c r="V12" i="51"/>
  <c r="U12" i="51" s="1"/>
  <c r="I31" i="83"/>
  <c r="J36" i="83" s="1"/>
  <c r="AA28" i="85"/>
  <c r="AB31" i="85" s="1"/>
  <c r="AH13" i="50"/>
  <c r="AG14" i="50"/>
  <c r="AH14" i="50" s="1"/>
  <c r="AB13" i="50"/>
  <c r="AA14" i="50"/>
  <c r="AB14" i="50" s="1"/>
  <c r="AJ13" i="50"/>
  <c r="AI14" i="50"/>
  <c r="AJ14" i="50" s="1"/>
  <c r="P13" i="50"/>
  <c r="O14" i="50"/>
  <c r="P14" i="50" s="1"/>
  <c r="J12" i="51"/>
  <c r="I12" i="51" s="1"/>
  <c r="AL20" i="87"/>
  <c r="AK20" i="87" s="1"/>
  <c r="AK29" i="87" s="1"/>
  <c r="W11" i="31" s="1"/>
  <c r="AH12" i="51"/>
  <c r="AG12" i="51" s="1"/>
  <c r="T12" i="51"/>
  <c r="S12" i="51" s="1"/>
  <c r="AB12" i="51"/>
  <c r="AA12" i="51" s="1"/>
  <c r="N12" i="51"/>
  <c r="M12" i="51" s="1"/>
  <c r="T13" i="50"/>
  <c r="S14" i="50"/>
  <c r="T14" i="50" s="1"/>
  <c r="H33" i="78"/>
  <c r="H36" i="78"/>
  <c r="H37" i="78"/>
  <c r="L66" i="81"/>
  <c r="T65" i="63"/>
  <c r="AJ66" i="61"/>
  <c r="AN69" i="61"/>
  <c r="AH68" i="53"/>
  <c r="U16" i="34"/>
  <c r="U103" i="34" s="1"/>
  <c r="AH66" i="53"/>
  <c r="R65" i="53"/>
  <c r="AD66" i="53"/>
  <c r="AH69" i="53"/>
  <c r="AH65" i="52"/>
  <c r="S28" i="50"/>
  <c r="N66" i="52"/>
  <c r="T64" i="9"/>
  <c r="S67" i="9"/>
  <c r="T67" i="9" s="1"/>
  <c r="T61" i="9"/>
  <c r="AJ65" i="45"/>
  <c r="K67" i="9"/>
  <c r="L67" i="9" s="1"/>
  <c r="AB68" i="62"/>
  <c r="H20" i="43"/>
  <c r="H24" i="34"/>
  <c r="S29" i="44"/>
  <c r="T32" i="44" s="1"/>
  <c r="G24" i="43"/>
  <c r="H24" i="43" s="1"/>
  <c r="W25" i="75"/>
  <c r="X25" i="75" s="1"/>
  <c r="K15" i="34"/>
  <c r="K102" i="34" s="1"/>
  <c r="N68" i="52"/>
  <c r="Z65" i="59"/>
  <c r="AA32" i="83"/>
  <c r="J65" i="48"/>
  <c r="H62" i="34"/>
  <c r="AH65" i="53"/>
  <c r="Y137" i="99"/>
  <c r="Z137" i="99" s="1"/>
  <c r="W79" i="28"/>
  <c r="O62" i="64"/>
  <c r="O72" i="64"/>
  <c r="P72" i="64" s="1"/>
  <c r="O61" i="64"/>
  <c r="P61" i="64" s="1"/>
  <c r="N67" i="48"/>
  <c r="H83" i="64"/>
  <c r="AA29" i="50"/>
  <c r="R6" i="33" s="1"/>
  <c r="R66" i="59"/>
  <c r="V64" i="9"/>
  <c r="Q71" i="59"/>
  <c r="R71" i="59" s="1"/>
  <c r="H30" i="95"/>
  <c r="V65" i="9"/>
  <c r="V61" i="9"/>
  <c r="H31" i="95"/>
  <c r="AK29" i="44"/>
  <c r="AL30" i="44" s="1"/>
  <c r="AC31" i="47"/>
  <c r="V63" i="9"/>
  <c r="AH66" i="59"/>
  <c r="E65" i="34"/>
  <c r="AH68" i="59"/>
  <c r="F36" i="67"/>
  <c r="AH69" i="59"/>
  <c r="AH67" i="59"/>
  <c r="X68" i="62"/>
  <c r="P19" i="34"/>
  <c r="P106" i="34" s="1"/>
  <c r="P30" i="94"/>
  <c r="F67" i="48"/>
  <c r="AN66" i="61"/>
  <c r="AE29" i="47"/>
  <c r="AF32" i="47" s="1"/>
  <c r="N17" i="34"/>
  <c r="N104" i="34" s="1"/>
  <c r="AD68" i="59"/>
  <c r="AD65" i="45"/>
  <c r="AD68" i="45"/>
  <c r="V69" i="53"/>
  <c r="V35" i="78"/>
  <c r="L32" i="80"/>
  <c r="L69" i="81"/>
  <c r="V37" i="78"/>
  <c r="AD67" i="59"/>
  <c r="F68" i="48"/>
  <c r="Q29" i="44"/>
  <c r="R32" i="44" s="1"/>
  <c r="AL69" i="52"/>
  <c r="V68" i="53"/>
  <c r="AJ61" i="9"/>
  <c r="AD65" i="59"/>
  <c r="S25" i="88"/>
  <c r="AJ64" i="9"/>
  <c r="O16" i="34"/>
  <c r="O103" i="34" s="1"/>
  <c r="S24" i="88"/>
  <c r="T29" i="88" s="1"/>
  <c r="I28" i="85"/>
  <c r="J29" i="85" s="1"/>
  <c r="AD69" i="59"/>
  <c r="AN65" i="61"/>
  <c r="V65" i="63"/>
  <c r="E29" i="85"/>
  <c r="R65" i="61"/>
  <c r="AI36" i="94"/>
  <c r="AJ36" i="94" s="1"/>
  <c r="L88" i="34"/>
  <c r="AN67" i="61"/>
  <c r="AJ65" i="9"/>
  <c r="P32" i="94"/>
  <c r="R69" i="59"/>
  <c r="AB65" i="59"/>
  <c r="R65" i="59"/>
  <c r="L68" i="81"/>
  <c r="AJ31" i="94"/>
  <c r="F69" i="48"/>
  <c r="AJ66" i="63"/>
  <c r="P33" i="94"/>
  <c r="AN68" i="61"/>
  <c r="AH65" i="59"/>
  <c r="V66" i="53"/>
  <c r="R69" i="53"/>
  <c r="V67" i="53"/>
  <c r="R68" i="59"/>
  <c r="H32" i="95"/>
  <c r="AJ34" i="94"/>
  <c r="F65" i="48"/>
  <c r="AC72" i="45"/>
  <c r="AD72" i="45" s="1"/>
  <c r="O85" i="34"/>
  <c r="P20" i="34"/>
  <c r="P107" i="34" s="1"/>
  <c r="X18" i="34"/>
  <c r="X105" i="34" s="1"/>
  <c r="L65" i="81"/>
  <c r="V33" i="78"/>
  <c r="H33" i="95"/>
  <c r="V85" i="34"/>
  <c r="G14" i="34"/>
  <c r="G101" i="34" s="1"/>
  <c r="AL67" i="52"/>
  <c r="X37" i="78"/>
  <c r="J65" i="61"/>
  <c r="W14" i="34"/>
  <c r="W101" i="34" s="1"/>
  <c r="L65" i="60"/>
  <c r="I24" i="88"/>
  <c r="J28" i="88" s="1"/>
  <c r="Q16" i="34"/>
  <c r="Q103" i="34" s="1"/>
  <c r="V32" i="28"/>
  <c r="I72" i="61"/>
  <c r="J72" i="61" s="1"/>
  <c r="G86" i="64"/>
  <c r="H86" i="64" s="1"/>
  <c r="AH66" i="61"/>
  <c r="AJ66" i="53"/>
  <c r="H34" i="80"/>
  <c r="AH69" i="61"/>
  <c r="L66" i="60"/>
  <c r="Z69" i="53"/>
  <c r="L65" i="63"/>
  <c r="F32" i="47"/>
  <c r="K16" i="34"/>
  <c r="K103" i="34" s="1"/>
  <c r="L19" i="43"/>
  <c r="AL69" i="48"/>
  <c r="L69" i="63"/>
  <c r="AG30" i="44"/>
  <c r="AN68" i="62"/>
  <c r="K72" i="63"/>
  <c r="L72" i="63" s="1"/>
  <c r="I18" i="34"/>
  <c r="I105" i="34" s="1"/>
  <c r="AH65" i="61"/>
  <c r="E80" i="34"/>
  <c r="Q33" i="83"/>
  <c r="R33" i="83" s="1"/>
  <c r="AK31" i="47"/>
  <c r="AH68" i="61"/>
  <c r="L69" i="60"/>
  <c r="AL67" i="48"/>
  <c r="AL68" i="48"/>
  <c r="F33" i="47"/>
  <c r="X69" i="62"/>
  <c r="N67" i="53"/>
  <c r="X19" i="34"/>
  <c r="X106" i="34" s="1"/>
  <c r="AB36" i="83"/>
  <c r="AN69" i="62"/>
  <c r="J20" i="34"/>
  <c r="J107" i="34" s="1"/>
  <c r="X66" i="62"/>
  <c r="G25" i="84"/>
  <c r="H30" i="84" s="1"/>
  <c r="H81" i="64"/>
  <c r="Z66" i="53"/>
  <c r="J69" i="61"/>
  <c r="J68" i="61"/>
  <c r="J17" i="34"/>
  <c r="J104" i="34" s="1"/>
  <c r="G5" i="34"/>
  <c r="AL66" i="48"/>
  <c r="O31" i="47"/>
  <c r="L5" i="33" s="1"/>
  <c r="AG72" i="61"/>
  <c r="AH72" i="61" s="1"/>
  <c r="L66" i="63"/>
  <c r="F30" i="47"/>
  <c r="F34" i="47"/>
  <c r="W33" i="83"/>
  <c r="X33" i="83" s="1"/>
  <c r="Z68" i="53"/>
  <c r="U18" i="34"/>
  <c r="U105" i="34" s="1"/>
  <c r="P69" i="63"/>
  <c r="H79" i="64"/>
  <c r="AG29" i="44"/>
  <c r="AH31" i="44" s="1"/>
  <c r="Y72" i="53"/>
  <c r="Z72" i="53" s="1"/>
  <c r="Q72" i="61"/>
  <c r="R72" i="61" s="1"/>
  <c r="AB66" i="45"/>
  <c r="J32" i="79"/>
  <c r="J30" i="79"/>
  <c r="AG32" i="83"/>
  <c r="AE32" i="83"/>
  <c r="I27" i="86"/>
  <c r="J27" i="86" s="1"/>
  <c r="L68" i="63"/>
  <c r="X67" i="62"/>
  <c r="AA39" i="83"/>
  <c r="AB39" i="83" s="1"/>
  <c r="Z65" i="53"/>
  <c r="L65" i="52"/>
  <c r="AK27" i="87"/>
  <c r="W11" i="33" s="1"/>
  <c r="X25" i="28"/>
  <c r="J29" i="79"/>
  <c r="V18" i="75"/>
  <c r="AH66" i="60"/>
  <c r="E72" i="52"/>
  <c r="F72" i="52" s="1"/>
  <c r="AC58" i="35"/>
  <c r="S84" i="33" s="1"/>
  <c r="M26" i="88"/>
  <c r="K21" i="33" s="1"/>
  <c r="N67" i="60"/>
  <c r="G15" i="34"/>
  <c r="G102" i="34" s="1"/>
  <c r="AH68" i="60"/>
  <c r="H33" i="80"/>
  <c r="AH69" i="60"/>
  <c r="AI73" i="48"/>
  <c r="AJ73" i="48" s="1"/>
  <c r="AC27" i="86"/>
  <c r="Y31" i="47"/>
  <c r="I30" i="44"/>
  <c r="F65" i="52"/>
  <c r="F68" i="52"/>
  <c r="F66" i="52"/>
  <c r="AC26" i="86"/>
  <c r="AD28" i="86" s="1"/>
  <c r="AJ69" i="48"/>
  <c r="AH67" i="60"/>
  <c r="AJ66" i="48"/>
  <c r="AH65" i="60"/>
  <c r="M24" i="88"/>
  <c r="N29" i="88" s="1"/>
  <c r="N68" i="60"/>
  <c r="AA24" i="88"/>
  <c r="AB29" i="88" s="1"/>
  <c r="Y26" i="84"/>
  <c r="F69" i="52"/>
  <c r="AF67" i="62"/>
  <c r="O24" i="34"/>
  <c r="V25" i="28"/>
  <c r="H20" i="75"/>
  <c r="V51" i="28"/>
  <c r="V55" i="28" s="1"/>
  <c r="T69" i="53"/>
  <c r="X21" i="75"/>
  <c r="X33" i="78"/>
  <c r="I72" i="53"/>
  <c r="J72" i="53" s="1"/>
  <c r="X20" i="75"/>
  <c r="N30" i="95"/>
  <c r="G15" i="33"/>
  <c r="G32" i="83"/>
  <c r="T68" i="53"/>
  <c r="H21" i="75"/>
  <c r="H69" i="63"/>
  <c r="H19" i="75"/>
  <c r="H22" i="75"/>
  <c r="V20" i="75"/>
  <c r="H66" i="63"/>
  <c r="N16" i="34"/>
  <c r="N103" i="34" s="1"/>
  <c r="X22" i="75"/>
  <c r="X18" i="75"/>
  <c r="J65" i="53"/>
  <c r="I16" i="34"/>
  <c r="I103" i="34" s="1"/>
  <c r="AC31" i="44"/>
  <c r="S4" i="33" s="1"/>
  <c r="L66" i="59"/>
  <c r="N66" i="60"/>
  <c r="AE29" i="85"/>
  <c r="G29" i="85"/>
  <c r="V21" i="75"/>
  <c r="T65" i="53"/>
  <c r="J69" i="53"/>
  <c r="AJ67" i="60"/>
  <c r="H22" i="34"/>
  <c r="H18" i="75"/>
  <c r="O26" i="88"/>
  <c r="L21" i="33" s="1"/>
  <c r="S72" i="53"/>
  <c r="T72" i="53" s="1"/>
  <c r="AC29" i="44"/>
  <c r="AD34" i="44" s="1"/>
  <c r="S72" i="60"/>
  <c r="T72" i="60" s="1"/>
  <c r="T67" i="53"/>
  <c r="H68" i="63"/>
  <c r="X35" i="78"/>
  <c r="E28" i="85"/>
  <c r="F31" i="85" s="1"/>
  <c r="AE28" i="85"/>
  <c r="AF31" i="85" s="1"/>
  <c r="G28" i="85"/>
  <c r="H32" i="85" s="1"/>
  <c r="J66" i="61"/>
  <c r="Q32" i="83"/>
  <c r="R32" i="83" s="1"/>
  <c r="U24" i="88"/>
  <c r="V29" i="88" s="1"/>
  <c r="H67" i="63"/>
  <c r="J67" i="53"/>
  <c r="P34" i="95"/>
  <c r="AJ69" i="63"/>
  <c r="AF35" i="78"/>
  <c r="AJ68" i="63"/>
  <c r="V20" i="43"/>
  <c r="AI72" i="63"/>
  <c r="AJ72" i="63" s="1"/>
  <c r="AF65" i="45"/>
  <c r="V20" i="34"/>
  <c r="V107" i="34" s="1"/>
  <c r="AF69" i="62"/>
  <c r="V32" i="80"/>
  <c r="L32" i="44"/>
  <c r="P66" i="48"/>
  <c r="H69" i="62"/>
  <c r="W22" i="34"/>
  <c r="AJ65" i="63"/>
  <c r="E36" i="33"/>
  <c r="H32" i="47"/>
  <c r="AF37" i="78"/>
  <c r="V22" i="43"/>
  <c r="E36" i="30"/>
  <c r="V18" i="43"/>
  <c r="AF33" i="78"/>
  <c r="I33" i="83"/>
  <c r="U28" i="85"/>
  <c r="V33" i="85" s="1"/>
  <c r="I30" i="85"/>
  <c r="I10" i="33" s="1"/>
  <c r="W15" i="34"/>
  <c r="W102" i="34" s="1"/>
  <c r="V65" i="53"/>
  <c r="AL68" i="52"/>
  <c r="AL65" i="52"/>
  <c r="AL66" i="52"/>
  <c r="X75" i="28"/>
  <c r="X79" i="28" s="1"/>
  <c r="O110" i="33"/>
  <c r="T94" i="32"/>
  <c r="L94" i="32"/>
  <c r="O94" i="32"/>
  <c r="G94" i="32"/>
  <c r="Q94" i="32"/>
  <c r="W94" i="32"/>
  <c r="I36" i="94"/>
  <c r="J36" i="94" s="1"/>
  <c r="K112" i="33"/>
  <c r="Y29" i="47"/>
  <c r="Z34" i="47" s="1"/>
  <c r="AK25" i="75"/>
  <c r="AL25" i="75" s="1"/>
  <c r="O30" i="47"/>
  <c r="P30" i="47" s="1"/>
  <c r="G32" i="68"/>
  <c r="H61" i="33" s="1"/>
  <c r="AI30" i="47"/>
  <c r="L83" i="64"/>
  <c r="Q31" i="47"/>
  <c r="M5" i="33" s="1"/>
  <c r="AJ30" i="94"/>
  <c r="AI26" i="87"/>
  <c r="W26" i="86"/>
  <c r="X29" i="86" s="1"/>
  <c r="Q28" i="85"/>
  <c r="R30" i="85" s="1"/>
  <c r="L31" i="44"/>
  <c r="M32" i="83"/>
  <c r="U25" i="88"/>
  <c r="K27" i="87"/>
  <c r="M31" i="83"/>
  <c r="N36" i="83" s="1"/>
  <c r="AN65" i="62"/>
  <c r="AI29" i="44"/>
  <c r="AJ32" i="44" s="1"/>
  <c r="J4" i="33"/>
  <c r="AB68" i="59"/>
  <c r="AB69" i="59"/>
  <c r="H68" i="62"/>
  <c r="H66" i="62"/>
  <c r="AF68" i="61"/>
  <c r="J66" i="81"/>
  <c r="J69" i="81"/>
  <c r="L30" i="44"/>
  <c r="AJ66" i="59"/>
  <c r="H67" i="62"/>
  <c r="V65" i="48"/>
  <c r="H65" i="62"/>
  <c r="L68" i="48"/>
  <c r="Q105" i="33"/>
  <c r="I31" i="47"/>
  <c r="V19" i="43"/>
  <c r="S31" i="83"/>
  <c r="T35" i="83" s="1"/>
  <c r="V69" i="48"/>
  <c r="R67" i="61"/>
  <c r="H19" i="34"/>
  <c r="H106" i="34" s="1"/>
  <c r="U27" i="86"/>
  <c r="AA26" i="88"/>
  <c r="AC26" i="88"/>
  <c r="S21" i="33" s="1"/>
  <c r="E27" i="87"/>
  <c r="G11" i="33" s="1"/>
  <c r="P30" i="95"/>
  <c r="AD68" i="48"/>
  <c r="W28" i="86"/>
  <c r="P12" i="33" s="1"/>
  <c r="N65" i="48"/>
  <c r="T66" i="62"/>
  <c r="J67" i="81"/>
  <c r="AB67" i="59"/>
  <c r="AJ68" i="59"/>
  <c r="U26" i="86"/>
  <c r="V29" i="86" s="1"/>
  <c r="AF66" i="62"/>
  <c r="R69" i="61"/>
  <c r="P31" i="95"/>
  <c r="O14" i="34"/>
  <c r="O101" i="34" s="1"/>
  <c r="L33" i="44"/>
  <c r="AG31" i="83"/>
  <c r="AH35" i="83" s="1"/>
  <c r="AD66" i="48"/>
  <c r="AB66" i="59"/>
  <c r="I29" i="47"/>
  <c r="J32" i="47" s="1"/>
  <c r="AD66" i="52"/>
  <c r="AJ65" i="59"/>
  <c r="M18" i="34"/>
  <c r="M105" i="34" s="1"/>
  <c r="AD69" i="48"/>
  <c r="I29" i="44"/>
  <c r="I4" i="34" s="1"/>
  <c r="AC24" i="88"/>
  <c r="AD27" i="88" s="1"/>
  <c r="M28" i="85"/>
  <c r="N33" i="85" s="1"/>
  <c r="AF68" i="62"/>
  <c r="Z66" i="61"/>
  <c r="AF65" i="62"/>
  <c r="P33" i="95"/>
  <c r="E69" i="34"/>
  <c r="T19" i="34"/>
  <c r="T106" i="34" s="1"/>
  <c r="J31" i="79"/>
  <c r="V30" i="28"/>
  <c r="X45" i="8"/>
  <c r="W33" i="44"/>
  <c r="U99" i="31"/>
  <c r="P94" i="30"/>
  <c r="H94" i="31"/>
  <c r="U92" i="31"/>
  <c r="U98" i="31"/>
  <c r="J30" i="94"/>
  <c r="U93" i="31"/>
  <c r="AD65" i="48"/>
  <c r="N45" i="8"/>
  <c r="AH33" i="47"/>
  <c r="W28" i="85"/>
  <c r="W38" i="85" s="1"/>
  <c r="X38" i="85" s="1"/>
  <c r="N66" i="53"/>
  <c r="P66" i="62"/>
  <c r="S32" i="68"/>
  <c r="N61" i="33" s="1"/>
  <c r="N46" i="8"/>
  <c r="L67" i="59"/>
  <c r="AC33" i="83"/>
  <c r="S9" i="33" s="1"/>
  <c r="X21" i="43"/>
  <c r="E29" i="50"/>
  <c r="G6" i="33" s="1"/>
  <c r="M26" i="86"/>
  <c r="N28" i="86" s="1"/>
  <c r="AJ67" i="53"/>
  <c r="N69" i="53"/>
  <c r="AJ68" i="48"/>
  <c r="P65" i="63"/>
  <c r="V30" i="80"/>
  <c r="AJ32" i="94"/>
  <c r="AD69" i="52"/>
  <c r="L33" i="80"/>
  <c r="AI37" i="47"/>
  <c r="AJ37" i="47" s="1"/>
  <c r="Q29" i="50"/>
  <c r="M6" i="33" s="1"/>
  <c r="V34" i="80"/>
  <c r="J36" i="67"/>
  <c r="X52" i="8"/>
  <c r="V22" i="75"/>
  <c r="V88" i="34"/>
  <c r="X48" i="8"/>
  <c r="AD67" i="52"/>
  <c r="V66" i="59"/>
  <c r="P68" i="62"/>
  <c r="AF34" i="78"/>
  <c r="AJ33" i="78"/>
  <c r="AI31" i="47"/>
  <c r="O28" i="50"/>
  <c r="V14" i="34"/>
  <c r="V101" i="34" s="1"/>
  <c r="J16" i="34"/>
  <c r="J103" i="34" s="1"/>
  <c r="Q27" i="84"/>
  <c r="M8" i="33" s="1"/>
  <c r="O27" i="87"/>
  <c r="L11" i="33" s="1"/>
  <c r="M27" i="86"/>
  <c r="Q26" i="88"/>
  <c r="M21" i="33" s="1"/>
  <c r="N33" i="80"/>
  <c r="N68" i="48"/>
  <c r="T65" i="60"/>
  <c r="O22" i="34"/>
  <c r="X18" i="43"/>
  <c r="P110" i="34"/>
  <c r="Q31" i="44"/>
  <c r="M4" i="33" s="1"/>
  <c r="F65" i="53"/>
  <c r="O25" i="88"/>
  <c r="P25" i="88" s="1"/>
  <c r="N47" i="8"/>
  <c r="N65" i="53"/>
  <c r="X65" i="60"/>
  <c r="V19" i="75"/>
  <c r="O28" i="85"/>
  <c r="P31" i="85" s="1"/>
  <c r="AJ69" i="53"/>
  <c r="P67" i="63"/>
  <c r="AM24" i="88"/>
  <c r="Q25" i="88"/>
  <c r="X22" i="43"/>
  <c r="W32" i="83"/>
  <c r="H68" i="61"/>
  <c r="P66" i="63"/>
  <c r="N65" i="60"/>
  <c r="T66" i="60"/>
  <c r="AA72" i="53"/>
  <c r="AB72" i="53" s="1"/>
  <c r="N69" i="60"/>
  <c r="U17" i="34"/>
  <c r="U104" i="34" s="1"/>
  <c r="V5" i="34"/>
  <c r="P68" i="63"/>
  <c r="X47" i="8"/>
  <c r="X30" i="94"/>
  <c r="W51" i="8"/>
  <c r="X51" i="8" s="1"/>
  <c r="N68" i="53"/>
  <c r="V66" i="60"/>
  <c r="N30" i="80"/>
  <c r="S26" i="87"/>
  <c r="L66" i="53"/>
  <c r="W24" i="88"/>
  <c r="X29" i="88" s="1"/>
  <c r="M30" i="47"/>
  <c r="W30" i="85"/>
  <c r="P10" i="33" s="1"/>
  <c r="V31" i="80"/>
  <c r="N69" i="48"/>
  <c r="AB69" i="53"/>
  <c r="T69" i="60"/>
  <c r="T68" i="60"/>
  <c r="K14" i="34"/>
  <c r="K101" i="34" s="1"/>
  <c r="AB65" i="53"/>
  <c r="K32" i="83"/>
  <c r="AD65" i="52"/>
  <c r="P112" i="34"/>
  <c r="U32" i="83"/>
  <c r="AC29" i="47"/>
  <c r="AD32" i="47" s="1"/>
  <c r="AB32" i="83"/>
  <c r="U96" i="31"/>
  <c r="R65" i="52"/>
  <c r="I25" i="88"/>
  <c r="AK28" i="86"/>
  <c r="W12" i="33" s="1"/>
  <c r="G26" i="84"/>
  <c r="AG28" i="85"/>
  <c r="AH31" i="85" s="1"/>
  <c r="AJ67" i="59"/>
  <c r="AJ68" i="53"/>
  <c r="V67" i="48"/>
  <c r="J31" i="95"/>
  <c r="U33" i="83"/>
  <c r="L65" i="59"/>
  <c r="L69" i="59"/>
  <c r="E26" i="86"/>
  <c r="F29" i="86" s="1"/>
  <c r="AK26" i="86"/>
  <c r="W12" i="34" s="1"/>
  <c r="AL66" i="53"/>
  <c r="AB34" i="83"/>
  <c r="O33" i="44"/>
  <c r="P33" i="44" s="1"/>
  <c r="AK24" i="88"/>
  <c r="AL29" i="88" s="1"/>
  <c r="Q29" i="47"/>
  <c r="R33" i="47" s="1"/>
  <c r="E27" i="86"/>
  <c r="AK29" i="47"/>
  <c r="AL34" i="47" s="1"/>
  <c r="N34" i="80"/>
  <c r="AG29" i="85"/>
  <c r="V16" i="34"/>
  <c r="V103" i="34" s="1"/>
  <c r="P110" i="33"/>
  <c r="AJ65" i="53"/>
  <c r="U94" i="31"/>
  <c r="L68" i="59"/>
  <c r="X49" i="8"/>
  <c r="AB35" i="83"/>
  <c r="AC31" i="83"/>
  <c r="AC39" i="83" s="1"/>
  <c r="AD39" i="83" s="1"/>
  <c r="Y27" i="86"/>
  <c r="I32" i="83"/>
  <c r="AJ69" i="59"/>
  <c r="V68" i="48"/>
  <c r="N32" i="80"/>
  <c r="L20" i="34"/>
  <c r="L107" i="34" s="1"/>
  <c r="X20" i="43"/>
  <c r="X46" i="8"/>
  <c r="Y57" i="35"/>
  <c r="Y58" i="35"/>
  <c r="J34" i="94"/>
  <c r="R68" i="53"/>
  <c r="AF69" i="63"/>
  <c r="H35" i="67"/>
  <c r="E66" i="33"/>
  <c r="J32" i="94"/>
  <c r="AI29" i="50"/>
  <c r="V6" i="33" s="1"/>
  <c r="AK31" i="83"/>
  <c r="AL35" i="83" s="1"/>
  <c r="L68" i="53"/>
  <c r="X66" i="63"/>
  <c r="O15" i="34"/>
  <c r="O102" i="34" s="1"/>
  <c r="AH61" i="9"/>
  <c r="L67" i="53"/>
  <c r="R20" i="34"/>
  <c r="R107" i="34" s="1"/>
  <c r="L69" i="53"/>
  <c r="X69" i="63"/>
  <c r="G28" i="50"/>
  <c r="Q72" i="53"/>
  <c r="R72" i="53" s="1"/>
  <c r="L66" i="45"/>
  <c r="E33" i="83"/>
  <c r="G9" i="33" s="1"/>
  <c r="AK32" i="83"/>
  <c r="K24" i="88"/>
  <c r="L25" i="88" s="1"/>
  <c r="O30" i="85"/>
  <c r="AK31" i="44"/>
  <c r="W4" i="33" s="1"/>
  <c r="H69" i="61"/>
  <c r="J32" i="95"/>
  <c r="X68" i="63"/>
  <c r="X67" i="63"/>
  <c r="X19" i="43"/>
  <c r="K26" i="88"/>
  <c r="J21" i="33" s="1"/>
  <c r="AE31" i="44"/>
  <c r="T4" i="33" s="1"/>
  <c r="AF65" i="63"/>
  <c r="AG25" i="88"/>
  <c r="AH25" i="88" s="1"/>
  <c r="T33" i="78"/>
  <c r="AF67" i="63"/>
  <c r="X65" i="63"/>
  <c r="H65" i="81"/>
  <c r="J34" i="95"/>
  <c r="G29" i="50"/>
  <c r="M16" i="34"/>
  <c r="M103" i="34" s="1"/>
  <c r="M29" i="47"/>
  <c r="K5" i="34" s="1"/>
  <c r="AE31" i="83"/>
  <c r="AF33" i="83" s="1"/>
  <c r="H69" i="81"/>
  <c r="V65" i="52"/>
  <c r="AE30" i="44"/>
  <c r="AF30" i="44" s="1"/>
  <c r="Y26" i="86"/>
  <c r="Z28" i="86" s="1"/>
  <c r="H39" i="67"/>
  <c r="AB66" i="63"/>
  <c r="V67" i="52"/>
  <c r="AB69" i="63"/>
  <c r="R67" i="53"/>
  <c r="AF68" i="63"/>
  <c r="J33" i="94"/>
  <c r="U72" i="52"/>
  <c r="V72" i="52" s="1"/>
  <c r="AF66" i="63"/>
  <c r="V69" i="52"/>
  <c r="AA72" i="63"/>
  <c r="AB72" i="63" s="1"/>
  <c r="R66" i="53"/>
  <c r="V66" i="52"/>
  <c r="H68" i="81"/>
  <c r="J30" i="95"/>
  <c r="H38" i="67"/>
  <c r="T20" i="34"/>
  <c r="T107" i="34" s="1"/>
  <c r="M58" i="35"/>
  <c r="K84" i="33" s="1"/>
  <c r="E31" i="83"/>
  <c r="G9" i="34" s="1"/>
  <c r="AI24" i="88"/>
  <c r="AJ25" i="88" s="1"/>
  <c r="H67" i="81"/>
  <c r="E66" i="34"/>
  <c r="H66" i="81"/>
  <c r="AK57" i="35"/>
  <c r="AK58" i="35"/>
  <c r="W84" i="33" s="1"/>
  <c r="AG58" i="35"/>
  <c r="AG57" i="35"/>
  <c r="AG56" i="35"/>
  <c r="AH64" i="35" s="1"/>
  <c r="AE28" i="86"/>
  <c r="T12" i="33" s="1"/>
  <c r="L79" i="64"/>
  <c r="E58" i="35"/>
  <c r="E57" i="35"/>
  <c r="M29" i="85"/>
  <c r="L82" i="64"/>
  <c r="L81" i="64"/>
  <c r="L80" i="64"/>
  <c r="AC73" i="48"/>
  <c r="AD73" i="48" s="1"/>
  <c r="S14" i="34"/>
  <c r="S101" i="34" s="1"/>
  <c r="K57" i="35"/>
  <c r="AA57" i="35"/>
  <c r="P95" i="30"/>
  <c r="O58" i="35"/>
  <c r="L84" i="33" s="1"/>
  <c r="AE58" i="35"/>
  <c r="T84" i="33" s="1"/>
  <c r="S32" i="83"/>
  <c r="E68" i="34"/>
  <c r="W25" i="28"/>
  <c r="F66" i="59"/>
  <c r="AI26" i="88"/>
  <c r="V21" i="33" s="1"/>
  <c r="AB65" i="61"/>
  <c r="X68" i="60"/>
  <c r="R30" i="44"/>
  <c r="I17" i="34"/>
  <c r="I104" i="34" s="1"/>
  <c r="S27" i="87"/>
  <c r="N11" i="33" s="1"/>
  <c r="W27" i="87"/>
  <c r="P11" i="33" s="1"/>
  <c r="AL69" i="53"/>
  <c r="AL67" i="53"/>
  <c r="AI26" i="86"/>
  <c r="AL65" i="53"/>
  <c r="AB69" i="52"/>
  <c r="AF66" i="61"/>
  <c r="AC56" i="35"/>
  <c r="AD64" i="35" s="1"/>
  <c r="AF69" i="61"/>
  <c r="P69" i="62"/>
  <c r="P92" i="30"/>
  <c r="T18" i="34"/>
  <c r="T105" i="34" s="1"/>
  <c r="L30" i="80"/>
  <c r="AF67" i="61"/>
  <c r="L67" i="48"/>
  <c r="L34" i="80"/>
  <c r="H65" i="45"/>
  <c r="AB68" i="63"/>
  <c r="V33" i="44"/>
  <c r="L66" i="48"/>
  <c r="J65" i="81"/>
  <c r="J14" i="34"/>
  <c r="J101" i="34" s="1"/>
  <c r="P65" i="62"/>
  <c r="P67" i="62"/>
  <c r="K36" i="44"/>
  <c r="L36" i="44" s="1"/>
  <c r="AF65" i="61"/>
  <c r="J68" i="81"/>
  <c r="L19" i="34"/>
  <c r="L106" i="34" s="1"/>
  <c r="F69" i="53"/>
  <c r="F68" i="53"/>
  <c r="L65" i="48"/>
  <c r="S94" i="31"/>
  <c r="J4" i="34"/>
  <c r="L69" i="48"/>
  <c r="J33" i="79"/>
  <c r="H99" i="31"/>
  <c r="J69" i="60"/>
  <c r="T95" i="32"/>
  <c r="O56" i="35"/>
  <c r="AH62" i="9"/>
  <c r="H30" i="44"/>
  <c r="L68" i="52"/>
  <c r="P29" i="88"/>
  <c r="J65" i="60"/>
  <c r="G26" i="86"/>
  <c r="G33" i="44"/>
  <c r="H33" i="44" s="1"/>
  <c r="G72" i="61"/>
  <c r="H72" i="61" s="1"/>
  <c r="K72" i="52"/>
  <c r="L72" i="52" s="1"/>
  <c r="AH63" i="9"/>
  <c r="T5" i="34"/>
  <c r="AF34" i="47"/>
  <c r="H65" i="61"/>
  <c r="H66" i="61"/>
  <c r="N18" i="75"/>
  <c r="J15" i="34"/>
  <c r="J102" i="34" s="1"/>
  <c r="AH65" i="9"/>
  <c r="L21" i="43"/>
  <c r="J66" i="60"/>
  <c r="L92" i="31"/>
  <c r="H67" i="61"/>
  <c r="H36" i="67"/>
  <c r="H32" i="80"/>
  <c r="H60" i="34"/>
  <c r="K17" i="34"/>
  <c r="K104" i="34" s="1"/>
  <c r="AE26" i="86"/>
  <c r="AE34" i="86" s="1"/>
  <c r="AF34" i="86" s="1"/>
  <c r="I45" i="96"/>
  <c r="I46" i="96" s="1"/>
  <c r="Y60" i="35"/>
  <c r="Q84" i="31" s="1"/>
  <c r="Q92" i="31" s="1"/>
  <c r="Y56" i="35"/>
  <c r="Y63" i="35" s="1"/>
  <c r="Z63" i="35" s="1"/>
  <c r="L65" i="53"/>
  <c r="X34" i="78"/>
  <c r="AB65" i="63"/>
  <c r="P34" i="44"/>
  <c r="P32" i="44"/>
  <c r="AE60" i="35"/>
  <c r="T84" i="31" s="1"/>
  <c r="T98" i="31" s="1"/>
  <c r="AE56" i="35"/>
  <c r="AF59" i="35" s="1"/>
  <c r="P66" i="59"/>
  <c r="P65" i="59"/>
  <c r="P30" i="44"/>
  <c r="AL68" i="60"/>
  <c r="N34" i="95"/>
  <c r="Q60" i="35"/>
  <c r="M84" i="31" s="1"/>
  <c r="M96" i="31" s="1"/>
  <c r="Q56" i="35"/>
  <c r="Q63" i="35" s="1"/>
  <c r="R63" i="35" s="1"/>
  <c r="S58" i="35"/>
  <c r="N84" i="33" s="1"/>
  <c r="S57" i="35"/>
  <c r="I60" i="35"/>
  <c r="I84" i="31" s="1"/>
  <c r="I94" i="31" s="1"/>
  <c r="I56" i="35"/>
  <c r="J59" i="35" s="1"/>
  <c r="AM56" i="35"/>
  <c r="AM63" i="35" s="1"/>
  <c r="AN63" i="35" s="1"/>
  <c r="AM60" i="35"/>
  <c r="E60" i="35"/>
  <c r="G84" i="31" s="1"/>
  <c r="E56" i="35"/>
  <c r="F59" i="35" s="1"/>
  <c r="AK60" i="35"/>
  <c r="W84" i="31" s="1"/>
  <c r="W92" i="31" s="1"/>
  <c r="AK56" i="35"/>
  <c r="AL64" i="35" s="1"/>
  <c r="I57" i="35"/>
  <c r="I58" i="35"/>
  <c r="W56" i="35"/>
  <c r="X61" i="35" s="1"/>
  <c r="W58" i="35"/>
  <c r="H97" i="31"/>
  <c r="AM58" i="35"/>
  <c r="T92" i="32"/>
  <c r="T97" i="32"/>
  <c r="V92" i="31"/>
  <c r="S56" i="35"/>
  <c r="T60" i="35" s="1"/>
  <c r="V91" i="31"/>
  <c r="V96" i="31"/>
  <c r="S91" i="31"/>
  <c r="S99" i="31"/>
  <c r="V94" i="31"/>
  <c r="W57" i="35"/>
  <c r="J96" i="30"/>
  <c r="L97" i="31"/>
  <c r="O92" i="31"/>
  <c r="L94" i="31"/>
  <c r="J92" i="30"/>
  <c r="N92" i="31"/>
  <c r="O91" i="31"/>
  <c r="L98" i="31"/>
  <c r="AI27" i="87"/>
  <c r="O25" i="87"/>
  <c r="P29" i="87" s="1"/>
  <c r="AG26" i="87"/>
  <c r="AE26" i="87"/>
  <c r="G26" i="87"/>
  <c r="AE25" i="87"/>
  <c r="AF29" i="87" s="1"/>
  <c r="R19" i="68"/>
  <c r="Q19" i="68" s="1"/>
  <c r="Q30" i="68" s="1"/>
  <c r="M61" i="34" s="1"/>
  <c r="J34" i="83"/>
  <c r="X30" i="44"/>
  <c r="H30" i="94"/>
  <c r="AK25" i="88"/>
  <c r="L69" i="52"/>
  <c r="AD68" i="52"/>
  <c r="N32" i="95"/>
  <c r="V66" i="48"/>
  <c r="L66" i="52"/>
  <c r="L67" i="52"/>
  <c r="S15" i="34"/>
  <c r="S102" i="34" s="1"/>
  <c r="AI31" i="83"/>
  <c r="AI33" i="83"/>
  <c r="Q29" i="85"/>
  <c r="V99" i="31"/>
  <c r="AI56" i="35"/>
  <c r="AJ60" i="35" s="1"/>
  <c r="AL34" i="94"/>
  <c r="AK28" i="85"/>
  <c r="AK38" i="85" s="1"/>
  <c r="AL38" i="85" s="1"/>
  <c r="AJ65" i="52"/>
  <c r="AJ66" i="62"/>
  <c r="R66" i="52"/>
  <c r="P62" i="33"/>
  <c r="X31" i="44"/>
  <c r="Y25" i="84"/>
  <c r="AA27" i="87"/>
  <c r="V67" i="63"/>
  <c r="P31" i="94"/>
  <c r="K30" i="85"/>
  <c r="J10" i="33" s="1"/>
  <c r="I29" i="50"/>
  <c r="I6" i="33" s="1"/>
  <c r="AC28" i="85"/>
  <c r="AC38" i="85" s="1"/>
  <c r="AD38" i="85" s="1"/>
  <c r="AA29" i="85"/>
  <c r="AG27" i="84"/>
  <c r="U8" i="33" s="1"/>
  <c r="L18" i="43"/>
  <c r="R66" i="61"/>
  <c r="AC29" i="85"/>
  <c r="AK29" i="85"/>
  <c r="AL30" i="94"/>
  <c r="V69" i="63"/>
  <c r="P110" i="30"/>
  <c r="X32" i="94"/>
  <c r="AG26" i="86"/>
  <c r="AH29" i="86" s="1"/>
  <c r="AJ69" i="60"/>
  <c r="N96" i="31"/>
  <c r="X33" i="94"/>
  <c r="V15" i="34"/>
  <c r="V102" i="34" s="1"/>
  <c r="J66" i="48"/>
  <c r="AI72" i="60"/>
  <c r="AJ72" i="60" s="1"/>
  <c r="K28" i="50"/>
  <c r="Y25" i="88"/>
  <c r="Z25" i="88" s="1"/>
  <c r="E25" i="88"/>
  <c r="F25" i="88" s="1"/>
  <c r="AC26" i="87"/>
  <c r="N31" i="95"/>
  <c r="L22" i="43"/>
  <c r="J24" i="34"/>
  <c r="K28" i="86"/>
  <c r="J12" i="33" s="1"/>
  <c r="AB69" i="48"/>
  <c r="K28" i="85"/>
  <c r="L32" i="85" s="1"/>
  <c r="AJ68" i="52"/>
  <c r="P65" i="61"/>
  <c r="N98" i="31"/>
  <c r="AG28" i="86"/>
  <c r="U12" i="33" s="1"/>
  <c r="L20" i="43"/>
  <c r="V17" i="34"/>
  <c r="V104" i="34" s="1"/>
  <c r="AJ66" i="60"/>
  <c r="AJ65" i="60"/>
  <c r="AA28" i="86"/>
  <c r="R12" i="33" s="1"/>
  <c r="E72" i="53"/>
  <c r="F72" i="53" s="1"/>
  <c r="F67" i="53"/>
  <c r="G16" i="34"/>
  <c r="G103" i="34" s="1"/>
  <c r="AK72" i="53"/>
  <c r="AL72" i="53" s="1"/>
  <c r="W16" i="34"/>
  <c r="W103" i="34" s="1"/>
  <c r="F66" i="53"/>
  <c r="AF30" i="94"/>
  <c r="X69" i="60"/>
  <c r="W26" i="88"/>
  <c r="P21" i="33" s="1"/>
  <c r="AF66" i="48"/>
  <c r="X67" i="60"/>
  <c r="AC25" i="84"/>
  <c r="AD28" i="84" s="1"/>
  <c r="N22" i="75"/>
  <c r="N21" i="75"/>
  <c r="N19" i="68"/>
  <c r="M19" i="68" s="1"/>
  <c r="M33" i="68" s="1"/>
  <c r="V65" i="59"/>
  <c r="W72" i="60"/>
  <c r="X72" i="60" s="1"/>
  <c r="N99" i="31"/>
  <c r="F30" i="94"/>
  <c r="U25" i="84"/>
  <c r="V28" i="84" s="1"/>
  <c r="AJ67" i="52"/>
  <c r="P68" i="61"/>
  <c r="R30" i="94"/>
  <c r="U72" i="63"/>
  <c r="V72" i="63" s="1"/>
  <c r="X34" i="94"/>
  <c r="X31" i="94"/>
  <c r="Y26" i="88"/>
  <c r="Z26" i="88" s="1"/>
  <c r="E26" i="88"/>
  <c r="F26" i="88" s="1"/>
  <c r="Q27" i="86"/>
  <c r="S28" i="85"/>
  <c r="S38" i="85" s="1"/>
  <c r="T38" i="85" s="1"/>
  <c r="P26" i="84"/>
  <c r="AA30" i="85"/>
  <c r="AI28" i="85"/>
  <c r="V10" i="34" s="1"/>
  <c r="AJ69" i="52"/>
  <c r="J19" i="68"/>
  <c r="I19" i="68" s="1"/>
  <c r="P9" i="34"/>
  <c r="F66" i="60"/>
  <c r="AJ34" i="78"/>
  <c r="O20" i="34"/>
  <c r="O107" i="34" s="1"/>
  <c r="Q26" i="86"/>
  <c r="R31" i="86" s="1"/>
  <c r="F68" i="60"/>
  <c r="AB34" i="44"/>
  <c r="Y32" i="83"/>
  <c r="V66" i="63"/>
  <c r="S29" i="85"/>
  <c r="S26" i="86"/>
  <c r="T30" i="86" s="1"/>
  <c r="AI57" i="35"/>
  <c r="S29" i="47"/>
  <c r="T34" i="47" s="1"/>
  <c r="Y31" i="83"/>
  <c r="Z36" i="83" s="1"/>
  <c r="AI29" i="85"/>
  <c r="S30" i="47"/>
  <c r="S108" i="32"/>
  <c r="Q103" i="33"/>
  <c r="F30" i="44"/>
  <c r="V68" i="63"/>
  <c r="P88" i="34"/>
  <c r="AJ66" i="52"/>
  <c r="F31" i="68"/>
  <c r="W68" i="28"/>
  <c r="E28" i="34"/>
  <c r="H50" i="96"/>
  <c r="H31" i="80"/>
  <c r="F69" i="63"/>
  <c r="AJ65" i="48"/>
  <c r="AG25" i="84"/>
  <c r="AH28" i="84" s="1"/>
  <c r="I72" i="60"/>
  <c r="J72" i="60" s="1"/>
  <c r="J67" i="60"/>
  <c r="J106" i="30"/>
  <c r="H47" i="96"/>
  <c r="H49" i="96"/>
  <c r="H48" i="96"/>
  <c r="G53" i="96"/>
  <c r="H53" i="96" s="1"/>
  <c r="G49" i="66"/>
  <c r="H52" i="66" s="1"/>
  <c r="I18" i="65"/>
  <c r="J18" i="65" s="1"/>
  <c r="J22" i="65" s="1"/>
  <c r="I22" i="65" s="1"/>
  <c r="I38" i="65" s="1"/>
  <c r="J5" i="65"/>
  <c r="G50" i="66"/>
  <c r="N8" i="66"/>
  <c r="N26" i="66" s="1"/>
  <c r="M26" i="66" s="1"/>
  <c r="M50" i="66" s="1"/>
  <c r="J6" i="65"/>
  <c r="J29" i="65"/>
  <c r="I29" i="65" s="1"/>
  <c r="I39" i="65" s="1"/>
  <c r="E34" i="31" s="1"/>
  <c r="E40" i="65"/>
  <c r="E32" i="30" s="1"/>
  <c r="X41" i="28" s="1"/>
  <c r="I50" i="66"/>
  <c r="T106" i="30"/>
  <c r="L24" i="43"/>
  <c r="E8" i="99"/>
  <c r="E18" i="99" s="1"/>
  <c r="E20" i="99" s="1"/>
  <c r="K110" i="32"/>
  <c r="L45" i="8"/>
  <c r="G18" i="99"/>
  <c r="G20" i="99" s="1"/>
  <c r="G25" i="65"/>
  <c r="H25" i="65" s="1"/>
  <c r="H13" i="65"/>
  <c r="H16" i="65" s="1"/>
  <c r="G16" i="65" s="1"/>
  <c r="F4" i="66"/>
  <c r="F26" i="66" s="1"/>
  <c r="E26" i="66" s="1"/>
  <c r="E39" i="66"/>
  <c r="F39" i="66" s="1"/>
  <c r="F45" i="66" s="1"/>
  <c r="E45" i="66" s="1"/>
  <c r="W99" i="32"/>
  <c r="X66" i="59"/>
  <c r="Z68" i="60"/>
  <c r="G91" i="32"/>
  <c r="N65" i="63"/>
  <c r="N68" i="63"/>
  <c r="Z65" i="62"/>
  <c r="AH65" i="63"/>
  <c r="T103" i="30"/>
  <c r="G92" i="32"/>
  <c r="V65" i="62"/>
  <c r="Q100" i="31"/>
  <c r="AF66" i="59"/>
  <c r="N61" i="9"/>
  <c r="T65" i="59"/>
  <c r="O99" i="31"/>
  <c r="X65" i="59"/>
  <c r="J38" i="67"/>
  <c r="AH30" i="47"/>
  <c r="AL69" i="63"/>
  <c r="AD68" i="60"/>
  <c r="J102" i="30"/>
  <c r="AF65" i="59"/>
  <c r="R33" i="94"/>
  <c r="H69" i="59"/>
  <c r="F38" i="67"/>
  <c r="AD66" i="60"/>
  <c r="X65" i="53"/>
  <c r="J108" i="30"/>
  <c r="J33" i="78"/>
  <c r="AF69" i="59"/>
  <c r="AN66" i="59"/>
  <c r="V68" i="59"/>
  <c r="F68" i="59"/>
  <c r="L91" i="32"/>
  <c r="R65" i="45"/>
  <c r="AF65" i="53"/>
  <c r="AD65" i="62"/>
  <c r="J93" i="30"/>
  <c r="O91" i="32"/>
  <c r="AL65" i="59"/>
  <c r="R65" i="48"/>
  <c r="J66" i="59"/>
  <c r="R65" i="62"/>
  <c r="AL68" i="63"/>
  <c r="AL66" i="59"/>
  <c r="Z65" i="45"/>
  <c r="H106" i="30"/>
  <c r="R65" i="63"/>
  <c r="V30" i="44"/>
  <c r="K102" i="31"/>
  <c r="AF26" i="84"/>
  <c r="F65" i="45"/>
  <c r="O92" i="32"/>
  <c r="O97" i="32"/>
  <c r="AN65" i="59"/>
  <c r="Q105" i="31"/>
  <c r="J91" i="30"/>
  <c r="AJ26" i="84"/>
  <c r="R28" i="88"/>
  <c r="L26" i="84"/>
  <c r="AF31" i="94"/>
  <c r="K108" i="31"/>
  <c r="AD69" i="60"/>
  <c r="V65" i="61"/>
  <c r="P65" i="53"/>
  <c r="F66" i="63"/>
  <c r="L91" i="30"/>
  <c r="P69" i="59"/>
  <c r="L95" i="30"/>
  <c r="L36" i="67"/>
  <c r="L92" i="32"/>
  <c r="T69" i="48"/>
  <c r="N36" i="67"/>
  <c r="J107" i="30"/>
  <c r="H103" i="30"/>
  <c r="T65" i="48"/>
  <c r="AF65" i="60"/>
  <c r="L36" i="65"/>
  <c r="C20" i="99"/>
  <c r="F36" i="65"/>
  <c r="F37" i="65"/>
  <c r="F38" i="65"/>
  <c r="F39" i="65"/>
  <c r="I49" i="66"/>
  <c r="J54" i="66" s="1"/>
  <c r="B20" i="99"/>
  <c r="B19" i="99"/>
  <c r="E46" i="96"/>
  <c r="T9" i="28"/>
  <c r="K41" i="66"/>
  <c r="L41" i="66" s="1"/>
  <c r="L45" i="66" s="1"/>
  <c r="K45" i="66" s="1"/>
  <c r="L8" i="66"/>
  <c r="L26" i="66" s="1"/>
  <c r="K26" i="66" s="1"/>
  <c r="AA37" i="47"/>
  <c r="AB37" i="47" s="1"/>
  <c r="AB33" i="47"/>
  <c r="R5" i="34"/>
  <c r="AB34" i="47"/>
  <c r="J5" i="34"/>
  <c r="K37" i="47"/>
  <c r="L37" i="47" s="1"/>
  <c r="L33" i="47"/>
  <c r="L34" i="47"/>
  <c r="T99" i="30"/>
  <c r="T91" i="30"/>
  <c r="W84" i="30"/>
  <c r="W96" i="30" s="1"/>
  <c r="V62" i="9"/>
  <c r="O85" i="33"/>
  <c r="O107" i="33" s="1"/>
  <c r="P62" i="9"/>
  <c r="L85" i="33"/>
  <c r="F31" i="94"/>
  <c r="G88" i="33"/>
  <c r="M6" i="30"/>
  <c r="AD37" i="78"/>
  <c r="AD35" i="78"/>
  <c r="AD36" i="78"/>
  <c r="T37" i="78"/>
  <c r="N62" i="30"/>
  <c r="T92" i="30"/>
  <c r="N65" i="62"/>
  <c r="AH69" i="63"/>
  <c r="U20" i="30"/>
  <c r="U107" i="30" s="1"/>
  <c r="W37" i="47"/>
  <c r="X37" i="47" s="1"/>
  <c r="P5" i="34"/>
  <c r="X33" i="47"/>
  <c r="J85" i="33"/>
  <c r="J105" i="33" s="1"/>
  <c r="E67" i="9"/>
  <c r="F67" i="9" s="1"/>
  <c r="F65" i="9"/>
  <c r="P31" i="44"/>
  <c r="L4" i="33"/>
  <c r="W86" i="33"/>
  <c r="U51" i="8"/>
  <c r="V51" i="8" s="1"/>
  <c r="L33" i="94"/>
  <c r="AJ30" i="84"/>
  <c r="V8" i="30"/>
  <c r="Q39" i="83"/>
  <c r="R39" i="83" s="1"/>
  <c r="M9" i="34"/>
  <c r="R34" i="83"/>
  <c r="O31" i="50"/>
  <c r="O8" i="33"/>
  <c r="M12" i="30"/>
  <c r="R10" i="30"/>
  <c r="R97" i="30" s="1"/>
  <c r="AC72" i="61"/>
  <c r="AD72" i="61" s="1"/>
  <c r="AD67" i="61"/>
  <c r="S18" i="34"/>
  <c r="S105" i="34" s="1"/>
  <c r="H9" i="31"/>
  <c r="H96" i="31" s="1"/>
  <c r="P13" i="30"/>
  <c r="P100" i="30" s="1"/>
  <c r="X69" i="45"/>
  <c r="AN66" i="45"/>
  <c r="G73" i="48"/>
  <c r="H73" i="48" s="1"/>
  <c r="H65" i="48"/>
  <c r="H67" i="48"/>
  <c r="H68" i="48"/>
  <c r="H14" i="34"/>
  <c r="H101" i="34" s="1"/>
  <c r="AH69" i="48"/>
  <c r="U14" i="30"/>
  <c r="U101" i="30" s="1"/>
  <c r="R18" i="30"/>
  <c r="R105" i="30" s="1"/>
  <c r="AB69" i="61"/>
  <c r="S19" i="30"/>
  <c r="AD69" i="62"/>
  <c r="AM72" i="52"/>
  <c r="AN72" i="52" s="1"/>
  <c r="AN66" i="52"/>
  <c r="AN65" i="52"/>
  <c r="X15" i="34"/>
  <c r="X102" i="34" s="1"/>
  <c r="AN67" i="52"/>
  <c r="AN68" i="52"/>
  <c r="N21" i="33"/>
  <c r="V66" i="61"/>
  <c r="O18" i="33"/>
  <c r="J66" i="63"/>
  <c r="I20" i="33"/>
  <c r="I107" i="33" s="1"/>
  <c r="R29" i="88"/>
  <c r="M21" i="30"/>
  <c r="M108" i="30" s="1"/>
  <c r="R69" i="63"/>
  <c r="M20" i="30"/>
  <c r="M107" i="30" s="1"/>
  <c r="R34" i="78"/>
  <c r="M62" i="33"/>
  <c r="U101" i="33"/>
  <c r="Q85" i="34"/>
  <c r="Y67" i="9"/>
  <c r="Z67" i="9" s="1"/>
  <c r="Z62" i="9"/>
  <c r="T5" i="33"/>
  <c r="I84" i="30"/>
  <c r="I92" i="30" s="1"/>
  <c r="AN62" i="9"/>
  <c r="G51" i="8"/>
  <c r="H51" i="8" s="1"/>
  <c r="H86" i="34"/>
  <c r="H47" i="8"/>
  <c r="U4" i="33"/>
  <c r="M8" i="31"/>
  <c r="S8" i="33"/>
  <c r="AK72" i="45"/>
  <c r="AL72" i="45" s="1"/>
  <c r="AL68" i="45"/>
  <c r="W13" i="34"/>
  <c r="W100" i="34" s="1"/>
  <c r="AL67" i="45"/>
  <c r="G97" i="32"/>
  <c r="AL65" i="45"/>
  <c r="AM72" i="45"/>
  <c r="AN72" i="45" s="1"/>
  <c r="AN67" i="45"/>
  <c r="X13" i="34"/>
  <c r="X100" i="34" s="1"/>
  <c r="AN68" i="45"/>
  <c r="P13" i="33"/>
  <c r="X66" i="45"/>
  <c r="L69" i="61"/>
  <c r="J18" i="30"/>
  <c r="J105" i="30" s="1"/>
  <c r="I85" i="34"/>
  <c r="I67" i="9"/>
  <c r="J67" i="9" s="1"/>
  <c r="K84" i="31"/>
  <c r="K93" i="31" s="1"/>
  <c r="U58" i="35"/>
  <c r="U57" i="35"/>
  <c r="U56" i="35"/>
  <c r="V61" i="35" s="1"/>
  <c r="Z63" i="9"/>
  <c r="M36" i="94"/>
  <c r="N36" i="94" s="1"/>
  <c r="K88" i="34"/>
  <c r="N32" i="94"/>
  <c r="AL62" i="9"/>
  <c r="W85" i="33"/>
  <c r="W103" i="33" s="1"/>
  <c r="G36" i="94"/>
  <c r="H36" i="94" s="1"/>
  <c r="H31" i="94"/>
  <c r="H34" i="94"/>
  <c r="H88" i="34"/>
  <c r="H32" i="94"/>
  <c r="G58" i="35"/>
  <c r="G57" i="35"/>
  <c r="G56" i="35"/>
  <c r="AF62" i="9"/>
  <c r="T85" i="33"/>
  <c r="T107" i="33" s="1"/>
  <c r="S31" i="50"/>
  <c r="AB33" i="83"/>
  <c r="R9" i="33"/>
  <c r="W6" i="30"/>
  <c r="U6" i="30"/>
  <c r="W8" i="30"/>
  <c r="G72" i="53"/>
  <c r="H72" i="53" s="1"/>
  <c r="H16" i="34"/>
  <c r="H103" i="34" s="1"/>
  <c r="H68" i="53"/>
  <c r="H67" i="53"/>
  <c r="S71" i="59"/>
  <c r="T71" i="59" s="1"/>
  <c r="T67" i="59"/>
  <c r="T69" i="59"/>
  <c r="Z69" i="45"/>
  <c r="Q13" i="30"/>
  <c r="Q100" i="30" s="1"/>
  <c r="G72" i="60"/>
  <c r="H72" i="60" s="1"/>
  <c r="H68" i="60"/>
  <c r="H17" i="34"/>
  <c r="H104" i="34" s="1"/>
  <c r="H67" i="60"/>
  <c r="H69" i="60"/>
  <c r="P65" i="45"/>
  <c r="P69" i="48"/>
  <c r="L14" i="30"/>
  <c r="L101" i="30" s="1"/>
  <c r="H66" i="53"/>
  <c r="H16" i="33"/>
  <c r="G17" i="34"/>
  <c r="G104" i="34" s="1"/>
  <c r="E72" i="60"/>
  <c r="F72" i="60" s="1"/>
  <c r="F67" i="60"/>
  <c r="F65" i="60"/>
  <c r="V18" i="34"/>
  <c r="V105" i="34" s="1"/>
  <c r="AI72" i="61"/>
  <c r="AJ72" i="61" s="1"/>
  <c r="AJ67" i="61"/>
  <c r="I71" i="62"/>
  <c r="J71" i="62" s="1"/>
  <c r="J68" i="62"/>
  <c r="J67" i="62"/>
  <c r="I19" i="34"/>
  <c r="I106" i="34" s="1"/>
  <c r="G71" i="59"/>
  <c r="H71" i="59" s="1"/>
  <c r="H67" i="59"/>
  <c r="H68" i="59"/>
  <c r="AJ69" i="45"/>
  <c r="V13" i="30"/>
  <c r="V100" i="30" s="1"/>
  <c r="O72" i="52"/>
  <c r="P72" i="52" s="1"/>
  <c r="P66" i="52"/>
  <c r="P67" i="52"/>
  <c r="L15" i="34"/>
  <c r="L102" i="34" s="1"/>
  <c r="P68" i="52"/>
  <c r="J65" i="62"/>
  <c r="Y31" i="88"/>
  <c r="Z31" i="88" s="1"/>
  <c r="Q21" i="34"/>
  <c r="AL66" i="62"/>
  <c r="W19" i="33"/>
  <c r="Z69" i="63"/>
  <c r="Q20" i="30"/>
  <c r="Q107" i="30" s="1"/>
  <c r="E71" i="34"/>
  <c r="T32" i="95"/>
  <c r="T33" i="95"/>
  <c r="F34" i="78"/>
  <c r="G62" i="33"/>
  <c r="AL34" i="78"/>
  <c r="W62" i="33"/>
  <c r="T31" i="95"/>
  <c r="E71" i="33"/>
  <c r="AJ36" i="78"/>
  <c r="AJ35" i="78"/>
  <c r="K101" i="31"/>
  <c r="H105" i="30"/>
  <c r="L92" i="30"/>
  <c r="H108" i="30"/>
  <c r="AH31" i="94"/>
  <c r="U88" i="33"/>
  <c r="Q9" i="33"/>
  <c r="K8" i="30"/>
  <c r="AH66" i="45"/>
  <c r="U13" i="33"/>
  <c r="U100" i="33" s="1"/>
  <c r="S12" i="33"/>
  <c r="L69" i="45"/>
  <c r="J13" i="30"/>
  <c r="J100" i="30" s="1"/>
  <c r="R69" i="52"/>
  <c r="M15" i="30"/>
  <c r="M102" i="30" s="1"/>
  <c r="T108" i="30"/>
  <c r="F65" i="61"/>
  <c r="E40" i="33"/>
  <c r="Z34" i="78"/>
  <c r="Q62" i="33"/>
  <c r="E36" i="44"/>
  <c r="F36" i="44" s="1"/>
  <c r="F34" i="44"/>
  <c r="F32" i="44"/>
  <c r="G4" i="34"/>
  <c r="Q5" i="33"/>
  <c r="P12" i="32"/>
  <c r="P99" i="32" s="1"/>
  <c r="I21" i="33"/>
  <c r="I108" i="33" s="1"/>
  <c r="R51" i="66"/>
  <c r="O61" i="32"/>
  <c r="H11" i="33"/>
  <c r="O11" i="33"/>
  <c r="V31" i="47"/>
  <c r="O5" i="33"/>
  <c r="H5" i="33"/>
  <c r="H31" i="47"/>
  <c r="M36" i="44"/>
  <c r="N36" i="44" s="1"/>
  <c r="K4" i="34"/>
  <c r="N32" i="44"/>
  <c r="AE36" i="44"/>
  <c r="AF36" i="44" s="1"/>
  <c r="AF34" i="44"/>
  <c r="T4" i="34"/>
  <c r="F27" i="88"/>
  <c r="G21" i="32"/>
  <c r="G108" i="32" s="1"/>
  <c r="W21" i="32"/>
  <c r="W108" i="32" s="1"/>
  <c r="J21" i="31"/>
  <c r="I108" i="32"/>
  <c r="V84" i="33"/>
  <c r="N31" i="44"/>
  <c r="K4" i="33"/>
  <c r="R4" i="34"/>
  <c r="AA36" i="44"/>
  <c r="AB36" i="44" s="1"/>
  <c r="P33" i="83"/>
  <c r="L9" i="33"/>
  <c r="U11" i="33"/>
  <c r="Q8" i="33"/>
  <c r="T9" i="33"/>
  <c r="E26" i="33"/>
  <c r="G61" i="32"/>
  <c r="F33" i="68"/>
  <c r="AD65" i="61"/>
  <c r="R66" i="63"/>
  <c r="M20" i="33"/>
  <c r="Z29" i="88"/>
  <c r="Q21" i="30"/>
  <c r="Q108" i="30" s="1"/>
  <c r="AL65" i="62"/>
  <c r="Q20" i="34"/>
  <c r="Q107" i="34" s="1"/>
  <c r="Y72" i="63"/>
  <c r="Z72" i="63" s="1"/>
  <c r="Z67" i="63"/>
  <c r="Z68" i="63"/>
  <c r="L37" i="65"/>
  <c r="E35" i="33" s="1"/>
  <c r="P19" i="68"/>
  <c r="O19" i="68" s="1"/>
  <c r="AJ37" i="78"/>
  <c r="V62" i="30"/>
  <c r="P7" i="66"/>
  <c r="P26" i="66" s="1"/>
  <c r="O26" i="66" s="1"/>
  <c r="O40" i="66"/>
  <c r="P40" i="66" s="1"/>
  <c r="P45" i="66" s="1"/>
  <c r="O45" i="66" s="1"/>
  <c r="Q104" i="33"/>
  <c r="Q103" i="31"/>
  <c r="J103" i="30"/>
  <c r="Q99" i="32"/>
  <c r="K104" i="31"/>
  <c r="O98" i="32"/>
  <c r="X5" i="34"/>
  <c r="AM37" i="47"/>
  <c r="L6" i="33"/>
  <c r="H9" i="33"/>
  <c r="V8" i="33"/>
  <c r="AJ27" i="84"/>
  <c r="J8" i="34"/>
  <c r="K34" i="84"/>
  <c r="L34" i="84" s="1"/>
  <c r="L28" i="84"/>
  <c r="M25" i="84"/>
  <c r="N29" i="84" s="1"/>
  <c r="V11" i="30"/>
  <c r="O12" i="33"/>
  <c r="J11" i="30"/>
  <c r="J98" i="30" s="1"/>
  <c r="E71" i="59"/>
  <c r="F71" i="59" s="1"/>
  <c r="F69" i="59"/>
  <c r="F67" i="59"/>
  <c r="L65" i="62"/>
  <c r="J13" i="34"/>
  <c r="J100" i="34" s="1"/>
  <c r="K72" i="45"/>
  <c r="L72" i="45" s="1"/>
  <c r="L65" i="45"/>
  <c r="L67" i="45"/>
  <c r="L68" i="45"/>
  <c r="H65" i="60"/>
  <c r="Z65" i="63"/>
  <c r="Z33" i="78"/>
  <c r="Q102" i="33"/>
  <c r="Q101" i="31"/>
  <c r="O4" i="33"/>
  <c r="V31" i="44"/>
  <c r="G4" i="31"/>
  <c r="F33" i="44"/>
  <c r="S5" i="33"/>
  <c r="O95" i="32"/>
  <c r="G9" i="31"/>
  <c r="T11" i="33"/>
  <c r="T10" i="33"/>
  <c r="H6" i="31"/>
  <c r="H93" i="31" s="1"/>
  <c r="H8" i="31"/>
  <c r="H95" i="31" s="1"/>
  <c r="S10" i="31"/>
  <c r="S97" i="31" s="1"/>
  <c r="T98" i="32"/>
  <c r="H8" i="33"/>
  <c r="N8" i="31"/>
  <c r="N95" i="31" s="1"/>
  <c r="Q10" i="31"/>
  <c r="N21" i="34"/>
  <c r="S31" i="88"/>
  <c r="T31" i="88" s="1"/>
  <c r="T27" i="88"/>
  <c r="AG37" i="47"/>
  <c r="AH37" i="47" s="1"/>
  <c r="AH32" i="47"/>
  <c r="U5" i="34"/>
  <c r="R5" i="32"/>
  <c r="R92" i="32" s="1"/>
  <c r="AB32" i="47"/>
  <c r="K4" i="31"/>
  <c r="N33" i="44"/>
  <c r="AF33" i="44"/>
  <c r="T4" i="31"/>
  <c r="G95" i="32"/>
  <c r="H10" i="33"/>
  <c r="K12" i="33"/>
  <c r="J11" i="33"/>
  <c r="U10" i="31"/>
  <c r="U97" i="31" s="1"/>
  <c r="Q108" i="31"/>
  <c r="W95" i="32"/>
  <c r="G12" i="33"/>
  <c r="U108" i="32"/>
  <c r="W5" i="33"/>
  <c r="E39" i="33"/>
  <c r="N30" i="44"/>
  <c r="R4" i="31"/>
  <c r="AB33" i="44"/>
  <c r="N6" i="33"/>
  <c r="K9" i="31"/>
  <c r="Q9" i="31"/>
  <c r="O9" i="31"/>
  <c r="O96" i="31" s="1"/>
  <c r="N8" i="33"/>
  <c r="T27" i="84"/>
  <c r="O10" i="31"/>
  <c r="O97" i="31" s="1"/>
  <c r="O31" i="88"/>
  <c r="P31" i="88" s="1"/>
  <c r="L21" i="34"/>
  <c r="P27" i="88"/>
  <c r="J84" i="33"/>
  <c r="N5" i="33"/>
  <c r="K9" i="33"/>
  <c r="L97" i="32"/>
  <c r="V95" i="31"/>
  <c r="O6" i="33"/>
  <c r="P9" i="33"/>
  <c r="I8" i="34"/>
  <c r="J31" i="86"/>
  <c r="I12" i="30"/>
  <c r="O72" i="60"/>
  <c r="P72" i="60" s="1"/>
  <c r="P67" i="60"/>
  <c r="L17" i="34"/>
  <c r="L104" i="34" s="1"/>
  <c r="P68" i="60"/>
  <c r="O72" i="45"/>
  <c r="P72" i="45" s="1"/>
  <c r="P67" i="45"/>
  <c r="P68" i="45"/>
  <c r="L13" i="34"/>
  <c r="L100" i="34" s="1"/>
  <c r="G31" i="88"/>
  <c r="H31" i="88" s="1"/>
  <c r="Q14" i="34"/>
  <c r="Q101" i="34" s="1"/>
  <c r="Y73" i="48"/>
  <c r="Z73" i="48" s="1"/>
  <c r="Z68" i="48"/>
  <c r="Z67" i="48"/>
  <c r="Y72" i="52"/>
  <c r="Z72" i="52" s="1"/>
  <c r="Q15" i="34"/>
  <c r="Q102" i="34" s="1"/>
  <c r="Z68" i="52"/>
  <c r="Z67" i="52"/>
  <c r="F82" i="64"/>
  <c r="F81" i="64"/>
  <c r="E86" i="64"/>
  <c r="F86" i="64" s="1"/>
  <c r="U20" i="33"/>
  <c r="U107" i="33" s="1"/>
  <c r="AH66" i="63"/>
  <c r="F79" i="64"/>
  <c r="I20" i="34"/>
  <c r="I107" i="34" s="1"/>
  <c r="I72" i="63"/>
  <c r="J72" i="63" s="1"/>
  <c r="J67" i="63"/>
  <c r="J68" i="63"/>
  <c r="W60" i="33"/>
  <c r="AD33" i="78"/>
  <c r="R69" i="48"/>
  <c r="M14" i="30"/>
  <c r="M101" i="30" s="1"/>
  <c r="Z69" i="62"/>
  <c r="Q19" i="30"/>
  <c r="Q106" i="30" s="1"/>
  <c r="U71" i="62"/>
  <c r="V71" i="62" s="1"/>
  <c r="O19" i="34"/>
  <c r="O106" i="34" s="1"/>
  <c r="V67" i="62"/>
  <c r="U21" i="30"/>
  <c r="U108" i="30" s="1"/>
  <c r="AH29" i="88"/>
  <c r="K50" i="96"/>
  <c r="K45" i="96"/>
  <c r="L47" i="96" s="1"/>
  <c r="Z36" i="78"/>
  <c r="U102" i="33"/>
  <c r="J88" i="34"/>
  <c r="K36" i="94"/>
  <c r="L36" i="94" s="1"/>
  <c r="M85" i="34"/>
  <c r="Q67" i="9"/>
  <c r="R67" i="9" s="1"/>
  <c r="R64" i="9"/>
  <c r="P6" i="33"/>
  <c r="T11" i="30"/>
  <c r="T98" i="30" s="1"/>
  <c r="N66" i="45"/>
  <c r="K13" i="33"/>
  <c r="I72" i="45"/>
  <c r="J72" i="45" s="1"/>
  <c r="J68" i="45"/>
  <c r="J67" i="45"/>
  <c r="I13" i="34"/>
  <c r="I100" i="34" s="1"/>
  <c r="E27" i="33"/>
  <c r="F47" i="96"/>
  <c r="L38" i="67"/>
  <c r="N84" i="30"/>
  <c r="N99" i="30" s="1"/>
  <c r="G67" i="9"/>
  <c r="H67" i="9" s="1"/>
  <c r="H85" i="34"/>
  <c r="T31" i="28" s="1"/>
  <c r="H63" i="9"/>
  <c r="H64" i="9"/>
  <c r="V49" i="8"/>
  <c r="O86" i="30"/>
  <c r="M13" i="33"/>
  <c r="R66" i="45"/>
  <c r="Z65" i="48"/>
  <c r="AN69" i="48"/>
  <c r="AF66" i="53"/>
  <c r="T16" i="33"/>
  <c r="AE71" i="59"/>
  <c r="AF71" i="59" s="1"/>
  <c r="AF67" i="59"/>
  <c r="H15" i="30"/>
  <c r="H102" i="30" s="1"/>
  <c r="H69" i="52"/>
  <c r="AG72" i="52"/>
  <c r="AH72" i="52" s="1"/>
  <c r="AH67" i="52"/>
  <c r="U15" i="34"/>
  <c r="U102" i="34" s="1"/>
  <c r="AH68" i="52"/>
  <c r="M72" i="63"/>
  <c r="N72" i="63" s="1"/>
  <c r="N67" i="63"/>
  <c r="K20" i="34"/>
  <c r="K107" i="34" s="1"/>
  <c r="AH66" i="62"/>
  <c r="U19" i="33"/>
  <c r="U106" i="33" s="1"/>
  <c r="R36" i="78"/>
  <c r="R33" i="78"/>
  <c r="AB36" i="78"/>
  <c r="AB35" i="78"/>
  <c r="R11" i="30"/>
  <c r="R98" i="30" s="1"/>
  <c r="X9" i="34"/>
  <c r="AG72" i="45"/>
  <c r="AH72" i="45" s="1"/>
  <c r="U13" i="34"/>
  <c r="U100" i="34" s="1"/>
  <c r="AH68" i="45"/>
  <c r="AH67" i="45"/>
  <c r="AA36" i="94"/>
  <c r="AB36" i="94" s="1"/>
  <c r="R88" i="34"/>
  <c r="AB33" i="94"/>
  <c r="AK67" i="9"/>
  <c r="AL67" i="9" s="1"/>
  <c r="AL65" i="9"/>
  <c r="AL63" i="9"/>
  <c r="W85" i="34"/>
  <c r="AL64" i="9"/>
  <c r="AA31" i="47"/>
  <c r="AA30" i="47"/>
  <c r="AB30" i="47" s="1"/>
  <c r="Z31" i="94"/>
  <c r="Q88" i="33"/>
  <c r="S6" i="33"/>
  <c r="AK34" i="84"/>
  <c r="AL34" i="84" s="1"/>
  <c r="W8" i="34"/>
  <c r="H10" i="30"/>
  <c r="H97" i="30" s="1"/>
  <c r="O12" i="30"/>
  <c r="AM72" i="53"/>
  <c r="AN72" i="53" s="1"/>
  <c r="AN68" i="53"/>
  <c r="AN67" i="53"/>
  <c r="X16" i="34"/>
  <c r="X103" i="34" s="1"/>
  <c r="T13" i="30"/>
  <c r="T100" i="30" s="1"/>
  <c r="AF69" i="45"/>
  <c r="I72" i="52"/>
  <c r="J72" i="52" s="1"/>
  <c r="J68" i="52"/>
  <c r="I15" i="34"/>
  <c r="I102" i="34" s="1"/>
  <c r="J67" i="52"/>
  <c r="G84" i="30"/>
  <c r="G96" i="30" s="1"/>
  <c r="AJ62" i="9"/>
  <c r="V85" i="33"/>
  <c r="V4" i="33"/>
  <c r="AJ31" i="44"/>
  <c r="T6" i="33"/>
  <c r="K60" i="35"/>
  <c r="K56" i="35"/>
  <c r="L58" i="35" s="1"/>
  <c r="AM36" i="94"/>
  <c r="X88" i="34"/>
  <c r="M84" i="30"/>
  <c r="M94" i="30" s="1"/>
  <c r="AL31" i="94"/>
  <c r="W88" i="33"/>
  <c r="K8" i="33"/>
  <c r="R8" i="34"/>
  <c r="AA34" i="84"/>
  <c r="AB34" i="84" s="1"/>
  <c r="AB28" i="84"/>
  <c r="O8" i="30"/>
  <c r="P10" i="30"/>
  <c r="P97" i="30" s="1"/>
  <c r="AJ66" i="45"/>
  <c r="J65" i="45"/>
  <c r="Z66" i="48"/>
  <c r="J10" i="30"/>
  <c r="J97" i="30" s="1"/>
  <c r="Q12" i="30"/>
  <c r="AK71" i="59"/>
  <c r="AL71" i="59" s="1"/>
  <c r="AL67" i="59"/>
  <c r="AL69" i="59"/>
  <c r="Q71" i="62"/>
  <c r="R71" i="62" s="1"/>
  <c r="R68" i="62"/>
  <c r="R67" i="62"/>
  <c r="M19" i="34"/>
  <c r="M106" i="34" s="1"/>
  <c r="M72" i="61"/>
  <c r="N72" i="61" s="1"/>
  <c r="N67" i="61"/>
  <c r="K18" i="34"/>
  <c r="K105" i="34" s="1"/>
  <c r="J69" i="45"/>
  <c r="I13" i="30"/>
  <c r="I100" i="30" s="1"/>
  <c r="AF69" i="48"/>
  <c r="T14" i="30"/>
  <c r="T101" i="30" s="1"/>
  <c r="O18" i="30"/>
  <c r="O105" i="30" s="1"/>
  <c r="V69" i="61"/>
  <c r="X69" i="59"/>
  <c r="AF69" i="52"/>
  <c r="T15" i="30"/>
  <c r="T102" i="30" s="1"/>
  <c r="P65" i="60"/>
  <c r="N19" i="34"/>
  <c r="N106" i="34" s="1"/>
  <c r="S71" i="62"/>
  <c r="T71" i="62" s="1"/>
  <c r="T68" i="62"/>
  <c r="T67" i="62"/>
  <c r="Q19" i="33"/>
  <c r="Q106" i="33" s="1"/>
  <c r="Z66" i="62"/>
  <c r="I31" i="88"/>
  <c r="J31" i="88" s="1"/>
  <c r="K106" i="31"/>
  <c r="H80" i="64"/>
  <c r="E80" i="33"/>
  <c r="R54" i="66"/>
  <c r="H19" i="68"/>
  <c r="G19" i="68" s="1"/>
  <c r="E27" i="34"/>
  <c r="E53" i="96"/>
  <c r="F53" i="96" s="1"/>
  <c r="K61" i="33"/>
  <c r="R37" i="78"/>
  <c r="R35" i="78"/>
  <c r="T91" i="32"/>
  <c r="G98" i="32"/>
  <c r="L96" i="30"/>
  <c r="E72" i="61"/>
  <c r="F72" i="61" s="1"/>
  <c r="G18" i="34"/>
  <c r="G105" i="34" s="1"/>
  <c r="F67" i="61"/>
  <c r="P15" i="30"/>
  <c r="P102" i="30" s="1"/>
  <c r="X69" i="52"/>
  <c r="E72" i="63"/>
  <c r="F72" i="63" s="1"/>
  <c r="F67" i="63"/>
  <c r="G20" i="34"/>
  <c r="G107" i="34" s="1"/>
  <c r="F68" i="63"/>
  <c r="I61" i="33"/>
  <c r="AB34" i="78"/>
  <c r="F39" i="67"/>
  <c r="L37" i="78"/>
  <c r="J62" i="30"/>
  <c r="J62" i="9"/>
  <c r="M25" i="75"/>
  <c r="N25" i="75" s="1"/>
  <c r="N20" i="75"/>
  <c r="Q58" i="35"/>
  <c r="Q57" i="35"/>
  <c r="M56" i="35"/>
  <c r="N57" i="35" s="1"/>
  <c r="J63" i="9"/>
  <c r="N34" i="94"/>
  <c r="H31" i="44"/>
  <c r="H4" i="33"/>
  <c r="AD61" i="9"/>
  <c r="G89" i="33"/>
  <c r="F31" i="44"/>
  <c r="G4" i="33"/>
  <c r="K51" i="8"/>
  <c r="L51" i="8" s="1"/>
  <c r="L48" i="8"/>
  <c r="L47" i="8"/>
  <c r="J86" i="34"/>
  <c r="E36" i="94"/>
  <c r="F36" i="94" s="1"/>
  <c r="G88" i="34"/>
  <c r="F32" i="94"/>
  <c r="N31" i="94"/>
  <c r="K88" i="33"/>
  <c r="AE36" i="94"/>
  <c r="AF36" i="94" s="1"/>
  <c r="AF34" i="94"/>
  <c r="T88" i="34"/>
  <c r="R31" i="94"/>
  <c r="M88" i="33"/>
  <c r="F33" i="94"/>
  <c r="AE34" i="84"/>
  <c r="AF34" i="84" s="1"/>
  <c r="AF28" i="84"/>
  <c r="T8" i="34"/>
  <c r="O13" i="34"/>
  <c r="O100" i="34" s="1"/>
  <c r="U72" i="45"/>
  <c r="V72" i="45" s="1"/>
  <c r="V67" i="45"/>
  <c r="V68" i="45"/>
  <c r="AB27" i="86"/>
  <c r="Q6" i="30"/>
  <c r="U12" i="30"/>
  <c r="V65" i="45"/>
  <c r="J12" i="30"/>
  <c r="J99" i="30" s="1"/>
  <c r="H66" i="48"/>
  <c r="T104" i="30"/>
  <c r="R69" i="62"/>
  <c r="H104" i="30"/>
  <c r="Q72" i="45"/>
  <c r="R72" i="45" s="1"/>
  <c r="R67" i="45"/>
  <c r="M13" i="34"/>
  <c r="M100" i="34" s="1"/>
  <c r="R68" i="45"/>
  <c r="H13" i="33"/>
  <c r="H66" i="45"/>
  <c r="AM73" i="48"/>
  <c r="AN73" i="48" s="1"/>
  <c r="AN68" i="48"/>
  <c r="X14" i="34"/>
  <c r="X101" i="34" s="1"/>
  <c r="AN67" i="48"/>
  <c r="AN65" i="48"/>
  <c r="AK72" i="61"/>
  <c r="AL72" i="61" s="1"/>
  <c r="AL67" i="61"/>
  <c r="W18" i="34"/>
  <c r="W105" i="34" s="1"/>
  <c r="N66" i="63"/>
  <c r="AB69" i="45"/>
  <c r="R13" i="30"/>
  <c r="R100" i="30" s="1"/>
  <c r="G72" i="52"/>
  <c r="H72" i="52" s="1"/>
  <c r="H15" i="34"/>
  <c r="H102" i="34" s="1"/>
  <c r="H65" i="52"/>
  <c r="H66" i="52"/>
  <c r="H68" i="52"/>
  <c r="H67" i="52"/>
  <c r="AH69" i="52"/>
  <c r="U15" i="30"/>
  <c r="U102" i="30" s="1"/>
  <c r="P17" i="33"/>
  <c r="X66" i="60"/>
  <c r="AI71" i="62"/>
  <c r="AJ71" i="62" s="1"/>
  <c r="AJ67" i="62"/>
  <c r="V19" i="34"/>
  <c r="V106" i="34" s="1"/>
  <c r="AJ68" i="62"/>
  <c r="AC72" i="63"/>
  <c r="AD72" i="63" s="1"/>
  <c r="S20" i="34"/>
  <c r="S107" i="34" s="1"/>
  <c r="AD67" i="63"/>
  <c r="N68" i="61"/>
  <c r="N80" i="64"/>
  <c r="E82" i="33"/>
  <c r="X31" i="80"/>
  <c r="P60" i="33"/>
  <c r="O61" i="33"/>
  <c r="AH36" i="78"/>
  <c r="AH34" i="78"/>
  <c r="U62" i="33"/>
  <c r="L30" i="95"/>
  <c r="AB37" i="78"/>
  <c r="R62" i="30"/>
  <c r="Q106" i="31"/>
  <c r="K107" i="31"/>
  <c r="W92" i="32"/>
  <c r="T107" i="30"/>
  <c r="T94" i="30"/>
  <c r="K112" i="32"/>
  <c r="R65" i="9"/>
  <c r="AB34" i="94"/>
  <c r="V45" i="8"/>
  <c r="N19" i="75"/>
  <c r="Z30" i="44"/>
  <c r="R62" i="9"/>
  <c r="M85" i="33"/>
  <c r="M103" i="33" s="1"/>
  <c r="Z64" i="9"/>
  <c r="W86" i="30"/>
  <c r="H62" i="9"/>
  <c r="H85" i="33"/>
  <c r="AF32" i="94"/>
  <c r="AD31" i="94"/>
  <c r="S88" i="33"/>
  <c r="U8" i="30"/>
  <c r="AB26" i="84"/>
  <c r="U9" i="33"/>
  <c r="AB29" i="84"/>
  <c r="T66" i="59"/>
  <c r="O99" i="32"/>
  <c r="O72" i="53"/>
  <c r="P72" i="53" s="1"/>
  <c r="P67" i="53"/>
  <c r="P68" i="53"/>
  <c r="L16" i="34"/>
  <c r="L103" i="34" s="1"/>
  <c r="G72" i="45"/>
  <c r="H72" i="45" s="1"/>
  <c r="H13" i="34"/>
  <c r="H100" i="34" s="1"/>
  <c r="H67" i="45"/>
  <c r="H68" i="45"/>
  <c r="AH69" i="45"/>
  <c r="U13" i="30"/>
  <c r="U100" i="30" s="1"/>
  <c r="AJ65" i="61"/>
  <c r="AL66" i="61"/>
  <c r="W18" i="33"/>
  <c r="F65" i="81"/>
  <c r="R53" i="66"/>
  <c r="F32" i="68"/>
  <c r="G61" i="33"/>
  <c r="U105" i="33"/>
  <c r="Q102" i="31"/>
  <c r="J101" i="30"/>
  <c r="W96" i="32"/>
  <c r="U85" i="34"/>
  <c r="AG67" i="9"/>
  <c r="AH67" i="9" s="1"/>
  <c r="AH64" i="9"/>
  <c r="T30" i="94"/>
  <c r="G85" i="33"/>
  <c r="G107" i="33" s="1"/>
  <c r="U84" i="30"/>
  <c r="N65" i="9"/>
  <c r="K85" i="30"/>
  <c r="K107" i="30" s="1"/>
  <c r="AB30" i="44"/>
  <c r="V30" i="94"/>
  <c r="Q25" i="84"/>
  <c r="R30" i="84" s="1"/>
  <c r="G6" i="30"/>
  <c r="K8" i="31"/>
  <c r="AL69" i="45"/>
  <c r="AE31" i="50"/>
  <c r="F30" i="84"/>
  <c r="G8" i="30"/>
  <c r="R35" i="83"/>
  <c r="H66" i="59"/>
  <c r="AN66" i="48"/>
  <c r="L10" i="30"/>
  <c r="L97" i="30" s="1"/>
  <c r="G99" i="32"/>
  <c r="AE72" i="60"/>
  <c r="AF72" i="60" s="1"/>
  <c r="AF68" i="60"/>
  <c r="AF67" i="60"/>
  <c r="T17" i="34"/>
  <c r="T104" i="34" s="1"/>
  <c r="AE72" i="45"/>
  <c r="AF72" i="45" s="1"/>
  <c r="T13" i="34"/>
  <c r="T100" i="34" s="1"/>
  <c r="AF67" i="45"/>
  <c r="AF68" i="45"/>
  <c r="AH66" i="52"/>
  <c r="AN69" i="53"/>
  <c r="I14" i="34"/>
  <c r="I101" i="34" s="1"/>
  <c r="I73" i="48"/>
  <c r="J73" i="48" s="1"/>
  <c r="J67" i="48"/>
  <c r="J68" i="48"/>
  <c r="P65" i="52"/>
  <c r="AN66" i="53"/>
  <c r="AK72" i="60"/>
  <c r="AL72" i="60" s="1"/>
  <c r="AL67" i="60"/>
  <c r="W17" i="34"/>
  <c r="W104" i="34" s="1"/>
  <c r="AL65" i="60"/>
  <c r="AJ68" i="61"/>
  <c r="O72" i="61"/>
  <c r="P72" i="61" s="1"/>
  <c r="P67" i="61"/>
  <c r="L18" i="34"/>
  <c r="L105" i="34" s="1"/>
  <c r="P69" i="61"/>
  <c r="AM71" i="59"/>
  <c r="AN71" i="59" s="1"/>
  <c r="AN67" i="59"/>
  <c r="AN68" i="59"/>
  <c r="J69" i="52"/>
  <c r="I15" i="30"/>
  <c r="I102" i="30" s="1"/>
  <c r="T17" i="33"/>
  <c r="AF66" i="60"/>
  <c r="G19" i="34"/>
  <c r="G106" i="34" s="1"/>
  <c r="E71" i="62"/>
  <c r="F71" i="62" s="1"/>
  <c r="F67" i="62"/>
  <c r="AD69" i="63"/>
  <c r="AD66" i="61"/>
  <c r="S18" i="33"/>
  <c r="F66" i="62"/>
  <c r="G19" i="33"/>
  <c r="H30" i="79"/>
  <c r="H59" i="33"/>
  <c r="V34" i="78"/>
  <c r="O62" i="33"/>
  <c r="AH35" i="78"/>
  <c r="U39" i="66"/>
  <c r="U26" i="66"/>
  <c r="S41" i="66"/>
  <c r="T41" i="66" s="1"/>
  <c r="T45" i="66" s="1"/>
  <c r="S45" i="66" s="1"/>
  <c r="T8" i="66"/>
  <c r="T6" i="66"/>
  <c r="Q91" i="32"/>
  <c r="K105" i="31"/>
  <c r="W91" i="32"/>
  <c r="R85" i="33"/>
  <c r="R104" i="33" s="1"/>
  <c r="AB62" i="9"/>
  <c r="M51" i="8"/>
  <c r="N51" i="8" s="1"/>
  <c r="N48" i="8"/>
  <c r="K86" i="34"/>
  <c r="K110" i="34" s="1"/>
  <c r="I4" i="31"/>
  <c r="L30" i="84"/>
  <c r="J8" i="30"/>
  <c r="AB29" i="86"/>
  <c r="Q98" i="32"/>
  <c r="T99" i="32"/>
  <c r="AL66" i="60"/>
  <c r="X69" i="48"/>
  <c r="P14" i="30"/>
  <c r="P101" i="30" s="1"/>
  <c r="L66" i="62"/>
  <c r="J19" i="33"/>
  <c r="H17" i="33"/>
  <c r="H66" i="60"/>
  <c r="Z66" i="63"/>
  <c r="Q20" i="33"/>
  <c r="Q107" i="33" s="1"/>
  <c r="G96" i="32"/>
  <c r="W36" i="44"/>
  <c r="X36" i="44" s="1"/>
  <c r="P4" i="34"/>
  <c r="X32" i="44"/>
  <c r="D79" i="2"/>
  <c r="E79" i="2" s="1"/>
  <c r="B235" i="2"/>
  <c r="B261" i="2" s="1"/>
  <c r="Q5" i="34"/>
  <c r="S9" i="31"/>
  <c r="S96" i="31" s="1"/>
  <c r="I9" i="31"/>
  <c r="AL26" i="84"/>
  <c r="W34" i="84"/>
  <c r="X34" i="84" s="1"/>
  <c r="P8" i="34"/>
  <c r="X28" i="84"/>
  <c r="H12" i="32"/>
  <c r="H99" i="32" s="1"/>
  <c r="P21" i="31"/>
  <c r="P108" i="31" s="1"/>
  <c r="E25" i="33"/>
  <c r="Q12" i="33"/>
  <c r="X26" i="84"/>
  <c r="N12" i="32"/>
  <c r="N99" i="32" s="1"/>
  <c r="T28" i="88"/>
  <c r="N21" i="31"/>
  <c r="N108" i="31" s="1"/>
  <c r="G37" i="47"/>
  <c r="H37" i="47" s="1"/>
  <c r="H33" i="47"/>
  <c r="H5" i="34"/>
  <c r="L98" i="32"/>
  <c r="O21" i="32"/>
  <c r="O108" i="32" s="1"/>
  <c r="Z28" i="88"/>
  <c r="R21" i="31"/>
  <c r="R108" i="31" s="1"/>
  <c r="O93" i="31"/>
  <c r="M108" i="32"/>
  <c r="AH27" i="88"/>
  <c r="W21" i="33"/>
  <c r="S36" i="44"/>
  <c r="T36" i="44" s="1"/>
  <c r="Q95" i="32"/>
  <c r="F26" i="84"/>
  <c r="O39" i="83"/>
  <c r="P39" i="83" s="1"/>
  <c r="L9" i="34"/>
  <c r="P34" i="83"/>
  <c r="V10" i="33"/>
  <c r="V10" i="31"/>
  <c r="V97" i="31" s="1"/>
  <c r="O34" i="84"/>
  <c r="P34" i="84" s="1"/>
  <c r="P28" i="84"/>
  <c r="L8" i="34"/>
  <c r="L12" i="32"/>
  <c r="L99" i="32" s="1"/>
  <c r="P28" i="88"/>
  <c r="L21" i="31"/>
  <c r="L108" i="31" s="1"/>
  <c r="X30" i="47"/>
  <c r="O21" i="33"/>
  <c r="V21" i="31"/>
  <c r="V108" i="31" s="1"/>
  <c r="S85" i="30"/>
  <c r="S104" i="30" s="1"/>
  <c r="AD65" i="9"/>
  <c r="Q72" i="60"/>
  <c r="R72" i="60" s="1"/>
  <c r="M17" i="34"/>
  <c r="M104" i="34" s="1"/>
  <c r="R69" i="60"/>
  <c r="R67" i="60"/>
  <c r="N18" i="34"/>
  <c r="N105" i="34" s="1"/>
  <c r="S72" i="61"/>
  <c r="T72" i="61" s="1"/>
  <c r="T67" i="61"/>
  <c r="M71" i="62"/>
  <c r="N71" i="62" s="1"/>
  <c r="N67" i="62"/>
  <c r="K19" i="34"/>
  <c r="K106" i="34" s="1"/>
  <c r="N13" i="34"/>
  <c r="N100" i="34" s="1"/>
  <c r="S72" i="45"/>
  <c r="T72" i="45" s="1"/>
  <c r="T67" i="45"/>
  <c r="T68" i="45"/>
  <c r="AL69" i="62"/>
  <c r="W19" i="30"/>
  <c r="W106" i="30" s="1"/>
  <c r="N66" i="61"/>
  <c r="K18" i="33"/>
  <c r="Q4" i="34"/>
  <c r="Y36" i="44"/>
  <c r="Z36" i="44" s="1"/>
  <c r="Z33" i="44"/>
  <c r="Z32" i="44"/>
  <c r="R63" i="9"/>
  <c r="J31" i="94"/>
  <c r="I88" i="33"/>
  <c r="I8" i="31"/>
  <c r="S12" i="30"/>
  <c r="U104" i="33"/>
  <c r="Z65" i="52"/>
  <c r="Z69" i="48"/>
  <c r="Q14" i="30"/>
  <c r="Q101" i="30" s="1"/>
  <c r="T66" i="61"/>
  <c r="T69" i="61"/>
  <c r="N18" i="30"/>
  <c r="N105" i="30" s="1"/>
  <c r="AB66" i="62"/>
  <c r="R19" i="33"/>
  <c r="W71" i="59"/>
  <c r="X71" i="59" s="1"/>
  <c r="X68" i="59"/>
  <c r="X67" i="59"/>
  <c r="Q15" i="30"/>
  <c r="Q102" i="30" s="1"/>
  <c r="Z69" i="52"/>
  <c r="AK71" i="62"/>
  <c r="AL71" i="62" s="1"/>
  <c r="W19" i="34"/>
  <c r="W106" i="34" s="1"/>
  <c r="AL67" i="62"/>
  <c r="F80" i="64"/>
  <c r="E79" i="33"/>
  <c r="AD34" i="78"/>
  <c r="S62" i="33"/>
  <c r="G18" i="30"/>
  <c r="G105" i="30" s="1"/>
  <c r="F69" i="61"/>
  <c r="AN66" i="60"/>
  <c r="F83" i="64"/>
  <c r="AD68" i="61"/>
  <c r="E26" i="31"/>
  <c r="W67" i="28" s="1"/>
  <c r="L39" i="67"/>
  <c r="J62" i="34"/>
  <c r="L36" i="78"/>
  <c r="L35" i="78"/>
  <c r="AA60" i="35"/>
  <c r="AA56" i="35"/>
  <c r="AB58" i="35" s="1"/>
  <c r="L49" i="8"/>
  <c r="J86" i="30"/>
  <c r="Q84" i="30"/>
  <c r="X19" i="75"/>
  <c r="P24" i="33"/>
  <c r="P112" i="33" s="1"/>
  <c r="S8" i="30"/>
  <c r="T66" i="45"/>
  <c r="H11" i="30"/>
  <c r="H98" i="30" s="1"/>
  <c r="W72" i="45"/>
  <c r="X72" i="45" s="1"/>
  <c r="X68" i="45"/>
  <c r="P13" i="34"/>
  <c r="P100" i="34" s="1"/>
  <c r="X67" i="45"/>
  <c r="AL69" i="61"/>
  <c r="W18" i="30"/>
  <c r="W105" i="30" s="1"/>
  <c r="AC71" i="62"/>
  <c r="AD71" i="62" s="1"/>
  <c r="AD67" i="62"/>
  <c r="S19" i="34"/>
  <c r="S106" i="34" s="1"/>
  <c r="V68" i="62"/>
  <c r="N37" i="67"/>
  <c r="N35" i="67"/>
  <c r="L33" i="95"/>
  <c r="L34" i="95"/>
  <c r="E67" i="34"/>
  <c r="L32" i="95"/>
  <c r="AK36" i="94"/>
  <c r="AL36" i="94" s="1"/>
  <c r="AL32" i="94"/>
  <c r="W88" i="34"/>
  <c r="R61" i="9"/>
  <c r="N62" i="9"/>
  <c r="K85" i="33"/>
  <c r="L46" i="8"/>
  <c r="J86" i="33"/>
  <c r="H61" i="9"/>
  <c r="L32" i="94"/>
  <c r="AF27" i="84"/>
  <c r="T8" i="33"/>
  <c r="AL66" i="45"/>
  <c r="W13" i="33"/>
  <c r="H69" i="45"/>
  <c r="H13" i="30"/>
  <c r="H100" i="30" s="1"/>
  <c r="R66" i="62"/>
  <c r="M19" i="33"/>
  <c r="Z65" i="9"/>
  <c r="O84" i="30"/>
  <c r="O97" i="30" s="1"/>
  <c r="U37" i="47"/>
  <c r="V37" i="47" s="1"/>
  <c r="V33" i="47"/>
  <c r="O5" i="34"/>
  <c r="AB30" i="94"/>
  <c r="M67" i="9"/>
  <c r="N67" i="9" s="1"/>
  <c r="N63" i="9"/>
  <c r="K85" i="34"/>
  <c r="T93" i="30"/>
  <c r="AA31" i="50"/>
  <c r="AL29" i="84"/>
  <c r="R14" i="34"/>
  <c r="R101" i="34" s="1"/>
  <c r="AA73" i="48"/>
  <c r="AB73" i="48" s="1"/>
  <c r="AB67" i="48"/>
  <c r="AB65" i="48"/>
  <c r="AB66" i="48"/>
  <c r="Z66" i="45"/>
  <c r="Q13" i="33"/>
  <c r="Q100" i="33" s="1"/>
  <c r="R12" i="30"/>
  <c r="R99" i="30" s="1"/>
  <c r="L13" i="33"/>
  <c r="P66" i="45"/>
  <c r="O73" i="48"/>
  <c r="P73" i="48" s="1"/>
  <c r="P68" i="48"/>
  <c r="L14" i="34"/>
  <c r="L101" i="34" s="1"/>
  <c r="P67" i="48"/>
  <c r="AN65" i="53"/>
  <c r="U72" i="60"/>
  <c r="V72" i="60" s="1"/>
  <c r="V67" i="60"/>
  <c r="V65" i="60"/>
  <c r="O17" i="34"/>
  <c r="O104" i="34" s="1"/>
  <c r="AJ69" i="61"/>
  <c r="V18" i="30"/>
  <c r="V105" i="30" s="1"/>
  <c r="V13" i="34"/>
  <c r="V100" i="34" s="1"/>
  <c r="AI72" i="45"/>
  <c r="AJ72" i="45" s="1"/>
  <c r="AJ67" i="45"/>
  <c r="AJ68" i="45"/>
  <c r="F69" i="62"/>
  <c r="G19" i="30"/>
  <c r="G106" i="30" s="1"/>
  <c r="X34" i="47"/>
  <c r="Z34" i="44"/>
  <c r="U88" i="34"/>
  <c r="AG36" i="94"/>
  <c r="AH36" i="94" s="1"/>
  <c r="AH32" i="94"/>
  <c r="V84" i="30"/>
  <c r="L34" i="94"/>
  <c r="F31" i="47"/>
  <c r="G5" i="33"/>
  <c r="AE67" i="9"/>
  <c r="AF67" i="9" s="1"/>
  <c r="AF64" i="9"/>
  <c r="AF63" i="9"/>
  <c r="T85" i="34"/>
  <c r="AA67" i="9"/>
  <c r="AB67" i="9" s="1"/>
  <c r="AB64" i="9"/>
  <c r="AB63" i="9"/>
  <c r="R85" i="34"/>
  <c r="K31" i="47"/>
  <c r="K30" i="47"/>
  <c r="L30" i="47" s="1"/>
  <c r="N4" i="33"/>
  <c r="AC67" i="9"/>
  <c r="AD67" i="9" s="1"/>
  <c r="AD64" i="9"/>
  <c r="S85" i="34"/>
  <c r="AH33" i="94"/>
  <c r="P93" i="30"/>
  <c r="U8" i="31"/>
  <c r="U95" i="31" s="1"/>
  <c r="T95" i="30"/>
  <c r="O6" i="30"/>
  <c r="AB30" i="84"/>
  <c r="R8" i="30"/>
  <c r="R95" i="30" s="1"/>
  <c r="I71" i="59"/>
  <c r="J71" i="59" s="1"/>
  <c r="J68" i="59"/>
  <c r="J67" i="59"/>
  <c r="N14" i="34"/>
  <c r="N101" i="34" s="1"/>
  <c r="S73" i="48"/>
  <c r="T73" i="48" s="1"/>
  <c r="T67" i="48"/>
  <c r="T66" i="48"/>
  <c r="L11" i="30"/>
  <c r="L98" i="30" s="1"/>
  <c r="K12" i="30"/>
  <c r="J66" i="45"/>
  <c r="I13" i="33"/>
  <c r="I100" i="33" s="1"/>
  <c r="Q101" i="33"/>
  <c r="R66" i="60"/>
  <c r="I12" i="34"/>
  <c r="I34" i="86"/>
  <c r="J34" i="86" s="1"/>
  <c r="J29" i="86"/>
  <c r="W72" i="53"/>
  <c r="X72" i="53" s="1"/>
  <c r="X68" i="53"/>
  <c r="P16" i="34"/>
  <c r="P103" i="34" s="1"/>
  <c r="X67" i="53"/>
  <c r="T65" i="62"/>
  <c r="L13" i="30"/>
  <c r="L100" i="30" s="1"/>
  <c r="P69" i="45"/>
  <c r="H69" i="53"/>
  <c r="AF66" i="45"/>
  <c r="T13" i="33"/>
  <c r="AE73" i="48"/>
  <c r="AF73" i="48" s="1"/>
  <c r="AF68" i="48"/>
  <c r="AF67" i="48"/>
  <c r="T14" i="34"/>
  <c r="T101" i="34" s="1"/>
  <c r="X66" i="53"/>
  <c r="P16" i="33"/>
  <c r="AC72" i="60"/>
  <c r="AD72" i="60" s="1"/>
  <c r="AD67" i="60"/>
  <c r="S17" i="34"/>
  <c r="S104" i="34" s="1"/>
  <c r="T68" i="61"/>
  <c r="U72" i="61"/>
  <c r="V72" i="61" s="1"/>
  <c r="O18" i="34"/>
  <c r="O105" i="34" s="1"/>
  <c r="V67" i="61"/>
  <c r="K19" i="30"/>
  <c r="N69" i="62"/>
  <c r="T69" i="45"/>
  <c r="N13" i="30"/>
  <c r="N100" i="30" s="1"/>
  <c r="AE72" i="52"/>
  <c r="AF72" i="52" s="1"/>
  <c r="AF67" i="52"/>
  <c r="T15" i="34"/>
  <c r="T102" i="34" s="1"/>
  <c r="AF68" i="52"/>
  <c r="AF66" i="52"/>
  <c r="P66" i="60"/>
  <c r="L17" i="33"/>
  <c r="T69" i="62"/>
  <c r="N19" i="30"/>
  <c r="N106" i="30" s="1"/>
  <c r="AH26" i="88"/>
  <c r="U21" i="33"/>
  <c r="U108" i="33" s="1"/>
  <c r="E72" i="81"/>
  <c r="F72" i="81" s="1"/>
  <c r="F68" i="81"/>
  <c r="N65" i="61"/>
  <c r="J29" i="88"/>
  <c r="I21" i="30"/>
  <c r="I108" i="30" s="1"/>
  <c r="V66" i="62"/>
  <c r="O19" i="33"/>
  <c r="J69" i="63"/>
  <c r="I20" i="30"/>
  <c r="I107" i="30" s="1"/>
  <c r="M61" i="33"/>
  <c r="L40" i="65"/>
  <c r="E35" i="30" s="1"/>
  <c r="L38" i="65"/>
  <c r="E27" i="30"/>
  <c r="F50" i="96"/>
  <c r="L34" i="78"/>
  <c r="F37" i="67"/>
  <c r="F35" i="67"/>
  <c r="N34" i="78"/>
  <c r="K62" i="33"/>
  <c r="T36" i="78"/>
  <c r="T35" i="78"/>
  <c r="W98" i="32"/>
  <c r="M14" i="34"/>
  <c r="M101" i="34" s="1"/>
  <c r="Q73" i="48"/>
  <c r="R73" i="48" s="1"/>
  <c r="R68" i="48"/>
  <c r="R67" i="48"/>
  <c r="Y71" i="62"/>
  <c r="Z71" i="62" s="1"/>
  <c r="Q19" i="34"/>
  <c r="Q106" i="34" s="1"/>
  <c r="Z68" i="62"/>
  <c r="Z67" i="62"/>
  <c r="W72" i="52"/>
  <c r="X72" i="52" s="1"/>
  <c r="X65" i="52"/>
  <c r="X66" i="52"/>
  <c r="X68" i="52"/>
  <c r="X67" i="52"/>
  <c r="P15" i="34"/>
  <c r="P102" i="34" s="1"/>
  <c r="O19" i="30"/>
  <c r="O106" i="30" s="1"/>
  <c r="V69" i="62"/>
  <c r="AK72" i="63"/>
  <c r="AL72" i="63" s="1"/>
  <c r="AL67" i="63"/>
  <c r="W20" i="34"/>
  <c r="W107" i="34" s="1"/>
  <c r="AG31" i="88"/>
  <c r="AH31" i="88" s="1"/>
  <c r="U21" i="34"/>
  <c r="N66" i="62"/>
  <c r="K19" i="33"/>
  <c r="U20" i="34"/>
  <c r="U107" i="34" s="1"/>
  <c r="AG72" i="63"/>
  <c r="AH72" i="63" s="1"/>
  <c r="AH68" i="63"/>
  <c r="AH67" i="63"/>
  <c r="T19" i="68"/>
  <c r="S19" i="68" s="1"/>
  <c r="T34" i="95"/>
  <c r="J60" i="33"/>
  <c r="L31" i="80"/>
  <c r="J36" i="78"/>
  <c r="I62" i="34"/>
  <c r="J34" i="78"/>
  <c r="I62" i="33"/>
  <c r="L35" i="67"/>
  <c r="H46" i="8"/>
  <c r="J65" i="9"/>
  <c r="AI31" i="50"/>
  <c r="L31" i="94"/>
  <c r="K84" i="30"/>
  <c r="K98" i="30" s="1"/>
  <c r="S36" i="94"/>
  <c r="T36" i="94" s="1"/>
  <c r="T32" i="94"/>
  <c r="N88" i="34"/>
  <c r="AD62" i="9"/>
  <c r="S85" i="33"/>
  <c r="V34" i="47"/>
  <c r="AB31" i="94"/>
  <c r="X62" i="9"/>
  <c r="P85" i="33"/>
  <c r="O88" i="34"/>
  <c r="U36" i="94"/>
  <c r="V36" i="94" s="1"/>
  <c r="V32" i="94"/>
  <c r="V34" i="94"/>
  <c r="N30" i="94"/>
  <c r="U4" i="34"/>
  <c r="AG36" i="44"/>
  <c r="AH36" i="44" s="1"/>
  <c r="AH32" i="44"/>
  <c r="AH34" i="44"/>
  <c r="AH33" i="44"/>
  <c r="AI34" i="84"/>
  <c r="AJ34" i="84" s="1"/>
  <c r="AJ28" i="84"/>
  <c r="V8" i="34"/>
  <c r="K31" i="50"/>
  <c r="S6" i="30"/>
  <c r="S8" i="31"/>
  <c r="S95" i="31" s="1"/>
  <c r="V66" i="45"/>
  <c r="O13" i="33"/>
  <c r="K103" i="31"/>
  <c r="AA38" i="85"/>
  <c r="AB38" i="85" s="1"/>
  <c r="J66" i="52"/>
  <c r="P11" i="30"/>
  <c r="P98" i="30" s="1"/>
  <c r="Y72" i="60"/>
  <c r="Z72" i="60" s="1"/>
  <c r="Q17" i="34"/>
  <c r="Q104" i="34" s="1"/>
  <c r="Z67" i="60"/>
  <c r="J19" i="34"/>
  <c r="J106" i="34" s="1"/>
  <c r="K71" i="62"/>
  <c r="L71" i="62" s="1"/>
  <c r="L67" i="62"/>
  <c r="L68" i="62"/>
  <c r="AE72" i="53"/>
  <c r="AF72" i="53" s="1"/>
  <c r="AF68" i="53"/>
  <c r="T16" i="34"/>
  <c r="T103" i="34" s="1"/>
  <c r="AF67" i="53"/>
  <c r="R69" i="45"/>
  <c r="M13" i="30"/>
  <c r="M100" i="30" s="1"/>
  <c r="S72" i="52"/>
  <c r="T72" i="52" s="1"/>
  <c r="N15" i="34"/>
  <c r="N102" i="34" s="1"/>
  <c r="T66" i="52"/>
  <c r="T67" i="52"/>
  <c r="T65" i="52"/>
  <c r="AN65" i="45"/>
  <c r="H69" i="48"/>
  <c r="H14" i="30"/>
  <c r="H101" i="30" s="1"/>
  <c r="U14" i="34"/>
  <c r="U101" i="34" s="1"/>
  <c r="AG73" i="48"/>
  <c r="AH73" i="48" s="1"/>
  <c r="AH67" i="48"/>
  <c r="AH68" i="48"/>
  <c r="AA72" i="61"/>
  <c r="AB72" i="61" s="1"/>
  <c r="AB67" i="61"/>
  <c r="R18" i="34"/>
  <c r="R105" i="34" s="1"/>
  <c r="AD66" i="63"/>
  <c r="AA72" i="45"/>
  <c r="AB72" i="45" s="1"/>
  <c r="AB67" i="45"/>
  <c r="R13" i="34"/>
  <c r="R100" i="34" s="1"/>
  <c r="AB65" i="45"/>
  <c r="AB68" i="45"/>
  <c r="AN69" i="52"/>
  <c r="AJ69" i="62"/>
  <c r="V19" i="30"/>
  <c r="V106" i="30" s="1"/>
  <c r="J65" i="63"/>
  <c r="Q31" i="88"/>
  <c r="R31" i="88" s="1"/>
  <c r="M21" i="34"/>
  <c r="AD66" i="62"/>
  <c r="S19" i="33"/>
  <c r="M20" i="34"/>
  <c r="M107" i="34" s="1"/>
  <c r="Q72" i="63"/>
  <c r="R72" i="63" s="1"/>
  <c r="R67" i="63"/>
  <c r="R68" i="63"/>
  <c r="X33" i="80"/>
  <c r="X32" i="80"/>
  <c r="L19" i="68"/>
  <c r="K19" i="68" s="1"/>
  <c r="E25" i="30"/>
  <c r="X30" i="80"/>
  <c r="F67" i="81"/>
  <c r="K59" i="33"/>
  <c r="AH33" i="78"/>
  <c r="L31" i="95"/>
  <c r="E67" i="33"/>
  <c r="Z35" i="78"/>
  <c r="N39" i="67"/>
  <c r="Q107" i="31"/>
  <c r="P96" i="30"/>
  <c r="R84" i="33"/>
  <c r="S84" i="30"/>
  <c r="S92" i="30" s="1"/>
  <c r="Z31" i="44"/>
  <c r="Q4" i="33"/>
  <c r="AM67" i="9"/>
  <c r="AN67" i="9" s="1"/>
  <c r="AN63" i="9"/>
  <c r="X85" i="34"/>
  <c r="AN64" i="9"/>
  <c r="W86" i="34"/>
  <c r="AN61" i="9"/>
  <c r="H86" i="30"/>
  <c r="H49" i="8"/>
  <c r="I5" i="33"/>
  <c r="R8" i="33"/>
  <c r="AB27" i="84"/>
  <c r="E72" i="45"/>
  <c r="F72" i="45" s="1"/>
  <c r="F68" i="45"/>
  <c r="G13" i="34"/>
  <c r="G100" i="34" s="1"/>
  <c r="F67" i="45"/>
  <c r="I6" i="30"/>
  <c r="F66" i="45"/>
  <c r="G13" i="33"/>
  <c r="R65" i="60"/>
  <c r="T68" i="59"/>
  <c r="T10" i="30"/>
  <c r="T97" i="30" s="1"/>
  <c r="J65" i="59"/>
  <c r="P69" i="60"/>
  <c r="AN69" i="45"/>
  <c r="X65" i="45"/>
  <c r="P66" i="53"/>
  <c r="L16" i="33"/>
  <c r="J18" i="34"/>
  <c r="J105" i="34" s="1"/>
  <c r="K72" i="61"/>
  <c r="L72" i="61" s="1"/>
  <c r="L67" i="61"/>
  <c r="AL65" i="61"/>
  <c r="F66" i="81"/>
  <c r="J35" i="67"/>
  <c r="J37" i="67"/>
  <c r="J39" i="67"/>
  <c r="Q97" i="32"/>
  <c r="L94" i="30"/>
  <c r="J61" i="9"/>
  <c r="H45" i="8"/>
  <c r="M88" i="34"/>
  <c r="Q36" i="94"/>
  <c r="R36" i="94" s="1"/>
  <c r="R32" i="94"/>
  <c r="B273" i="2"/>
  <c r="B278" i="2"/>
  <c r="C263" i="2"/>
  <c r="C262" i="2"/>
  <c r="C264" i="2"/>
  <c r="C266" i="2"/>
  <c r="P91" i="30"/>
  <c r="I6" i="31"/>
  <c r="V46" i="8"/>
  <c r="N85" i="33"/>
  <c r="N107" i="33" s="1"/>
  <c r="T62" i="9"/>
  <c r="O37" i="47"/>
  <c r="P37" i="47" s="1"/>
  <c r="L5" i="34"/>
  <c r="P34" i="47"/>
  <c r="P33" i="47"/>
  <c r="AL61" i="9"/>
  <c r="AF61" i="9"/>
  <c r="H48" i="8"/>
  <c r="R4" i="33"/>
  <c r="AB31" i="44"/>
  <c r="X32" i="47"/>
  <c r="V31" i="94"/>
  <c r="O88" i="33"/>
  <c r="L93" i="30"/>
  <c r="M8" i="30"/>
  <c r="E34" i="84"/>
  <c r="F34" i="84" s="1"/>
  <c r="G8" i="34"/>
  <c r="T65" i="45"/>
  <c r="L65" i="61"/>
  <c r="AD66" i="45"/>
  <c r="S13" i="33"/>
  <c r="Z65" i="60"/>
  <c r="H65" i="59"/>
  <c r="U71" i="59"/>
  <c r="V71" i="59" s="1"/>
  <c r="V69" i="59"/>
  <c r="V67" i="59"/>
  <c r="J65" i="52"/>
  <c r="AD69" i="61"/>
  <c r="G12" i="30"/>
  <c r="W12" i="30"/>
  <c r="Z69" i="60"/>
  <c r="Y72" i="45"/>
  <c r="Z72" i="45" s="1"/>
  <c r="Q13" i="34"/>
  <c r="Q100" i="34" s="1"/>
  <c r="Z68" i="45"/>
  <c r="Z67" i="45"/>
  <c r="R15" i="34"/>
  <c r="R102" i="34" s="1"/>
  <c r="AA72" i="52"/>
  <c r="AB72" i="52" s="1"/>
  <c r="AB65" i="52"/>
  <c r="AB66" i="52"/>
  <c r="AB67" i="52"/>
  <c r="N28" i="88"/>
  <c r="J69" i="48"/>
  <c r="I14" i="30"/>
  <c r="I101" i="30" s="1"/>
  <c r="H65" i="53"/>
  <c r="I19" i="30"/>
  <c r="I106" i="30" s="1"/>
  <c r="J69" i="62"/>
  <c r="AL65" i="63"/>
  <c r="AN69" i="59"/>
  <c r="L15" i="30"/>
  <c r="L102" i="30" s="1"/>
  <c r="P69" i="52"/>
  <c r="T69" i="52"/>
  <c r="J66" i="62"/>
  <c r="I19" i="33"/>
  <c r="I106" i="33" s="1"/>
  <c r="V68" i="61"/>
  <c r="AD68" i="63"/>
  <c r="T34" i="78"/>
  <c r="F65" i="62"/>
  <c r="J80" i="64"/>
  <c r="E81" i="33"/>
  <c r="K31" i="68"/>
  <c r="K32" i="68"/>
  <c r="U76" i="28" s="1"/>
  <c r="F49" i="96"/>
  <c r="P34" i="78"/>
  <c r="L62" i="33"/>
  <c r="J37" i="78"/>
  <c r="T30" i="95"/>
  <c r="L96" i="32"/>
  <c r="J104" i="30"/>
  <c r="T96" i="30"/>
  <c r="AB61" i="9"/>
  <c r="N49" i="8"/>
  <c r="K86" i="30"/>
  <c r="V32" i="47"/>
  <c r="AH30" i="94"/>
  <c r="S93" i="31"/>
  <c r="J6" i="33"/>
  <c r="K6" i="30"/>
  <c r="AF29" i="84"/>
  <c r="O8" i="31"/>
  <c r="O95" i="31" s="1"/>
  <c r="Q96" i="32"/>
  <c r="T30" i="87"/>
  <c r="N11" i="30"/>
  <c r="AB66" i="61"/>
  <c r="AH65" i="45"/>
  <c r="AH66" i="48"/>
  <c r="W73" i="48"/>
  <c r="X73" i="48" s="1"/>
  <c r="X68" i="48"/>
  <c r="P14" i="34"/>
  <c r="P101" i="34" s="1"/>
  <c r="X66" i="48"/>
  <c r="X67" i="48"/>
  <c r="X65" i="48"/>
  <c r="V69" i="60"/>
  <c r="L68" i="61"/>
  <c r="O71" i="59"/>
  <c r="P71" i="59" s="1"/>
  <c r="P67" i="59"/>
  <c r="Q72" i="52"/>
  <c r="R72" i="52" s="1"/>
  <c r="R68" i="52"/>
  <c r="R67" i="52"/>
  <c r="M15" i="34"/>
  <c r="M102" i="34" s="1"/>
  <c r="AF29" i="88"/>
  <c r="N27" i="88"/>
  <c r="V68" i="60"/>
  <c r="F66" i="61"/>
  <c r="G18" i="33"/>
  <c r="U36" i="44"/>
  <c r="V36" i="44" s="1"/>
  <c r="V32" i="44"/>
  <c r="O4" i="34"/>
  <c r="W4" i="31"/>
  <c r="X33" i="44"/>
  <c r="P4" i="31"/>
  <c r="O36" i="44"/>
  <c r="P36" i="44" s="1"/>
  <c r="L4" i="34"/>
  <c r="J27" i="84"/>
  <c r="I8" i="33"/>
  <c r="AL27" i="84"/>
  <c r="W8" i="33"/>
  <c r="N10" i="33"/>
  <c r="P6" i="31"/>
  <c r="J8" i="33"/>
  <c r="L27" i="84"/>
  <c r="X29" i="84"/>
  <c r="P8" i="31"/>
  <c r="K10" i="31"/>
  <c r="R50" i="66"/>
  <c r="X27" i="84"/>
  <c r="P8" i="33"/>
  <c r="V30" i="47"/>
  <c r="AH31" i="47"/>
  <c r="U5" i="33"/>
  <c r="H30" i="47"/>
  <c r="M9" i="33"/>
  <c r="I9" i="33"/>
  <c r="M12" i="33"/>
  <c r="N10" i="31"/>
  <c r="N97" i="31" s="1"/>
  <c r="P27" i="84"/>
  <c r="L8" i="33"/>
  <c r="W9" i="33"/>
  <c r="S11" i="33"/>
  <c r="E31" i="88"/>
  <c r="F31" i="88" s="1"/>
  <c r="F28" i="88"/>
  <c r="G21" i="34"/>
  <c r="N25" i="88"/>
  <c r="G36" i="44"/>
  <c r="H36" i="44" s="1"/>
  <c r="H32" i="44"/>
  <c r="H4" i="34"/>
  <c r="J27" i="88"/>
  <c r="Z27" i="88"/>
  <c r="P84" i="31"/>
  <c r="P97" i="31" s="1"/>
  <c r="B239" i="2"/>
  <c r="K5" i="33"/>
  <c r="N5" i="32"/>
  <c r="N92" i="32" s="1"/>
  <c r="N4" i="31"/>
  <c r="N91" i="31" s="1"/>
  <c r="T33" i="44"/>
  <c r="I4" i="33"/>
  <c r="F27" i="84"/>
  <c r="G8" i="33"/>
  <c r="P29" i="84"/>
  <c r="L8" i="31"/>
  <c r="L95" i="31" s="1"/>
  <c r="R25" i="88"/>
  <c r="L32" i="47"/>
  <c r="J5" i="32"/>
  <c r="J92" i="32" s="1"/>
  <c r="P5" i="33"/>
  <c r="X31" i="47"/>
  <c r="I10" i="31"/>
  <c r="V12" i="32"/>
  <c r="V99" i="32" s="1"/>
  <c r="F34" i="68"/>
  <c r="F35" i="68"/>
  <c r="G61" i="34"/>
  <c r="AJ28" i="86" l="1"/>
  <c r="AM28" i="86"/>
  <c r="H28" i="86"/>
  <c r="W39" i="83"/>
  <c r="X39" i="83" s="1"/>
  <c r="W25" i="87"/>
  <c r="P11" i="34" s="1"/>
  <c r="K26" i="86"/>
  <c r="L29" i="86" s="1"/>
  <c r="P32" i="83"/>
  <c r="X35" i="83"/>
  <c r="P35" i="83"/>
  <c r="X36" i="83"/>
  <c r="X32" i="83"/>
  <c r="AJ34" i="47"/>
  <c r="AG25" i="87"/>
  <c r="U11" i="34" s="1"/>
  <c r="F29" i="84"/>
  <c r="AK25" i="87"/>
  <c r="AL26" i="87" s="1"/>
  <c r="T31" i="94"/>
  <c r="AL30" i="84"/>
  <c r="T33" i="94"/>
  <c r="K25" i="87"/>
  <c r="K33" i="87" s="1"/>
  <c r="L33" i="87" s="1"/>
  <c r="AJ31" i="47"/>
  <c r="AJ30" i="47"/>
  <c r="AJ32" i="47"/>
  <c r="J28" i="84"/>
  <c r="F62" i="9"/>
  <c r="T29" i="84"/>
  <c r="T26" i="84"/>
  <c r="T28" i="84"/>
  <c r="J26" i="84"/>
  <c r="O86" i="34"/>
  <c r="F64" i="9"/>
  <c r="L62" i="9"/>
  <c r="Q25" i="87"/>
  <c r="J85" i="34"/>
  <c r="K21" i="34"/>
  <c r="T31" i="44"/>
  <c r="M31" i="88"/>
  <c r="N31" i="88" s="1"/>
  <c r="J29" i="84"/>
  <c r="N4" i="34"/>
  <c r="J30" i="84"/>
  <c r="S34" i="84"/>
  <c r="T34" i="84" s="1"/>
  <c r="AF31" i="47"/>
  <c r="T26" i="88"/>
  <c r="V48" i="8"/>
  <c r="G85" i="34"/>
  <c r="AB29" i="85"/>
  <c r="AF30" i="47"/>
  <c r="R33" i="44"/>
  <c r="Q36" i="44"/>
  <c r="R36" i="44" s="1"/>
  <c r="L63" i="9"/>
  <c r="T34" i="44"/>
  <c r="V52" i="8"/>
  <c r="F61" i="9"/>
  <c r="N8" i="34"/>
  <c r="AC25" i="87"/>
  <c r="S11" i="34" s="1"/>
  <c r="R34" i="44"/>
  <c r="L64" i="9"/>
  <c r="Z31" i="47"/>
  <c r="R12" i="34"/>
  <c r="V56" i="112"/>
  <c r="J26" i="88"/>
  <c r="E25" i="87"/>
  <c r="F28" i="87" s="1"/>
  <c r="I21" i="34"/>
  <c r="J28" i="86"/>
  <c r="AN32" i="83"/>
  <c r="AM28" i="85"/>
  <c r="AM38" i="85" s="1"/>
  <c r="AN38" i="85" s="1"/>
  <c r="AN34" i="47"/>
  <c r="P30" i="86"/>
  <c r="I25" i="87"/>
  <c r="AI25" i="87"/>
  <c r="L85" i="34"/>
  <c r="L108" i="34" s="1"/>
  <c r="P63" i="9"/>
  <c r="AD30" i="86"/>
  <c r="AN30" i="47"/>
  <c r="AN32" i="47"/>
  <c r="AN31" i="47"/>
  <c r="Y29" i="50"/>
  <c r="Q6" i="33" s="1"/>
  <c r="AG28" i="50"/>
  <c r="L99" i="33"/>
  <c r="J25" i="88"/>
  <c r="N55" i="112"/>
  <c r="R59" i="112"/>
  <c r="R55" i="112"/>
  <c r="P27" i="86"/>
  <c r="N56" i="112"/>
  <c r="H56" i="112"/>
  <c r="AM26" i="86"/>
  <c r="X12" i="34" s="1"/>
  <c r="M30" i="68"/>
  <c r="J32" i="85"/>
  <c r="AF27" i="88"/>
  <c r="AF32" i="85"/>
  <c r="I9" i="34"/>
  <c r="AF25" i="88"/>
  <c r="F29" i="87"/>
  <c r="H32" i="83"/>
  <c r="T55" i="112"/>
  <c r="V59" i="112"/>
  <c r="L59" i="112"/>
  <c r="L27" i="88"/>
  <c r="H36" i="83"/>
  <c r="AI36" i="44"/>
  <c r="AJ36" i="44" s="1"/>
  <c r="AE38" i="85"/>
  <c r="AF38" i="85" s="1"/>
  <c r="AB30" i="86"/>
  <c r="G98" i="31"/>
  <c r="AF56" i="112"/>
  <c r="L55" i="112"/>
  <c r="J33" i="83"/>
  <c r="AF33" i="85"/>
  <c r="AE31" i="88"/>
  <c r="AF31" i="88" s="1"/>
  <c r="G39" i="83"/>
  <c r="H39" i="83" s="1"/>
  <c r="AL33" i="44"/>
  <c r="T21" i="34"/>
  <c r="O8" i="34"/>
  <c r="AB31" i="86"/>
  <c r="T10" i="34"/>
  <c r="J110" i="34"/>
  <c r="V34" i="83"/>
  <c r="AF26" i="88"/>
  <c r="L56" i="112"/>
  <c r="T56" i="112"/>
  <c r="T59" i="112"/>
  <c r="J56" i="112"/>
  <c r="AH30" i="44"/>
  <c r="AL16" i="50"/>
  <c r="AK16" i="50" s="1"/>
  <c r="J55" i="112"/>
  <c r="Q33" i="68"/>
  <c r="R33" i="68" s="1"/>
  <c r="F58" i="112"/>
  <c r="E61" i="112"/>
  <c r="F61" i="112" s="1"/>
  <c r="F62" i="112"/>
  <c r="F57" i="112"/>
  <c r="O61" i="112"/>
  <c r="P61" i="112" s="1"/>
  <c r="P62" i="112"/>
  <c r="P57" i="112"/>
  <c r="AM27" i="87"/>
  <c r="AM26" i="87"/>
  <c r="P55" i="112"/>
  <c r="H58" i="112"/>
  <c r="H62" i="112"/>
  <c r="G61" i="112"/>
  <c r="H61" i="112" s="1"/>
  <c r="H57" i="112"/>
  <c r="P56" i="112"/>
  <c r="AN34" i="44"/>
  <c r="AN32" i="44"/>
  <c r="AM36" i="44"/>
  <c r="AN36" i="44" s="1"/>
  <c r="P29" i="86"/>
  <c r="J35" i="83"/>
  <c r="H28" i="88"/>
  <c r="P31" i="86"/>
  <c r="N108" i="34"/>
  <c r="I39" i="83"/>
  <c r="J39" i="83" s="1"/>
  <c r="E33" i="87"/>
  <c r="F33" i="87" s="1"/>
  <c r="U39" i="83"/>
  <c r="V39" i="83" s="1"/>
  <c r="V32" i="83"/>
  <c r="H26" i="88"/>
  <c r="AN16" i="50"/>
  <c r="AM16" i="50" s="1"/>
  <c r="AM30" i="50" s="1"/>
  <c r="AF57" i="112"/>
  <c r="AE61" i="112"/>
  <c r="AF61" i="112" s="1"/>
  <c r="AF62" i="112"/>
  <c r="AF58" i="112"/>
  <c r="AM30" i="44"/>
  <c r="AN30" i="44" s="1"/>
  <c r="AM31" i="44"/>
  <c r="AN31" i="44" s="1"/>
  <c r="AM28" i="51"/>
  <c r="AM29" i="51"/>
  <c r="AM27" i="51"/>
  <c r="AM25" i="87"/>
  <c r="AN33" i="44"/>
  <c r="Z30" i="85"/>
  <c r="Z33" i="85"/>
  <c r="H25" i="88"/>
  <c r="H27" i="88"/>
  <c r="O34" i="86"/>
  <c r="P34" i="86" s="1"/>
  <c r="F30" i="87"/>
  <c r="AA25" i="87"/>
  <c r="AA33" i="87" s="1"/>
  <c r="AB33" i="87" s="1"/>
  <c r="K31" i="83"/>
  <c r="L35" i="83" s="1"/>
  <c r="J32" i="83"/>
  <c r="V33" i="83"/>
  <c r="T30" i="44"/>
  <c r="P28" i="86"/>
  <c r="H16" i="50"/>
  <c r="G16" i="50" s="1"/>
  <c r="G30" i="50" s="1"/>
  <c r="H6" i="32" s="1"/>
  <c r="H93" i="32" s="1"/>
  <c r="F16" i="50"/>
  <c r="E16" i="50" s="1"/>
  <c r="AM26" i="84"/>
  <c r="AM27" i="84"/>
  <c r="AF55" i="112"/>
  <c r="R56" i="112"/>
  <c r="AM25" i="84"/>
  <c r="AN29" i="84" s="1"/>
  <c r="AF59" i="112"/>
  <c r="F56" i="112"/>
  <c r="V55" i="112"/>
  <c r="AN30" i="87"/>
  <c r="P58" i="112"/>
  <c r="AN31" i="86"/>
  <c r="I61" i="112"/>
  <c r="J61" i="112" s="1"/>
  <c r="J57" i="112"/>
  <c r="J62" i="112"/>
  <c r="J58" i="112"/>
  <c r="L62" i="112"/>
  <c r="L57" i="112"/>
  <c r="K61" i="112"/>
  <c r="L61" i="112" s="1"/>
  <c r="L58" i="112"/>
  <c r="AN31" i="85"/>
  <c r="H29" i="88"/>
  <c r="V35" i="83"/>
  <c r="Z32" i="85"/>
  <c r="O9" i="34"/>
  <c r="G25" i="87"/>
  <c r="H29" i="87" s="1"/>
  <c r="T57" i="112"/>
  <c r="S61" i="112"/>
  <c r="T61" i="112" s="1"/>
  <c r="T62" i="112"/>
  <c r="H55" i="112"/>
  <c r="R62" i="112"/>
  <c r="Q61" i="112"/>
  <c r="R61" i="112" s="1"/>
  <c r="R57" i="112"/>
  <c r="N59" i="112"/>
  <c r="N62" i="112"/>
  <c r="M61" i="112"/>
  <c r="N61" i="112" s="1"/>
  <c r="N57" i="112"/>
  <c r="F55" i="112"/>
  <c r="AM29" i="50"/>
  <c r="AM28" i="50"/>
  <c r="T58" i="112"/>
  <c r="V62" i="112"/>
  <c r="V57" i="112"/>
  <c r="U61" i="112"/>
  <c r="V61" i="112" s="1"/>
  <c r="H59" i="112"/>
  <c r="AN33" i="83"/>
  <c r="AN36" i="83"/>
  <c r="AN34" i="83"/>
  <c r="AM39" i="83"/>
  <c r="AN39" i="83" s="1"/>
  <c r="O80" i="64"/>
  <c r="U82" i="28" s="1"/>
  <c r="O79" i="64"/>
  <c r="Q27" i="87"/>
  <c r="M11" i="33" s="1"/>
  <c r="U33" i="28"/>
  <c r="X33" i="28"/>
  <c r="R30" i="87"/>
  <c r="R28" i="87"/>
  <c r="R29" i="87"/>
  <c r="M11" i="34"/>
  <c r="R26" i="87"/>
  <c r="Q33" i="87"/>
  <c r="R33" i="87" s="1"/>
  <c r="O29" i="51"/>
  <c r="O27" i="51"/>
  <c r="O28" i="51"/>
  <c r="AJ26" i="87"/>
  <c r="Q27" i="51"/>
  <c r="Q28" i="51"/>
  <c r="Q29" i="51"/>
  <c r="AE28" i="51"/>
  <c r="AE27" i="51"/>
  <c r="AE29" i="51"/>
  <c r="W29" i="51"/>
  <c r="W27" i="51"/>
  <c r="X16" i="50"/>
  <c r="W16" i="50" s="1"/>
  <c r="W30" i="50" s="1"/>
  <c r="P6" i="32" s="1"/>
  <c r="P93" i="32" s="1"/>
  <c r="R16" i="50"/>
  <c r="Q16" i="50" s="1"/>
  <c r="V16" i="50"/>
  <c r="U16" i="50" s="1"/>
  <c r="U27" i="50" s="1"/>
  <c r="K28" i="51"/>
  <c r="K27" i="51"/>
  <c r="J26" i="87"/>
  <c r="H29" i="65"/>
  <c r="G29" i="65" s="1"/>
  <c r="G39" i="65" s="1"/>
  <c r="E33" i="31" s="1"/>
  <c r="Z30" i="47"/>
  <c r="H9" i="34"/>
  <c r="J29" i="87"/>
  <c r="Y37" i="47"/>
  <c r="Z37" i="47" s="1"/>
  <c r="S33" i="87"/>
  <c r="T33" i="87" s="1"/>
  <c r="H33" i="83"/>
  <c r="Z31" i="85"/>
  <c r="E38" i="85"/>
  <c r="F38" i="85" s="1"/>
  <c r="AB32" i="85"/>
  <c r="T26" i="87"/>
  <c r="AL34" i="44"/>
  <c r="AK36" i="44"/>
  <c r="AL36" i="44" s="1"/>
  <c r="X60" i="28"/>
  <c r="J30" i="87"/>
  <c r="I33" i="87"/>
  <c r="J33" i="87" s="1"/>
  <c r="Z33" i="47"/>
  <c r="T28" i="87"/>
  <c r="N11" i="34"/>
  <c r="Y38" i="85"/>
  <c r="Z38" i="85" s="1"/>
  <c r="H35" i="83"/>
  <c r="Z29" i="85"/>
  <c r="R10" i="34"/>
  <c r="I11" i="34"/>
  <c r="Z32" i="47"/>
  <c r="AB33" i="85"/>
  <c r="X31" i="28"/>
  <c r="AB30" i="85"/>
  <c r="T59" i="28"/>
  <c r="T58" i="28"/>
  <c r="W60" i="28"/>
  <c r="D8" i="99"/>
  <c r="D18" i="99" s="1"/>
  <c r="D20" i="99" s="1"/>
  <c r="B21" i="99" s="1"/>
  <c r="V26" i="66"/>
  <c r="O71" i="64"/>
  <c r="P62" i="64"/>
  <c r="P67" i="64" s="1"/>
  <c r="O67" i="64" s="1"/>
  <c r="O82" i="64" s="1"/>
  <c r="U45" i="66"/>
  <c r="V39" i="66"/>
  <c r="V45" i="66" s="1"/>
  <c r="W110" i="33"/>
  <c r="M29" i="51"/>
  <c r="M28" i="51"/>
  <c r="M27" i="51"/>
  <c r="AK30" i="50"/>
  <c r="AK27" i="50"/>
  <c r="M29" i="50"/>
  <c r="M28" i="50"/>
  <c r="AD16" i="50"/>
  <c r="AC16" i="50" s="1"/>
  <c r="G29" i="51"/>
  <c r="G27" i="51"/>
  <c r="G28" i="51"/>
  <c r="Y28" i="51"/>
  <c r="Y27" i="51"/>
  <c r="Y29" i="51"/>
  <c r="AC29" i="51"/>
  <c r="AC27" i="51"/>
  <c r="AC28" i="51"/>
  <c r="AA28" i="51"/>
  <c r="AA27" i="51"/>
  <c r="AA29" i="51"/>
  <c r="I29" i="51"/>
  <c r="I27" i="51"/>
  <c r="I28" i="51"/>
  <c r="AJ16" i="50"/>
  <c r="AI16" i="50" s="1"/>
  <c r="AH16" i="50"/>
  <c r="AG16" i="50" s="1"/>
  <c r="U29" i="51"/>
  <c r="U28" i="51"/>
  <c r="U27" i="51"/>
  <c r="Z16" i="50"/>
  <c r="Y16" i="50" s="1"/>
  <c r="Y27" i="87"/>
  <c r="Y26" i="87"/>
  <c r="U29" i="87"/>
  <c r="U25" i="87"/>
  <c r="M27" i="87"/>
  <c r="M26" i="87"/>
  <c r="M25" i="87"/>
  <c r="S29" i="51"/>
  <c r="N7" i="33" s="1"/>
  <c r="N94" i="33" s="1"/>
  <c r="S27" i="51"/>
  <c r="S28" i="51"/>
  <c r="E29" i="51"/>
  <c r="E28" i="51"/>
  <c r="E27" i="51"/>
  <c r="AK29" i="50"/>
  <c r="AK28" i="50"/>
  <c r="T16" i="50"/>
  <c r="S16" i="50" s="1"/>
  <c r="AG27" i="51"/>
  <c r="AG29" i="51"/>
  <c r="AG28" i="51"/>
  <c r="P16" i="50"/>
  <c r="O16" i="50" s="1"/>
  <c r="AB16" i="50"/>
  <c r="AA16" i="50" s="1"/>
  <c r="N16" i="50"/>
  <c r="M16" i="50" s="1"/>
  <c r="AI29" i="51"/>
  <c r="V7" i="33" s="1"/>
  <c r="V94" i="33" s="1"/>
  <c r="AI28" i="51"/>
  <c r="AI27" i="51"/>
  <c r="J16" i="50"/>
  <c r="I16" i="50" s="1"/>
  <c r="AF16" i="50"/>
  <c r="AE16" i="50" s="1"/>
  <c r="L16" i="50"/>
  <c r="K16" i="50" s="1"/>
  <c r="AK29" i="51"/>
  <c r="AK28" i="51"/>
  <c r="AK27" i="51"/>
  <c r="Y25" i="87"/>
  <c r="L4" i="31"/>
  <c r="L91" i="31" s="1"/>
  <c r="AF30" i="85"/>
  <c r="Z26" i="84"/>
  <c r="AB27" i="88"/>
  <c r="N26" i="88"/>
  <c r="J34" i="47"/>
  <c r="U75" i="28"/>
  <c r="U79" i="28" s="1"/>
  <c r="T98" i="33"/>
  <c r="AB26" i="88"/>
  <c r="M4" i="34"/>
  <c r="T25" i="88"/>
  <c r="J58" i="35"/>
  <c r="R32" i="47"/>
  <c r="H29" i="84"/>
  <c r="K31" i="88"/>
  <c r="L31" i="88" s="1"/>
  <c r="J21" i="34"/>
  <c r="J108" i="34" s="1"/>
  <c r="Q37" i="47"/>
  <c r="R37" i="47" s="1"/>
  <c r="L28" i="88"/>
  <c r="L29" i="88"/>
  <c r="H6" i="33"/>
  <c r="V29" i="84"/>
  <c r="J31" i="85"/>
  <c r="H28" i="84"/>
  <c r="J33" i="85"/>
  <c r="H26" i="84"/>
  <c r="I38" i="85"/>
  <c r="J38" i="85" s="1"/>
  <c r="H27" i="84"/>
  <c r="J32" i="44"/>
  <c r="H29" i="85"/>
  <c r="H8" i="34"/>
  <c r="AD33" i="44"/>
  <c r="V26" i="84"/>
  <c r="I10" i="34"/>
  <c r="AD32" i="44"/>
  <c r="G34" i="84"/>
  <c r="H34" i="84" s="1"/>
  <c r="J30" i="85"/>
  <c r="T32" i="85"/>
  <c r="Q21" i="33"/>
  <c r="Q108" i="33" s="1"/>
  <c r="AL31" i="44"/>
  <c r="P31" i="47"/>
  <c r="T95" i="33"/>
  <c r="AE39" i="83"/>
  <c r="AF39" i="83" s="1"/>
  <c r="N5" i="34"/>
  <c r="W4" i="34"/>
  <c r="J11" i="34"/>
  <c r="K38" i="85"/>
  <c r="L38" i="85" s="1"/>
  <c r="AL32" i="44"/>
  <c r="AH26" i="84"/>
  <c r="L30" i="85"/>
  <c r="L10" i="34"/>
  <c r="F27" i="87"/>
  <c r="S39" i="83"/>
  <c r="T39" i="83" s="1"/>
  <c r="R31" i="44"/>
  <c r="P26" i="88"/>
  <c r="X28" i="87"/>
  <c r="AF31" i="44"/>
  <c r="T81" i="28"/>
  <c r="U31" i="88"/>
  <c r="V31" i="88" s="1"/>
  <c r="X30" i="85"/>
  <c r="AE37" i="47"/>
  <c r="AF37" i="47" s="1"/>
  <c r="AF33" i="47"/>
  <c r="AD27" i="86"/>
  <c r="AL33" i="47"/>
  <c r="V26" i="88"/>
  <c r="V27" i="88"/>
  <c r="U10" i="34"/>
  <c r="U9" i="34"/>
  <c r="S21" i="34"/>
  <c r="S108" i="34" s="1"/>
  <c r="AC34" i="84"/>
  <c r="AD34" i="84" s="1"/>
  <c r="E39" i="83"/>
  <c r="F39" i="83" s="1"/>
  <c r="W33" i="87"/>
  <c r="X33" i="87" s="1"/>
  <c r="F31" i="86"/>
  <c r="V35" i="28"/>
  <c r="V38" i="28" s="1"/>
  <c r="R10" i="33"/>
  <c r="R97" i="33" s="1"/>
  <c r="W11" i="34"/>
  <c r="R26" i="88"/>
  <c r="G21" i="33"/>
  <c r="G108" i="33" s="1"/>
  <c r="R21" i="33"/>
  <c r="R108" i="33" s="1"/>
  <c r="W21" i="34"/>
  <c r="W108" i="34" s="1"/>
  <c r="AB28" i="88"/>
  <c r="R21" i="34"/>
  <c r="R108" i="34" s="1"/>
  <c r="W31" i="88"/>
  <c r="X31" i="88" s="1"/>
  <c r="AD34" i="47"/>
  <c r="V31" i="86"/>
  <c r="AA31" i="88"/>
  <c r="AB31" i="88" s="1"/>
  <c r="AL27" i="88"/>
  <c r="AL30" i="87"/>
  <c r="X10" i="34"/>
  <c r="O106" i="33"/>
  <c r="AL27" i="87"/>
  <c r="AD30" i="47"/>
  <c r="AC37" i="47"/>
  <c r="AD37" i="47" s="1"/>
  <c r="X25" i="88"/>
  <c r="AB25" i="88"/>
  <c r="AF32" i="83"/>
  <c r="S4" i="34"/>
  <c r="H33" i="85"/>
  <c r="AG34" i="84"/>
  <c r="AH34" i="84" s="1"/>
  <c r="V31" i="85"/>
  <c r="H10" i="34"/>
  <c r="H31" i="85"/>
  <c r="P30" i="87"/>
  <c r="I5" i="34"/>
  <c r="AD31" i="86"/>
  <c r="AD29" i="86"/>
  <c r="AC36" i="44"/>
  <c r="AD36" i="44" s="1"/>
  <c r="S12" i="34"/>
  <c r="H30" i="85"/>
  <c r="G38" i="85"/>
  <c r="H38" i="85" s="1"/>
  <c r="AD30" i="44"/>
  <c r="X31" i="86"/>
  <c r="AD31" i="44"/>
  <c r="M12" i="34"/>
  <c r="AC34" i="86"/>
  <c r="AD34" i="86" s="1"/>
  <c r="AF29" i="85"/>
  <c r="AK37" i="47"/>
  <c r="AL37" i="47" s="1"/>
  <c r="X32" i="85"/>
  <c r="AH33" i="85"/>
  <c r="AC31" i="88"/>
  <c r="AD31" i="88" s="1"/>
  <c r="N9" i="34"/>
  <c r="F30" i="85"/>
  <c r="V30" i="84"/>
  <c r="AH32" i="85"/>
  <c r="Z58" i="35"/>
  <c r="F33" i="83"/>
  <c r="F36" i="83"/>
  <c r="U34" i="84"/>
  <c r="V34" i="84" s="1"/>
  <c r="AH34" i="83"/>
  <c r="P29" i="85"/>
  <c r="W5" i="34"/>
  <c r="O38" i="85"/>
  <c r="P38" i="85" s="1"/>
  <c r="X29" i="87"/>
  <c r="Z29" i="84"/>
  <c r="AH30" i="85"/>
  <c r="Q8" i="34"/>
  <c r="P10" i="34"/>
  <c r="AL31" i="47"/>
  <c r="F35" i="83"/>
  <c r="F32" i="85"/>
  <c r="F34" i="83"/>
  <c r="G10" i="34"/>
  <c r="AD32" i="83"/>
  <c r="T32" i="83"/>
  <c r="F29" i="85"/>
  <c r="P32" i="85"/>
  <c r="X31" i="85"/>
  <c r="AD25" i="88"/>
  <c r="X29" i="85"/>
  <c r="AL32" i="47"/>
  <c r="X30" i="87"/>
  <c r="W100" i="33"/>
  <c r="Z61" i="35"/>
  <c r="F32" i="83"/>
  <c r="AD28" i="88"/>
  <c r="X33" i="85"/>
  <c r="F33" i="85"/>
  <c r="AD29" i="87"/>
  <c r="N12" i="34"/>
  <c r="X26" i="87"/>
  <c r="AD26" i="88"/>
  <c r="AG38" i="85"/>
  <c r="AH38" i="85" s="1"/>
  <c r="AL30" i="47"/>
  <c r="AD29" i="88"/>
  <c r="T36" i="83"/>
  <c r="R29" i="86"/>
  <c r="R28" i="86"/>
  <c r="AH29" i="84"/>
  <c r="T75" i="28"/>
  <c r="AJ30" i="86"/>
  <c r="L29" i="87"/>
  <c r="J30" i="44"/>
  <c r="AB30" i="87"/>
  <c r="U8" i="34"/>
  <c r="L27" i="87"/>
  <c r="AB28" i="87"/>
  <c r="J34" i="44"/>
  <c r="I37" i="47"/>
  <c r="J37" i="47" s="1"/>
  <c r="AJ29" i="86"/>
  <c r="J31" i="44"/>
  <c r="Z32" i="83"/>
  <c r="Q84" i="33"/>
  <c r="Q97" i="33" s="1"/>
  <c r="R30" i="86"/>
  <c r="AL36" i="83"/>
  <c r="AI34" i="86"/>
  <c r="AJ34" i="86" s="1"/>
  <c r="AL32" i="83"/>
  <c r="AB26" i="87"/>
  <c r="V25" i="88"/>
  <c r="O21" i="34"/>
  <c r="O108" i="34" s="1"/>
  <c r="L30" i="87"/>
  <c r="I36" i="44"/>
  <c r="J36" i="44" s="1"/>
  <c r="L26" i="87"/>
  <c r="L108" i="33"/>
  <c r="AM31" i="88"/>
  <c r="X21" i="34"/>
  <c r="X108" i="34" s="1"/>
  <c r="J31" i="47"/>
  <c r="Q34" i="86"/>
  <c r="R34" i="86" s="1"/>
  <c r="W9" i="34"/>
  <c r="V12" i="34"/>
  <c r="L28" i="87"/>
  <c r="J33" i="44"/>
  <c r="AH30" i="84"/>
  <c r="J30" i="47"/>
  <c r="S84" i="34"/>
  <c r="V28" i="88"/>
  <c r="AH27" i="84"/>
  <c r="J33" i="47"/>
  <c r="R31" i="68"/>
  <c r="R32" i="68"/>
  <c r="Z28" i="84"/>
  <c r="W34" i="86"/>
  <c r="X34" i="86" s="1"/>
  <c r="AD26" i="84"/>
  <c r="N30" i="47"/>
  <c r="V4" i="34"/>
  <c r="AI31" i="88"/>
  <c r="AJ31" i="88" s="1"/>
  <c r="V32" i="85"/>
  <c r="AL25" i="88"/>
  <c r="AD31" i="47"/>
  <c r="O10" i="34"/>
  <c r="V30" i="85"/>
  <c r="AL28" i="88"/>
  <c r="AJ33" i="44"/>
  <c r="AL28" i="87"/>
  <c r="N31" i="47"/>
  <c r="AD30" i="85"/>
  <c r="AD29" i="84"/>
  <c r="AJ28" i="88"/>
  <c r="T33" i="47"/>
  <c r="N10" i="34"/>
  <c r="X27" i="88"/>
  <c r="U38" i="85"/>
  <c r="V38" i="85" s="1"/>
  <c r="S5" i="34"/>
  <c r="X27" i="86"/>
  <c r="AJ34" i="44"/>
  <c r="P30" i="85"/>
  <c r="AL29" i="87"/>
  <c r="AK31" i="88"/>
  <c r="AL31" i="88" s="1"/>
  <c r="V30" i="86"/>
  <c r="X30" i="86"/>
  <c r="AK33" i="87"/>
  <c r="AL33" i="87" s="1"/>
  <c r="T32" i="47"/>
  <c r="P12" i="34"/>
  <c r="AL31" i="86"/>
  <c r="AD30" i="84"/>
  <c r="S37" i="47"/>
  <c r="T37" i="47" s="1"/>
  <c r="AL26" i="88"/>
  <c r="X28" i="88"/>
  <c r="S8" i="34"/>
  <c r="L106" i="33"/>
  <c r="Z30" i="84"/>
  <c r="T31" i="47"/>
  <c r="P21" i="34"/>
  <c r="P108" i="34" s="1"/>
  <c r="Z27" i="84"/>
  <c r="AK34" i="86"/>
  <c r="AL34" i="86" s="1"/>
  <c r="AD33" i="47"/>
  <c r="V29" i="85"/>
  <c r="AD26" i="87"/>
  <c r="I63" i="35"/>
  <c r="J63" i="35" s="1"/>
  <c r="F64" i="35"/>
  <c r="E63" i="35"/>
  <c r="F63" i="35" s="1"/>
  <c r="U68" i="28"/>
  <c r="T59" i="35"/>
  <c r="X84" i="34"/>
  <c r="P84" i="34"/>
  <c r="K9" i="34"/>
  <c r="S10" i="34"/>
  <c r="N33" i="83"/>
  <c r="N35" i="83"/>
  <c r="M39" i="83"/>
  <c r="N39" i="83" s="1"/>
  <c r="AJ26" i="88"/>
  <c r="Y34" i="84"/>
  <c r="Z34" i="84" s="1"/>
  <c r="V21" i="34"/>
  <c r="V108" i="34" s="1"/>
  <c r="N32" i="83"/>
  <c r="AH26" i="87"/>
  <c r="M5" i="34"/>
  <c r="AH61" i="35"/>
  <c r="AH57" i="35"/>
  <c r="R30" i="47"/>
  <c r="N33" i="47"/>
  <c r="I108" i="34"/>
  <c r="U84" i="34"/>
  <c r="W105" i="33"/>
  <c r="AH59" i="35"/>
  <c r="M37" i="47"/>
  <c r="N37" i="47" s="1"/>
  <c r="V5" i="33"/>
  <c r="V92" i="33" s="1"/>
  <c r="AG63" i="35"/>
  <c r="AH63" i="35" s="1"/>
  <c r="R31" i="47"/>
  <c r="R34" i="47"/>
  <c r="T84" i="34"/>
  <c r="T92" i="34" s="1"/>
  <c r="J48" i="96"/>
  <c r="U25" i="28"/>
  <c r="AB29" i="87"/>
  <c r="AB27" i="87"/>
  <c r="AH30" i="87"/>
  <c r="AH27" i="87"/>
  <c r="R11" i="33"/>
  <c r="R98" i="33" s="1"/>
  <c r="AH28" i="87"/>
  <c r="AG33" i="87"/>
  <c r="AH33" i="87" s="1"/>
  <c r="T27" i="87"/>
  <c r="AH29" i="87"/>
  <c r="AD30" i="87"/>
  <c r="AF30" i="87"/>
  <c r="AD27" i="87"/>
  <c r="AF28" i="87"/>
  <c r="AE33" i="87"/>
  <c r="AF33" i="87" s="1"/>
  <c r="AD28" i="87"/>
  <c r="AC33" i="87"/>
  <c r="AD33" i="87" s="1"/>
  <c r="P28" i="87"/>
  <c r="P27" i="87"/>
  <c r="L11" i="34"/>
  <c r="X27" i="87"/>
  <c r="J12" i="34"/>
  <c r="G12" i="34"/>
  <c r="Z27" i="86"/>
  <c r="E34" i="86"/>
  <c r="F34" i="86" s="1"/>
  <c r="F28" i="86"/>
  <c r="F30" i="86"/>
  <c r="AF27" i="86"/>
  <c r="L31" i="86"/>
  <c r="AH31" i="86"/>
  <c r="F27" i="86"/>
  <c r="H29" i="86"/>
  <c r="H12" i="34"/>
  <c r="R27" i="86"/>
  <c r="AF30" i="86"/>
  <c r="X28" i="86"/>
  <c r="N30" i="86"/>
  <c r="AL29" i="86"/>
  <c r="L27" i="86"/>
  <c r="Z29" i="86"/>
  <c r="O12" i="34"/>
  <c r="Z31" i="86"/>
  <c r="AL28" i="86"/>
  <c r="AL27" i="86"/>
  <c r="Z30" i="86"/>
  <c r="N29" i="86"/>
  <c r="AH27" i="86"/>
  <c r="L30" i="86"/>
  <c r="AG34" i="86"/>
  <c r="AH34" i="86" s="1"/>
  <c r="Y34" i="86"/>
  <c r="Z34" i="86" s="1"/>
  <c r="K12" i="34"/>
  <c r="U34" i="86"/>
  <c r="V34" i="86" s="1"/>
  <c r="AH28" i="86"/>
  <c r="J99" i="33"/>
  <c r="N27" i="86"/>
  <c r="AH30" i="86"/>
  <c r="N31" i="86"/>
  <c r="K34" i="86"/>
  <c r="L34" i="86" s="1"/>
  <c r="U12" i="34"/>
  <c r="Q12" i="34"/>
  <c r="M34" i="86"/>
  <c r="N34" i="86" s="1"/>
  <c r="V28" i="86"/>
  <c r="AL30" i="86"/>
  <c r="V27" i="86"/>
  <c r="AD33" i="85"/>
  <c r="AD32" i="85"/>
  <c r="AD31" i="85"/>
  <c r="P33" i="85"/>
  <c r="N32" i="85"/>
  <c r="R32" i="85"/>
  <c r="R31" i="85"/>
  <c r="Q38" i="85"/>
  <c r="R38" i="85" s="1"/>
  <c r="M38" i="85"/>
  <c r="N38" i="85" s="1"/>
  <c r="AL33" i="85"/>
  <c r="R33" i="85"/>
  <c r="AD29" i="85"/>
  <c r="R29" i="85"/>
  <c r="N31" i="85"/>
  <c r="L10" i="33"/>
  <c r="L97" i="33" s="1"/>
  <c r="N30" i="85"/>
  <c r="N29" i="85"/>
  <c r="AH29" i="85"/>
  <c r="M10" i="34"/>
  <c r="K10" i="34"/>
  <c r="J10" i="34"/>
  <c r="L33" i="85"/>
  <c r="L31" i="85"/>
  <c r="T30" i="85"/>
  <c r="L29" i="85"/>
  <c r="AD33" i="83"/>
  <c r="O9" i="33"/>
  <c r="AG39" i="83"/>
  <c r="AH39" i="83" s="1"/>
  <c r="AL34" i="83"/>
  <c r="T9" i="34"/>
  <c r="S9" i="34"/>
  <c r="AH36" i="83"/>
  <c r="T33" i="83"/>
  <c r="AD35" i="83"/>
  <c r="AL33" i="83"/>
  <c r="AK39" i="83"/>
  <c r="AL39" i="83" s="1"/>
  <c r="AF34" i="83"/>
  <c r="T34" i="83"/>
  <c r="AH33" i="83"/>
  <c r="AH32" i="83"/>
  <c r="N34" i="83"/>
  <c r="X58" i="35"/>
  <c r="AF61" i="35"/>
  <c r="Z57" i="35"/>
  <c r="K97" i="31"/>
  <c r="W84" i="34"/>
  <c r="W63" i="35"/>
  <c r="X63" i="35" s="1"/>
  <c r="P84" i="33"/>
  <c r="P92" i="33" s="1"/>
  <c r="P58" i="35"/>
  <c r="X60" i="35"/>
  <c r="AK63" i="35"/>
  <c r="AL63" i="35" s="1"/>
  <c r="AL58" i="35"/>
  <c r="T91" i="33"/>
  <c r="AJ30" i="44"/>
  <c r="L92" i="33"/>
  <c r="L93" i="33"/>
  <c r="I84" i="34"/>
  <c r="L84" i="34"/>
  <c r="M84" i="34"/>
  <c r="R57" i="35"/>
  <c r="R61" i="35"/>
  <c r="F61" i="35"/>
  <c r="L96" i="33"/>
  <c r="L95" i="33"/>
  <c r="L98" i="33"/>
  <c r="G84" i="34"/>
  <c r="G92" i="34" s="1"/>
  <c r="I84" i="33"/>
  <c r="I99" i="33" s="1"/>
  <c r="S63" i="35"/>
  <c r="T63" i="35" s="1"/>
  <c r="N61" i="35"/>
  <c r="AH58" i="35"/>
  <c r="L91" i="33"/>
  <c r="G102" i="33"/>
  <c r="G105" i="33"/>
  <c r="T25" i="28"/>
  <c r="H4" i="31"/>
  <c r="H91" i="31" s="1"/>
  <c r="F58" i="35"/>
  <c r="I95" i="31"/>
  <c r="U84" i="33"/>
  <c r="U97" i="33" s="1"/>
  <c r="S96" i="33"/>
  <c r="G84" i="33"/>
  <c r="W91" i="31"/>
  <c r="W99" i="31"/>
  <c r="T91" i="31"/>
  <c r="I93" i="30"/>
  <c r="W93" i="31"/>
  <c r="Q95" i="31"/>
  <c r="J91" i="33"/>
  <c r="T96" i="33"/>
  <c r="AD57" i="35"/>
  <c r="Q97" i="31"/>
  <c r="Q96" i="31"/>
  <c r="T99" i="33"/>
  <c r="AH60" i="35"/>
  <c r="F57" i="35"/>
  <c r="J64" i="35"/>
  <c r="L28" i="86"/>
  <c r="J61" i="35"/>
  <c r="AF29" i="86"/>
  <c r="AD36" i="83"/>
  <c r="AD34" i="83"/>
  <c r="L26" i="88"/>
  <c r="AF36" i="83"/>
  <c r="AF35" i="83"/>
  <c r="AJ29" i="88"/>
  <c r="AJ27" i="88"/>
  <c r="N32" i="47"/>
  <c r="N34" i="47"/>
  <c r="O63" i="35"/>
  <c r="P63" i="35" s="1"/>
  <c r="R64" i="35"/>
  <c r="AD59" i="35"/>
  <c r="T92" i="33"/>
  <c r="P60" i="35"/>
  <c r="AD61" i="35"/>
  <c r="R59" i="35"/>
  <c r="AD60" i="35"/>
  <c r="AC63" i="35"/>
  <c r="AD63" i="35" s="1"/>
  <c r="T93" i="33"/>
  <c r="T97" i="33"/>
  <c r="P64" i="35"/>
  <c r="AF58" i="35"/>
  <c r="AD58" i="35"/>
  <c r="AZ7" i="28"/>
  <c r="J57" i="35"/>
  <c r="V97" i="33"/>
  <c r="J16" i="65"/>
  <c r="I16" i="65" s="1"/>
  <c r="I35" i="65" s="1"/>
  <c r="E34" i="34" s="1"/>
  <c r="X42" i="28"/>
  <c r="X47" i="28" s="1"/>
  <c r="AN58" i="35"/>
  <c r="U31" i="28"/>
  <c r="O33" i="87"/>
  <c r="P33" i="87" s="1"/>
  <c r="P26" i="87"/>
  <c r="T11" i="34"/>
  <c r="AF27" i="87"/>
  <c r="AF26" i="87"/>
  <c r="V11" i="33"/>
  <c r="V98" i="33" s="1"/>
  <c r="H11" i="34"/>
  <c r="I53" i="96"/>
  <c r="J53" i="96" s="1"/>
  <c r="J49" i="96"/>
  <c r="J50" i="96"/>
  <c r="J47" i="96"/>
  <c r="E25" i="34"/>
  <c r="H31" i="86"/>
  <c r="W108" i="33"/>
  <c r="H30" i="86"/>
  <c r="J106" i="33"/>
  <c r="G34" i="86"/>
  <c r="H34" i="86" s="1"/>
  <c r="AJ59" i="35"/>
  <c r="H27" i="86"/>
  <c r="Z60" i="35"/>
  <c r="Z64" i="35"/>
  <c r="Z59" i="35"/>
  <c r="Q84" i="34"/>
  <c r="AL61" i="35"/>
  <c r="AL59" i="35"/>
  <c r="P57" i="35"/>
  <c r="AJ27" i="86"/>
  <c r="AJ31" i="86"/>
  <c r="K95" i="31"/>
  <c r="AF57" i="35"/>
  <c r="AE63" i="35"/>
  <c r="AF63" i="35" s="1"/>
  <c r="AL57" i="35"/>
  <c r="AF64" i="35"/>
  <c r="P61" i="35"/>
  <c r="Z35" i="83"/>
  <c r="P59" i="35"/>
  <c r="R11" i="34"/>
  <c r="W97" i="31"/>
  <c r="W94" i="31"/>
  <c r="AJ29" i="85"/>
  <c r="W95" i="31"/>
  <c r="I93" i="31"/>
  <c r="L103" i="33"/>
  <c r="AL30" i="85"/>
  <c r="L100" i="33"/>
  <c r="AJ32" i="85"/>
  <c r="I96" i="31"/>
  <c r="AL31" i="85"/>
  <c r="S34" i="86"/>
  <c r="T34" i="86" s="1"/>
  <c r="AF31" i="86"/>
  <c r="I97" i="31"/>
  <c r="O100" i="33"/>
  <c r="AL29" i="85"/>
  <c r="O108" i="33"/>
  <c r="I91" i="31"/>
  <c r="W10" i="34"/>
  <c r="AI38" i="85"/>
  <c r="AJ38" i="85" s="1"/>
  <c r="M95" i="31"/>
  <c r="AF28" i="86"/>
  <c r="AL32" i="85"/>
  <c r="K100" i="30"/>
  <c r="L104" i="33"/>
  <c r="AJ30" i="85"/>
  <c r="T29" i="86"/>
  <c r="W112" i="33"/>
  <c r="G96" i="31"/>
  <c r="G91" i="31"/>
  <c r="G99" i="31"/>
  <c r="T12" i="34"/>
  <c r="AN60" i="35"/>
  <c r="AF60" i="35"/>
  <c r="AD27" i="84"/>
  <c r="X57" i="35"/>
  <c r="Q99" i="31"/>
  <c r="W98" i="31"/>
  <c r="N26" i="84"/>
  <c r="T30" i="47"/>
  <c r="X64" i="35"/>
  <c r="Q93" i="31"/>
  <c r="I98" i="31"/>
  <c r="M94" i="31"/>
  <c r="Q98" i="31"/>
  <c r="R60" i="35"/>
  <c r="X59" i="35"/>
  <c r="G94" i="31"/>
  <c r="Q91" i="31"/>
  <c r="Q94" i="31"/>
  <c r="M91" i="31"/>
  <c r="AL60" i="35"/>
  <c r="T97" i="31"/>
  <c r="T92" i="31"/>
  <c r="T99" i="31"/>
  <c r="T95" i="31"/>
  <c r="T94" i="31"/>
  <c r="T96" i="31"/>
  <c r="M98" i="31"/>
  <c r="W96" i="31"/>
  <c r="M93" i="31"/>
  <c r="G93" i="31"/>
  <c r="G95" i="31"/>
  <c r="I92" i="31"/>
  <c r="G92" i="31"/>
  <c r="AN61" i="35"/>
  <c r="AN64" i="35"/>
  <c r="AN57" i="35"/>
  <c r="AN59" i="35"/>
  <c r="G97" i="31"/>
  <c r="I99" i="31"/>
  <c r="F60" i="35"/>
  <c r="J60" i="35"/>
  <c r="M97" i="31"/>
  <c r="M99" i="31"/>
  <c r="M92" i="31"/>
  <c r="AJ58" i="35"/>
  <c r="AJ57" i="35"/>
  <c r="S98" i="33"/>
  <c r="S91" i="33"/>
  <c r="AI63" i="35"/>
  <c r="AJ63" i="35" s="1"/>
  <c r="V93" i="33"/>
  <c r="S93" i="33"/>
  <c r="K91" i="31"/>
  <c r="N98" i="30"/>
  <c r="N58" i="35"/>
  <c r="N97" i="30"/>
  <c r="I97" i="30"/>
  <c r="T61" i="35"/>
  <c r="T58" i="35"/>
  <c r="T57" i="35"/>
  <c r="T64" i="35"/>
  <c r="N84" i="34"/>
  <c r="AJ64" i="35"/>
  <c r="AJ61" i="35"/>
  <c r="V84" i="34"/>
  <c r="V91" i="33"/>
  <c r="I99" i="30"/>
  <c r="H30" i="87"/>
  <c r="V9" i="33"/>
  <c r="V96" i="33" s="1"/>
  <c r="AJ33" i="83"/>
  <c r="AI39" i="83"/>
  <c r="AJ39" i="83" s="1"/>
  <c r="AJ34" i="83"/>
  <c r="AJ35" i="83"/>
  <c r="AJ36" i="83"/>
  <c r="V9" i="34"/>
  <c r="AJ32" i="83"/>
  <c r="AB28" i="86"/>
  <c r="X26" i="88"/>
  <c r="T29" i="85"/>
  <c r="J104" i="33"/>
  <c r="T31" i="85"/>
  <c r="T33" i="85"/>
  <c r="J107" i="33"/>
  <c r="M95" i="30"/>
  <c r="K106" i="33"/>
  <c r="K106" i="30"/>
  <c r="Z34" i="83"/>
  <c r="X11" i="34"/>
  <c r="Q9" i="34"/>
  <c r="AJ31" i="85"/>
  <c r="AJ33" i="85"/>
  <c r="I33" i="68"/>
  <c r="I61" i="32" s="1"/>
  <c r="I30" i="68"/>
  <c r="G108" i="34"/>
  <c r="W97" i="30"/>
  <c r="J97" i="33"/>
  <c r="J93" i="33"/>
  <c r="S107" i="30"/>
  <c r="G99" i="30"/>
  <c r="Y39" i="83"/>
  <c r="Z39" i="83" s="1"/>
  <c r="Z33" i="83"/>
  <c r="V27" i="84"/>
  <c r="T31" i="86"/>
  <c r="T27" i="86"/>
  <c r="T28" i="86"/>
  <c r="K96" i="31"/>
  <c r="W72" i="28"/>
  <c r="W41" i="28"/>
  <c r="W42" i="28"/>
  <c r="J53" i="66"/>
  <c r="U81" i="28"/>
  <c r="S101" i="30"/>
  <c r="O94" i="30"/>
  <c r="K108" i="34"/>
  <c r="V95" i="33"/>
  <c r="W96" i="33"/>
  <c r="W95" i="33"/>
  <c r="G95" i="30"/>
  <c r="Q108" i="34"/>
  <c r="G97" i="30"/>
  <c r="H104" i="33"/>
  <c r="J95" i="30"/>
  <c r="X32" i="28"/>
  <c r="G93" i="30"/>
  <c r="N27" i="84"/>
  <c r="J95" i="33"/>
  <c r="U32" i="28"/>
  <c r="W104" i="33"/>
  <c r="J108" i="31"/>
  <c r="W33" i="28"/>
  <c r="W36" i="28" s="1"/>
  <c r="O105" i="33"/>
  <c r="L49" i="96"/>
  <c r="T26" i="66"/>
  <c r="S26" i="66" s="1"/>
  <c r="S50" i="66" s="1"/>
  <c r="H53" i="66"/>
  <c r="M49" i="66"/>
  <c r="N50" i="66" s="1"/>
  <c r="E39" i="34"/>
  <c r="H54" i="66"/>
  <c r="H51" i="66"/>
  <c r="U67" i="28"/>
  <c r="H50" i="66"/>
  <c r="M51" i="66"/>
  <c r="E42" i="33" s="1"/>
  <c r="F40" i="65"/>
  <c r="E40" i="34"/>
  <c r="J52" i="66"/>
  <c r="J50" i="66"/>
  <c r="E19" i="99"/>
  <c r="K92" i="33"/>
  <c r="R91" i="33"/>
  <c r="J51" i="66"/>
  <c r="E51" i="66"/>
  <c r="E50" i="66"/>
  <c r="G37" i="65"/>
  <c r="G36" i="65"/>
  <c r="E53" i="66"/>
  <c r="E49" i="66"/>
  <c r="U108" i="34"/>
  <c r="W106" i="33"/>
  <c r="R26" i="84"/>
  <c r="R95" i="33"/>
  <c r="S92" i="33"/>
  <c r="K105" i="30"/>
  <c r="K93" i="30"/>
  <c r="O93" i="30"/>
  <c r="G100" i="33"/>
  <c r="K96" i="33"/>
  <c r="W91" i="33"/>
  <c r="H103" i="33"/>
  <c r="S100" i="33"/>
  <c r="S106" i="33"/>
  <c r="K91" i="30"/>
  <c r="H108" i="34"/>
  <c r="W98" i="33"/>
  <c r="S99" i="33"/>
  <c r="V57" i="35"/>
  <c r="O92" i="30"/>
  <c r="K94" i="30"/>
  <c r="H57" i="35"/>
  <c r="P94" i="31"/>
  <c r="K105" i="33"/>
  <c r="M93" i="30"/>
  <c r="K50" i="66"/>
  <c r="K51" i="66"/>
  <c r="K53" i="66"/>
  <c r="K49" i="66"/>
  <c r="K110" i="30"/>
  <c r="P103" i="33"/>
  <c r="Q92" i="30"/>
  <c r="Q97" i="30"/>
  <c r="Q94" i="30"/>
  <c r="Q96" i="30"/>
  <c r="Q95" i="30"/>
  <c r="Q98" i="30"/>
  <c r="N96" i="33"/>
  <c r="T6" i="31"/>
  <c r="T93" i="31" s="1"/>
  <c r="Q99" i="30"/>
  <c r="M108" i="33"/>
  <c r="V58" i="35"/>
  <c r="O84" i="33"/>
  <c r="P91" i="31"/>
  <c r="B240" i="2"/>
  <c r="B270" i="2"/>
  <c r="P95" i="31"/>
  <c r="P93" i="31"/>
  <c r="N97" i="33"/>
  <c r="N99" i="33"/>
  <c r="V6" i="31"/>
  <c r="V93" i="31" s="1"/>
  <c r="K99" i="30"/>
  <c r="L31" i="47"/>
  <c r="J5" i="33"/>
  <c r="J92" i="33" s="1"/>
  <c r="K112" i="30"/>
  <c r="V94" i="30"/>
  <c r="V92" i="30"/>
  <c r="V97" i="30"/>
  <c r="V91" i="30"/>
  <c r="V99" i="30"/>
  <c r="V93" i="30"/>
  <c r="R6" i="31"/>
  <c r="J112" i="33"/>
  <c r="S95" i="30"/>
  <c r="K61" i="32"/>
  <c r="W97" i="33"/>
  <c r="C261" i="2"/>
  <c r="B265" i="2"/>
  <c r="U53" i="66"/>
  <c r="U49" i="66"/>
  <c r="S105" i="33"/>
  <c r="M8" i="34"/>
  <c r="Q34" i="84"/>
  <c r="R34" i="84" s="1"/>
  <c r="R28" i="84"/>
  <c r="G104" i="33"/>
  <c r="G103" i="33"/>
  <c r="G101" i="33"/>
  <c r="N105" i="33"/>
  <c r="M97" i="30"/>
  <c r="M92" i="30"/>
  <c r="M91" i="30"/>
  <c r="J112" i="34"/>
  <c r="L60" i="35"/>
  <c r="J84" i="31"/>
  <c r="W30" i="28" s="1"/>
  <c r="K96" i="30"/>
  <c r="N95" i="30"/>
  <c r="N91" i="30"/>
  <c r="N93" i="30"/>
  <c r="N96" i="30"/>
  <c r="N94" i="30"/>
  <c r="N92" i="30"/>
  <c r="E26" i="30"/>
  <c r="X67" i="28" s="1"/>
  <c r="L50" i="96"/>
  <c r="K97" i="30"/>
  <c r="N93" i="33"/>
  <c r="J98" i="33"/>
  <c r="R27" i="84"/>
  <c r="N98" i="33"/>
  <c r="O53" i="66"/>
  <c r="O49" i="66"/>
  <c r="K95" i="30"/>
  <c r="U93" i="30"/>
  <c r="R96" i="33"/>
  <c r="K98" i="31"/>
  <c r="K92" i="31"/>
  <c r="K94" i="31"/>
  <c r="S95" i="33"/>
  <c r="S106" i="30"/>
  <c r="K108" i="30"/>
  <c r="K99" i="31"/>
  <c r="J108" i="33"/>
  <c r="J101" i="33"/>
  <c r="J102" i="33"/>
  <c r="J100" i="33"/>
  <c r="J103" i="33"/>
  <c r="K92" i="30"/>
  <c r="N101" i="33"/>
  <c r="N100" i="33"/>
  <c r="N102" i="33"/>
  <c r="N103" i="33"/>
  <c r="N104" i="33"/>
  <c r="N106" i="33"/>
  <c r="P108" i="33"/>
  <c r="P107" i="33"/>
  <c r="P101" i="33"/>
  <c r="P102" i="33"/>
  <c r="P105" i="33"/>
  <c r="U91" i="30"/>
  <c r="U96" i="30"/>
  <c r="U97" i="30"/>
  <c r="U98" i="30"/>
  <c r="M101" i="33"/>
  <c r="M104" i="33"/>
  <c r="M105" i="33"/>
  <c r="M102" i="33"/>
  <c r="P104" i="33"/>
  <c r="R58" i="35"/>
  <c r="M84" i="33"/>
  <c r="M96" i="33" s="1"/>
  <c r="P99" i="31"/>
  <c r="P92" i="31"/>
  <c r="P96" i="31"/>
  <c r="K97" i="33"/>
  <c r="W99" i="30"/>
  <c r="X30" i="28"/>
  <c r="H112" i="30"/>
  <c r="H110" i="30"/>
  <c r="W110" i="34"/>
  <c r="W112" i="34"/>
  <c r="R93" i="33"/>
  <c r="Q91" i="30"/>
  <c r="M106" i="33"/>
  <c r="K101" i="33"/>
  <c r="K104" i="33"/>
  <c r="K103" i="33"/>
  <c r="K102" i="33"/>
  <c r="K107" i="33"/>
  <c r="AB60" i="35"/>
  <c r="R84" i="31"/>
  <c r="R91" i="31" s="1"/>
  <c r="S99" i="30"/>
  <c r="S105" i="30"/>
  <c r="S103" i="30"/>
  <c r="S102" i="30"/>
  <c r="S100" i="30"/>
  <c r="S108" i="30"/>
  <c r="S53" i="66"/>
  <c r="G106" i="33"/>
  <c r="H102" i="33"/>
  <c r="H107" i="33"/>
  <c r="H105" i="33"/>
  <c r="H106" i="33"/>
  <c r="H101" i="33"/>
  <c r="W112" i="30"/>
  <c r="W110" i="30"/>
  <c r="H100" i="33"/>
  <c r="Q93" i="30"/>
  <c r="K112" i="34"/>
  <c r="G33" i="68"/>
  <c r="G30" i="68"/>
  <c r="O95" i="30"/>
  <c r="M96" i="30"/>
  <c r="O99" i="30"/>
  <c r="U94" i="30"/>
  <c r="AB31" i="47"/>
  <c r="R5" i="33"/>
  <c r="R92" i="33" s="1"/>
  <c r="H108" i="33"/>
  <c r="M100" i="33"/>
  <c r="O112" i="30"/>
  <c r="O110" i="30"/>
  <c r="K100" i="33"/>
  <c r="N95" i="33"/>
  <c r="W92" i="33"/>
  <c r="K99" i="33"/>
  <c r="S97" i="33"/>
  <c r="V98" i="30"/>
  <c r="O33" i="68"/>
  <c r="O30" i="68"/>
  <c r="L61" i="34" s="1"/>
  <c r="K91" i="33"/>
  <c r="V99" i="33"/>
  <c r="P106" i="33"/>
  <c r="W95" i="30"/>
  <c r="W93" i="30"/>
  <c r="U92" i="30"/>
  <c r="N108" i="33"/>
  <c r="M99" i="30"/>
  <c r="V95" i="30"/>
  <c r="V96" i="30"/>
  <c r="L105" i="33"/>
  <c r="L102" i="33"/>
  <c r="L101" i="33"/>
  <c r="L107" i="33"/>
  <c r="O103" i="33"/>
  <c r="O102" i="33"/>
  <c r="O104" i="33"/>
  <c r="O101" i="33"/>
  <c r="O50" i="66"/>
  <c r="O51" i="66"/>
  <c r="S97" i="30"/>
  <c r="S94" i="30"/>
  <c r="S98" i="30"/>
  <c r="K33" i="68"/>
  <c r="V76" i="28" s="1"/>
  <c r="V79" i="28" s="1"/>
  <c r="K30" i="68"/>
  <c r="S93" i="30"/>
  <c r="S104" i="33"/>
  <c r="S107" i="33"/>
  <c r="S102" i="33"/>
  <c r="S103" i="33"/>
  <c r="S101" i="33"/>
  <c r="S33" i="68"/>
  <c r="S30" i="68"/>
  <c r="N61" i="34" s="1"/>
  <c r="AA63" i="35"/>
  <c r="AB63" i="35" s="1"/>
  <c r="R84" i="34"/>
  <c r="R96" i="34" s="1"/>
  <c r="AB64" i="35"/>
  <c r="AB59" i="35"/>
  <c r="AB61" i="35"/>
  <c r="R102" i="33"/>
  <c r="R100" i="33"/>
  <c r="R101" i="33"/>
  <c r="R103" i="33"/>
  <c r="V108" i="33"/>
  <c r="V100" i="33"/>
  <c r="V103" i="33"/>
  <c r="V104" i="33"/>
  <c r="V106" i="33"/>
  <c r="V101" i="33"/>
  <c r="V102" i="33"/>
  <c r="T101" i="33"/>
  <c r="T105" i="33"/>
  <c r="T102" i="33"/>
  <c r="T108" i="33"/>
  <c r="T106" i="33"/>
  <c r="H58" i="35"/>
  <c r="H84" i="33"/>
  <c r="H95" i="33" s="1"/>
  <c r="W94" i="30"/>
  <c r="W98" i="30"/>
  <c r="W92" i="30"/>
  <c r="P98" i="31"/>
  <c r="J61" i="33"/>
  <c r="T108" i="34"/>
  <c r="M108" i="34"/>
  <c r="J6" i="31"/>
  <c r="W32" i="28" s="1"/>
  <c r="T100" i="33"/>
  <c r="N91" i="33"/>
  <c r="O96" i="30"/>
  <c r="O98" i="30"/>
  <c r="O91" i="30"/>
  <c r="J112" i="30"/>
  <c r="J110" i="30"/>
  <c r="R107" i="33"/>
  <c r="R106" i="33"/>
  <c r="U51" i="66"/>
  <c r="U50" i="66"/>
  <c r="T104" i="33"/>
  <c r="K104" i="30"/>
  <c r="K102" i="30"/>
  <c r="K103" i="30"/>
  <c r="K101" i="30"/>
  <c r="U95" i="30"/>
  <c r="AB57" i="35"/>
  <c r="V107" i="33"/>
  <c r="U99" i="30"/>
  <c r="J110" i="33"/>
  <c r="K84" i="34"/>
  <c r="M63" i="35"/>
  <c r="N63" i="35" s="1"/>
  <c r="N59" i="35"/>
  <c r="N64" i="35"/>
  <c r="R99" i="33"/>
  <c r="K95" i="33"/>
  <c r="W91" i="30"/>
  <c r="K63" i="35"/>
  <c r="L63" i="35" s="1"/>
  <c r="J84" i="34"/>
  <c r="L59" i="35"/>
  <c r="L61" i="35"/>
  <c r="L64" i="35"/>
  <c r="G91" i="30"/>
  <c r="G94" i="30"/>
  <c r="G98" i="30"/>
  <c r="G92" i="30"/>
  <c r="V105" i="33"/>
  <c r="S91" i="30"/>
  <c r="T103" i="33"/>
  <c r="M98" i="30"/>
  <c r="E26" i="34"/>
  <c r="K53" i="96"/>
  <c r="L53" i="96" s="1"/>
  <c r="L48" i="96"/>
  <c r="K46" i="96"/>
  <c r="N92" i="33"/>
  <c r="J96" i="33"/>
  <c r="J94" i="33"/>
  <c r="M34" i="84"/>
  <c r="N34" i="84" s="1"/>
  <c r="K8" i="34"/>
  <c r="N28" i="84"/>
  <c r="M107" i="33"/>
  <c r="L57" i="35"/>
  <c r="S108" i="33"/>
  <c r="K108" i="33"/>
  <c r="W99" i="33"/>
  <c r="R105" i="33"/>
  <c r="N30" i="84"/>
  <c r="R34" i="68"/>
  <c r="R35" i="68"/>
  <c r="N6" i="31"/>
  <c r="N93" i="31" s="1"/>
  <c r="G63" i="35"/>
  <c r="H63" i="35" s="1"/>
  <c r="H84" i="34"/>
  <c r="H96" i="34" s="1"/>
  <c r="H59" i="35"/>
  <c r="H61" i="35"/>
  <c r="H64" i="35"/>
  <c r="H60" i="35"/>
  <c r="W102" i="33"/>
  <c r="W101" i="33"/>
  <c r="W107" i="33"/>
  <c r="U63" i="35"/>
  <c r="V63" i="35" s="1"/>
  <c r="O84" i="34"/>
  <c r="O96" i="34" s="1"/>
  <c r="V60" i="35"/>
  <c r="V64" i="35"/>
  <c r="V59" i="35"/>
  <c r="N60" i="35"/>
  <c r="P100" i="33"/>
  <c r="R29" i="84"/>
  <c r="H110" i="34"/>
  <c r="H112" i="34"/>
  <c r="I98" i="30"/>
  <c r="I91" i="30"/>
  <c r="I95" i="30"/>
  <c r="I96" i="30"/>
  <c r="I94" i="30"/>
  <c r="L6" i="31"/>
  <c r="L93" i="31" s="1"/>
  <c r="O110" i="34"/>
  <c r="O112" i="34"/>
  <c r="S96" i="30"/>
  <c r="AN30" i="85" l="1"/>
  <c r="F26" i="87"/>
  <c r="AN32" i="85"/>
  <c r="AN29" i="85"/>
  <c r="G11" i="34"/>
  <c r="AN33" i="85"/>
  <c r="AJ29" i="87"/>
  <c r="V11" i="34"/>
  <c r="AJ28" i="87"/>
  <c r="AJ30" i="87"/>
  <c r="AI33" i="87"/>
  <c r="AJ33" i="87" s="1"/>
  <c r="AJ27" i="87"/>
  <c r="J27" i="87"/>
  <c r="J28" i="87"/>
  <c r="L97" i="34"/>
  <c r="L118" i="34" s="1"/>
  <c r="J9" i="34"/>
  <c r="K39" i="83"/>
  <c r="L39" i="83" s="1"/>
  <c r="L36" i="83"/>
  <c r="I96" i="34"/>
  <c r="L32" i="83"/>
  <c r="L34" i="83"/>
  <c r="L33" i="83"/>
  <c r="AN28" i="86"/>
  <c r="AN30" i="86"/>
  <c r="AN27" i="86"/>
  <c r="N31" i="68"/>
  <c r="K61" i="34"/>
  <c r="N32" i="68"/>
  <c r="M61" i="32"/>
  <c r="N35" i="68"/>
  <c r="N33" i="68"/>
  <c r="N34" i="68"/>
  <c r="U30" i="50"/>
  <c r="AM34" i="86"/>
  <c r="AN34" i="86" s="1"/>
  <c r="AN29" i="86"/>
  <c r="AM27" i="50"/>
  <c r="AN32" i="50" s="1"/>
  <c r="AN29" i="51"/>
  <c r="AN30" i="84"/>
  <c r="AN27" i="87"/>
  <c r="AN28" i="50"/>
  <c r="G33" i="87"/>
  <c r="H33" i="87" s="1"/>
  <c r="W27" i="50"/>
  <c r="P6" i="34" s="1"/>
  <c r="P93" i="34" s="1"/>
  <c r="P115" i="34" s="1"/>
  <c r="R27" i="87"/>
  <c r="AN27" i="84"/>
  <c r="AN28" i="51"/>
  <c r="H26" i="87"/>
  <c r="AN28" i="84"/>
  <c r="AM34" i="84"/>
  <c r="AN34" i="84" s="1"/>
  <c r="X8" i="34"/>
  <c r="X95" i="34" s="1"/>
  <c r="X116" i="34" s="1"/>
  <c r="AN26" i="84"/>
  <c r="AN26" i="87"/>
  <c r="AM33" i="87"/>
  <c r="AN33" i="87" s="1"/>
  <c r="AN29" i="87"/>
  <c r="AN28" i="87"/>
  <c r="O117" i="34"/>
  <c r="H28" i="87"/>
  <c r="H27" i="87"/>
  <c r="G27" i="50"/>
  <c r="H29" i="50" s="1"/>
  <c r="E30" i="50"/>
  <c r="E27" i="50"/>
  <c r="AN32" i="51"/>
  <c r="AN30" i="51"/>
  <c r="AN31" i="51"/>
  <c r="AM36" i="51"/>
  <c r="AN36" i="51" s="1"/>
  <c r="X7" i="34"/>
  <c r="X94" i="34" s="1"/>
  <c r="X36" i="28"/>
  <c r="M91" i="34"/>
  <c r="U36" i="28"/>
  <c r="O73" i="64"/>
  <c r="P73" i="64" s="1"/>
  <c r="P71" i="64"/>
  <c r="G35" i="65"/>
  <c r="H39" i="65" s="1"/>
  <c r="T33" i="28"/>
  <c r="T36" i="28" s="1"/>
  <c r="N92" i="34"/>
  <c r="N114" i="34" s="1"/>
  <c r="P28" i="51"/>
  <c r="I117" i="34"/>
  <c r="R28" i="51"/>
  <c r="J28" i="51"/>
  <c r="H28" i="51"/>
  <c r="O36" i="51"/>
  <c r="P36" i="51" s="1"/>
  <c r="P30" i="51"/>
  <c r="P31" i="51"/>
  <c r="P32" i="51"/>
  <c r="L7" i="34"/>
  <c r="L94" i="34" s="1"/>
  <c r="L7" i="33"/>
  <c r="L94" i="33" s="1"/>
  <c r="P29" i="51"/>
  <c r="P7" i="33"/>
  <c r="P94" i="33" s="1"/>
  <c r="X29" i="51"/>
  <c r="R29" i="51"/>
  <c r="M7" i="33"/>
  <c r="M94" i="33" s="1"/>
  <c r="T7" i="33"/>
  <c r="T94" i="33" s="1"/>
  <c r="AF29" i="51"/>
  <c r="AE36" i="51"/>
  <c r="AF36" i="51" s="1"/>
  <c r="AF30" i="51"/>
  <c r="AF31" i="51"/>
  <c r="T7" i="34"/>
  <c r="T94" i="34" s="1"/>
  <c r="AF32" i="51"/>
  <c r="R32" i="51"/>
  <c r="R30" i="51"/>
  <c r="Q36" i="51"/>
  <c r="R36" i="51" s="1"/>
  <c r="M7" i="34"/>
  <c r="M94" i="34" s="1"/>
  <c r="R31" i="51"/>
  <c r="X31" i="51"/>
  <c r="X32" i="51"/>
  <c r="W36" i="51"/>
  <c r="X36" i="51" s="1"/>
  <c r="X30" i="51"/>
  <c r="X28" i="51"/>
  <c r="P7" i="34"/>
  <c r="P94" i="34" s="1"/>
  <c r="AF28" i="51"/>
  <c r="AL28" i="50"/>
  <c r="Q30" i="50"/>
  <c r="Q27" i="50"/>
  <c r="L28" i="51"/>
  <c r="L31" i="51"/>
  <c r="L32" i="51"/>
  <c r="J7" i="34"/>
  <c r="J94" i="34" s="1"/>
  <c r="K36" i="51"/>
  <c r="L36" i="51" s="1"/>
  <c r="L29" i="51"/>
  <c r="L30" i="51"/>
  <c r="D19" i="99"/>
  <c r="B23" i="99" s="1"/>
  <c r="B22" i="99"/>
  <c r="Z26" i="87"/>
  <c r="AL28" i="51"/>
  <c r="N26" i="87"/>
  <c r="Z28" i="51"/>
  <c r="T60" i="28"/>
  <c r="AA60" i="28" s="1"/>
  <c r="AA61" i="28" s="1"/>
  <c r="I30" i="50"/>
  <c r="I27" i="50"/>
  <c r="M30" i="50"/>
  <c r="M27" i="50"/>
  <c r="N28" i="50" s="1"/>
  <c r="AH29" i="51"/>
  <c r="U7" i="33"/>
  <c r="U94" i="33" s="1"/>
  <c r="O6" i="32"/>
  <c r="O93" i="32" s="1"/>
  <c r="V30" i="50"/>
  <c r="G7" i="34"/>
  <c r="G94" i="34" s="1"/>
  <c r="F31" i="51"/>
  <c r="E36" i="51"/>
  <c r="F36" i="51" s="1"/>
  <c r="F32" i="51"/>
  <c r="F30" i="51"/>
  <c r="T29" i="51"/>
  <c r="S36" i="51"/>
  <c r="T36" i="51" s="1"/>
  <c r="T30" i="51"/>
  <c r="T31" i="51"/>
  <c r="N7" i="34"/>
  <c r="N94" i="34" s="1"/>
  <c r="T32" i="51"/>
  <c r="N27" i="87"/>
  <c r="K11" i="33"/>
  <c r="K98" i="33" s="1"/>
  <c r="O7" i="34"/>
  <c r="O94" i="34" s="1"/>
  <c r="U36" i="51"/>
  <c r="V36" i="51" s="1"/>
  <c r="V30" i="51"/>
  <c r="V32" i="51"/>
  <c r="V31" i="51"/>
  <c r="AI30" i="50"/>
  <c r="AI27" i="50"/>
  <c r="R7" i="33"/>
  <c r="R94" i="33" s="1"/>
  <c r="AB29" i="51"/>
  <c r="AC36" i="51"/>
  <c r="AD36" i="51" s="1"/>
  <c r="S7" i="34"/>
  <c r="S94" i="34" s="1"/>
  <c r="AD30" i="51"/>
  <c r="AD31" i="51"/>
  <c r="AD32" i="51"/>
  <c r="AC30" i="50"/>
  <c r="AC27" i="50"/>
  <c r="W6" i="32"/>
  <c r="W93" i="32" s="1"/>
  <c r="AL30" i="50"/>
  <c r="W7" i="33"/>
  <c r="W94" i="33" s="1"/>
  <c r="AL29" i="51"/>
  <c r="AJ29" i="51"/>
  <c r="V7" i="34"/>
  <c r="V94" i="34" s="1"/>
  <c r="AI36" i="51"/>
  <c r="AJ36" i="51" s="1"/>
  <c r="AJ31" i="51"/>
  <c r="AJ30" i="51"/>
  <c r="AJ32" i="51"/>
  <c r="AA30" i="50"/>
  <c r="AA27" i="50"/>
  <c r="AG36" i="51"/>
  <c r="AH36" i="51" s="1"/>
  <c r="AH30" i="51"/>
  <c r="U7" i="34"/>
  <c r="U94" i="34" s="1"/>
  <c r="AH31" i="51"/>
  <c r="AH32" i="51"/>
  <c r="F28" i="51"/>
  <c r="O11" i="34"/>
  <c r="O98" i="34" s="1"/>
  <c r="V30" i="87"/>
  <c r="V27" i="87"/>
  <c r="U33" i="87"/>
  <c r="V33" i="87" s="1"/>
  <c r="V26" i="87"/>
  <c r="V28" i="87"/>
  <c r="V28" i="51"/>
  <c r="AB31" i="51"/>
  <c r="AB30" i="51"/>
  <c r="AB32" i="51"/>
  <c r="R7" i="34"/>
  <c r="R94" i="34" s="1"/>
  <c r="AA36" i="51"/>
  <c r="AB36" i="51" s="1"/>
  <c r="S7" i="33"/>
  <c r="S94" i="33" s="1"/>
  <c r="AD29" i="51"/>
  <c r="N32" i="51"/>
  <c r="N30" i="51"/>
  <c r="N31" i="51"/>
  <c r="M36" i="51"/>
  <c r="N36" i="51" s="1"/>
  <c r="K7" i="34"/>
  <c r="K94" i="34" s="1"/>
  <c r="Z28" i="87"/>
  <c r="Q11" i="34"/>
  <c r="Q98" i="34" s="1"/>
  <c r="Y33" i="87"/>
  <c r="Z33" i="87" s="1"/>
  <c r="Z29" i="87"/>
  <c r="Z30" i="87"/>
  <c r="K30" i="50"/>
  <c r="K27" i="50"/>
  <c r="AJ28" i="51"/>
  <c r="O30" i="50"/>
  <c r="O27" i="50"/>
  <c r="S30" i="50"/>
  <c r="S27" i="50"/>
  <c r="G7" i="33"/>
  <c r="G94" i="33" s="1"/>
  <c r="F29" i="51"/>
  <c r="K11" i="34"/>
  <c r="K98" i="34" s="1"/>
  <c r="M33" i="87"/>
  <c r="N33" i="87" s="1"/>
  <c r="N28" i="87"/>
  <c r="N30" i="87"/>
  <c r="N29" i="87"/>
  <c r="O11" i="31"/>
  <c r="O98" i="31" s="1"/>
  <c r="V29" i="87"/>
  <c r="Q11" i="33"/>
  <c r="Q98" i="33" s="1"/>
  <c r="Z27" i="87"/>
  <c r="O7" i="33"/>
  <c r="O94" i="33" s="1"/>
  <c r="V29" i="51"/>
  <c r="I36" i="51"/>
  <c r="J36" i="51" s="1"/>
  <c r="J31" i="51"/>
  <c r="J32" i="51"/>
  <c r="J30" i="51"/>
  <c r="I7" i="34"/>
  <c r="I94" i="34" s="1"/>
  <c r="AB28" i="51"/>
  <c r="Z29" i="51"/>
  <c r="Q7" i="33"/>
  <c r="Q94" i="33" s="1"/>
  <c r="G36" i="51"/>
  <c r="H36" i="51" s="1"/>
  <c r="H30" i="51"/>
  <c r="H7" i="34"/>
  <c r="H94" i="34" s="1"/>
  <c r="H32" i="51"/>
  <c r="H31" i="51"/>
  <c r="K6" i="33"/>
  <c r="K93" i="33" s="1"/>
  <c r="N28" i="51"/>
  <c r="AL31" i="51"/>
  <c r="AL32" i="51"/>
  <c r="AL30" i="51"/>
  <c r="W7" i="34"/>
  <c r="W94" i="34" s="1"/>
  <c r="AK36" i="51"/>
  <c r="AL36" i="51" s="1"/>
  <c r="AE30" i="50"/>
  <c r="AE27" i="50"/>
  <c r="AH28" i="51"/>
  <c r="V31" i="50"/>
  <c r="U34" i="50"/>
  <c r="V34" i="50" s="1"/>
  <c r="V32" i="50"/>
  <c r="O6" i="34"/>
  <c r="O93" i="34" s="1"/>
  <c r="O115" i="34" s="1"/>
  <c r="V29" i="50"/>
  <c r="V28" i="50"/>
  <c r="AL29" i="50"/>
  <c r="W6" i="33"/>
  <c r="W93" i="33" s="1"/>
  <c r="T28" i="51"/>
  <c r="X28" i="50"/>
  <c r="Y30" i="50"/>
  <c r="Y27" i="50"/>
  <c r="AG30" i="50"/>
  <c r="U6" i="32" s="1"/>
  <c r="U93" i="32" s="1"/>
  <c r="AG27" i="50"/>
  <c r="J29" i="51"/>
  <c r="I7" i="33"/>
  <c r="I94" i="33" s="1"/>
  <c r="AD28" i="51"/>
  <c r="Q7" i="34"/>
  <c r="Q94" i="34" s="1"/>
  <c r="Z30" i="51"/>
  <c r="Z32" i="51"/>
  <c r="Z31" i="51"/>
  <c r="Y36" i="51"/>
  <c r="Z36" i="51" s="1"/>
  <c r="H7" i="33"/>
  <c r="H94" i="33" s="1"/>
  <c r="H29" i="51"/>
  <c r="AL31" i="50"/>
  <c r="W6" i="34"/>
  <c r="W93" i="34" s="1"/>
  <c r="W115" i="34" s="1"/>
  <c r="AL32" i="50"/>
  <c r="AK34" i="50"/>
  <c r="AL34" i="50" s="1"/>
  <c r="K7" i="33"/>
  <c r="K94" i="33" s="1"/>
  <c r="N29" i="51"/>
  <c r="U83" i="28"/>
  <c r="Q93" i="33"/>
  <c r="S95" i="34"/>
  <c r="S116" i="34" s="1"/>
  <c r="X82" i="28"/>
  <c r="X83" i="28" s="1"/>
  <c r="O96" i="33"/>
  <c r="V91" i="34"/>
  <c r="V113" i="34" s="1"/>
  <c r="T91" i="34"/>
  <c r="T113" i="34" s="1"/>
  <c r="T96" i="34"/>
  <c r="T117" i="34" s="1"/>
  <c r="T99" i="34"/>
  <c r="T119" i="34" s="1"/>
  <c r="T98" i="34"/>
  <c r="Q96" i="33"/>
  <c r="Q95" i="33"/>
  <c r="Q99" i="33"/>
  <c r="Q91" i="33"/>
  <c r="W91" i="34"/>
  <c r="W113" i="34" s="1"/>
  <c r="Q92" i="33"/>
  <c r="S99" i="34"/>
  <c r="S119" i="34" s="1"/>
  <c r="S92" i="34"/>
  <c r="S114" i="34" s="1"/>
  <c r="S96" i="34"/>
  <c r="S117" i="34" s="1"/>
  <c r="P99" i="34"/>
  <c r="P119" i="34" s="1"/>
  <c r="P98" i="34"/>
  <c r="S98" i="34"/>
  <c r="P91" i="34"/>
  <c r="P113" i="34" s="1"/>
  <c r="P92" i="34"/>
  <c r="P114" i="34" s="1"/>
  <c r="P95" i="34"/>
  <c r="P116" i="34" s="1"/>
  <c r="P91" i="33"/>
  <c r="P97" i="34"/>
  <c r="P118" i="34" s="1"/>
  <c r="S91" i="34"/>
  <c r="S113" i="34" s="1"/>
  <c r="W95" i="34"/>
  <c r="W116" i="34" s="1"/>
  <c r="P97" i="33"/>
  <c r="P96" i="33"/>
  <c r="S97" i="34"/>
  <c r="S118" i="34" s="1"/>
  <c r="T114" i="34"/>
  <c r="X99" i="34"/>
  <c r="X119" i="34" s="1"/>
  <c r="X97" i="34"/>
  <c r="X118" i="34" s="1"/>
  <c r="T97" i="34"/>
  <c r="T118" i="34" s="1"/>
  <c r="X98" i="34"/>
  <c r="X92" i="34"/>
  <c r="X114" i="34" s="1"/>
  <c r="X96" i="34"/>
  <c r="X117" i="34" s="1"/>
  <c r="X91" i="34"/>
  <c r="X113" i="34" s="1"/>
  <c r="T95" i="34"/>
  <c r="T116" i="34" s="1"/>
  <c r="U72" i="28"/>
  <c r="I93" i="33"/>
  <c r="I92" i="33"/>
  <c r="I98" i="33"/>
  <c r="I95" i="33"/>
  <c r="I96" i="33"/>
  <c r="P93" i="33"/>
  <c r="W99" i="34"/>
  <c r="W119" i="34" s="1"/>
  <c r="W96" i="34"/>
  <c r="W117" i="34" s="1"/>
  <c r="W92" i="34"/>
  <c r="W114" i="34" s="1"/>
  <c r="P96" i="34"/>
  <c r="P117" i="34" s="1"/>
  <c r="W98" i="34"/>
  <c r="L95" i="34"/>
  <c r="L116" i="34" s="1"/>
  <c r="G97" i="33"/>
  <c r="W97" i="34"/>
  <c r="W118" i="34" s="1"/>
  <c r="I99" i="34"/>
  <c r="I119" i="34" s="1"/>
  <c r="U96" i="34"/>
  <c r="U117" i="34" s="1"/>
  <c r="U92" i="34"/>
  <c r="U114" i="34" s="1"/>
  <c r="I91" i="34"/>
  <c r="I113" i="34" s="1"/>
  <c r="U95" i="34"/>
  <c r="U116" i="34" s="1"/>
  <c r="U98" i="34"/>
  <c r="U91" i="34"/>
  <c r="U113" i="34" s="1"/>
  <c r="H117" i="34"/>
  <c r="U97" i="34"/>
  <c r="U118" i="34" s="1"/>
  <c r="P99" i="33"/>
  <c r="L92" i="34"/>
  <c r="L114" i="34" s="1"/>
  <c r="L91" i="34"/>
  <c r="L113" i="34" s="1"/>
  <c r="P95" i="33"/>
  <c r="L99" i="34"/>
  <c r="L119" i="34" s="1"/>
  <c r="L96" i="34"/>
  <c r="L117" i="34" s="1"/>
  <c r="G95" i="33"/>
  <c r="P98" i="33"/>
  <c r="U99" i="34"/>
  <c r="U119" i="34" s="1"/>
  <c r="I92" i="34"/>
  <c r="I114" i="34" s="1"/>
  <c r="T30" i="28"/>
  <c r="I97" i="33"/>
  <c r="U30" i="28"/>
  <c r="U35" i="28" s="1"/>
  <c r="U98" i="33"/>
  <c r="U96" i="33"/>
  <c r="U93" i="33"/>
  <c r="U99" i="33"/>
  <c r="U95" i="33"/>
  <c r="L98" i="34"/>
  <c r="K97" i="34"/>
  <c r="K118" i="34" s="1"/>
  <c r="I91" i="33"/>
  <c r="G95" i="34"/>
  <c r="G116" i="34" s="1"/>
  <c r="M98" i="34"/>
  <c r="G114" i="34"/>
  <c r="M99" i="34"/>
  <c r="M119" i="34" s="1"/>
  <c r="G98" i="34"/>
  <c r="M113" i="34"/>
  <c r="G91" i="34"/>
  <c r="G113" i="34" s="1"/>
  <c r="M95" i="34"/>
  <c r="M116" i="34" s="1"/>
  <c r="M96" i="34"/>
  <c r="M117" i="34" s="1"/>
  <c r="G96" i="34"/>
  <c r="G117" i="34" s="1"/>
  <c r="M92" i="34"/>
  <c r="M114" i="34" s="1"/>
  <c r="G99" i="34"/>
  <c r="G119" i="34" s="1"/>
  <c r="G97" i="34"/>
  <c r="G118" i="34" s="1"/>
  <c r="M97" i="34"/>
  <c r="M118" i="34" s="1"/>
  <c r="I98" i="34"/>
  <c r="I95" i="34"/>
  <c r="I116" i="34" s="1"/>
  <c r="I97" i="34"/>
  <c r="I118" i="34" s="1"/>
  <c r="U91" i="33"/>
  <c r="G98" i="33"/>
  <c r="U92" i="33"/>
  <c r="G92" i="33"/>
  <c r="G93" i="33"/>
  <c r="G91" i="33"/>
  <c r="G99" i="33"/>
  <c r="G96" i="33"/>
  <c r="Q91" i="34"/>
  <c r="Q113" i="34" s="1"/>
  <c r="Q96" i="34"/>
  <c r="Q117" i="34" s="1"/>
  <c r="Q99" i="34"/>
  <c r="Q119" i="34" s="1"/>
  <c r="Q97" i="34"/>
  <c r="Q118" i="34" s="1"/>
  <c r="L31" i="68"/>
  <c r="T79" i="28"/>
  <c r="T67" i="28"/>
  <c r="I36" i="65"/>
  <c r="J36" i="65" s="1"/>
  <c r="I37" i="65"/>
  <c r="E34" i="33" s="1"/>
  <c r="R95" i="34"/>
  <c r="R116" i="34" s="1"/>
  <c r="Q95" i="34"/>
  <c r="Q116" i="34" s="1"/>
  <c r="Q92" i="34"/>
  <c r="Q114" i="34" s="1"/>
  <c r="W35" i="28"/>
  <c r="W38" i="28" s="1"/>
  <c r="N98" i="34"/>
  <c r="N99" i="34"/>
  <c r="N119" i="34" s="1"/>
  <c r="N91" i="34"/>
  <c r="N113" i="34" s="1"/>
  <c r="N95" i="34"/>
  <c r="N116" i="34" s="1"/>
  <c r="V96" i="34"/>
  <c r="V117" i="34" s="1"/>
  <c r="N96" i="34"/>
  <c r="N117" i="34" s="1"/>
  <c r="N97" i="34"/>
  <c r="N118" i="34" s="1"/>
  <c r="V99" i="34"/>
  <c r="V119" i="34" s="1"/>
  <c r="O91" i="33"/>
  <c r="O98" i="33"/>
  <c r="O92" i="33"/>
  <c r="V98" i="34"/>
  <c r="V92" i="34"/>
  <c r="V114" i="34" s="1"/>
  <c r="V95" i="34"/>
  <c r="V116" i="34" s="1"/>
  <c r="V97" i="34"/>
  <c r="V118" i="34" s="1"/>
  <c r="O93" i="33"/>
  <c r="J93" i="31"/>
  <c r="O95" i="33"/>
  <c r="O99" i="33"/>
  <c r="R117" i="34"/>
  <c r="J33" i="68"/>
  <c r="J34" i="68"/>
  <c r="J35" i="68"/>
  <c r="I61" i="34"/>
  <c r="J32" i="68"/>
  <c r="J31" i="68"/>
  <c r="T68" i="28"/>
  <c r="X68" i="28"/>
  <c r="X72" i="28" s="1"/>
  <c r="W47" i="28"/>
  <c r="N53" i="66"/>
  <c r="X35" i="28"/>
  <c r="S51" i="66"/>
  <c r="E45" i="33" s="1"/>
  <c r="S49" i="66"/>
  <c r="E45" i="34" s="1"/>
  <c r="J91" i="34"/>
  <c r="J113" i="34" s="1"/>
  <c r="H98" i="33"/>
  <c r="N52" i="66"/>
  <c r="N54" i="66"/>
  <c r="E42" i="34"/>
  <c r="N51" i="66"/>
  <c r="J39" i="65"/>
  <c r="J40" i="65"/>
  <c r="J38" i="65"/>
  <c r="E33" i="33"/>
  <c r="F52" i="66"/>
  <c r="E38" i="34"/>
  <c r="T51" i="28" s="1"/>
  <c r="F54" i="66"/>
  <c r="F50" i="66"/>
  <c r="E38" i="31"/>
  <c r="W51" i="28" s="1"/>
  <c r="F53" i="66"/>
  <c r="F51" i="66"/>
  <c r="E38" i="33"/>
  <c r="U51" i="28" s="1"/>
  <c r="K95" i="34"/>
  <c r="K116" i="34" s="1"/>
  <c r="M92" i="33"/>
  <c r="O97" i="34"/>
  <c r="O118" i="34" s="1"/>
  <c r="R98" i="34"/>
  <c r="K92" i="34"/>
  <c r="K114" i="34" s="1"/>
  <c r="J95" i="34"/>
  <c r="J116" i="34" s="1"/>
  <c r="H92" i="33"/>
  <c r="K96" i="34"/>
  <c r="K117" i="34" s="1"/>
  <c r="H91" i="33"/>
  <c r="H92" i="34"/>
  <c r="H114" i="34" s="1"/>
  <c r="L50" i="66"/>
  <c r="L54" i="66"/>
  <c r="E41" i="34"/>
  <c r="T53" i="28" s="1"/>
  <c r="L52" i="66"/>
  <c r="E41" i="31"/>
  <c r="W53" i="28" s="1"/>
  <c r="L53" i="66"/>
  <c r="E41" i="33"/>
  <c r="U53" i="28" s="1"/>
  <c r="L51" i="66"/>
  <c r="E43" i="34"/>
  <c r="P52" i="66"/>
  <c r="P54" i="66"/>
  <c r="E46" i="33"/>
  <c r="U52" i="28" s="1"/>
  <c r="T34" i="68"/>
  <c r="T35" i="68"/>
  <c r="T31" i="68"/>
  <c r="T32" i="68"/>
  <c r="J61" i="34"/>
  <c r="L34" i="68"/>
  <c r="L35" i="68"/>
  <c r="P34" i="68"/>
  <c r="P35" i="68"/>
  <c r="P31" i="68"/>
  <c r="P32" i="68"/>
  <c r="H99" i="34"/>
  <c r="H119" i="34" s="1"/>
  <c r="H61" i="34"/>
  <c r="H34" i="68"/>
  <c r="H35" i="68"/>
  <c r="H31" i="68"/>
  <c r="H32" i="68"/>
  <c r="E45" i="31"/>
  <c r="O95" i="34"/>
  <c r="O116" i="34" s="1"/>
  <c r="R91" i="34"/>
  <c r="R113" i="34" s="1"/>
  <c r="H95" i="34"/>
  <c r="H116" i="34" s="1"/>
  <c r="E43" i="31"/>
  <c r="P53" i="66"/>
  <c r="O92" i="34"/>
  <c r="O114" i="34" s="1"/>
  <c r="H91" i="34"/>
  <c r="H113" i="34" s="1"/>
  <c r="O91" i="34"/>
  <c r="O113" i="34" s="1"/>
  <c r="O97" i="33"/>
  <c r="M97" i="33"/>
  <c r="M91" i="33"/>
  <c r="E46" i="31"/>
  <c r="W52" i="28" s="1"/>
  <c r="K99" i="34"/>
  <c r="K119" i="34" s="1"/>
  <c r="J97" i="34"/>
  <c r="J118" i="34" s="1"/>
  <c r="L32" i="68"/>
  <c r="M98" i="33"/>
  <c r="N61" i="32"/>
  <c r="T33" i="68"/>
  <c r="L33" i="68"/>
  <c r="J61" i="32"/>
  <c r="E43" i="33"/>
  <c r="P51" i="66"/>
  <c r="K91" i="34"/>
  <c r="K113" i="34" s="1"/>
  <c r="P33" i="68"/>
  <c r="L61" i="32"/>
  <c r="H33" i="68"/>
  <c r="H61" i="32"/>
  <c r="O99" i="34"/>
  <c r="O119" i="34" s="1"/>
  <c r="M95" i="33"/>
  <c r="J96" i="34"/>
  <c r="J117" i="34" s="1"/>
  <c r="H97" i="34"/>
  <c r="H118" i="34" s="1"/>
  <c r="J96" i="31"/>
  <c r="J92" i="31"/>
  <c r="J94" i="31"/>
  <c r="J99" i="31"/>
  <c r="J97" i="31"/>
  <c r="J95" i="31"/>
  <c r="J98" i="31"/>
  <c r="J91" i="31"/>
  <c r="H98" i="34"/>
  <c r="C265" i="2"/>
  <c r="B267" i="2"/>
  <c r="J99" i="34"/>
  <c r="J119" i="34" s="1"/>
  <c r="H99" i="33"/>
  <c r="P50" i="66"/>
  <c r="H96" i="33"/>
  <c r="R99" i="31"/>
  <c r="R92" i="31"/>
  <c r="R98" i="31"/>
  <c r="R94" i="31"/>
  <c r="R97" i="31"/>
  <c r="R95" i="31"/>
  <c r="R96" i="31"/>
  <c r="M93" i="33"/>
  <c r="H97" i="33"/>
  <c r="J92" i="34"/>
  <c r="J114" i="34" s="1"/>
  <c r="R99" i="34"/>
  <c r="R119" i="34" s="1"/>
  <c r="J98" i="34"/>
  <c r="E46" i="34"/>
  <c r="T52" i="28" s="1"/>
  <c r="H93" i="33"/>
  <c r="R93" i="31"/>
  <c r="R97" i="34"/>
  <c r="R118" i="34" s="1"/>
  <c r="M99" i="33"/>
  <c r="R92" i="34"/>
  <c r="R114" i="34" s="1"/>
  <c r="AN31" i="50" l="1"/>
  <c r="X6" i="34"/>
  <c r="X93" i="34" s="1"/>
  <c r="X115" i="34" s="1"/>
  <c r="AN30" i="50"/>
  <c r="AM34" i="50"/>
  <c r="AN34" i="50" s="1"/>
  <c r="X32" i="50"/>
  <c r="W34" i="50"/>
  <c r="X34" i="50" s="1"/>
  <c r="X29" i="50"/>
  <c r="X31" i="50"/>
  <c r="X30" i="50"/>
  <c r="U38" i="28"/>
  <c r="AN29" i="50"/>
  <c r="H31" i="50"/>
  <c r="H32" i="50"/>
  <c r="H28" i="50"/>
  <c r="G34" i="50"/>
  <c r="H34" i="50" s="1"/>
  <c r="G6" i="32"/>
  <c r="G93" i="32" s="1"/>
  <c r="F30" i="50"/>
  <c r="H6" i="34"/>
  <c r="H93" i="34" s="1"/>
  <c r="H115" i="34" s="1"/>
  <c r="H30" i="50"/>
  <c r="F31" i="50"/>
  <c r="E34" i="50"/>
  <c r="F34" i="50" s="1"/>
  <c r="F28" i="50"/>
  <c r="G6" i="34"/>
  <c r="G93" i="34" s="1"/>
  <c r="G115" i="34" s="1"/>
  <c r="F32" i="50"/>
  <c r="F29" i="50"/>
  <c r="X38" i="28"/>
  <c r="X22" i="28" s="1"/>
  <c r="T22" i="28" s="1"/>
  <c r="AA22" i="28" s="1"/>
  <c r="P76" i="64"/>
  <c r="O76" i="64" s="1"/>
  <c r="O83" i="64" s="1"/>
  <c r="H38" i="65"/>
  <c r="E33" i="34"/>
  <c r="H37" i="65"/>
  <c r="H36" i="65"/>
  <c r="H40" i="65"/>
  <c r="R31" i="50"/>
  <c r="R28" i="50"/>
  <c r="M6" i="34"/>
  <c r="M93" i="34" s="1"/>
  <c r="M115" i="34" s="1"/>
  <c r="R29" i="50"/>
  <c r="Q34" i="50"/>
  <c r="R34" i="50" s="1"/>
  <c r="R32" i="50"/>
  <c r="M6" i="32"/>
  <c r="M93" i="32" s="1"/>
  <c r="R30" i="50"/>
  <c r="N29" i="50"/>
  <c r="Z31" i="50"/>
  <c r="Z28" i="50"/>
  <c r="Z29" i="50"/>
  <c r="Y34" i="50"/>
  <c r="Z34" i="50" s="1"/>
  <c r="Q6" i="34"/>
  <c r="Q93" i="34" s="1"/>
  <c r="Q115" i="34" s="1"/>
  <c r="Z32" i="50"/>
  <c r="AF31" i="50"/>
  <c r="AE34" i="50"/>
  <c r="AF34" i="50" s="1"/>
  <c r="T6" i="34"/>
  <c r="T93" i="34" s="1"/>
  <c r="T115" i="34" s="1"/>
  <c r="AF28" i="50"/>
  <c r="AF32" i="50"/>
  <c r="AF29" i="50"/>
  <c r="P29" i="50"/>
  <c r="P28" i="50"/>
  <c r="L6" i="34"/>
  <c r="L93" i="34" s="1"/>
  <c r="L115" i="34" s="1"/>
  <c r="P32" i="50"/>
  <c r="P31" i="50"/>
  <c r="O34" i="50"/>
  <c r="P34" i="50" s="1"/>
  <c r="J6" i="32"/>
  <c r="J93" i="32" s="1"/>
  <c r="L30" i="50"/>
  <c r="R6" i="32"/>
  <c r="R93" i="32" s="1"/>
  <c r="AB30" i="50"/>
  <c r="S6" i="32"/>
  <c r="S93" i="32" s="1"/>
  <c r="AD30" i="50"/>
  <c r="AJ28" i="50"/>
  <c r="AJ32" i="50"/>
  <c r="V6" i="34"/>
  <c r="V93" i="34" s="1"/>
  <c r="V115" i="34" s="1"/>
  <c r="AI34" i="50"/>
  <c r="AJ34" i="50" s="1"/>
  <c r="AJ29" i="50"/>
  <c r="AJ31" i="50"/>
  <c r="K6" i="34"/>
  <c r="K93" i="34" s="1"/>
  <c r="K115" i="34" s="1"/>
  <c r="N31" i="50"/>
  <c r="N32" i="50"/>
  <c r="M34" i="50"/>
  <c r="N34" i="50" s="1"/>
  <c r="Q6" i="32"/>
  <c r="Q93" i="32" s="1"/>
  <c r="Z30" i="50"/>
  <c r="T6" i="32"/>
  <c r="T93" i="32" s="1"/>
  <c r="AF30" i="50"/>
  <c r="L6" i="32"/>
  <c r="L93" i="32" s="1"/>
  <c r="P30" i="50"/>
  <c r="V6" i="32"/>
  <c r="V93" i="32" s="1"/>
  <c r="AJ30" i="50"/>
  <c r="K6" i="32"/>
  <c r="K93" i="32" s="1"/>
  <c r="N30" i="50"/>
  <c r="AH30" i="50"/>
  <c r="AH32" i="50"/>
  <c r="AH29" i="50"/>
  <c r="AH28" i="50"/>
  <c r="U6" i="34"/>
  <c r="U93" i="34" s="1"/>
  <c r="U115" i="34" s="1"/>
  <c r="AG34" i="50"/>
  <c r="AH34" i="50" s="1"/>
  <c r="AH31" i="50"/>
  <c r="T29" i="50"/>
  <c r="S34" i="50"/>
  <c r="T34" i="50" s="1"/>
  <c r="T31" i="50"/>
  <c r="T32" i="50"/>
  <c r="T28" i="50"/>
  <c r="N6" i="34"/>
  <c r="N93" i="34" s="1"/>
  <c r="N115" i="34" s="1"/>
  <c r="I6" i="34"/>
  <c r="I93" i="34" s="1"/>
  <c r="I115" i="34" s="1"/>
  <c r="I34" i="50"/>
  <c r="J34" i="50" s="1"/>
  <c r="J32" i="50"/>
  <c r="J31" i="50"/>
  <c r="J29" i="50"/>
  <c r="J28" i="50"/>
  <c r="N6" i="32"/>
  <c r="N93" i="32" s="1"/>
  <c r="T30" i="50"/>
  <c r="L29" i="50"/>
  <c r="J6" i="34"/>
  <c r="L31" i="50"/>
  <c r="L32" i="50"/>
  <c r="L28" i="50"/>
  <c r="K34" i="50"/>
  <c r="L34" i="50" s="1"/>
  <c r="AB28" i="50"/>
  <c r="AA34" i="50"/>
  <c r="AB34" i="50" s="1"/>
  <c r="AB29" i="50"/>
  <c r="AB32" i="50"/>
  <c r="R6" i="34"/>
  <c r="R93" i="34" s="1"/>
  <c r="R115" i="34" s="1"/>
  <c r="AB31" i="50"/>
  <c r="AC34" i="50"/>
  <c r="AD34" i="50" s="1"/>
  <c r="AD28" i="50"/>
  <c r="S6" i="34"/>
  <c r="S93" i="34" s="1"/>
  <c r="S115" i="34" s="1"/>
  <c r="AD29" i="50"/>
  <c r="AD31" i="50"/>
  <c r="AD32" i="50"/>
  <c r="I6" i="32"/>
  <c r="I93" i="32" s="1"/>
  <c r="J30" i="50"/>
  <c r="W83" i="28"/>
  <c r="V82" i="28"/>
  <c r="V83" i="28" s="1"/>
  <c r="V85" i="28" s="1"/>
  <c r="AZ22" i="28" s="1"/>
  <c r="T72" i="28"/>
  <c r="J37" i="65"/>
  <c r="T41" i="28"/>
  <c r="T42" i="28"/>
  <c r="U41" i="28"/>
  <c r="U42" i="28"/>
  <c r="T55" i="28"/>
  <c r="U55" i="28"/>
  <c r="W55" i="28"/>
  <c r="T50" i="66"/>
  <c r="T52" i="66"/>
  <c r="T51" i="66"/>
  <c r="T54" i="66"/>
  <c r="T53" i="66"/>
  <c r="C267" i="2"/>
  <c r="B275" i="2"/>
  <c r="C275" i="2" s="1"/>
  <c r="W85" i="28" l="1"/>
  <c r="AZ23" i="28" s="1"/>
  <c r="BF8" i="28" s="1"/>
  <c r="BG8" i="28" s="1"/>
  <c r="O78" i="64"/>
  <c r="T82" i="28" s="1"/>
  <c r="T83" i="28" s="1"/>
  <c r="AA72" i="28"/>
  <c r="AA73" i="28" s="1"/>
  <c r="T32" i="28"/>
  <c r="T35" i="28" s="1"/>
  <c r="T38" i="28" s="1"/>
  <c r="J93" i="34"/>
  <c r="J115" i="34" s="1"/>
  <c r="BF7" i="28"/>
  <c r="BG7" i="28" s="1"/>
  <c r="X23" i="28"/>
  <c r="X85" i="28" s="1"/>
  <c r="AZ24" i="28" s="1"/>
  <c r="BF9" i="28" s="1"/>
  <c r="BG9" i="28" s="1"/>
  <c r="AA55" i="28"/>
  <c r="AA56" i="28" s="1"/>
  <c r="U47" i="28"/>
  <c r="U85" i="28" s="1"/>
  <c r="AZ16" i="28" s="1"/>
  <c r="AZ19" i="28" s="1"/>
  <c r="AZ18" i="28" s="1"/>
  <c r="AZ8" i="28" s="1"/>
  <c r="AZ10" i="28" s="1"/>
  <c r="T47" i="28"/>
  <c r="AA47" i="28" s="1"/>
  <c r="AA49" i="28" s="1"/>
  <c r="P82" i="64" l="1"/>
  <c r="AA82" i="28"/>
  <c r="P83" i="64"/>
  <c r="P80" i="64"/>
  <c r="P81" i="64"/>
  <c r="P79" i="64"/>
  <c r="AZ25" i="28"/>
  <c r="AZ9" i="28" s="1"/>
  <c r="AZ11" i="28" s="1"/>
  <c r="BF6" i="28"/>
  <c r="BG6" i="28" l="1"/>
  <c r="W17" i="28" s="1"/>
  <c r="W23" i="28" l="1"/>
  <c r="T17" i="28" l="1"/>
  <c r="T23" i="28"/>
  <c r="T85" i="28" s="1"/>
  <c r="T86" i="28" l="1"/>
  <c r="T4" i="28" s="1"/>
  <c r="AZ5" i="28"/>
  <c r="BA25" i="28" l="1"/>
  <c r="AZ12" i="28"/>
  <c r="AZ13" i="28" s="1"/>
  <c r="BA10" i="28"/>
  <c r="BA9" i="28"/>
  <c r="BA11" i="28"/>
  <c r="BA18" i="28"/>
  <c r="BA7" i="28"/>
  <c r="BA23" i="28"/>
  <c r="BA22" i="28"/>
  <c r="BA19" i="28"/>
  <c r="BA8" i="28"/>
  <c r="BA16" i="28"/>
  <c r="BA24" i="28"/>
  <c r="BA12" i="28" l="1"/>
  <c r="BA13" i="28" l="1"/>
  <c r="B28" i="99"/>
  <c r="BA17" i="28"/>
  <c r="BA6" i="28"/>
  <c r="N14" i="99"/>
  <c r="M14" i="99"/>
  <c r="O14" i="99"/>
  <c r="S25" i="46"/>
  <c r="T25" i="46" s="1"/>
  <c r="O25" i="46"/>
  <c r="P25" i="46" s="1"/>
  <c r="U23" i="33"/>
  <c r="U111" i="33" s="1"/>
  <c r="K23" i="31"/>
  <c r="K111" i="31" s="1"/>
  <c r="Q25" i="46"/>
  <c r="R25" i="46" s="1"/>
  <c r="S23" i="34"/>
  <c r="S111" i="34" s="1"/>
  <c r="Q23" i="32"/>
  <c r="Q111" i="32" s="1"/>
  <c r="Q23" i="34"/>
  <c r="Q111" i="34" s="1"/>
  <c r="M23" i="34"/>
  <c r="M111" i="34" s="1"/>
  <c r="S23" i="32"/>
  <c r="S111" i="32" s="1"/>
  <c r="K23" i="32"/>
  <c r="K111" i="32" s="1"/>
  <c r="K23" i="30"/>
  <c r="K111" i="30" s="1"/>
  <c r="O23" i="30"/>
  <c r="O111" i="30" s="1"/>
  <c r="I23" i="32"/>
  <c r="I111" i="32" s="1"/>
  <c r="N23" i="31"/>
  <c r="N111" i="31" s="1"/>
  <c r="H23" i="32"/>
  <c r="H111" i="32" s="1"/>
  <c r="R23" i="30"/>
  <c r="R111" i="30" s="1"/>
  <c r="L23" i="32"/>
  <c r="L111" i="32" s="1"/>
  <c r="T23" i="31"/>
  <c r="T111" i="31" s="1"/>
  <c r="S23" i="30"/>
  <c r="S111" i="30" s="1"/>
  <c r="AL6" i="46"/>
  <c r="AK6" i="46" s="1"/>
  <c r="AK20" i="46" s="1"/>
  <c r="L23" i="30"/>
  <c r="L111" i="30" s="1"/>
  <c r="M23" i="32"/>
  <c r="M111" i="32" s="1"/>
  <c r="G23" i="31"/>
  <c r="G111" i="31" s="1"/>
  <c r="J23" i="32"/>
  <c r="J111" i="32" s="1"/>
  <c r="T23" i="30"/>
  <c r="T111" i="30" s="1"/>
  <c r="M23" i="31"/>
  <c r="M111" i="31" s="1"/>
  <c r="I23" i="30"/>
  <c r="I111" i="30" s="1"/>
  <c r="U23" i="30"/>
  <c r="U111" i="30" s="1"/>
  <c r="P23" i="32"/>
  <c r="P111" i="32" s="1"/>
  <c r="N23" i="34"/>
  <c r="N111" i="34" s="1"/>
  <c r="U23" i="31"/>
  <c r="U111" i="31" s="1"/>
  <c r="R23" i="31"/>
  <c r="R111" i="31" s="1"/>
  <c r="V23" i="32"/>
  <c r="V111" i="32" s="1"/>
  <c r="R23" i="32"/>
  <c r="R111" i="32" s="1"/>
  <c r="O23" i="31"/>
  <c r="O111" i="31" s="1"/>
  <c r="T23" i="34"/>
  <c r="T111" i="34" s="1"/>
  <c r="Q23" i="33"/>
  <c r="Q111" i="33" s="1"/>
  <c r="S23" i="33"/>
  <c r="S111" i="33" s="1"/>
  <c r="V23" i="34"/>
  <c r="V111" i="34" s="1"/>
  <c r="O23" i="32"/>
  <c r="O111" i="32" s="1"/>
  <c r="R23" i="33"/>
  <c r="R111" i="33" s="1"/>
  <c r="N23" i="30"/>
  <c r="N111" i="30" s="1"/>
  <c r="H23" i="31"/>
  <c r="H111" i="31" s="1"/>
  <c r="N23" i="32"/>
  <c r="N111" i="32" s="1"/>
  <c r="T23" i="33"/>
  <c r="T111" i="33" s="1"/>
  <c r="G23" i="33"/>
  <c r="G111" i="33" s="1"/>
  <c r="L23" i="31"/>
  <c r="L111" i="31" s="1"/>
  <c r="G23" i="30"/>
  <c r="G111" i="30" s="1"/>
  <c r="I23" i="31"/>
  <c r="I111" i="31" s="1"/>
  <c r="U23" i="32"/>
  <c r="U111" i="32" s="1"/>
  <c r="P23" i="31"/>
  <c r="P111" i="31" s="1"/>
  <c r="L23" i="33"/>
  <c r="L111" i="33" s="1"/>
  <c r="S23" i="31"/>
  <c r="S111" i="31" s="1"/>
  <c r="M23" i="33"/>
  <c r="M111" i="33" s="1"/>
  <c r="E25" i="46"/>
  <c r="F25" i="46" s="1"/>
  <c r="U23" i="34"/>
  <c r="U111" i="34" s="1"/>
  <c r="G23" i="32"/>
  <c r="G111" i="32" s="1"/>
  <c r="I23" i="34"/>
  <c r="I111" i="34" s="1"/>
  <c r="I25" i="46"/>
  <c r="J25" i="46" s="1"/>
  <c r="X6" i="46"/>
  <c r="W6" i="46" s="1"/>
  <c r="W18" i="46" s="1"/>
  <c r="N6" i="46"/>
  <c r="M6" i="46" s="1"/>
  <c r="M18" i="46" s="1"/>
  <c r="H23" i="30"/>
  <c r="H111" i="30" s="1"/>
  <c r="W23" i="30"/>
  <c r="W111" i="30" s="1"/>
  <c r="J23" i="30"/>
  <c r="J111" i="30" s="1"/>
  <c r="G23" i="34"/>
  <c r="G111" i="34" s="1"/>
  <c r="L23" i="34"/>
  <c r="L111" i="34" s="1"/>
  <c r="V23" i="30"/>
  <c r="V111" i="30" s="1"/>
  <c r="W23" i="31"/>
  <c r="W111" i="31" s="1"/>
  <c r="V23" i="31"/>
  <c r="V111" i="31" s="1"/>
  <c r="T23" i="32"/>
  <c r="T111" i="32" s="1"/>
  <c r="I23" i="33"/>
  <c r="I111" i="33" s="1"/>
  <c r="X23" i="34"/>
  <c r="X111" i="34" s="1"/>
  <c r="R23" i="34"/>
  <c r="R111" i="34" s="1"/>
  <c r="H6" i="46"/>
  <c r="G6" i="46" s="1"/>
  <c r="G19" i="46" s="1"/>
  <c r="W23" i="32"/>
  <c r="W111" i="32" s="1"/>
  <c r="P23" i="30"/>
  <c r="P111" i="30" s="1"/>
  <c r="M23" i="30"/>
  <c r="M111" i="30" s="1"/>
  <c r="J23" i="31"/>
  <c r="J111" i="31" s="1"/>
  <c r="V23" i="33"/>
  <c r="V111" i="33" s="1"/>
  <c r="Q23" i="31"/>
  <c r="Q111" i="31" s="1"/>
  <c r="L6" i="46"/>
  <c r="K6" i="46" s="1"/>
  <c r="K20" i="46" s="1"/>
  <c r="Q23" i="30"/>
  <c r="Q111" i="30" s="1"/>
  <c r="N23" i="33"/>
  <c r="N111" i="33" s="1"/>
  <c r="V6" i="46"/>
  <c r="U6" i="46" s="1"/>
  <c r="G18" i="46" l="1"/>
  <c r="H22" i="46" s="1"/>
  <c r="G20" i="46"/>
  <c r="J23" i="33"/>
  <c r="J111" i="33" s="1"/>
  <c r="X23" i="46"/>
  <c r="P23" i="34"/>
  <c r="P111" i="34" s="1"/>
  <c r="X22" i="46"/>
  <c r="X21" i="46"/>
  <c r="W25" i="46"/>
  <c r="X25" i="46" s="1"/>
  <c r="Y25" i="46" s="1"/>
  <c r="Z25" i="46" s="1"/>
  <c r="AA25" i="46" s="1"/>
  <c r="AB25" i="46" s="1"/>
  <c r="AC25" i="46" s="1"/>
  <c r="AD25" i="46" s="1"/>
  <c r="AE25" i="46" s="1"/>
  <c r="AF25" i="46" s="1"/>
  <c r="AG25" i="46" s="1"/>
  <c r="AH25" i="46" s="1"/>
  <c r="AI25" i="46" s="1"/>
  <c r="AJ25" i="46" s="1"/>
  <c r="AK25" i="46" s="1"/>
  <c r="AL25" i="46" s="1"/>
  <c r="U19" i="46"/>
  <c r="U18" i="46"/>
  <c r="U20" i="46"/>
  <c r="N22" i="46"/>
  <c r="K23" i="34"/>
  <c r="K111" i="34" s="1"/>
  <c r="N21" i="46"/>
  <c r="M25" i="46"/>
  <c r="N25" i="46" s="1"/>
  <c r="N23" i="46"/>
  <c r="W23" i="33"/>
  <c r="W111" i="33" s="1"/>
  <c r="M19" i="46"/>
  <c r="N19" i="46" s="1"/>
  <c r="K19" i="46"/>
  <c r="H23" i="33"/>
  <c r="H111" i="33" s="1"/>
  <c r="W19" i="46"/>
  <c r="X19" i="46" s="1"/>
  <c r="AK18" i="46"/>
  <c r="AL20" i="46" s="1"/>
  <c r="H21" i="46"/>
  <c r="G25" i="46"/>
  <c r="H25" i="46" s="1"/>
  <c r="M20" i="46"/>
  <c r="AK19" i="46"/>
  <c r="AL19" i="46" s="1"/>
  <c r="H23" i="46"/>
  <c r="K18" i="46"/>
  <c r="W20" i="46"/>
  <c r="H23" i="34"/>
  <c r="H111" i="34" s="1"/>
  <c r="V19" i="46" l="1"/>
  <c r="H20" i="46"/>
  <c r="H19" i="46"/>
  <c r="L22" i="46"/>
  <c r="L23" i="46"/>
  <c r="K25" i="46"/>
  <c r="L25" i="46" s="1"/>
  <c r="L21" i="46"/>
  <c r="J23" i="34"/>
  <c r="J111" i="34" s="1"/>
  <c r="AL21" i="46"/>
  <c r="AL22" i="46"/>
  <c r="W23" i="34"/>
  <c r="W111" i="34" s="1"/>
  <c r="AL23" i="46"/>
  <c r="O23" i="33"/>
  <c r="O111" i="33" s="1"/>
  <c r="V20" i="46"/>
  <c r="L20" i="46"/>
  <c r="L19" i="46"/>
  <c r="P23" i="33"/>
  <c r="P111" i="33" s="1"/>
  <c r="X20" i="46"/>
  <c r="K23" i="33"/>
  <c r="K111" i="33" s="1"/>
  <c r="N20" i="46"/>
  <c r="V21" i="46"/>
  <c r="V22" i="46"/>
  <c r="O23" i="34"/>
  <c r="O111" i="34" s="1"/>
  <c r="V23" i="46"/>
  <c r="U25" i="46"/>
  <c r="V25" i="4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Requête - Erreurs dans PRIXMA" description="Connexion à la requête « Erreurs dans PRIXMA » dans le classeur." type="5" refreshedVersion="0" background="1">
    <dbPr connection="Provider=Microsoft.Mashup.OleDb.1;Data Source=$Workbook$;Location=&quot;Erreurs dans PRIXMA&quot;" command="SELECT * FROM [Erreurs dans PRIXMA]"/>
  </connection>
  <connection id="2" xr16:uid="{00000000-0015-0000-FFFF-FFFF01000000}" keepAlive="1" name="Requête - PRIXMA" description="Connexion à la requête « PRIXMA » dans le classeur." type="5" refreshedVersion="0" background="1">
    <dbPr connection="Provider=Microsoft.Mashup.OleDb.1;Data Source=$Workbook$;Location=PRIXMA" command="SELECT * FROM [PRIXMA]"/>
  </connection>
</connections>
</file>

<file path=xl/sharedStrings.xml><?xml version="1.0" encoding="utf-8"?>
<sst xmlns="http://schemas.openxmlformats.org/spreadsheetml/2006/main" count="9594" uniqueCount="1846">
  <si>
    <t>Les feuilles se ressembles toutes, mêmes méthodes de calcul appliquée à chaque élément. On va chercher chaque produit/presta dans les feuilles de la colonne 1</t>
  </si>
  <si>
    <t>ACTION MARC :</t>
  </si>
  <si>
    <t>Faire l'équivalence des produits saskit, déterminer pour chaque élément la partie de MO chantier et MO atelier + MINIPELLE</t>
  </si>
  <si>
    <t>Parametres de base</t>
  </si>
  <si>
    <t>MINIPELLE</t>
  </si>
  <si>
    <t>MP</t>
  </si>
  <si>
    <t>MAIN D'OEUVRE</t>
  </si>
  <si>
    <t>MO</t>
  </si>
  <si>
    <t>Marge</t>
  </si>
  <si>
    <t>MA</t>
  </si>
  <si>
    <t>TVA</t>
  </si>
  <si>
    <t>NOUVEAU MODELE CALCUL AQUATIRIS</t>
  </si>
  <si>
    <t>NOM CLIENT</t>
  </si>
  <si>
    <t>FREYSSE</t>
  </si>
  <si>
    <t>Nombre EH</t>
  </si>
  <si>
    <t>Filière</t>
  </si>
  <si>
    <t>FV-FH</t>
  </si>
  <si>
    <t>MAIN d'OEUVRE</t>
  </si>
  <si>
    <t>TRAVAIL DE PREPARATION</t>
  </si>
  <si>
    <t>QTE</t>
  </si>
  <si>
    <t>unités</t>
  </si>
  <si>
    <t>PU</t>
  </si>
  <si>
    <t>TOT</t>
  </si>
  <si>
    <t>COEF</t>
  </si>
  <si>
    <t>Installation de chantier</t>
  </si>
  <si>
    <t>forfait</t>
  </si>
  <si>
    <t>Piquetage</t>
  </si>
  <si>
    <t>Terrassement</t>
  </si>
  <si>
    <t>Abattage</t>
  </si>
  <si>
    <t>Désouchage</t>
  </si>
  <si>
    <t>Enlèvement souches</t>
  </si>
  <si>
    <t>euros :</t>
  </si>
  <si>
    <t>hrs :</t>
  </si>
  <si>
    <t>RECAP</t>
  </si>
  <si>
    <t>MARGE</t>
  </si>
  <si>
    <t>COUT</t>
  </si>
  <si>
    <t>hrs</t>
  </si>
  <si>
    <t>euros</t>
  </si>
  <si>
    <t>TOTAL PREPARATION</t>
  </si>
  <si>
    <t>HT</t>
  </si>
  <si>
    <t>COLLECTE ET EXUTOIRE</t>
  </si>
  <si>
    <t>poste relevage dia 50 h 900</t>
  </si>
  <si>
    <t>pc</t>
  </si>
  <si>
    <t>poste relevage dia 50 h 1200</t>
  </si>
  <si>
    <t>poste relevage dia 50 h 1500</t>
  </si>
  <si>
    <t>Poste de relevage eaux Grises</t>
  </si>
  <si>
    <t>Dégraisseur 200 l</t>
  </si>
  <si>
    <t>Dégraisseur 500 l</t>
  </si>
  <si>
    <t>SORTIE vers POMPE ou FILTRE</t>
  </si>
  <si>
    <t>scellement pompe</t>
  </si>
  <si>
    <t>un</t>
  </si>
  <si>
    <t>Fourreau + grillage rouge</t>
  </si>
  <si>
    <t>ml</t>
  </si>
  <si>
    <t>Aération pompe</t>
  </si>
  <si>
    <t>Tranchée + grillage marron</t>
  </si>
  <si>
    <t>tuyaux evac dia 100</t>
  </si>
  <si>
    <t>tuyaux evac CR8 dia 100</t>
  </si>
  <si>
    <t>accessoires (coudes, T, bouchon)</t>
  </si>
  <si>
    <t>colle</t>
  </si>
  <si>
    <t>CIRCUIT PRESSION</t>
  </si>
  <si>
    <t>tuyaux PE dia 50</t>
  </si>
  <si>
    <t>barre PVC dia 50</t>
  </si>
  <si>
    <t>raccord PE – PVC</t>
  </si>
  <si>
    <t>accessoires (coudes, T,...)</t>
  </si>
  <si>
    <t>NOUE</t>
  </si>
  <si>
    <t>EPANDRAIN</t>
  </si>
  <si>
    <t>Géomenbrane</t>
  </si>
  <si>
    <t>tuyaux evac dia 100 CR 8</t>
  </si>
  <si>
    <t>clapet sortie</t>
  </si>
  <si>
    <t>creuser la noue</t>
  </si>
  <si>
    <t>m3</t>
  </si>
  <si>
    <t>Gabion 14/20 lavé</t>
  </si>
  <si>
    <t>T</t>
  </si>
  <si>
    <t>géotextile 1m</t>
  </si>
  <si>
    <t>m²</t>
  </si>
  <si>
    <t>rehausse béton</t>
  </si>
  <si>
    <t>couvercle rehausse</t>
  </si>
  <si>
    <t>plantes de noues</t>
  </si>
  <si>
    <t>TOTAL COLECTE ET EXUTOIRE</t>
  </si>
  <si>
    <t>poste de relevage et dégraisseur</t>
  </si>
  <si>
    <t>accessoire poste de relevage</t>
  </si>
  <si>
    <t>Tuyaux et accessoires</t>
  </si>
  <si>
    <t>Géotextile et gabion de noue</t>
  </si>
  <si>
    <t>regards visite</t>
  </si>
  <si>
    <t>JARDIN D'ASSAINISSEMENT</t>
  </si>
  <si>
    <t>KIT AQUATIRIS</t>
  </si>
  <si>
    <t>regard de distribution gravitaire</t>
  </si>
  <si>
    <t>regard pression DIR 01 guillotines</t>
  </si>
  <si>
    <t>regard pression DIR 02 vanne 3 voies</t>
  </si>
  <si>
    <t>regard pression DIR 02 electrovanne</t>
  </si>
  <si>
    <t>Répartiteurs (la paire)</t>
  </si>
  <si>
    <t>Bâche FV + passage membrane</t>
  </si>
  <si>
    <t>Bâche FH + passage membrane</t>
  </si>
  <si>
    <t>regard de sortie</t>
  </si>
  <si>
    <t>BAC 2,5 EH + joint forsheda</t>
  </si>
  <si>
    <t>BAC 3 EH + joint forsheda</t>
  </si>
  <si>
    <t>Transport et déchargement</t>
  </si>
  <si>
    <t>Drain de sorties BACS et  FV + FH</t>
  </si>
  <si>
    <t>Aération filtres</t>
  </si>
  <si>
    <t>Bouchons + manchons pour BACS</t>
  </si>
  <si>
    <t>Joint forsheda bacs additionnels</t>
  </si>
  <si>
    <t>FILTRE VERTICAL</t>
  </si>
  <si>
    <t>Terrassement volumique</t>
  </si>
  <si>
    <t>Terrassement fond de forme</t>
  </si>
  <si>
    <t>Cadre 70/40 CL4</t>
  </si>
  <si>
    <t>Piquets 46/46 CL4</t>
  </si>
  <si>
    <t>Vis inox 100</t>
  </si>
  <si>
    <t>delta MS</t>
  </si>
  <si>
    <t>Barrière antiracinaire</t>
  </si>
  <si>
    <t>Chevron milieu</t>
  </si>
  <si>
    <t>Plaque béton milieu</t>
  </si>
  <si>
    <t>cadre douglas  170/60</t>
  </si>
  <si>
    <t>Coupe à mi bois</t>
  </si>
  <si>
    <t>Vis penture</t>
  </si>
  <si>
    <t>Vis inox 120</t>
  </si>
  <si>
    <t>CADRE CHENE</t>
  </si>
  <si>
    <t>Gabion 20/40 lavé</t>
  </si>
  <si>
    <t>Traverse de chêne ( 7 hauteurs)</t>
  </si>
  <si>
    <t>Tige métal</t>
  </si>
  <si>
    <t>tablette chêne 220/4</t>
  </si>
  <si>
    <t>CADRE DOUGLAS</t>
  </si>
  <si>
    <t>Cadre bastaing douglas  7</t>
  </si>
  <si>
    <t>COFFRAGE BETON</t>
  </si>
  <si>
    <t>Plaque béton</t>
  </si>
  <si>
    <t>Vis inox 70</t>
  </si>
  <si>
    <t>FILTRE  HORIZONTAL</t>
  </si>
  <si>
    <t>Plaque béton h 25</t>
  </si>
  <si>
    <t>GRANULATS</t>
  </si>
  <si>
    <t>20/40 lavé</t>
  </si>
  <si>
    <t>6/10 lavé</t>
  </si>
  <si>
    <t>2/4 lavé</t>
  </si>
  <si>
    <t>sable remplissage</t>
  </si>
  <si>
    <t>PROTECTION SANITAIRE</t>
  </si>
  <si>
    <t>barre T métal 40</t>
  </si>
  <si>
    <t>barreT létal 45</t>
  </si>
  <si>
    <t>Caillebotis 1x1 m</t>
  </si>
  <si>
    <t>Caillebotis 1x1,5 m</t>
  </si>
  <si>
    <t xml:space="preserve">PLANTES   </t>
  </si>
  <si>
    <t>Phragmites</t>
  </si>
  <si>
    <t>Plantes aquatiques</t>
  </si>
  <si>
    <t>TOTAL JARDI ASSAINISSEMENT</t>
  </si>
  <si>
    <t>Accessoires kit</t>
  </si>
  <si>
    <t>Enveloppe FV</t>
  </si>
  <si>
    <t>Enveloppe FH</t>
  </si>
  <si>
    <t>Total</t>
  </si>
  <si>
    <t>FINITIONS</t>
  </si>
  <si>
    <t>muret</t>
  </si>
  <si>
    <t>mise en déchetterie</t>
  </si>
  <si>
    <t>Nettoyage</t>
  </si>
  <si>
    <t>TOTAL FINITIONS</t>
  </si>
  <si>
    <t>RESUME</t>
  </si>
  <si>
    <t>JARDI ASSAINISSEMENT</t>
  </si>
  <si>
    <t>Sous total</t>
  </si>
  <si>
    <t>REDEVANCES</t>
  </si>
  <si>
    <t>Bureau d'etude</t>
  </si>
  <si>
    <t>Aquatiris</t>
  </si>
  <si>
    <t>Controle fabricant</t>
  </si>
  <si>
    <t>Certificat du fabricant</t>
  </si>
  <si>
    <t>TTC</t>
  </si>
  <si>
    <t>RECAPITULATIF</t>
  </si>
  <si>
    <t>HEURES MINIPELLE</t>
  </si>
  <si>
    <t>HEURES MAIN D'OEUVRE</t>
  </si>
  <si>
    <t>TOTAL REDEVANCES</t>
  </si>
  <si>
    <t>PRESTATIONS</t>
  </si>
  <si>
    <t>TOTAL HEURES</t>
  </si>
  <si>
    <t>NOMBRES DE JOURS TOTAL</t>
  </si>
  <si>
    <t>J</t>
  </si>
  <si>
    <t>DUREE CHANTIER</t>
  </si>
  <si>
    <t>COUT HORAIRE INTERIM</t>
  </si>
  <si>
    <t>HT/hrs</t>
  </si>
  <si>
    <t>COUT INTERIM</t>
  </si>
  <si>
    <t>NOMBRE DE JOURS MINIPELLE</t>
  </si>
  <si>
    <t>NOMBRE DE JOURS DUMPER</t>
  </si>
  <si>
    <t>PRIX LOCATION MINIPELLE</t>
  </si>
  <si>
    <t>PRIX LOCATION DUMPER</t>
  </si>
  <si>
    <t>TRANSPORT ENGINS</t>
  </si>
  <si>
    <t>COUT LOCATION</t>
  </si>
  <si>
    <t>RISTOURNE CLIENT</t>
  </si>
  <si>
    <t>ENGINS</t>
  </si>
  <si>
    <t>ANALYSE DES COUTS</t>
  </si>
  <si>
    <t>CHIFFRE D'AFFAIRE</t>
  </si>
  <si>
    <t>INTERIM</t>
  </si>
  <si>
    <t>LOCATION</t>
  </si>
  <si>
    <t>TOTAL DEBOURSE SEC</t>
  </si>
  <si>
    <t>MARGE BRUTE</t>
  </si>
  <si>
    <t>Base 5,5 jours parking compris</t>
  </si>
  <si>
    <t>COUT HORAIRE SALAIRE</t>
  </si>
  <si>
    <t>COUT SALAIRE</t>
  </si>
  <si>
    <t>ASSURANCE</t>
  </si>
  <si>
    <t>COUT DECENALE</t>
  </si>
  <si>
    <t>MARGE NETTE</t>
  </si>
  <si>
    <t>PRIX DE VENTE</t>
  </si>
  <si>
    <t>TRAVAUX SUPPLEMENTAIRE</t>
  </si>
  <si>
    <t>Parking =5*15 pour  6 véhicules</t>
  </si>
  <si>
    <t>Drain agricole</t>
  </si>
  <si>
    <t>géotextile 2m</t>
  </si>
  <si>
    <t>15/32 lavé</t>
  </si>
  <si>
    <t>Géotextile séparateur de couche</t>
  </si>
  <si>
    <t>remblais</t>
  </si>
  <si>
    <t>shiste pourpre</t>
  </si>
  <si>
    <t>Plaque béton alvéoléebéton</t>
  </si>
  <si>
    <t>Vibrant</t>
  </si>
  <si>
    <t>ml FINITIONS</t>
  </si>
  <si>
    <t>nb EH</t>
  </si>
  <si>
    <t>²</t>
  </si>
  <si>
    <t>périmètre FV</t>
  </si>
  <si>
    <t>périmètre FH</t>
  </si>
  <si>
    <t>périmètre FV-FH cumul</t>
  </si>
  <si>
    <t>BAC périmètre global</t>
  </si>
  <si>
    <t>BAC périmètres cumulés</t>
  </si>
  <si>
    <t>Longueur FV</t>
  </si>
  <si>
    <t>Largeur FV</t>
  </si>
  <si>
    <t>Longueur</t>
  </si>
  <si>
    <t>Largeur FH</t>
  </si>
  <si>
    <t>12 (6/4)</t>
  </si>
  <si>
    <t>12 (8/3)</t>
  </si>
  <si>
    <t>14 (8/3,5)</t>
  </si>
  <si>
    <t>14 (7/4)</t>
  </si>
  <si>
    <t>18 (8/4,5)</t>
  </si>
  <si>
    <t>18 (9/4)</t>
  </si>
  <si>
    <t>20 (10/4)</t>
  </si>
  <si>
    <t>20 (8/5)</t>
  </si>
  <si>
    <t>Unité</t>
  </si>
  <si>
    <t>/</t>
  </si>
  <si>
    <t>surface FV/FH/BAC</t>
  </si>
  <si>
    <t>m</t>
  </si>
  <si>
    <t>Longueur FH</t>
  </si>
  <si>
    <t>Nb caillebotis 1*1</t>
  </si>
  <si>
    <t>Nb caillebotis 1*1,5</t>
  </si>
  <si>
    <t>Prévoir ajustement</t>
  </si>
  <si>
    <t xml:space="preserve">  PVC DN 50</t>
  </si>
  <si>
    <t xml:space="preserve"> coudes 90° DN 50</t>
  </si>
  <si>
    <t xml:space="preserve"> répartiteurs</t>
  </si>
  <si>
    <t>T pression</t>
  </si>
  <si>
    <t>PRODUIT/PRESTA</t>
  </si>
  <si>
    <t>Catégorie</t>
  </si>
  <si>
    <t>UNITES</t>
  </si>
  <si>
    <t>FOURNISSEURS</t>
  </si>
  <si>
    <t>COEF MINIPELLE</t>
  </si>
  <si>
    <t>BOIS</t>
  </si>
  <si>
    <t>SASKIT</t>
  </si>
  <si>
    <t>POSTE DE RELEVAGE EAUX USEES 2 POMPES</t>
  </si>
  <si>
    <t>TE DE PIED DE BICHE DIAM 50</t>
  </si>
  <si>
    <t>TOILE VEGETALE ANTI-AFFOUILLEMENT</t>
  </si>
  <si>
    <t>CONNECTEUR 3 POLES</t>
  </si>
  <si>
    <t>KIT RELEVAGE 3 VOIES DIAM 63</t>
  </si>
  <si>
    <t>PFH12EH</t>
  </si>
  <si>
    <t>PFV12EH8X3</t>
  </si>
  <si>
    <t>NSPR-1800</t>
  </si>
  <si>
    <t>RELEVAGE</t>
  </si>
  <si>
    <t>TE DE PRESSION DIAMETRE 63</t>
  </si>
  <si>
    <t>COUDE D50 à 45°</t>
  </si>
  <si>
    <t>BARRIERE ANTI RACINE</t>
  </si>
  <si>
    <t>REDUCTION 100/50</t>
  </si>
  <si>
    <t>JOINT FORSHEDA DIAMETRE 100</t>
  </si>
  <si>
    <t>JOINT FORSHEDA  DIAMETRE 63</t>
  </si>
  <si>
    <t>JOINT FORSHEDA DIAMETRE 50</t>
  </si>
  <si>
    <t>MANCHON DE DILATATION</t>
  </si>
  <si>
    <t>REDUCTION 110/100</t>
  </si>
  <si>
    <t>VANNE TRAPPE DIAMETRE 100</t>
  </si>
  <si>
    <t>RACCORD PEHD SOUPLE POUR POSTE DE RELEVAGE</t>
  </si>
  <si>
    <t>VANNE GUILLOTINE DIAMETRE 50</t>
  </si>
  <si>
    <t>COUVERCLE AQUATIRIS POUR REGARD DIR01</t>
  </si>
  <si>
    <t>VANNE GUILLOTINE DIAMETRE 63</t>
  </si>
  <si>
    <t>REHAUSSE</t>
  </si>
  <si>
    <t>COUVERCLE AQUATIRIS POUR REGARD PE</t>
  </si>
  <si>
    <t>COUVERCLE REGARD GRAVITAIRE DOUBLE SORTIE</t>
  </si>
  <si>
    <t>SCIE CLOCHE ¢ 60</t>
  </si>
  <si>
    <t>Outillage</t>
  </si>
  <si>
    <t>BARRE DE RENFORT POUR BAC 2,5 EH</t>
  </si>
  <si>
    <t>Bacs</t>
  </si>
  <si>
    <t>SCIE CLOCHE ¢ 70</t>
  </si>
  <si>
    <t>REHAUSSE REGARD</t>
  </si>
  <si>
    <t>BARRE DE RENFORT POUR BAC 3EH (compatible 6EH</t>
  </si>
  <si>
    <t>REGARD DE SORTIE SANS FOND (ZRV)</t>
  </si>
  <si>
    <t>REPARTITEUR</t>
  </si>
  <si>
    <t>REGARD HEXAGONAL NON PERCE  AVEC COUVERCLE</t>
  </si>
  <si>
    <t>VANNE 3 VOIES DIAM 50</t>
  </si>
  <si>
    <t>VANNE GUILLOTINE DIAMETRE 110</t>
  </si>
  <si>
    <t>VANNE 3 VOIES DIAM 63</t>
  </si>
  <si>
    <t>REGARD CARRE AVEC COUVERCLE</t>
  </si>
  <si>
    <t>REGARD DE COLLECTE AVEC COUVERCLE</t>
  </si>
  <si>
    <t>POMPES EAUX CLAIRES - OPTIMA</t>
  </si>
  <si>
    <t>KIT DE REPARTITION</t>
  </si>
  <si>
    <t>KIT FV RELEVAGE VANGUI50</t>
  </si>
  <si>
    <t>POMPES EAUX CLAIRES - BEST ONE VOX</t>
  </si>
  <si>
    <t>OVERFLOW ALARM BOX</t>
  </si>
  <si>
    <t>KIT RELEVAGE 3 VOIES DIAM 50</t>
  </si>
  <si>
    <t>PFH2EH</t>
  </si>
  <si>
    <t>REGARD DE COLLECTE+KIT MISE EN CHARGE</t>
  </si>
  <si>
    <t>KIT FV RELEVAGE VANGUI63</t>
  </si>
  <si>
    <t>KIT GRAVITAIRE PELLE INOX</t>
  </si>
  <si>
    <t>KIT FV GRAVITAIRE  vannes guillotines 110</t>
  </si>
  <si>
    <t>POMPES SUBMERSIBLES POUR EAUX CHARGEES - RIGHT</t>
  </si>
  <si>
    <t>PFH3EH</t>
  </si>
  <si>
    <t>PFH4EH</t>
  </si>
  <si>
    <t>PFV2EH</t>
  </si>
  <si>
    <t>PFH5EH</t>
  </si>
  <si>
    <t>PFV3EH3X2</t>
  </si>
  <si>
    <t>POMPES SUBMERSIBLES POUR EAUX CHARGEES - DW VOX</t>
  </si>
  <si>
    <t>POSTE DE RELEVAGE EAUX CLAIRES</t>
  </si>
  <si>
    <t>PFV4EH4X2</t>
  </si>
  <si>
    <t>ECSPR-900</t>
  </si>
  <si>
    <t>PFH6EH</t>
  </si>
  <si>
    <t>PFV5EH4X2,5</t>
  </si>
  <si>
    <t>ECSPR-1200</t>
  </si>
  <si>
    <t>PFH7EH</t>
  </si>
  <si>
    <t>ECSPR-1500</t>
  </si>
  <si>
    <t>PFV6EH4X3</t>
  </si>
  <si>
    <t>PFH8EH</t>
  </si>
  <si>
    <t>PFV6EH6X2</t>
  </si>
  <si>
    <t>PFH9EH</t>
  </si>
  <si>
    <t>KIT RELEVAGE 3 VOIES MOTORISÉE DIAM 50 AVEC HORLOGE</t>
  </si>
  <si>
    <t>ECSPR-1800</t>
  </si>
  <si>
    <t>PFV7EH4X3,5</t>
  </si>
  <si>
    <t>PFV6EH8X1,5</t>
  </si>
  <si>
    <t>KIT RELEVAGE 3 VOIES MOTORISEE DIAM 63 AVEC HORLOGE</t>
  </si>
  <si>
    <t>VANNE 3 VOIES D50 MOTORISEE HORLOGE INTEGRE</t>
  </si>
  <si>
    <t>PFH10EH</t>
  </si>
  <si>
    <t>VANNE 3 VOIES D63 MOTORISEE HORLOGE INTEGRE</t>
  </si>
  <si>
    <t>PFV8EH4X4</t>
  </si>
  <si>
    <t>PFV9EH4X4,5</t>
  </si>
  <si>
    <t>ECSPR-2100</t>
  </si>
  <si>
    <t>PFV8EH8X2</t>
  </si>
  <si>
    <t>PFV10EH4X5</t>
  </si>
  <si>
    <t>PFV10EH8X2,5</t>
  </si>
  <si>
    <t>PFH14EH</t>
  </si>
  <si>
    <t>Poste de relevage pompe Right</t>
  </si>
  <si>
    <t>SPR-900-50</t>
  </si>
  <si>
    <t>PFV12EH6X4</t>
  </si>
  <si>
    <t>SPR-1500-50</t>
  </si>
  <si>
    <t>Poste de relevage cuve ø800</t>
  </si>
  <si>
    <t>NSPR-900</t>
  </si>
  <si>
    <t>SPR-1800-50</t>
  </si>
  <si>
    <t>KIT BAC PEHD 2,5EH</t>
  </si>
  <si>
    <t>PFH16EH</t>
  </si>
  <si>
    <t>PFV14EH8X3,5</t>
  </si>
  <si>
    <t>PFV10EH10X2</t>
  </si>
  <si>
    <t>Poste de relevage pompe Dwvox</t>
  </si>
  <si>
    <t>SPR-900-63</t>
  </si>
  <si>
    <t>SPR-2100-50</t>
  </si>
  <si>
    <t>PFV14EH7X4</t>
  </si>
  <si>
    <t>SPR-1200-63</t>
  </si>
  <si>
    <t>NSPR-1200</t>
  </si>
  <si>
    <t>PFV16EH8X4</t>
  </si>
  <si>
    <t>NSPR-1500</t>
  </si>
  <si>
    <t>SPR-1500-63</t>
  </si>
  <si>
    <t>SPR-1800-63</t>
  </si>
  <si>
    <t>KIT BAC PEHD 3 EH</t>
  </si>
  <si>
    <t>Poste de relevage avec barres de guidage</t>
  </si>
  <si>
    <t>NSPR-1200-PA</t>
  </si>
  <si>
    <t>SPR-2100-63</t>
  </si>
  <si>
    <t>NSPR-2100</t>
  </si>
  <si>
    <t>NSPR-1500-PA</t>
  </si>
  <si>
    <t>PFH18EH</t>
  </si>
  <si>
    <t>PFH20EH</t>
  </si>
  <si>
    <t>NSPR-1800-PA</t>
  </si>
  <si>
    <t>PFV18EH8X4,5</t>
  </si>
  <si>
    <t>NSPR-2100-PA</t>
  </si>
  <si>
    <t>PFV18EH9X4</t>
  </si>
  <si>
    <t>PFV20EH8X5</t>
  </si>
  <si>
    <t>PFV20EH10X4</t>
  </si>
  <si>
    <t>KIT BAC PEHD 5EH</t>
  </si>
  <si>
    <t>KIT BAC PEHD 6 EH</t>
  </si>
  <si>
    <t>KIT BAC PEHD 10 EH</t>
  </si>
  <si>
    <t>KIT BAC PEH 12EHD</t>
  </si>
  <si>
    <t>KIT BAC PEHD 20EH</t>
  </si>
  <si>
    <t>PRESTA</t>
  </si>
  <si>
    <t>Détails</t>
  </si>
  <si>
    <t>Code</t>
  </si>
  <si>
    <t>Mise à plat emplacement</t>
  </si>
  <si>
    <t>TERRASSEMENT</t>
  </si>
  <si>
    <t>(creuser 5 cm plus bas)</t>
  </si>
  <si>
    <t>Fond de forme (sable)</t>
  </si>
  <si>
    <t>CHARGEMENT</t>
  </si>
  <si>
    <t>5 cm d'epaisseur (quantité sable)</t>
  </si>
  <si>
    <t>Déchargement des BACS (2 bacs max)</t>
  </si>
  <si>
    <t>BACS</t>
  </si>
  <si>
    <t>Pose BAC sur fond de forme (1 bac)</t>
  </si>
  <si>
    <t>Remplissage granulats</t>
  </si>
  <si>
    <t>Poste de relevage 600</t>
  </si>
  <si>
    <t>Poste de relevage 900</t>
  </si>
  <si>
    <t>Poste de relevage 1200</t>
  </si>
  <si>
    <t>Pose du poste</t>
  </si>
  <si>
    <t>Gabion sous bastaings</t>
  </si>
  <si>
    <t>FV Bastaings Bois</t>
  </si>
  <si>
    <t>Gabion sous traverses</t>
  </si>
  <si>
    <t>FV Traverses Bois</t>
  </si>
  <si>
    <t>Dégraisseur 200-500 L</t>
  </si>
  <si>
    <t>Remise en place des terres</t>
  </si>
  <si>
    <t>Remise en état du terrain</t>
  </si>
  <si>
    <t>/ ml de  filtres</t>
  </si>
  <si>
    <t>Tranchée gravitaire</t>
  </si>
  <si>
    <t>Creuser + couche sable + couche sous grillage + rebouchage</t>
  </si>
  <si>
    <t>Tranchée pression</t>
  </si>
  <si>
    <t>Creuser  + couche sous grillage + rebouchage</t>
  </si>
  <si>
    <t>Regard Alimentation pression</t>
  </si>
  <si>
    <t>Regard Alimentation Gravitaire</t>
  </si>
  <si>
    <t>Regard de sortie cunette</t>
  </si>
  <si>
    <t>FH</t>
  </si>
  <si>
    <t>Déssouchage</t>
  </si>
  <si>
    <t>cm</t>
  </si>
  <si>
    <t>Variable = diamètre du tronc en cm</t>
  </si>
  <si>
    <t>Déssouchage haie</t>
  </si>
  <si>
    <t>Variable = ml de haie</t>
  </si>
  <si>
    <t>Plaques béton (25-50)</t>
  </si>
  <si>
    <t>COEF MOC</t>
  </si>
  <si>
    <t>Scellement du poste</t>
  </si>
  <si>
    <t>BAC</t>
  </si>
  <si>
    <t>Pose plaques béton 50</t>
  </si>
  <si>
    <t>Pose plaques béton 25</t>
  </si>
  <si>
    <t>COEF MOA</t>
  </si>
  <si>
    <t>Poste</t>
  </si>
  <si>
    <t>Détail</t>
  </si>
  <si>
    <t>Préparation Regard DIR 02/DIR 01</t>
  </si>
  <si>
    <t>scie pendulaire + scie cloche</t>
  </si>
  <si>
    <t>Collage</t>
  </si>
  <si>
    <t>taille crayon</t>
  </si>
  <si>
    <t>pour un chaque EH</t>
  </si>
  <si>
    <t>Coupes tuyaux PVC</t>
  </si>
  <si>
    <t>scie pendulaire</t>
  </si>
  <si>
    <t>Préparation Regard sortie FH</t>
  </si>
  <si>
    <t>Préparation Aération Filtres</t>
  </si>
  <si>
    <t>Coupes Bastaings</t>
  </si>
  <si>
    <t>Coupes mi-bois bastaings</t>
  </si>
  <si>
    <t>Coupes chevrons</t>
  </si>
  <si>
    <t>Coupes traverses</t>
  </si>
  <si>
    <t>scie pendulaire ou tronçonneuse</t>
  </si>
  <si>
    <t>Coupes plaques béton 50</t>
  </si>
  <si>
    <t>banc de sciage</t>
  </si>
  <si>
    <t>Coupes plaques béton 25</t>
  </si>
  <si>
    <t>Percerment plaques béton</t>
  </si>
  <si>
    <t>perforateur</t>
  </si>
  <si>
    <t>Coef / plaques --- 3 trous par plaque ---&gt; élévateur</t>
  </si>
  <si>
    <t>Percement bastaings</t>
  </si>
  <si>
    <t>Coef / bastaings</t>
  </si>
  <si>
    <t>Percement chevrons</t>
  </si>
  <si>
    <t>Coef / chevrons</t>
  </si>
  <si>
    <t>Préparation raccord PE/PVC</t>
  </si>
  <si>
    <t>FV</t>
  </si>
  <si>
    <t>passage de membrane dia 50</t>
  </si>
  <si>
    <t>2 coupes + manchon bouchon + T</t>
  </si>
  <si>
    <t>TRONC COMMUN FV BACS</t>
  </si>
  <si>
    <t>PRODUIT</t>
  </si>
  <si>
    <t>Quantité</t>
  </si>
  <si>
    <t>Prix HT</t>
  </si>
  <si>
    <t xml:space="preserve">  Prix HT Margé</t>
  </si>
  <si>
    <t>Non margé</t>
  </si>
  <si>
    <t>ATELIER</t>
  </si>
  <si>
    <t>RECAP ATELIER</t>
  </si>
  <si>
    <t xml:space="preserve"> Prix</t>
  </si>
  <si>
    <t>Hrs</t>
  </si>
  <si>
    <t>CHANTIER</t>
  </si>
  <si>
    <t>RECAP CHANTIER</t>
  </si>
  <si>
    <t>RECAP MINIPELLE</t>
  </si>
  <si>
    <t>Prix</t>
  </si>
  <si>
    <t>RECAP     TOTAUX</t>
  </si>
  <si>
    <t>dont  marge</t>
  </si>
  <si>
    <t>MOA</t>
  </si>
  <si>
    <t>MOC</t>
  </si>
  <si>
    <t>12a</t>
  </si>
  <si>
    <t>12b</t>
  </si>
  <si>
    <t>14a</t>
  </si>
  <si>
    <t>14b</t>
  </si>
  <si>
    <t>18a</t>
  </si>
  <si>
    <t>18b</t>
  </si>
  <si>
    <t>20a</t>
  </si>
  <si>
    <t>20b</t>
  </si>
  <si>
    <t>PRODUITS</t>
  </si>
  <si>
    <t>(6/4)</t>
  </si>
  <si>
    <t xml:space="preserve"> (8/3)</t>
  </si>
  <si>
    <t>(8/3,5)</t>
  </si>
  <si>
    <t>(7/4)</t>
  </si>
  <si>
    <t xml:space="preserve"> (8/4,5)</t>
  </si>
  <si>
    <t xml:space="preserve"> (9/4)</t>
  </si>
  <si>
    <t xml:space="preserve"> (10/4)</t>
  </si>
  <si>
    <t>(8/5)</t>
  </si>
  <si>
    <t>Prix HT    ou Heures</t>
  </si>
  <si>
    <t>x</t>
  </si>
  <si>
    <t>y</t>
  </si>
  <si>
    <t>z</t>
  </si>
  <si>
    <t>Variables</t>
  </si>
  <si>
    <t>Prix relatifs au système</t>
  </si>
  <si>
    <t>Relevage + distribution</t>
  </si>
  <si>
    <t>Prix des pompes + installation --&gt; tableau de prix</t>
  </si>
  <si>
    <t>FVBAC / FV-FH</t>
  </si>
  <si>
    <t>Prix lié au type du système constructif et au dimensionnement du système --&gt; tableau de prix</t>
  </si>
  <si>
    <t>Finitions</t>
  </si>
  <si>
    <t>Prix lié au nombre de mètres linéaires de finitions et au type de finition choisie --&gt; tableaux de prix</t>
  </si>
  <si>
    <t>Bordure</t>
  </si>
  <si>
    <t>Prix lié au nombre de mètres linéaires de bordure et au type de bordure choisie --&gt; tableaux de prix</t>
  </si>
  <si>
    <t>Prix relatif à la collecte et à l'exutoire</t>
  </si>
  <si>
    <t>Tranchées + Tuyaux</t>
  </si>
  <si>
    <t xml:space="preserve"> A;B;B2;C;D;E = variables de distances              w;y;z = coefficients lié au type de tranchée</t>
  </si>
  <si>
    <t>Prix exutoire</t>
  </si>
  <si>
    <t>Prix relatif au type de ZI/ZRV et au nombre de m²</t>
  </si>
  <si>
    <t>Forfait préparation /désouchage</t>
  </si>
  <si>
    <t>à définir</t>
  </si>
  <si>
    <t>Extras</t>
  </si>
  <si>
    <t>Filières possibles (ZI / Fossé en option)</t>
  </si>
  <si>
    <t>prix/unité </t>
  </si>
  <si>
    <t>prix/EH + facteur système constructif</t>
  </si>
  <si>
    <t>prix/EH</t>
  </si>
  <si>
    <t>prix/m²</t>
  </si>
  <si>
    <t>2 POMPES</t>
  </si>
  <si>
    <t>Terrain plat</t>
  </si>
  <si>
    <t>Habitation</t>
  </si>
  <si>
    <t>Poste de relevage</t>
  </si>
  <si>
    <t>Poste de relevage EC</t>
  </si>
  <si>
    <t>ZI/ZRV</t>
  </si>
  <si>
    <t>Fossé/EP</t>
  </si>
  <si>
    <t>A</t>
  </si>
  <si>
    <t>B</t>
  </si>
  <si>
    <t>C</t>
  </si>
  <si>
    <t>B2</t>
  </si>
  <si>
    <t>D</t>
  </si>
  <si>
    <t>E</t>
  </si>
  <si>
    <t>FV BAC</t>
  </si>
  <si>
    <t>1 POMPE EB</t>
  </si>
  <si>
    <t>FV hors sol</t>
  </si>
  <si>
    <t>Faible pente</t>
  </si>
  <si>
    <t>1 POMPE EC – FV GRAVITAIRE</t>
  </si>
  <si>
    <t>Enterré – Plaques béton</t>
  </si>
  <si>
    <t>Enterré</t>
  </si>
  <si>
    <t xml:space="preserve"> GRAVITAIRE</t>
  </si>
  <si>
    <t>Pente moyenne à forte</t>
  </si>
  <si>
    <t>Variables distances</t>
  </si>
  <si>
    <t>Type de variable</t>
  </si>
  <si>
    <t>DN 100 + tranchée</t>
  </si>
  <si>
    <t>PVC PRESSION 50/63 + tranchée</t>
  </si>
  <si>
    <t>y +(A*z)/B</t>
  </si>
  <si>
    <t>&gt; faire une moyenne 50/63 ou faire 2 coef différents</t>
  </si>
  <si>
    <t>PVC PRESSION 50 + tranchée</t>
  </si>
  <si>
    <t>y+(A+B+C)z/B2</t>
  </si>
  <si>
    <t xml:space="preserve"> additionner les longueurs depuis l'habitation pour le fourreau électrique de la pompe eaux claires</t>
  </si>
  <si>
    <t>PREVOIR FOURREAU VANNES AUTOMATISEE --&gt; 1 seul fourreau si 2eme pompe de relevage (si vannes 3 voies --&gt; prévoir fourreau automatiquement</t>
  </si>
  <si>
    <t>x=</t>
  </si>
  <si>
    <t>prix au ml d'une tranchée de collecte/exutoire DN100 (MO+matériau+minipelle)</t>
  </si>
  <si>
    <t>y=</t>
  </si>
  <si>
    <t>prix au ml d'une tranchée de relevage pression 50</t>
  </si>
  <si>
    <t>z=</t>
  </si>
  <si>
    <t>prix au ml fourreau + grillage rouge</t>
  </si>
  <si>
    <t>Détails constructifs</t>
  </si>
  <si>
    <t>REF</t>
  </si>
  <si>
    <t>FV1</t>
  </si>
  <si>
    <t>HORS SOL</t>
  </si>
  <si>
    <t>Coffrage Bastaings bois</t>
  </si>
  <si>
    <t>FV2</t>
  </si>
  <si>
    <t>CoffrageTraverse bois</t>
  </si>
  <si>
    <t>FV3</t>
  </si>
  <si>
    <t>FV4</t>
  </si>
  <si>
    <t>Coffrage  parpaings</t>
  </si>
  <si>
    <t>FV5</t>
  </si>
  <si>
    <t>FV6</t>
  </si>
  <si>
    <t>FV7</t>
  </si>
  <si>
    <t>Semi-enterré </t>
  </si>
  <si>
    <t>FV8</t>
  </si>
  <si>
    <t>FV9</t>
  </si>
  <si>
    <t>FVB1</t>
  </si>
  <si>
    <t>FVB2</t>
  </si>
  <si>
    <t>FVB3</t>
  </si>
  <si>
    <t>FH1</t>
  </si>
  <si>
    <t>HORS-SOL</t>
  </si>
  <si>
    <t>FH2</t>
  </si>
  <si>
    <t>ZRV1</t>
  </si>
  <si>
    <t>ZRV</t>
  </si>
  <si>
    <t>Plantes aquatiques + EPDM</t>
  </si>
  <si>
    <t>ZRV2</t>
  </si>
  <si>
    <t>Plantations ligneux + géotextile</t>
  </si>
  <si>
    <t>ZI</t>
  </si>
  <si>
    <t>Fossé</t>
  </si>
  <si>
    <t>H1</t>
  </si>
  <si>
    <t>Habillage Filtre HORS-SOL/ semi-enterré</t>
  </si>
  <si>
    <t>Bardage bois</t>
  </si>
  <si>
    <t>H2</t>
  </si>
  <si>
    <t>Coffrage bastaings bois</t>
  </si>
  <si>
    <t>H3</t>
  </si>
  <si>
    <t>Terre végétale</t>
  </si>
  <si>
    <t>H4</t>
  </si>
  <si>
    <t>Parpaings</t>
  </si>
  <si>
    <t>Panneau pierre collés</t>
  </si>
  <si>
    <t>H5</t>
  </si>
  <si>
    <t>Habillage pierre moêllons</t>
  </si>
  <si>
    <t>F1</t>
  </si>
  <si>
    <t xml:space="preserve"> PLAQUES BETON (FV - FH)</t>
  </si>
  <si>
    <t>F2</t>
  </si>
  <si>
    <t>F3</t>
  </si>
  <si>
    <t>F4</t>
  </si>
  <si>
    <t>F5</t>
  </si>
  <si>
    <t>BP1</t>
  </si>
  <si>
    <t>Bande de propreté</t>
  </si>
  <si>
    <t>Sable + Dalles posées</t>
  </si>
  <si>
    <t>BP2</t>
  </si>
  <si>
    <t>Sable + Palis Schiste</t>
  </si>
  <si>
    <t>BP3</t>
  </si>
  <si>
    <t>Copeaux de bois</t>
  </si>
  <si>
    <t>BP4</t>
  </si>
  <si>
    <t>Géotextile sur 50cm + cailloux 10 cm</t>
  </si>
  <si>
    <t>B1</t>
  </si>
  <si>
    <t>Bordures</t>
  </si>
  <si>
    <t>Bordures cailloux ou dalles</t>
  </si>
  <si>
    <t>Demi-rondin de bois</t>
  </si>
  <si>
    <t>B3</t>
  </si>
  <si>
    <t>Métal</t>
  </si>
  <si>
    <t>B4</t>
  </si>
  <si>
    <t>Béton</t>
  </si>
  <si>
    <t>B5</t>
  </si>
  <si>
    <t>Barre de schiste</t>
  </si>
  <si>
    <t>R1</t>
  </si>
  <si>
    <t>Pompe EB</t>
  </si>
  <si>
    <t>R2</t>
  </si>
  <si>
    <t>Pompe EC</t>
  </si>
  <si>
    <t>R3</t>
  </si>
  <si>
    <t>Pompe EB + Pompe EC</t>
  </si>
  <si>
    <t>R4</t>
  </si>
  <si>
    <t>Chasse gravitaire</t>
  </si>
  <si>
    <t>Collecte/Exutoire</t>
  </si>
  <si>
    <t>tranchée de collecte/exutoire DN100</t>
  </si>
  <si>
    <t>tranchée de relevage pression 50/63</t>
  </si>
  <si>
    <t>fourreau + grillage rouge</t>
  </si>
  <si>
    <t>Tronc commun</t>
  </si>
  <si>
    <t>VARIABLES</t>
  </si>
  <si>
    <t>Total HT</t>
  </si>
  <si>
    <t>Nb EH</t>
  </si>
  <si>
    <t>Filtre vertical BAC PE</t>
  </si>
  <si>
    <t>Système constructif</t>
  </si>
  <si>
    <t>Habillage</t>
  </si>
  <si>
    <t>Relevage/           distribution</t>
  </si>
  <si>
    <t>Relevage / Distribution</t>
  </si>
  <si>
    <t>TOTAL HT</t>
  </si>
  <si>
    <t>TOTAL TTC</t>
  </si>
  <si>
    <t>%</t>
  </si>
  <si>
    <t>MO Atelier</t>
  </si>
  <si>
    <t>MO Chantier</t>
  </si>
  <si>
    <t>Assurance</t>
  </si>
  <si>
    <t>NIVEAU</t>
  </si>
  <si>
    <t>Structure</t>
  </si>
  <si>
    <t>Prix/ml/m²</t>
  </si>
  <si>
    <t>Prix 2 EH</t>
  </si>
  <si>
    <t>Prix 3 EH</t>
  </si>
  <si>
    <t>Prix 4 EH</t>
  </si>
  <si>
    <t>Prix 5 EH</t>
  </si>
  <si>
    <t>Prix 6 EH</t>
  </si>
  <si>
    <t>Prix 7 EH</t>
  </si>
  <si>
    <t>Prix 8 EH</t>
  </si>
  <si>
    <t>Prix 9 EH</t>
  </si>
  <si>
    <t>Prix 10 EH</t>
  </si>
  <si>
    <t>Prix 12 EH</t>
  </si>
  <si>
    <t>Prix 14 EH</t>
  </si>
  <si>
    <t>Prix 16 EH</t>
  </si>
  <si>
    <t>Prix 18 EH</t>
  </si>
  <si>
    <t>Prix 20 EH</t>
  </si>
  <si>
    <t>HORS SOL 3 ou 4 faces</t>
  </si>
  <si>
    <t>Coffrage Plaques béton (ext)</t>
  </si>
  <si>
    <t>Semi enterré</t>
  </si>
  <si>
    <t>Plaque béton (int)</t>
  </si>
  <si>
    <t>Cadre bois (ext)</t>
  </si>
  <si>
    <t>Plaques béton (int)</t>
  </si>
  <si>
    <t>FH3</t>
  </si>
  <si>
    <t>FH4</t>
  </si>
  <si>
    <t>FH5</t>
  </si>
  <si>
    <t>FH6</t>
  </si>
  <si>
    <t>FH7</t>
  </si>
  <si>
    <t>FH8</t>
  </si>
  <si>
    <t>Coffrage Plaques béton (ext) / Parpaings</t>
  </si>
  <si>
    <t>Plaques béton( int et ext)- BAC</t>
  </si>
  <si>
    <t>Coffrage Plaques béton (ext) + parpaings</t>
  </si>
  <si>
    <t>Retenue gravitaire 1 , 2 ou 3 Faces</t>
  </si>
  <si>
    <t>Bastaings bois vertical</t>
  </si>
  <si>
    <t>Ecolat plastique</t>
  </si>
  <si>
    <t>Protection sanitaire</t>
  </si>
  <si>
    <t>FV EPDM</t>
  </si>
  <si>
    <t>caillebotis</t>
  </si>
  <si>
    <t>fils soudés</t>
  </si>
  <si>
    <t xml:space="preserve">H1 </t>
  </si>
  <si>
    <t>Prix HT   ou Heures / m²</t>
  </si>
  <si>
    <t>Prix HT   ou Heures / m131</t>
  </si>
  <si>
    <t>Prix HT   ou Heures / m133</t>
  </si>
  <si>
    <t>Prix HT   ou Heures / m134</t>
  </si>
  <si>
    <t>Prix HT    ou Heures / ml</t>
  </si>
  <si>
    <t>B6</t>
  </si>
  <si>
    <t>MATIERES'</t>
  </si>
  <si>
    <t>DEBOURSE SEC 'MATIERES'</t>
  </si>
  <si>
    <t>RECAP 'MATIERES'</t>
  </si>
  <si>
    <t>COLLE</t>
  </si>
  <si>
    <t>PUM</t>
  </si>
  <si>
    <t>DECAPANT</t>
  </si>
  <si>
    <t>Lubrifiant</t>
  </si>
  <si>
    <t>Ruban Teflon</t>
  </si>
  <si>
    <t>Bombe peinture blanche</t>
  </si>
  <si>
    <t>tuyau DIA 50</t>
  </si>
  <si>
    <t>Manchon evac 50</t>
  </si>
  <si>
    <t>bouchon evac 50</t>
  </si>
  <si>
    <t>Coude 45° MF</t>
  </si>
  <si>
    <t>Coude 90° MF</t>
  </si>
  <si>
    <t>Y 45°</t>
  </si>
  <si>
    <t>T90°MF</t>
  </si>
  <si>
    <t>Coude 20° MF</t>
  </si>
  <si>
    <t>Coude 20° FF</t>
  </si>
  <si>
    <t>Coude 30° MF</t>
  </si>
  <si>
    <t>Coude 30° FF</t>
  </si>
  <si>
    <t>Coude 45° FF</t>
  </si>
  <si>
    <t>Coude 67°</t>
  </si>
  <si>
    <t>Coudes 90° MF</t>
  </si>
  <si>
    <t>Coudes 90° FF</t>
  </si>
  <si>
    <t>T45° MF</t>
  </si>
  <si>
    <t>T67° MF</t>
  </si>
  <si>
    <t>T90° MF</t>
  </si>
  <si>
    <t>T90° FF</t>
  </si>
  <si>
    <t>Manchons à butée</t>
  </si>
  <si>
    <t>Coulisse dia 100</t>
  </si>
  <si>
    <t>Tampon visite</t>
  </si>
  <si>
    <t>REDUCTIONS</t>
  </si>
  <si>
    <t>Réduction 50-40</t>
  </si>
  <si>
    <t>Réduction 63-50</t>
  </si>
  <si>
    <t>Réduction 100-50</t>
  </si>
  <si>
    <t>Réduction 100-63</t>
  </si>
  <si>
    <t>Réduction 100-80</t>
  </si>
  <si>
    <t>Réduction 110-100</t>
  </si>
  <si>
    <t>TUBES</t>
  </si>
  <si>
    <t>Tube drain DIA 100 CR4</t>
  </si>
  <si>
    <t>Tube DIA 100</t>
  </si>
  <si>
    <t>Tube 100 CR 4</t>
  </si>
  <si>
    <t>Tube 100 CR 8</t>
  </si>
  <si>
    <t>Raccord PE – PVC</t>
  </si>
  <si>
    <t>Raccord PVC-PE DIA 50 x1/5 réf 3-3661</t>
  </si>
  <si>
    <t>Manchon PVC pression TAR RENF 50x1¨1/2 réf 1-3394</t>
  </si>
  <si>
    <t>Accessoires</t>
  </si>
  <si>
    <t>Coude 90°</t>
  </si>
  <si>
    <t>Coude 45°</t>
  </si>
  <si>
    <t>T 90°</t>
  </si>
  <si>
    <t>tuyaux pression PE  dia 50    50m</t>
  </si>
  <si>
    <t>Barre PVC DIA 50</t>
  </si>
  <si>
    <t>Réduction 63/50</t>
  </si>
  <si>
    <t>manchon pression 50</t>
  </si>
  <si>
    <t>bouchon pression 50</t>
  </si>
  <si>
    <t>DIVERS</t>
  </si>
  <si>
    <t>fourreau rouge dia 50 – 50 m</t>
  </si>
  <si>
    <t>fourreau rouge  dia 63 – 50 m</t>
  </si>
  <si>
    <t>DELTA MS 1m -20ml</t>
  </si>
  <si>
    <t>Collier Lyre dia 50</t>
  </si>
  <si>
    <t>Chapeau ventilation DIA 63</t>
  </si>
  <si>
    <t>Chapeau ventilation Dia 100</t>
  </si>
  <si>
    <t>clapet sortie dia 100</t>
  </si>
  <si>
    <t>Drain Jaune DIA 100 bobine 50m</t>
  </si>
  <si>
    <t>grillage avertisseur maron</t>
  </si>
  <si>
    <t>grillage avertisseur rouge</t>
  </si>
  <si>
    <t>grillage avertisseur bleu</t>
  </si>
  <si>
    <t>Géotextile 50 cm -100 m</t>
  </si>
  <si>
    <t>Géotextile 1m – 50m</t>
  </si>
  <si>
    <t>Géotextile 1m – 25m</t>
  </si>
  <si>
    <t>regard pluviale béton 25 x 25</t>
  </si>
  <si>
    <t>rehausse béton 25 x 25</t>
  </si>
  <si>
    <t>couvercle pour boite pluviale béton 25 x 25</t>
  </si>
  <si>
    <t>regard béton flasque plastique 30 x30</t>
  </si>
  <si>
    <t>Couvercle pr boite pluviale 30 x30</t>
  </si>
  <si>
    <t>pointe de diamant 50 x50 cm</t>
  </si>
  <si>
    <t>PIGEON</t>
  </si>
  <si>
    <t>boite pluviale béton 25x25</t>
  </si>
  <si>
    <t>Couvercle 25/25</t>
  </si>
  <si>
    <t>Plaque cloture béton h25</t>
  </si>
  <si>
    <t xml:space="preserve"> Plaque cloture béton h50</t>
  </si>
  <si>
    <t>Béton prêt à l'emploi -25 kg</t>
  </si>
  <si>
    <t>Mortier prêt à l'emploi</t>
  </si>
  <si>
    <t>QUINCAILLERIE</t>
  </si>
  <si>
    <t>FOUSSIER</t>
  </si>
  <si>
    <t>vis inox 50</t>
  </si>
  <si>
    <t>vis inox 70</t>
  </si>
  <si>
    <t>vis inox 100</t>
  </si>
  <si>
    <t>vis inox 120</t>
  </si>
  <si>
    <t>Chevron traité CL 4 -7/5 cm</t>
  </si>
  <si>
    <t>RESEAU PRO</t>
  </si>
  <si>
    <t>BASTAING DOUGLAS 17/ 6 cm</t>
  </si>
  <si>
    <t>HAMON BOIS</t>
  </si>
  <si>
    <t>CHEVRON DOUGLAS 7/5 cm</t>
  </si>
  <si>
    <t>TASSEAU DOUGLAS 5/5</t>
  </si>
  <si>
    <t>Bardage douglas</t>
  </si>
  <si>
    <t>MASSON BOIS</t>
  </si>
  <si>
    <t>OSB 3 brut 18 mm (2500 x 1250</t>
  </si>
  <si>
    <t>Chevron traité CL 4 -7/4,5 cm</t>
  </si>
  <si>
    <t>Tasseau CL4 46x46</t>
  </si>
  <si>
    <t>stonepanel</t>
  </si>
  <si>
    <t>FINITION</t>
  </si>
  <si>
    <t>CUPA</t>
  </si>
  <si>
    <t>Palis de shiste l50 cm L 1m</t>
  </si>
  <si>
    <t>Palis de shiste l50cm L 1,5 m</t>
  </si>
  <si>
    <t>Palis de shiste l 50 cm L 2 m</t>
  </si>
  <si>
    <t>Palis de shiste l 50 cm L 2,5 m</t>
  </si>
  <si>
    <t>DALLE quartzite noir 4 à 6 cm 50/50 cm</t>
  </si>
  <si>
    <t>DALLE quartzite noir 4 à 6 cm 60/30 cm</t>
  </si>
  <si>
    <t>DALLE RECONSTITUEE</t>
  </si>
  <si>
    <t>BORDURES</t>
  </si>
  <si>
    <t>Piquet shiste 6/8 cm L1m</t>
  </si>
  <si>
    <t>ECOLAT h 14 cm L 25 m</t>
  </si>
  <si>
    <t>ROCHE COUPE</t>
  </si>
  <si>
    <t>Piquet ecopic pour ECOLAT</t>
  </si>
  <si>
    <t>METAL bordure enterrée 2mm h 125</t>
  </si>
  <si>
    <t>A tech</t>
  </si>
  <si>
    <t>DEMI RONDIN</t>
  </si>
  <si>
    <t>BETON H 20 CM l 1M</t>
  </si>
  <si>
    <t>profondeur  /  exposition  /  densité au m2  /  floraison</t>
  </si>
  <si>
    <t>Hippuris vulgaris</t>
  </si>
  <si>
    <t xml:space="preserve"> -5 à -40cm  /  soleil/mi ombre  /  6   </t>
  </si>
  <si>
    <t>Ranunculus flammula</t>
  </si>
  <si>
    <t xml:space="preserve"> 0 à -20cm  /  soleil/mi ombre  /  5  /  juin à sept</t>
  </si>
  <si>
    <t>Sagittaria sagittifolia</t>
  </si>
  <si>
    <t>Stachys palustris</t>
  </si>
  <si>
    <t>humide  /  soleil  /  2  /  juin à août</t>
  </si>
  <si>
    <t>Glyceria maxima et variegata</t>
  </si>
  <si>
    <t>Menyanthes trifoliata</t>
  </si>
  <si>
    <t xml:space="preserve"> -5 à -30cm  /  soleil  /  6  /  avril à juin</t>
  </si>
  <si>
    <t>Mentha aquatica</t>
  </si>
  <si>
    <t xml:space="preserve"> 0 à -10cm  /  soleil/mi ombre  /  4  /  juin à août</t>
  </si>
  <si>
    <t>Phalaris arundinacea picta</t>
  </si>
  <si>
    <t>Phragmites australis</t>
  </si>
  <si>
    <t xml:space="preserve"> 0 à -60cm  /  soleil/mi ombre  / 2 </t>
  </si>
  <si>
    <t>Saururus cernuus</t>
  </si>
  <si>
    <t xml:space="preserve"> 0 à -20cm  /  soleil/mi ombre  / 6  /  juin à sept</t>
  </si>
  <si>
    <t>Typha laxmanii ou minima</t>
  </si>
  <si>
    <t xml:space="preserve"> 0 à -40cm  /  soleil  /  3 </t>
  </si>
  <si>
    <t>Sparganium erectum</t>
  </si>
  <si>
    <t xml:space="preserve"> 0 à -60cm  /  soleil/mi ombre  / 4  / juil à sept</t>
  </si>
  <si>
    <t>Butomus umbellatus</t>
  </si>
  <si>
    <t xml:space="preserve"> -5 à -30cm  /  soleil/mi ombre  /  6  /  juil août</t>
  </si>
  <si>
    <t>Iris pseudacorus</t>
  </si>
  <si>
    <t xml:space="preserve"> 0 à -10cm  /  soleil  /  6  /  mai juin</t>
  </si>
  <si>
    <t>Iris laevigata</t>
  </si>
  <si>
    <t xml:space="preserve"> 0 à -10cm  /  soleil/mi ombre  /  5  /  mai juin</t>
  </si>
  <si>
    <t>Iris versicolor</t>
  </si>
  <si>
    <t xml:space="preserve"> 0 à -20cm  /  soleil/mi ombre  /  6  /  juin juil</t>
  </si>
  <si>
    <t>Juncus effusus</t>
  </si>
  <si>
    <t xml:space="preserve"> 0 à -10cm  /  soleil/mi ombre  /  4 </t>
  </si>
  <si>
    <t>Juncus inflexus</t>
  </si>
  <si>
    <t xml:space="preserve"> 0 à -10cm  /  soleil/mi ombre  / 5 </t>
  </si>
  <si>
    <t>Lythrum salicaria</t>
  </si>
  <si>
    <t xml:space="preserve"> 0 à -5cm  /  soleil/mi ombre  /  5  /  juin à août</t>
  </si>
  <si>
    <t>Pontederia cordata</t>
  </si>
  <si>
    <t xml:space="preserve"> 0 à -30cm /  soleil/mi ombre  /  4  /  juin à sept</t>
  </si>
  <si>
    <t>Scirpus albescens</t>
  </si>
  <si>
    <t>Scirpus lacustris</t>
  </si>
  <si>
    <t xml:space="preserve"> 0 à -60cm  /  soleil/mi ombre  /  6 </t>
  </si>
  <si>
    <t>Thalia dealbata</t>
  </si>
  <si>
    <t>Alisma plantago</t>
  </si>
  <si>
    <t xml:space="preserve"> 0 à -20cm  /  soleil/mi ombre  /  6 </t>
  </si>
  <si>
    <t>Aponogeton distachyos</t>
  </si>
  <si>
    <t>Caltha palustris</t>
  </si>
  <si>
    <t xml:space="preserve"> 0 à -10cm  /  soleil/mi ombre  / 6  /  mai avril-sept oct</t>
  </si>
  <si>
    <t>Carex elata aura</t>
  </si>
  <si>
    <t>Carex grayi</t>
  </si>
  <si>
    <t xml:space="preserve">humide  /  soleil/mi ombre  /  6  </t>
  </si>
  <si>
    <t>Acorus calamus</t>
  </si>
  <si>
    <t>0 à -20cm  /  soleil/mi ombre  /  5</t>
  </si>
  <si>
    <t>Acorus calamus variegata</t>
  </si>
  <si>
    <t>Acorus gramineus ogon</t>
  </si>
  <si>
    <t xml:space="preserve">0 à -10cm  /  soleil/mi ombre  /  5  </t>
  </si>
  <si>
    <t>Anemopsis californica</t>
  </si>
  <si>
    <t>0 à -5cm  /  soleil  /  4  / avril à juin</t>
  </si>
  <si>
    <t>Calla palustris</t>
  </si>
  <si>
    <t>0 à -15cm  /  soleil  /  8  /  mai à août</t>
  </si>
  <si>
    <t>Callitriche vernalis</t>
  </si>
  <si>
    <t>-5 à -50cm  /  soleil/mi ombre  /  3  /  mai à juil</t>
  </si>
  <si>
    <t>Cyperus alternifolius</t>
  </si>
  <si>
    <t xml:space="preserve">0 à -30cm  /  soleil/mi ombre  /  2  </t>
  </si>
  <si>
    <t>Dichromena colorata</t>
  </si>
  <si>
    <t>0 à -10cm  /  soleil/mi ombre  /  5  /  avril à sept</t>
  </si>
  <si>
    <t>Eleocharis acicularis</t>
  </si>
  <si>
    <t>-10 à -60cm  /  soleil/mi ombre  /  6</t>
  </si>
  <si>
    <t>Equisetum fluvatile</t>
  </si>
  <si>
    <t xml:space="preserve">0 à -10cm  /  soleil/mi ombre  /  3  </t>
  </si>
  <si>
    <t>Equisetum japonicum</t>
  </si>
  <si>
    <t>0 à -10cm  /  soleil/mi ombre  /  2</t>
  </si>
  <si>
    <t>Hydrocotyle vulgaris</t>
  </si>
  <si>
    <t>0 à -10cm  /  soleil/mi ombre  /  4</t>
  </si>
  <si>
    <t>Juncus effusus spiralis</t>
  </si>
  <si>
    <t>0 à-5cm  /  soleil/mi ombre  /  6</t>
  </si>
  <si>
    <t>Nymphaea colorado</t>
  </si>
  <si>
    <t>-40 à -60cm  /  soleil  /  1  /  mai à octobre</t>
  </si>
  <si>
    <t>Nymphaea gonnere</t>
  </si>
  <si>
    <t>-40 à -90cm  /  soleil  /  1  /  mai à sept</t>
  </si>
  <si>
    <t>Nymphaea James Brydon</t>
  </si>
  <si>
    <t>-30 à -100cm  /  soleil  /  1  /  mai à sept</t>
  </si>
  <si>
    <t>Nymphaea marlicea chrometella</t>
  </si>
  <si>
    <t>-40 à -80cm  /  soleil  /  1  /  mai à sept</t>
  </si>
  <si>
    <t>0enanthe javanica flamingo</t>
  </si>
  <si>
    <t>0 à -10cm  /  soleil/mi ombre  / 5  / juin à août</t>
  </si>
  <si>
    <t>Sagittaria graminea</t>
  </si>
  <si>
    <t>0 à -20cm  /  soleil/mi ombre  /  5  /  juil à sept</t>
  </si>
  <si>
    <t>Scirpus zebrinus</t>
  </si>
  <si>
    <t xml:space="preserve">0 à -10cm  /  soleil/mi ombre  /  6  </t>
  </si>
  <si>
    <t>Stratiotes aloïdes</t>
  </si>
  <si>
    <t>flottante  /  soleil/mi ombre  /  3</t>
  </si>
  <si>
    <t>persistance  /  exposition  /  densité au m2  /  floraison  /  hauteur en cm</t>
  </si>
  <si>
    <t>Acanthus spinosus</t>
  </si>
  <si>
    <t>P  /  soleil/mi ombre  /  3  /  juin à août  /  80</t>
  </si>
  <si>
    <t>Acanthus whitewater</t>
  </si>
  <si>
    <t>P  /  soleil/mi ombre  /  3  /  juin à sept  /  150</t>
  </si>
  <si>
    <t>feuillage panaché</t>
  </si>
  <si>
    <t>Camassia blauwe donau</t>
  </si>
  <si>
    <t>soleil/mi ombre  /  15  / mai-juin  /  60</t>
  </si>
  <si>
    <t>Deschampsia flexuosa tatra gold</t>
  </si>
  <si>
    <t>P  /  soleil/mi ombre  /  9  /  50</t>
  </si>
  <si>
    <t>Echinacea purpurea catharina</t>
  </si>
  <si>
    <t>soleil  /  8  /  juil à sept  /  60</t>
  </si>
  <si>
    <t>Echinacea cinnamon cupcake</t>
  </si>
  <si>
    <t>soleil  /  8  /  juil à sept  /  50</t>
  </si>
  <si>
    <t>Geranium orkney cherry</t>
  </si>
  <si>
    <t>P  /  toute  /  6  /  juin à sept  /  30</t>
  </si>
  <si>
    <t>Hakonechloa macra nicolas</t>
  </si>
  <si>
    <t>P  /  soleil/mi ombre  /  4  /  40</t>
  </si>
  <si>
    <t>Hosta francee</t>
  </si>
  <si>
    <t>soleil/mi ombre  /  4  /  juin-juil  /  60</t>
  </si>
  <si>
    <t>Hosta guacamole</t>
  </si>
  <si>
    <t>une des rares hostas aimant le soleil</t>
  </si>
  <si>
    <t>Ligularia dentala desdemona</t>
  </si>
  <si>
    <t>mi ombre/o  /  4  /  juil à sept  /  100</t>
  </si>
  <si>
    <t>Lychnis flos-cuculis</t>
  </si>
  <si>
    <t>P  /  soleil/mi ombre  /  8  /  mai-juin  /  40</t>
  </si>
  <si>
    <t>Persicaria bistorta</t>
  </si>
  <si>
    <t>soleil  /  6  /  juin à août  /  40</t>
  </si>
  <si>
    <t>Rodgersia chocolate wings</t>
  </si>
  <si>
    <t>soleil/mi ombre  /  1  /  juin à août  /  100</t>
  </si>
  <si>
    <t>Tellima grandiflora rubra</t>
  </si>
  <si>
    <t>P  /  soleil/mi ombre  /  2  /  mai-juin  /  60</t>
  </si>
  <si>
    <t>Angelica gigas</t>
  </si>
  <si>
    <t>soleil/mi ombre  /  1  /  août-sept  /  100</t>
  </si>
  <si>
    <t>Darmera peltata</t>
  </si>
  <si>
    <t>mi ombre/o  /  3 /  avril-mai  /  100</t>
  </si>
  <si>
    <t>Eriophorum angustifolium</t>
  </si>
  <si>
    <t>soleil/mi ombre  /  8  /  40</t>
  </si>
  <si>
    <t>Geum mai tai</t>
  </si>
  <si>
    <t>P  /  soleil  /  6  /  mai à juil  /  45</t>
  </si>
  <si>
    <t>Houttuynia cordata chameleon</t>
  </si>
  <si>
    <t>soleil/mi ombre  /  4  /  juin à août  /  35</t>
  </si>
  <si>
    <t>Lysimachia nummularia aurea</t>
  </si>
  <si>
    <t>P  /  soleil/mi ombre  /  5  /  mai à juil  /  5</t>
  </si>
  <si>
    <t>Lysimachia punctata alexander</t>
  </si>
  <si>
    <t>soleil/mi ombre  /  5  /  juin à août  /  60</t>
  </si>
  <si>
    <t>Sagina subulata</t>
  </si>
  <si>
    <t>P  /  soleil/mi ombre  /  20  /  mai à août  /  5</t>
  </si>
  <si>
    <t>Schizostylis coccinea major</t>
  </si>
  <si>
    <t>P  /  soleil/mi ombre  /  6  /  sept à dec  /  40</t>
  </si>
  <si>
    <t>Thulbachia violacea</t>
  </si>
  <si>
    <t>soleil  /  5  /  juil à oct  /  30</t>
  </si>
  <si>
    <t>Tradescantia zwanenburg blue</t>
  </si>
  <si>
    <t>soleil/mi ombre  /  6  /  mai à sept  /  40</t>
  </si>
  <si>
    <t>LEROI MERLIN</t>
  </si>
  <si>
    <t>LEROY MERLIN</t>
  </si>
  <si>
    <t>JARDINS DE LEONIE</t>
  </si>
  <si>
    <t>Prix sans transport</t>
  </si>
  <si>
    <t>DETAILS</t>
  </si>
  <si>
    <r>
      <t xml:space="preserve">PRIX MATIERES </t>
    </r>
    <r>
      <rPr>
        <b/>
        <sz val="18"/>
        <color rgb="FFFFFFFF"/>
        <rFont val="Arial"/>
        <family val="2"/>
      </rPr>
      <t>(</t>
    </r>
    <r>
      <rPr>
        <b/>
        <sz val="18"/>
        <color rgb="FFFFFFFF"/>
        <rFont val="Calibri"/>
        <family val="2"/>
      </rPr>
      <t>€</t>
    </r>
    <r>
      <rPr>
        <b/>
        <sz val="18"/>
        <color rgb="FFFFFFFF"/>
        <rFont val="Arial"/>
        <family val="2"/>
      </rPr>
      <t>)</t>
    </r>
  </si>
  <si>
    <t xml:space="preserve">  -5 à -20cm  /  soleil  /  6  /juin à août                                                                                                           très bonne épuratrice, efficace contre les phosphates</t>
  </si>
  <si>
    <t xml:space="preserve">  0 à -10cm  /  soleil/mi ombre  /  4                                                                                               variegata : pousses très colorées au printemps (rose pourpre)</t>
  </si>
  <si>
    <t xml:space="preserve"> 0 à -5cm  /  soleil/mi ombre  /  3                                                                                        intéressant par sa couleur rosée</t>
  </si>
  <si>
    <t xml:space="preserve">  -20 à -80cm  /  soleil  / 1  /  juil à sept                                                                                                                   très graphique, peut attendre 2m de haut</t>
  </si>
  <si>
    <t xml:space="preserve"> 0 à -10cm  /  soleil/mi ombre  /  6                                                                                                                                    rabattre à 15cm l'hiver et retailler au printemps</t>
  </si>
  <si>
    <t xml:space="preserve"> -30 à -80cm  / soleil/mi ombre  /  3  /  avril à nov                                                                                                        parfum de vanille</t>
  </si>
  <si>
    <t xml:space="preserve"> 0 à -5cm  /  soleil/mi ombre  /  4                                                                                                            pour illuminer des coins sombres</t>
  </si>
  <si>
    <t>soleil/mi ombre  /  4  /  juin-juil  /  60                                                                                                               une des rares hostas aimant le soleil et résistante aux limaces</t>
  </si>
  <si>
    <t>-</t>
  </si>
  <si>
    <t>Colonne1</t>
  </si>
  <si>
    <t>SC FVB2              BAC SEMI-ENTERRE</t>
  </si>
  <si>
    <t>SC FV4                    HORS-SOL           Coffrage Parpaings</t>
  </si>
  <si>
    <t>SC FV2 HORS-SOL  Coffrage Traverses Bois</t>
  </si>
  <si>
    <t>SC FV1 HORS-SOL  Coffrage Bastaings Bois</t>
  </si>
  <si>
    <t>SC FV 10</t>
  </si>
  <si>
    <t>SC FH2                  HORS-SOL                    Coffrage Traverse Bois</t>
  </si>
  <si>
    <t>SC FH1                        HORS-SOL                          Coffrage Bastaings Bois</t>
  </si>
  <si>
    <t>SC FH8       ENTERRE     Plaques béton int.</t>
  </si>
  <si>
    <t>SC FH7       ENTERRE            CADRE BOIS ext.</t>
  </si>
  <si>
    <t>SC FH6            SEMI-ENTERRE             Plaque béton ext.</t>
  </si>
  <si>
    <t>SC FH5            SEMI-ENTERRE             Plaque béton int.</t>
  </si>
  <si>
    <t>SC FV3 HORS-SOL                Coffrage Plaques Béton ext</t>
  </si>
  <si>
    <t>SC FH3 HORS-SOL                Coffrage Plaques Béton ext</t>
  </si>
  <si>
    <t>SC FH4                    HORS-SOL           Coffrage Parpaings</t>
  </si>
  <si>
    <t>Collecte Exutoire</t>
  </si>
  <si>
    <t>Désouchage (cm)</t>
  </si>
  <si>
    <t>déchargement matériel et outtilage</t>
  </si>
  <si>
    <t>Piquetage et niveaux</t>
  </si>
  <si>
    <t>positionner les filtres et mesure de niveaux</t>
  </si>
  <si>
    <t>Conduite dumper pour evacuer</t>
  </si>
  <si>
    <t>contrôle niveau</t>
  </si>
  <si>
    <t>ratissage sable + contrôle niveaux</t>
  </si>
  <si>
    <t>Remplissage granulats filtre</t>
  </si>
  <si>
    <t>pelleter à la main + ratisser + niveaux</t>
  </si>
  <si>
    <t>Remplissage granulats noues</t>
  </si>
  <si>
    <t>pelleter à la main + ratisser</t>
  </si>
  <si>
    <t>Pose et Connexion Poste de relevage</t>
  </si>
  <si>
    <t>percer dia 100, pose joint forsheda 100 et chasser un tube dia 100, Positionner poste puis mettre à niveau</t>
  </si>
  <si>
    <t>Inserer 4 tiges métal puis 3 sac béton près à l'meploi</t>
  </si>
  <si>
    <t>Aération poste de relevage</t>
  </si>
  <si>
    <t>percer dia 50, joint forsheda 50, poser l'unité d'aeration</t>
  </si>
  <si>
    <t>Pose et Connexion Dégraisseur</t>
  </si>
  <si>
    <t>mettre à niveau et connexion entrée et sortie</t>
  </si>
  <si>
    <t>unité</t>
  </si>
  <si>
    <t>positionner l'ensemble, mettre à niveau</t>
  </si>
  <si>
    <t>positionner et mettre à niveau</t>
  </si>
  <si>
    <t>Positionner, mettre à niveau et connexion entrée FH</t>
  </si>
  <si>
    <t>Fixation servo moteur sur vanne 3 voies</t>
  </si>
  <si>
    <t>enlever poigner , fixer servo moteur et connexion electrique ???</t>
  </si>
  <si>
    <t>Répartiteurs</t>
  </si>
  <si>
    <t>remplir les répartiteurs , mettre zone à plat, poser tapis de chanvre puis répartiteurs</t>
  </si>
  <si>
    <t>Pose bâche sanwich FV</t>
  </si>
  <si>
    <t>par m² de filtre, positionner, pliage des coins</t>
  </si>
  <si>
    <t>Pose bâche sanwich FH</t>
  </si>
  <si>
    <t>EPDM seul noue</t>
  </si>
  <si>
    <t>positionner</t>
  </si>
  <si>
    <t>passage membrane collage</t>
  </si>
  <si>
    <t>percer epdm et collage unité</t>
  </si>
  <si>
    <t>aider lepelleteur à positionner les bacs</t>
  </si>
  <si>
    <t xml:space="preserve"> joint forsheda dia 100  PE</t>
  </si>
  <si>
    <t>Percer le bac et poser le joint forsheda puis chasser bout de tube</t>
  </si>
  <si>
    <t>Collage final unité préparé en atelier</t>
  </si>
  <si>
    <t>Mise à niveau au sable pour avoir la pente souhaitée</t>
  </si>
  <si>
    <t>collage tube dia 100</t>
  </si>
  <si>
    <t>grillage avertisseur rouge ou marron</t>
  </si>
  <si>
    <t>poser grillage dans tranchées</t>
  </si>
  <si>
    <t>câble dans fourreau</t>
  </si>
  <si>
    <t>préinsérer le cable dans le fourreau</t>
  </si>
  <si>
    <t xml:space="preserve"> Fourreau Dia 50 ou 63</t>
  </si>
  <si>
    <t>poser fourreau dans tranchée , couper à dimension</t>
  </si>
  <si>
    <t>Collage accessoires PVC EVAC</t>
  </si>
  <si>
    <t>Collage coudes, y, T ,...</t>
  </si>
  <si>
    <t>Collage accessoires Pression</t>
  </si>
  <si>
    <t>poncage, dégraissage, et collage coude et T</t>
  </si>
  <si>
    <t>tuyaux PE dia 50 ou 60</t>
  </si>
  <si>
    <t>poser tuyau PE dans la tranchée, couper à dimension</t>
  </si>
  <si>
    <t>couper à dimension ; ébavurer, poncer, dégraisser et coller</t>
  </si>
  <si>
    <t>faire la jonction PE/PVC avec unité préparé en atelier</t>
  </si>
  <si>
    <t>pose delta MS contre les parois en bois, couper à dimension</t>
  </si>
  <si>
    <t>aider le pelleteur à mettre le 20/40 sous lme bastaing</t>
  </si>
  <si>
    <t>aider le pelleteur à faire un boudin sur lesquels vont poser les traverses</t>
  </si>
  <si>
    <t>glisser la plaque sous chevron.</t>
  </si>
  <si>
    <t>poser plaque béton contre le cadre, visser sur cadre</t>
  </si>
  <si>
    <t>mettre le sable</t>
  </si>
  <si>
    <t xml:space="preserve"> TUBE EPANDRAIN DIA 100 mm</t>
  </si>
  <si>
    <t>poser tube, et couper à dimension</t>
  </si>
  <si>
    <t>Géotextile tranchée50 cm</t>
  </si>
  <si>
    <t>poser géotextile dans trantranché sur cailloux</t>
  </si>
  <si>
    <t>Géotextile noue</t>
  </si>
  <si>
    <t>poser géotextile sur cailloux, couper à dimension</t>
  </si>
  <si>
    <t>couper tube à dimension, coller clapet</t>
  </si>
  <si>
    <t>Pose réhausse béton</t>
  </si>
  <si>
    <t>pose rehausse , mettre à niveau</t>
  </si>
  <si>
    <t>Pose couvercle béton</t>
  </si>
  <si>
    <t>poser couvercle surrehausse</t>
  </si>
  <si>
    <t>assemblage bois</t>
  </si>
  <si>
    <t>prétrou à la barre à mine, enfoncer à la masse</t>
  </si>
  <si>
    <t>positionner et fixer chevron sur cadre</t>
  </si>
  <si>
    <t>poser la barriere antiracine, coller à la jonction</t>
  </si>
  <si>
    <t>Traverse de chêne 200/100</t>
  </si>
  <si>
    <t>positionner traverses</t>
  </si>
  <si>
    <t>Tige métal pour traverse 200/100</t>
  </si>
  <si>
    <t>Pose tablette chêne</t>
  </si>
  <si>
    <t>positionner, couper à mesure, faire encoche et visser</t>
  </si>
  <si>
    <t>positionner et planter</t>
  </si>
  <si>
    <t>placer, positionner et visser (6 par barre)</t>
  </si>
  <si>
    <t>manutention grille</t>
  </si>
  <si>
    <t>METAL – rond à béton dia 12 mm</t>
  </si>
  <si>
    <t>Prédécouper rond à béton dia 12 mm pour lestage poste</t>
  </si>
  <si>
    <t>2 bout de tuyaux 50, 1 coude 90° , une réduc 50/63</t>
  </si>
  <si>
    <t>Unités</t>
  </si>
  <si>
    <t>Fournitures</t>
  </si>
  <si>
    <t>PLANTES EPURATRICES</t>
  </si>
  <si>
    <t>GEOTEXTILE</t>
  </si>
  <si>
    <t>PLANTESAQUA</t>
  </si>
  <si>
    <t>bite</t>
  </si>
  <si>
    <t>MANUTENTION_MP</t>
  </si>
  <si>
    <t>Accessoires_au_détail</t>
  </si>
  <si>
    <t>PIGEON_MATERIAUX</t>
  </si>
  <si>
    <t>PLANTES_AQUATIQUES</t>
  </si>
  <si>
    <t>PLANTES_SOL_HUMIDE</t>
  </si>
  <si>
    <t>PLANTES_SOL_FRAIS</t>
  </si>
  <si>
    <t>POSTES_DE_RELEVAGES</t>
  </si>
  <si>
    <t>PRESSION_DIA_50</t>
  </si>
  <si>
    <t>PROTECTIONS_SANITAIRES</t>
  </si>
  <si>
    <t>REGARDS_ BETON</t>
  </si>
  <si>
    <t>REGARDS_ET_REPARTITEURS</t>
  </si>
  <si>
    <t>MATIERES</t>
  </si>
  <si>
    <t>ALIM_MOA</t>
  </si>
  <si>
    <t>BETON_MOA</t>
  </si>
  <si>
    <t>Tronc_Commun_MOC</t>
  </si>
  <si>
    <t>BAC_MOC</t>
  </si>
  <si>
    <t>2017-G6</t>
  </si>
  <si>
    <t>PRIX A LA TONNE HORS TAXE AU DEPART DES CARRIERES</t>
  </si>
  <si>
    <t>MATERIAUX</t>
  </si>
  <si>
    <t>VIEUX VY</t>
  </si>
  <si>
    <t>GUIPEL</t>
  </si>
  <si>
    <t>Découverte</t>
  </si>
  <si>
    <t>Brut d'abattage</t>
  </si>
  <si>
    <t>Bloc enrochement</t>
  </si>
  <si>
    <t>PRIMAIRES</t>
  </si>
  <si>
    <t>Sable primaire</t>
  </si>
  <si>
    <t>0/20 primaire</t>
  </si>
  <si>
    <t>0/31,5 primaire</t>
  </si>
  <si>
    <t>0/63 primaire</t>
  </si>
  <si>
    <t>0/80 primaire</t>
  </si>
  <si>
    <t>0/150 primaire</t>
  </si>
  <si>
    <t>0/250 concassé</t>
  </si>
  <si>
    <t>SECONDAIRES</t>
  </si>
  <si>
    <t>Sable concassé neutre</t>
  </si>
  <si>
    <t>Graviers canalisation</t>
  </si>
  <si>
    <t>GNTA 0/20</t>
  </si>
  <si>
    <t>GNTA 0/31,5</t>
  </si>
  <si>
    <t>GNTA 0/63</t>
  </si>
  <si>
    <t>16/31,5</t>
  </si>
  <si>
    <t>40/70</t>
  </si>
  <si>
    <t>GNTB 0/20</t>
  </si>
  <si>
    <t>TERTIAIRES</t>
  </si>
  <si>
    <t>Sable 0/2 concassé</t>
  </si>
  <si>
    <t>Sable 0/4 concassé</t>
  </si>
  <si>
    <t>Graviers 2/4</t>
  </si>
  <si>
    <t>Graviers 4/6,3</t>
  </si>
  <si>
    <t>Graviers 6,3/10</t>
  </si>
  <si>
    <t>Graviers 10/14</t>
  </si>
  <si>
    <t>Graviers 11,2/22,4</t>
  </si>
  <si>
    <t>Sable filtrant 0/4 LOUVIGNE</t>
  </si>
  <si>
    <t>Sable lavé 0/2 Vritz</t>
  </si>
  <si>
    <t>Sable lavé 0/4 MT SERRAT</t>
  </si>
  <si>
    <t>GRAVIER BEIGE</t>
  </si>
  <si>
    <t>GRAVIER ROUGE</t>
  </si>
  <si>
    <t>Déblais</t>
  </si>
  <si>
    <t>TGAP</t>
  </si>
  <si>
    <t>* GRANULATS DE NEGOCE</t>
  </si>
  <si>
    <t>PLUS VALUE TRANSPORT</t>
  </si>
  <si>
    <t>ATTENTE CHANTIER</t>
  </si>
  <si>
    <t>Forfait 50 € / heure</t>
  </si>
  <si>
    <t>BENNE ENROCHEMENT</t>
  </si>
  <si>
    <t>COEF 1,5 sur le pu Transport</t>
  </si>
  <si>
    <t>BENNAGE ACCOTEMENT</t>
  </si>
  <si>
    <t>COEF 1,20 sur le PU Transport</t>
  </si>
  <si>
    <t>PLUS VALUE MATERIAUX</t>
  </si>
  <si>
    <t>PRODUIT LAVE</t>
  </si>
  <si>
    <t>1 €/ tonne</t>
  </si>
  <si>
    <t>MOYENNE</t>
  </si>
  <si>
    <t>ST- MEDARD</t>
  </si>
  <si>
    <t>Prix lavage</t>
  </si>
  <si>
    <t>Prix transport</t>
  </si>
  <si>
    <t>12 T</t>
  </si>
  <si>
    <t>30 t</t>
  </si>
  <si>
    <t>PLANTES_EPURATRICES</t>
  </si>
  <si>
    <t>EVACUATION_DIA_50</t>
  </si>
  <si>
    <t>EVACUATION_DIA_100</t>
  </si>
  <si>
    <t>Aération poste</t>
  </si>
  <si>
    <t>Pose plaque béton milieu</t>
  </si>
  <si>
    <t>pose de l'aération préparée en atelier</t>
  </si>
  <si>
    <t>t</t>
  </si>
  <si>
    <t>Tronc Commun FV</t>
  </si>
  <si>
    <t>EPDM_FV</t>
  </si>
  <si>
    <t>EPDM_FH</t>
  </si>
  <si>
    <t>Longueur Gabion</t>
  </si>
  <si>
    <t>Pointe de diamant</t>
  </si>
  <si>
    <t>poser regard, couler le béton, coller la pointe de diamant, découper le géotextile et le poser</t>
  </si>
  <si>
    <t>MOA_ALIM</t>
  </si>
  <si>
    <t>MOA_BETON</t>
  </si>
  <si>
    <t>MOA_BOIS</t>
  </si>
  <si>
    <t>MOA_Tronc_Commun</t>
  </si>
  <si>
    <t>MOA_Systèmes_Constructifs</t>
  </si>
  <si>
    <t>MOA_PROTECTION_SANITAIRE</t>
  </si>
  <si>
    <t>MOC_Tronc_Commun</t>
  </si>
  <si>
    <t>MOC_Systèmes_Constructifs</t>
  </si>
  <si>
    <t>MOC_PROTECTION_SANITAIRE</t>
  </si>
  <si>
    <t>MOC_PREPARATION</t>
  </si>
  <si>
    <t>MOC_Collecte_Exutoire</t>
  </si>
  <si>
    <t>MOC_ALIM</t>
  </si>
  <si>
    <t>Pose aération BAC</t>
  </si>
  <si>
    <t>PS1</t>
  </si>
  <si>
    <t>PS2</t>
  </si>
  <si>
    <t>MP_CHARGEMENT</t>
  </si>
  <si>
    <t>MP_FINITIONS</t>
  </si>
  <si>
    <t>MP_MANUTENTION</t>
  </si>
  <si>
    <t>MP_MISE_EN_PLACE</t>
  </si>
  <si>
    <t>MP_TERRASSEMENT</t>
  </si>
  <si>
    <t>RECAP MATIERES</t>
  </si>
  <si>
    <t>Encoches</t>
  </si>
  <si>
    <t>Feuillures</t>
  </si>
  <si>
    <t>Perçage cornière galva 5EH</t>
  </si>
  <si>
    <t>3 EH</t>
  </si>
  <si>
    <t>5EH</t>
  </si>
  <si>
    <t>6 EH</t>
  </si>
  <si>
    <t>10 EH</t>
  </si>
  <si>
    <t>12 EH</t>
  </si>
  <si>
    <t>20 EH</t>
  </si>
  <si>
    <t>ALIMENTATION RELEVAGE</t>
  </si>
  <si>
    <t>ALIMENTATION GRAVITAIRE</t>
  </si>
  <si>
    <t>PVC DN 100</t>
  </si>
  <si>
    <t xml:space="preserve">  PVC DN 100</t>
  </si>
  <si>
    <t>Suplément PVC DN 50     semi-enterré</t>
  </si>
  <si>
    <t>Suplément PVC DN 50     Hors-sol</t>
  </si>
  <si>
    <t>Suplément coude 90° DN 50                                    Hors-sol / semi-enterré</t>
  </si>
  <si>
    <t xml:space="preserve"> répartiteurs (+sable+MO)</t>
  </si>
  <si>
    <t>ZI1</t>
  </si>
  <si>
    <t>ZI2</t>
  </si>
  <si>
    <t>Enterrée 50 cm + géotextile</t>
  </si>
  <si>
    <t>Enterrée 10 cm + géotextile</t>
  </si>
  <si>
    <t>Exutoire</t>
  </si>
  <si>
    <t>Tranchées</t>
  </si>
  <si>
    <t xml:space="preserve"> Filtre Horizontal</t>
  </si>
  <si>
    <t>Chasse</t>
  </si>
  <si>
    <t>préparation passage de membrane dia 110</t>
  </si>
  <si>
    <t>préparation aération filtres</t>
  </si>
  <si>
    <t>prépercer barre T métal</t>
  </si>
  <si>
    <t>Coupes bardage lame à dimension</t>
  </si>
  <si>
    <t>Talus h=45 cm</t>
  </si>
  <si>
    <t>tige métal</t>
  </si>
  <si>
    <t>ALIM FV-FH Relevage</t>
  </si>
  <si>
    <t>ALIM FV-FH gravitaire</t>
  </si>
  <si>
    <t>ALIM BACS Relevage</t>
  </si>
  <si>
    <t>ALIM BACS gravitaire</t>
  </si>
  <si>
    <t>Graviers 16/31,5</t>
  </si>
  <si>
    <t>Sable tranchée</t>
  </si>
  <si>
    <t>Sable filtrant</t>
  </si>
  <si>
    <t>Pose aération filtre (FV-FH-BAC)</t>
  </si>
  <si>
    <t>Positionner, couper le DRAIN à mesure</t>
  </si>
  <si>
    <t>Traverse de chêne 200/120</t>
  </si>
  <si>
    <t>perceuse</t>
  </si>
  <si>
    <t>emplacement barre / nb barre *2</t>
  </si>
  <si>
    <t>scie circulaire</t>
  </si>
  <si>
    <t>Tondeuse oscillations</t>
  </si>
  <si>
    <t>Cornière galva 40</t>
  </si>
  <si>
    <t>sable remplissage coffrage bacs</t>
  </si>
  <si>
    <t>Pose joint forsheda dia 50</t>
  </si>
  <si>
    <t>Pose drain de sorties BAC</t>
  </si>
  <si>
    <t>Plantation phragmites</t>
  </si>
  <si>
    <t>Plantation plantes aquatiques</t>
  </si>
  <si>
    <t>Pliage coins EPDM</t>
  </si>
  <si>
    <t>plier un coin "propre nickel"</t>
  </si>
  <si>
    <t>Pose passage de membrane dia 110</t>
  </si>
  <si>
    <t>pose du passe-paroi préparée en atelier</t>
  </si>
  <si>
    <t>découper le passage de tuyau dia 100</t>
  </si>
  <si>
    <t>Découpe réhausse béton FH</t>
  </si>
  <si>
    <t>meuleuse</t>
  </si>
  <si>
    <t>Pose réhausse béton FH</t>
  </si>
  <si>
    <t>poser la réhausse et mettre à niveau</t>
  </si>
  <si>
    <t>Pose passage de membrane dia 50</t>
  </si>
  <si>
    <t>Pose Drain de sorties  FV + FH</t>
  </si>
  <si>
    <t>Pose Regard de sortie FH</t>
  </si>
  <si>
    <t>percer a la scie cloche de 108 + pose du joint</t>
  </si>
  <si>
    <t>scie cloche</t>
  </si>
  <si>
    <t>collage de l'aération sur le drain</t>
  </si>
  <si>
    <t xml:space="preserve"> Préparation drainage BAC</t>
  </si>
  <si>
    <t>Pose drainage BAC</t>
  </si>
  <si>
    <t>pose + collage</t>
  </si>
  <si>
    <t>placer, positionner et visser les deux barres (4/barres)</t>
  </si>
  <si>
    <t>Mise en place BACS</t>
  </si>
  <si>
    <t>Comble fouille BAC</t>
  </si>
  <si>
    <t>remplir les esapces libres entre la fouille et le bac + tasser</t>
  </si>
  <si>
    <t>vis inox 6/100 spéciale</t>
  </si>
  <si>
    <t>Planter Piquets BOIS 50/50 ou 46/46</t>
  </si>
  <si>
    <t>couper à dimension + taillage pointe</t>
  </si>
  <si>
    <t xml:space="preserve">Coupe piquet </t>
  </si>
  <si>
    <t>par trou</t>
  </si>
  <si>
    <t>Pose bastaings douglas</t>
  </si>
  <si>
    <t>Pose CHEVRON CL4 Cadre 70/40</t>
  </si>
  <si>
    <t xml:space="preserve"> Pose delta MS</t>
  </si>
  <si>
    <t>Pose CHEVRON milieu</t>
  </si>
  <si>
    <t xml:space="preserve">percage trou puis chasser la tige métal dia12 </t>
  </si>
  <si>
    <t>Coupe tige métal dia 12</t>
  </si>
  <si>
    <t>grosse meule</t>
  </si>
  <si>
    <t>SC traverses chêne</t>
  </si>
  <si>
    <t>TCFV</t>
  </si>
  <si>
    <t>TCFH</t>
  </si>
  <si>
    <t>SCFV</t>
  </si>
  <si>
    <t>SCFH</t>
  </si>
  <si>
    <t>TOTAL FILTRES</t>
  </si>
  <si>
    <t>FVBAC</t>
  </si>
  <si>
    <t>Total FV</t>
  </si>
  <si>
    <t>Total FH</t>
  </si>
  <si>
    <t>Bandes de propreté</t>
  </si>
  <si>
    <t>clous inox</t>
  </si>
  <si>
    <t>terre végétale</t>
  </si>
  <si>
    <t>bac bastaings</t>
  </si>
  <si>
    <t>bardage bois</t>
  </si>
  <si>
    <t>pierres collées</t>
  </si>
  <si>
    <t>pierres moëllons</t>
  </si>
  <si>
    <t>Prix HT   ou Heures /ml</t>
  </si>
  <si>
    <t>Périmètre FH</t>
  </si>
  <si>
    <t>Surface FH</t>
  </si>
  <si>
    <t>Surface FV/BACS</t>
  </si>
  <si>
    <t>Périmètre cumulé FV + FH</t>
  </si>
  <si>
    <t>Paramètres de calculs (auto)</t>
  </si>
  <si>
    <t xml:space="preserve">Hauteur habillage HS / SE </t>
  </si>
  <si>
    <t xml:space="preserve">Choix du poste de relevage </t>
  </si>
  <si>
    <t>Coef Habillage Terre</t>
  </si>
  <si>
    <t>coef 0,5 pour h=45 cm et 2 pour h=90 cm</t>
  </si>
  <si>
    <t xml:space="preserve">Habillage Talus </t>
  </si>
  <si>
    <t>Périmètre FV/FVBAC global</t>
  </si>
  <si>
    <t>Coef Filtres HS/SM</t>
  </si>
  <si>
    <t>FH9</t>
  </si>
  <si>
    <t>SC FV7                SEMI-ENTERRE              Coffrage Plaques Béton ext</t>
  </si>
  <si>
    <t>SC FV8               ENTERRE              Cadre Bois</t>
  </si>
  <si>
    <t>SC FH9               ENTERRE                Coffrage Plaques Béton intérieur</t>
  </si>
  <si>
    <t>SC FVB3              BAC ENTERRE</t>
  </si>
  <si>
    <t>SC FVB1              BAC HORS-SOL</t>
  </si>
  <si>
    <t xml:space="preserve">Nb barre T 40 </t>
  </si>
  <si>
    <t>Nb barre T 45</t>
  </si>
  <si>
    <t xml:space="preserve">Nb barre T 50 </t>
  </si>
  <si>
    <t>Longueur de barre T</t>
  </si>
  <si>
    <t>TC+FV1</t>
  </si>
  <si>
    <t>TC+FV2</t>
  </si>
  <si>
    <t>TC+FV3</t>
  </si>
  <si>
    <t>TC+FV4</t>
  </si>
  <si>
    <t>TC+FV5</t>
  </si>
  <si>
    <t>TC+FV6</t>
  </si>
  <si>
    <t>TC+FV7</t>
  </si>
  <si>
    <t>TC+FV8</t>
  </si>
  <si>
    <t>TC+FV9</t>
  </si>
  <si>
    <t>TC+FH1</t>
  </si>
  <si>
    <t>TC+FH2</t>
  </si>
  <si>
    <t>TC+FH3</t>
  </si>
  <si>
    <t>TC+FH4</t>
  </si>
  <si>
    <t>TC+FH5</t>
  </si>
  <si>
    <t>TC+FH6</t>
  </si>
  <si>
    <t>TC+FH7</t>
  </si>
  <si>
    <t>TC+FH8</t>
  </si>
  <si>
    <t>TC+FH9</t>
  </si>
  <si>
    <t>TC+FH10</t>
  </si>
  <si>
    <t>cadre bastaings FV</t>
  </si>
  <si>
    <t>Nb Barre</t>
  </si>
  <si>
    <t>Tablette chêne</t>
  </si>
  <si>
    <t>Barre T 45</t>
  </si>
  <si>
    <t>Barre T 40</t>
  </si>
  <si>
    <t>Barre T 50</t>
  </si>
  <si>
    <t xml:space="preserve">barre T métal </t>
  </si>
  <si>
    <t>Protection Sanitaire</t>
  </si>
  <si>
    <t>tablette chêne</t>
  </si>
  <si>
    <t>Distribution relevage</t>
  </si>
  <si>
    <t>3 voies 50</t>
  </si>
  <si>
    <t>3 voies 63</t>
  </si>
  <si>
    <t>Auto50</t>
  </si>
  <si>
    <t>Auto63</t>
  </si>
  <si>
    <t>Vannes pelles</t>
  </si>
  <si>
    <t>D1</t>
  </si>
  <si>
    <t>D2</t>
  </si>
  <si>
    <t>D3</t>
  </si>
  <si>
    <t>D4</t>
  </si>
  <si>
    <t>D5</t>
  </si>
  <si>
    <t>D6</t>
  </si>
  <si>
    <t>D7</t>
  </si>
  <si>
    <t>D8</t>
  </si>
  <si>
    <t>D9</t>
  </si>
  <si>
    <t>Vannes pelles automatisées</t>
  </si>
  <si>
    <t>Guillotines 110</t>
  </si>
  <si>
    <t>Guillotines D50</t>
  </si>
  <si>
    <t>Guillotines D63</t>
  </si>
  <si>
    <t>Relevage</t>
  </si>
  <si>
    <t>BAC Gravitaire</t>
  </si>
  <si>
    <t>Alimentation</t>
  </si>
  <si>
    <t>A1</t>
  </si>
  <si>
    <t>A2</t>
  </si>
  <si>
    <t>A3</t>
  </si>
  <si>
    <t>A4</t>
  </si>
  <si>
    <t>BAC Relevage</t>
  </si>
  <si>
    <t>FV-FH Gravitaire</t>
  </si>
  <si>
    <t>FV-FH Relevage</t>
  </si>
  <si>
    <t>Fil d'eau entrée poste / TN poste (cm)</t>
  </si>
  <si>
    <t>hauteur du poste</t>
  </si>
  <si>
    <t>type de poste</t>
  </si>
  <si>
    <t xml:space="preserve">tranchée DIA  100 gravitaire </t>
  </si>
  <si>
    <t>fourreau + grillage</t>
  </si>
  <si>
    <t>tranchée CR8</t>
  </si>
  <si>
    <t>x2</t>
  </si>
  <si>
    <t>Retenue gravitaire chêne</t>
  </si>
  <si>
    <t>Retenue gravitaire bastaings</t>
  </si>
  <si>
    <t>Prix lié à l'habillage choisi et au coefficient</t>
  </si>
  <si>
    <t>Découpe + Pose bardage bois</t>
  </si>
  <si>
    <t>couper a dimension + pose (cloutage)</t>
  </si>
  <si>
    <t xml:space="preserve"> Habillage         </t>
  </si>
  <si>
    <t>Relevage/chasse/fossé</t>
  </si>
  <si>
    <t>Sortie EVAC DIA 100</t>
  </si>
  <si>
    <t>ZI profonde</t>
  </si>
  <si>
    <t>ZRV aquatique</t>
  </si>
  <si>
    <t>ZRV ligneux</t>
  </si>
  <si>
    <t>TOTAL</t>
  </si>
  <si>
    <t>Distribution</t>
  </si>
  <si>
    <t>Vannes guillotines 50</t>
  </si>
  <si>
    <t>Vannes guillotines 63</t>
  </si>
  <si>
    <t>Vanne 3 voies 50</t>
  </si>
  <si>
    <t>Vanne 3 voies 63</t>
  </si>
  <si>
    <t>Vanne 3 voies + automatisation 50</t>
  </si>
  <si>
    <t>Vannes 3 voies + automatisation 63</t>
  </si>
  <si>
    <t>Vannes guillotines 110</t>
  </si>
  <si>
    <t>Vannes pelles + automatisation</t>
  </si>
  <si>
    <t>Eaux brutes</t>
  </si>
  <si>
    <t>NE PAS REMPLIR</t>
  </si>
  <si>
    <t>Récap des choix</t>
  </si>
  <si>
    <t>DN</t>
  </si>
  <si>
    <t>TOTAL HABILLAGE</t>
  </si>
  <si>
    <t>Aucun</t>
  </si>
  <si>
    <t>Filtre vertical EPDM</t>
  </si>
  <si>
    <t>Choisir d'abord le diamètre nominal souhaité</t>
  </si>
  <si>
    <t xml:space="preserve">Total </t>
  </si>
  <si>
    <t>BE</t>
  </si>
  <si>
    <t>Installateur</t>
  </si>
  <si>
    <t>Contrôle + certificat fabricant</t>
  </si>
  <si>
    <t>Total redevances</t>
  </si>
  <si>
    <t>Collecte   /  Exutoire</t>
  </si>
  <si>
    <t>Retenue gravitaire</t>
  </si>
  <si>
    <t>Habillage 1 FV</t>
  </si>
  <si>
    <t>Habillage 2 FV</t>
  </si>
  <si>
    <t>Finitions FV</t>
  </si>
  <si>
    <t>Finitions FH</t>
  </si>
  <si>
    <t>F6</t>
  </si>
  <si>
    <t>Traverses chêne FH</t>
  </si>
  <si>
    <t>Cadre bastaings FH</t>
  </si>
  <si>
    <t>F7</t>
  </si>
  <si>
    <t>Traverse Chêne FH</t>
  </si>
  <si>
    <t>Traverses chêne</t>
  </si>
  <si>
    <t>Traverses chêne FV</t>
  </si>
  <si>
    <t>F8</t>
  </si>
  <si>
    <t xml:space="preserve"> Cadre Bastaings FV</t>
  </si>
  <si>
    <t>F9</t>
  </si>
  <si>
    <t>Bastaings bois BAC</t>
  </si>
  <si>
    <t>ZI peu profonde</t>
  </si>
  <si>
    <t>Habillage FH</t>
  </si>
  <si>
    <t>Commentaires</t>
  </si>
  <si>
    <t>Du Chiffre d'affaire</t>
  </si>
  <si>
    <t>CHARGES FIXES</t>
  </si>
  <si>
    <t>CHARGES INDIRECTES</t>
  </si>
  <si>
    <t>MARGE NETTE (RESULTAT NET)</t>
  </si>
  <si>
    <t>Le pourcentage correspond à la marge nette</t>
  </si>
  <si>
    <t>Eaux claires</t>
  </si>
  <si>
    <t>Marge brute</t>
  </si>
  <si>
    <t>FV + FH enterré</t>
  </si>
  <si>
    <t>BAC HS</t>
  </si>
  <si>
    <t>BAC Semi-enterré</t>
  </si>
  <si>
    <t>BAC enterré</t>
  </si>
  <si>
    <t>SC FV6 SEMI-ENTERRE  Coffrage Bastaings Bois</t>
  </si>
  <si>
    <t>TEXTE DEVIS</t>
  </si>
  <si>
    <t>Ecolat h 14 cm L 25 m + piquets</t>
  </si>
  <si>
    <t>Géotextile 150g/m² -  100 m</t>
  </si>
  <si>
    <t>SPR-1200-50</t>
  </si>
  <si>
    <t>Grille anti-rongeur</t>
  </si>
  <si>
    <t>sortie de drain</t>
  </si>
  <si>
    <t>MOC_Bordures</t>
  </si>
  <si>
    <t>Pose écolat</t>
  </si>
  <si>
    <t>Bordure + piquet</t>
  </si>
  <si>
    <t>Texte devis</t>
  </si>
  <si>
    <t>Zone d'infiltration peu profonde (géotextile + granulats + réhausse béton)</t>
  </si>
  <si>
    <t>Zone d'infiltration profonde (géotextile + granulats + 2*réhausse béton)</t>
  </si>
  <si>
    <t>marge brute</t>
  </si>
  <si>
    <t>?</t>
  </si>
  <si>
    <t>B1 (rondins)</t>
  </si>
  <si>
    <t>B2 (écolat)</t>
  </si>
  <si>
    <t>B3 (métal)</t>
  </si>
  <si>
    <t>B4 (béton)</t>
  </si>
  <si>
    <t>B5 barre schiste)</t>
  </si>
  <si>
    <t>Pose plaque Schiste</t>
  </si>
  <si>
    <t>Pose bordure béton</t>
  </si>
  <si>
    <t>Pose rondins bois</t>
  </si>
  <si>
    <t>Pose bordure métal</t>
  </si>
  <si>
    <t>Zone de rejet végétalisée (granulats, regard béton, plantes ligneuses)</t>
  </si>
  <si>
    <t>Zone de rejet végétalisée ( EPDM, granulats, plantes aquatiques, regards béton, bordure éco-lat)</t>
  </si>
  <si>
    <t>Abbatage (h)</t>
  </si>
  <si>
    <t>Désouchage haie (ml)</t>
  </si>
  <si>
    <t>Accessibilité</t>
  </si>
  <si>
    <t>Terrassement sup (m3)</t>
  </si>
  <si>
    <t>Enelèvement de terre (m3)</t>
  </si>
  <si>
    <t>Abbatage</t>
  </si>
  <si>
    <t>ANNEXES</t>
  </si>
  <si>
    <t>BP FV</t>
  </si>
  <si>
    <t>BP FH</t>
  </si>
  <si>
    <t>Analyse économique</t>
  </si>
  <si>
    <t>Marge brute (Prix de vente HT-Prix d'achat)</t>
  </si>
  <si>
    <t>COMMANDE SASKIT</t>
  </si>
  <si>
    <t>ARTICLE</t>
  </si>
  <si>
    <t>Finition FV EPDM - Cadre bastaings bois (douglas)</t>
  </si>
  <si>
    <t>Finition FV Bacs - Cadre bastaings bois (douglas)</t>
  </si>
  <si>
    <t>Bordure en rondins de bois</t>
  </si>
  <si>
    <t>Bordure en écolat</t>
  </si>
  <si>
    <t>Bordure métal</t>
  </si>
  <si>
    <t>Bordure béton</t>
  </si>
  <si>
    <t>s</t>
  </si>
  <si>
    <t>sorties EVAC 100</t>
  </si>
  <si>
    <t>Terrassement supplémentaire</t>
  </si>
  <si>
    <t>Définition des différentes prestations de main d'œuvre et de mini-pelle</t>
  </si>
  <si>
    <t>Tableaux récap de tous les coûts</t>
  </si>
  <si>
    <t xml:space="preserve">Estimatif quantitatif </t>
  </si>
  <si>
    <t>TCFV/FVB</t>
  </si>
  <si>
    <t>BP</t>
  </si>
  <si>
    <t>C/E</t>
  </si>
  <si>
    <t>ZRV (aq)</t>
  </si>
  <si>
    <t>ZRV2 (ligneux)</t>
  </si>
  <si>
    <t>SCFVB</t>
  </si>
  <si>
    <t>Total (t)</t>
  </si>
  <si>
    <t>Total (m3)</t>
  </si>
  <si>
    <t>Terre excavée</t>
  </si>
  <si>
    <t>Test tableau</t>
  </si>
  <si>
    <t>ALIM</t>
  </si>
  <si>
    <t>Produit</t>
  </si>
  <si>
    <t>Stock ?</t>
  </si>
  <si>
    <t>unit</t>
  </si>
  <si>
    <t>DISTRIBUTION</t>
  </si>
  <si>
    <t>Prix unitaire</t>
  </si>
  <si>
    <t xml:space="preserve">Prix </t>
  </si>
  <si>
    <t>Caillebotis</t>
  </si>
  <si>
    <t>KIT CAILLEBOTIS FV GEOMEMBRANE 4EH4*2</t>
  </si>
  <si>
    <t>KIT CAILLEBOTIS FV GEOMEMBRANE 3EH3*2</t>
  </si>
  <si>
    <t>KIT CAILLEBOTIS FV GEOMEMBRANE 5EH4*2,5</t>
  </si>
  <si>
    <t>KIT CAILLEBOTIS FV GEOMEMBRANE 6EH4*3</t>
  </si>
  <si>
    <t>KIT CAILLEBOTIS FV GEOMEMBRANE 6EH6*2</t>
  </si>
  <si>
    <t>KIT CAILLEBOTIS FV GEOMEMBRANE 7EH4*3,5</t>
  </si>
  <si>
    <t>KIT CAILLEBOTIS FV GEOMEMBRANE 8EH4*4</t>
  </si>
  <si>
    <t>KIT CAILLEBOTIS FV GEOMEMBRANE 9EH4*4,5</t>
  </si>
  <si>
    <t>KIT CAILLEBOTIS FV GEOMEMBRANE 10EH4*5</t>
  </si>
  <si>
    <t>KIT CAILLEBOTIS FV GEOMEMBRANE 12EH4*6</t>
  </si>
  <si>
    <t>KIT CAILLEBOTIS FV GEOMEMBRANE 14EH4*7</t>
  </si>
  <si>
    <t>KIT CAILLEBOTIS FV GEOMEMBRANE 14EH8*3,5</t>
  </si>
  <si>
    <t>KIT CAILLEBOTIS FV GEOMEMBRANE 16EH4*8</t>
  </si>
  <si>
    <t>KIT CAILLEBOTIS FV GEOMEMBRANE 18EH4,5*8</t>
  </si>
  <si>
    <t>KIT CAILLEBOTIS FV GEOMEMBRANE 20EH8*5</t>
  </si>
  <si>
    <t>Colonne2</t>
  </si>
  <si>
    <t>Désignation</t>
  </si>
  <si>
    <t>TOTAL - Jardin d'assainissement</t>
  </si>
  <si>
    <t>TOTAL DES RESEAUX COLLECTE/EXUTOIRE</t>
  </si>
  <si>
    <t>Protection sanitaire FV : caillebotis piétons en acier galvanisé</t>
  </si>
  <si>
    <t>Fourniture et pose de l'ensemble des éléments de distribution et d'alimentation (regards, vannes, canalisations, répartiteurs)</t>
  </si>
  <si>
    <t>SOMME.SI</t>
  </si>
  <si>
    <t>AQUATIRIS (redevances)</t>
  </si>
  <si>
    <t/>
  </si>
  <si>
    <t>Cadre Bastaings FV BACS</t>
  </si>
  <si>
    <t>FV BAC enterré/semi enterré/HS</t>
  </si>
  <si>
    <t>Traverse chêne vertical</t>
  </si>
  <si>
    <t xml:space="preserve">FV  </t>
  </si>
  <si>
    <t>FV HS Tablette Chêne</t>
  </si>
  <si>
    <t>Cadre Bastaings bois</t>
  </si>
  <si>
    <t>Retenue gravitaire pour l'alimentation du filtre vertical : bastaings bois douglas.</t>
  </si>
  <si>
    <t>Retenue gravitaire pour l'alimentation du filtre vertical : traverses chêne</t>
  </si>
  <si>
    <t>Finition du filtre horizontal avec un cadre en bastaings bois douglas</t>
  </si>
  <si>
    <t>Finition du filtre horizontal en traverses de chêne</t>
  </si>
  <si>
    <t>Finition du filtre vertical en traverses de chêne</t>
  </si>
  <si>
    <t>Modèle</t>
  </si>
  <si>
    <t>Dimensions</t>
  </si>
  <si>
    <t>Surface</t>
  </si>
  <si>
    <t>Fourniture et mise en œuvre du filtre vertical : sandwich EPDM, granulats, plantes, drains, aération…</t>
  </si>
  <si>
    <t>Fourniture et mise en œuvre du filtre horizontal : sandwich EPDM, granulats, plantes, drain…</t>
  </si>
  <si>
    <t>Fourniture et mise en œuvre du Jardi-Assainissement FV : bacs en poly-éthylène Aquatiris, granulats, plantes, drains…</t>
  </si>
  <si>
    <t>Habillage FV en terre végétale (talus)</t>
  </si>
  <si>
    <t>Habillage FV en bastaings bois douglas  (BAC)</t>
  </si>
  <si>
    <t>Habillage FV en bardage bois douglas</t>
  </si>
  <si>
    <t>Habillage FV parpaings - pierre collées</t>
  </si>
  <si>
    <t>Habillage FV en pierre moëllons</t>
  </si>
  <si>
    <t>Client</t>
  </si>
  <si>
    <t>GOSSELIN Philippe</t>
  </si>
  <si>
    <t>AQUATIRIS</t>
  </si>
  <si>
    <t>07 88 97 73 73</t>
  </si>
  <si>
    <t>philippe.gosselin@aquatiris.fr</t>
  </si>
  <si>
    <t>16 (8/4)</t>
  </si>
  <si>
    <t>20 (10/5)</t>
  </si>
  <si>
    <t>5 (4/2,5)</t>
  </si>
  <si>
    <t>6 (4/3)</t>
  </si>
  <si>
    <t>7 (4/3,5)</t>
  </si>
  <si>
    <t>8 (4/4)</t>
  </si>
  <si>
    <t>9 (4/4,5)</t>
  </si>
  <si>
    <t>10 (4/5)</t>
  </si>
  <si>
    <t>BROYEUR AQUATIRIS</t>
  </si>
  <si>
    <t>CHASSES</t>
  </si>
  <si>
    <t>BASCULEUR ROTATIF INOX NAVE 26 L</t>
  </si>
  <si>
    <t>BASCULEUR ROTATIF INOX NAVE 39 L</t>
  </si>
  <si>
    <t>BASCULEUR ROTATIF INOX NAVE 80 L</t>
  </si>
  <si>
    <t>Relevage/Chasse  + fossé</t>
  </si>
  <si>
    <t>CABLE  1,5</t>
  </si>
  <si>
    <t>FICHE DE SIMULATION</t>
  </si>
  <si>
    <t>Bordure FV</t>
  </si>
  <si>
    <t>Bordure FH</t>
  </si>
  <si>
    <t>Bordures FH</t>
  </si>
  <si>
    <t>Bordure FV / FV BAC</t>
  </si>
  <si>
    <t xml:space="preserve"> Fil d'eau sortie maison (cm)</t>
  </si>
  <si>
    <t>TN Poste de relevage (cm)</t>
  </si>
  <si>
    <t>Nombre de sorties maison</t>
  </si>
  <si>
    <t>PR2</t>
  </si>
  <si>
    <t>PR1</t>
  </si>
  <si>
    <t>ANALYSE DES TEMPS</t>
  </si>
  <si>
    <t>Surface ZI =</t>
  </si>
  <si>
    <t>Surface ZRV = (aquatique)</t>
  </si>
  <si>
    <t>Surface ZRV2  = (ligneux)</t>
  </si>
  <si>
    <t>Atelier</t>
  </si>
  <si>
    <t>Chantier</t>
  </si>
  <si>
    <t>Minipelle</t>
  </si>
  <si>
    <t>Heures</t>
  </si>
  <si>
    <t>jours</t>
  </si>
  <si>
    <t>a</t>
  </si>
  <si>
    <t>b</t>
  </si>
  <si>
    <t>i</t>
  </si>
  <si>
    <t>j</t>
  </si>
  <si>
    <t>m³</t>
  </si>
  <si>
    <t xml:space="preserve">   Volume </t>
  </si>
  <si>
    <t>n</t>
  </si>
  <si>
    <t>o</t>
  </si>
  <si>
    <t>P</t>
  </si>
  <si>
    <t>TN</t>
  </si>
  <si>
    <t>FE</t>
  </si>
  <si>
    <t>Hab = A</t>
  </si>
  <si>
    <t>PR</t>
  </si>
  <si>
    <t>Fve</t>
  </si>
  <si>
    <t>FVs</t>
  </si>
  <si>
    <t>FHs</t>
  </si>
  <si>
    <t>PR3</t>
  </si>
  <si>
    <t>x (m)</t>
  </si>
  <si>
    <t>à changer si relevage</t>
  </si>
  <si>
    <t>Fond de fossé</t>
  </si>
  <si>
    <t>Route</t>
  </si>
  <si>
    <t>Fossé point haut</t>
  </si>
  <si>
    <t>ATTENTION SI REHAUSSE FH et/OU ZI REVOIR FORMULES</t>
  </si>
  <si>
    <t xml:space="preserve"> ActiveSheet.Shapes.AddShape(msoShapeRectangle, (117.5 + 10 * (dhab)), (250 - TNPR1 / 2.5 - 0.2), _</t>
  </si>
  <si>
    <t xml:space="preserve">   (5), (40)).Select</t>
  </si>
  <si>
    <t xml:space="preserve">    Selection.ShapeRange.Name = "PR1profil"</t>
  </si>
  <si>
    <t xml:space="preserve">    Selection.ShapeRange(1).TextFrame2.TextRange.Characters.Text = "PR1"</t>
  </si>
  <si>
    <t xml:space="preserve">    With Selection.ShapeRange(1).TextFrame2.TextRange.Characters(1, 2). _</t>
  </si>
  <si>
    <t xml:space="preserve">        .Alignment = msoAlignCenter</t>
  </si>
  <si>
    <t xml:space="preserve">    End With</t>
  </si>
  <si>
    <t>With Selection.ShapeRange.Fill</t>
  </si>
  <si>
    <t>PR4</t>
  </si>
  <si>
    <t>ZI1e</t>
  </si>
  <si>
    <t>ZI1s</t>
  </si>
  <si>
    <t>ZI2e</t>
  </si>
  <si>
    <t>ZI2s</t>
  </si>
  <si>
    <t>ZI3e</t>
  </si>
  <si>
    <t>ZI3s</t>
  </si>
  <si>
    <t>Longueur ZI1</t>
  </si>
  <si>
    <t>Longueur ZI2</t>
  </si>
  <si>
    <t>FE = FE+1 si x=0</t>
  </si>
  <si>
    <t>TN = TN+1 si x = 0</t>
  </si>
  <si>
    <t>Pour éviter les erreurs avec les cases vides… inputbox</t>
  </si>
  <si>
    <t>inputboxpourconfirmer (ajouter une condition en  cas de forte pente, FE ne doit pas etre &gt; TN)</t>
  </si>
  <si>
    <t>gérer les lignes visibles et les formules en fonction de la simulation</t>
  </si>
  <si>
    <t>TF</t>
  </si>
  <si>
    <r>
      <rPr>
        <b/>
        <sz val="11"/>
        <color theme="1"/>
        <rFont val="Arial"/>
        <family val="2"/>
      </rPr>
      <t xml:space="preserve">Distance A </t>
    </r>
    <r>
      <rPr>
        <sz val="11"/>
        <color theme="1"/>
        <rFont val="Arial"/>
        <family val="2"/>
      </rPr>
      <t xml:space="preserve">         Habitation--&gt;poste/filtre</t>
    </r>
  </si>
  <si>
    <r>
      <rPr>
        <b/>
        <sz val="11"/>
        <color theme="1"/>
        <rFont val="Arial"/>
        <family val="2"/>
      </rPr>
      <t xml:space="preserve">Distance B </t>
    </r>
    <r>
      <rPr>
        <sz val="11"/>
        <color theme="1"/>
        <rFont val="Arial"/>
        <family val="2"/>
      </rPr>
      <t xml:space="preserve">                     PR1 ---&gt; FV</t>
    </r>
  </si>
  <si>
    <r>
      <rPr>
        <b/>
        <sz val="11"/>
        <color theme="1"/>
        <rFont val="Arial"/>
        <family val="2"/>
      </rPr>
      <t xml:space="preserve"> Distance B2 </t>
    </r>
    <r>
      <rPr>
        <sz val="11"/>
        <color theme="1"/>
        <rFont val="Arial"/>
        <family val="2"/>
      </rPr>
      <t xml:space="preserve">               PR2----&gt;FH/ZI/fossé</t>
    </r>
  </si>
  <si>
    <r>
      <rPr>
        <b/>
        <sz val="11"/>
        <color theme="1"/>
        <rFont val="Arial"/>
        <family val="2"/>
      </rPr>
      <t xml:space="preserve">Distance C   </t>
    </r>
    <r>
      <rPr>
        <sz val="11"/>
        <color theme="1"/>
        <rFont val="Arial"/>
        <family val="2"/>
      </rPr>
      <t xml:space="preserve">                   FV----&gt; FH/ZI/fossé</t>
    </r>
  </si>
  <si>
    <r>
      <rPr>
        <b/>
        <sz val="11"/>
        <color theme="1"/>
        <rFont val="Arial"/>
        <family val="2"/>
      </rPr>
      <t xml:space="preserve">Distance D </t>
    </r>
    <r>
      <rPr>
        <sz val="11"/>
        <color theme="1"/>
        <rFont val="Arial"/>
        <family val="2"/>
      </rPr>
      <t xml:space="preserve">                     FH---&gt;ZI/fossé</t>
    </r>
  </si>
  <si>
    <r>
      <rPr>
        <b/>
        <sz val="11"/>
        <color theme="1"/>
        <rFont val="Arial"/>
        <family val="2"/>
      </rPr>
      <t>Distance E</t>
    </r>
    <r>
      <rPr>
        <sz val="11"/>
        <color theme="1"/>
        <rFont val="Arial"/>
        <family val="2"/>
      </rPr>
      <t xml:space="preserve">                         ZI---&gt; Fossé</t>
    </r>
  </si>
  <si>
    <t xml:space="preserve">FILTRES  </t>
  </si>
  <si>
    <t>OPTIONS       OPTIONS</t>
  </si>
  <si>
    <t>FHe</t>
  </si>
  <si>
    <t>Total (euros)</t>
  </si>
  <si>
    <t xml:space="preserve"> Fourniture et pose d'une structure en bastaings bois douglas pour FV EPDM</t>
  </si>
  <si>
    <t xml:space="preserve"> Fourniture et pose d'une structure en traverses de chêne pour FV EPDM HORS-SOL</t>
  </si>
  <si>
    <t xml:space="preserve"> Fourniture et pose d'une structure en plaques béton pour FV EPDM HORS-SOL</t>
  </si>
  <si>
    <t xml:space="preserve"> Fourniture et pose d'une structure en parpaings pour FV EPDM HORS-SOL</t>
  </si>
  <si>
    <t xml:space="preserve"> FH EPDM - HORS-SOL - Fourniture et pose d'une structure en traverses de chêne</t>
  </si>
  <si>
    <t xml:space="preserve"> FH EPDM - HORS-SOL - Fourniture et pose d'une structure en plaques béton</t>
  </si>
  <si>
    <t xml:space="preserve"> FH EPDM - HORS-SOL - Fourniture et pose d'une structure en parpaings</t>
  </si>
  <si>
    <t xml:space="preserve"> FH EPDM - semi-enterré - Fourniture et pose d'une structure en plaques béton (int.)</t>
  </si>
  <si>
    <t xml:space="preserve"> FH EPDM - semi-enterré - Fourniture et pose d'une structure en bastaings bois douglas</t>
  </si>
  <si>
    <t xml:space="preserve"> FH EPDM - semi-enterré - Fourniture et pose d'une structure en plaques béton (ext.)</t>
  </si>
  <si>
    <t xml:space="preserve"> FH EPDM -enterré - Fourniture et pose d'une structure en plaques béton (ext.) + cadre bois</t>
  </si>
  <si>
    <t xml:space="preserve">Fourniture et pose d'une structure en bastaings bois douglas  FV EPDM - semi-enterré </t>
  </si>
  <si>
    <t xml:space="preserve">Fourniture et pose d'une structure en plaques béton (ext.) FV EPDM - semi-enterré </t>
  </si>
  <si>
    <t xml:space="preserve">Fourniture et pose d'une structure en plaques béton (ext.) + cadre bois pour FV EPDM enterré </t>
  </si>
  <si>
    <t xml:space="preserve"> Fourniture et pose d'une structure en bastaings bois douglas pour FH EPDM - HORS-SOL </t>
  </si>
  <si>
    <t xml:space="preserve">Fourniture et pose d'une structure en plaques béton (int.) pour  FH EPDM -enterré </t>
  </si>
  <si>
    <t>pour chaque filtre, coupe un tuyau PVC + 2 coudes à 45° + champignon</t>
  </si>
  <si>
    <t>collage</t>
  </si>
  <si>
    <t>Pose KIT barre galva BAC</t>
  </si>
  <si>
    <t>Assembler le raccord PE/PVC avec une bande teflon + ponçage PVC + préparation bout de tuyau et coude si nécessaire ( (Coef / raccord)</t>
  </si>
  <si>
    <t xml:space="preserve">Perçage du regard + joint forscheda + coupe tuyau + ponçage tuyaux et accessoires + collage </t>
  </si>
  <si>
    <t>Coupe tuyau + ponçage tuyaux et accessoires et passage de membrane + collage + trait marqueur (repérer les trous de vis)</t>
  </si>
  <si>
    <t>Joint Forscheda DN100 BAC</t>
  </si>
  <si>
    <t>Joint Forscheda DN50 BAC</t>
  </si>
  <si>
    <t>percer a la scie cloche de 60 + pose du joint</t>
  </si>
  <si>
    <t>Préparation du poste de relevage</t>
  </si>
  <si>
    <t>Percer à la scie cloche + pose du joint forscheda + tuyau + câbles</t>
  </si>
  <si>
    <t>Regard connexion électrique</t>
  </si>
  <si>
    <t>Pose et connexion du regard avec branchement provisoire</t>
  </si>
  <si>
    <t>Déplacement</t>
  </si>
  <si>
    <t>Préparation du chantier (piquetage, niveaux, déchargement)</t>
  </si>
  <si>
    <t>Remodelage paysagé des terres excavées</t>
  </si>
  <si>
    <t>Chiffrage estimatif</t>
  </si>
  <si>
    <t>a1</t>
  </si>
  <si>
    <t>a2</t>
  </si>
  <si>
    <t>b1</t>
  </si>
  <si>
    <t>Travaux de préparation et de remise en état du terrain</t>
  </si>
  <si>
    <t>préconisations</t>
  </si>
  <si>
    <t xml:space="preserve">Terrassement de la zone pour FV  BACS - SEMI-ENTERRE </t>
  </si>
  <si>
    <t>Bordure en barre de schiste</t>
  </si>
  <si>
    <t>Fourniture et pose d'un regard de distribution étanche équipé de vannes guillotines DN 50</t>
  </si>
  <si>
    <t>Fourniture et pose d'un regard de distribution étanche équipé de vannes guillotines DN 60</t>
  </si>
  <si>
    <t>Fourniture et pose d'un regard de distribution étanche équipé de vannes 3 voies DN 50</t>
  </si>
  <si>
    <t>Fourniture et pose d'un regard de distribution étanche équipé de vannes 3 voies DN 60</t>
  </si>
  <si>
    <t>Fourniture et pose d'un regard de distribution étanche équipé de vannes 3 voies automatisées DN 50</t>
  </si>
  <si>
    <t>Fourniture et pose d'un regard de distribution étanche équipé de vannes 3 voies automatisées DN 60</t>
  </si>
  <si>
    <t>Fourniture et pose d'un regard de distribution étanche équipé de vannes guillotines DN 110</t>
  </si>
  <si>
    <t>Fourniture et pose d'un regard de distribution équipé d'une vanne pelle automatisée</t>
  </si>
  <si>
    <t>Fourniture et pose d'un regard de distribution étanche équipé d'une vanne pelle</t>
  </si>
  <si>
    <t>Forfait livraison, déchargement, installation du matériel</t>
  </si>
  <si>
    <t>Terrassement de la zone pour FV  BACS - HORS SOL</t>
  </si>
  <si>
    <t>Terrassement de la zone pour FV BAC ENTERRE</t>
  </si>
  <si>
    <t xml:space="preserve"> </t>
  </si>
  <si>
    <t>ZI/ZRV1</t>
  </si>
  <si>
    <t>Tuyaux PVC DN 100, coudes,  répartiteurs.</t>
  </si>
  <si>
    <r>
      <t>Tuyaux PVC pression DN50, répartiteurs toboggan Aquatiris</t>
    </r>
    <r>
      <rPr>
        <sz val="11"/>
        <rFont val="Calibri"/>
        <family val="2"/>
      </rPr>
      <t>®</t>
    </r>
    <r>
      <rPr>
        <sz val="11"/>
        <rFont val="Arial"/>
        <family val="2"/>
      </rPr>
      <t>.</t>
    </r>
  </si>
  <si>
    <t>Tuyaux PVC DN 100, coudes, regards de distribution gravitaire, répartiteurs.</t>
  </si>
  <si>
    <t>Tuyaux pression, regard de répartition relevage, répartiteurs.</t>
  </si>
  <si>
    <t>Sont à la charge du client : - Le branchement électrique de la pompe</t>
  </si>
  <si>
    <t>EPDM</t>
  </si>
  <si>
    <t xml:space="preserve">EPDM sur mesure </t>
  </si>
  <si>
    <t>Epandrain</t>
  </si>
  <si>
    <t>TAUX INSTALLATEUR</t>
  </si>
  <si>
    <t>COEF main d'œuvre atelier</t>
  </si>
  <si>
    <t>COEF main d'œuvre chantier</t>
  </si>
  <si>
    <t>MARGE sur matériel</t>
  </si>
  <si>
    <t>Traverse de chêne 200/100 (retenue grav)</t>
  </si>
  <si>
    <t>Découpe, positionner traverses, perçage, vissage, tronçonneuse</t>
  </si>
  <si>
    <t>Préparation du terrain et remise en place des terres (l'engazonnement des zones terrassées doit faire l'objet d'un devis annexe)</t>
  </si>
  <si>
    <t>REMARQUES : Ce chiffrage estimatif ne peut faire l'objet d'un bon pour accord. Les tarifs indiqués ne sont en aucun cas garantis et dépenderont du choix de l'artisan pour la réalisation des travaux. Certaines contraintes techniques peuvent avoir été négligées par le bureau d'étude et entrainer une augmentation sensible des coûts. - Il n'est pas prévu de bande de propreté autour des filtres.</t>
  </si>
  <si>
    <t>total (m3)</t>
  </si>
  <si>
    <t>Portée</t>
  </si>
  <si>
    <t>Section</t>
  </si>
  <si>
    <t>Barre T galvanisée</t>
  </si>
  <si>
    <t>6a</t>
  </si>
  <si>
    <t>6b</t>
  </si>
  <si>
    <t>Poids</t>
  </si>
  <si>
    <t>kg</t>
  </si>
  <si>
    <t xml:space="preserve">Largeur </t>
  </si>
  <si>
    <t xml:space="preserve">Longueur </t>
  </si>
  <si>
    <t xml:space="preserve">Nb </t>
  </si>
  <si>
    <t>Filtre</t>
  </si>
  <si>
    <t>espacement</t>
  </si>
  <si>
    <t>mm</t>
  </si>
  <si>
    <t>Poids total</t>
  </si>
  <si>
    <t>Poids/barre</t>
  </si>
  <si>
    <t>Longueur protection sanitaire (perpendiculaire aux barre T)</t>
  </si>
  <si>
    <t>Largeur protection sanitaire / cadre (prévoir 5 cm de plus pour la fixation des barre)</t>
  </si>
  <si>
    <t>Cadre feuillure et mibois 6*17 - dimensions extérieures</t>
  </si>
  <si>
    <t>Cadre feuillure et mibois 6*17 - dimensions intérieures</t>
  </si>
  <si>
    <t>Bastaings bois 6*17 - dimensions extérieures avec cornière pour structure bastaings</t>
  </si>
  <si>
    <t>Bastaings bois 6*17 - dimensions intérieures avec cornière pour structure bastaings</t>
  </si>
  <si>
    <t xml:space="preserve">Coffrage dimensions intérieures avec cornière </t>
  </si>
  <si>
    <t>Nb caillebotis 1*1 m</t>
  </si>
  <si>
    <t>Nb caillebotis 1*1,5 m</t>
  </si>
  <si>
    <t>Des matières</t>
  </si>
  <si>
    <t>Matières</t>
  </si>
  <si>
    <t>Main d'Œuvre Atelier</t>
  </si>
  <si>
    <t>Main d'Œuvre Chantier</t>
  </si>
  <si>
    <t>ZRVsuccess</t>
  </si>
  <si>
    <t>7 rue des Artisans</t>
  </si>
  <si>
    <t>35310 Bréal-sous-Monfort</t>
  </si>
  <si>
    <t>Largeur  Int cadre</t>
  </si>
  <si>
    <t>Longueur Int cadre</t>
  </si>
  <si>
    <t>Largeur Ext cadre</t>
  </si>
  <si>
    <t>Longueur Ext cadre</t>
  </si>
  <si>
    <t>Largeur  optimale</t>
  </si>
  <si>
    <t>Longueur optimale</t>
  </si>
  <si>
    <t>de -1 à +2</t>
  </si>
  <si>
    <t>de - 4 à +2</t>
  </si>
  <si>
    <t>Dimensions de la finition à adapter en fonction du débordement et de l'épaisseur du coffrage</t>
  </si>
  <si>
    <r>
      <t xml:space="preserve">La longueur ci-dessus entraine un débordement des caillebotis de </t>
    </r>
    <r>
      <rPr>
        <b/>
        <sz val="14"/>
        <color rgb="FF000000"/>
        <rFont val="Arial"/>
        <family val="2"/>
      </rPr>
      <t>2 cm</t>
    </r>
    <r>
      <rPr>
        <sz val="14"/>
        <color rgb="FF000000"/>
        <rFont val="Arial"/>
        <family val="2"/>
      </rPr>
      <t xml:space="preserve"> sur le coffrage</t>
    </r>
  </si>
  <si>
    <t>TOLERANCE         (cm)</t>
  </si>
  <si>
    <r>
      <rPr>
        <b/>
        <sz val="12"/>
        <color theme="0"/>
        <rFont val="Arial"/>
        <family val="2"/>
      </rPr>
      <t>INTEGRATION DANS LE COFFRAGE</t>
    </r>
    <r>
      <rPr>
        <sz val="12"/>
        <color theme="0"/>
        <rFont val="Arial"/>
        <family val="2"/>
      </rPr>
      <t xml:space="preserve"> - Dimensions intérieures du coffrage = dimensions protection sanitaire + epaisseur EPDM</t>
    </r>
  </si>
  <si>
    <t>Largeur optimale</t>
  </si>
  <si>
    <t>de -1 à +1</t>
  </si>
  <si>
    <t>Débordement des caillebotis sur le coffrage</t>
  </si>
  <si>
    <t>Débordement  de la barre T sur le coffrage</t>
  </si>
  <si>
    <r>
      <t>La largeur ci-dessus entraine un débordement des barres T de</t>
    </r>
    <r>
      <rPr>
        <b/>
        <sz val="14"/>
        <color rgb="FF000000"/>
        <rFont val="Arial"/>
        <family val="2"/>
      </rPr>
      <t xml:space="preserve"> 3 cm</t>
    </r>
    <r>
      <rPr>
        <sz val="14"/>
        <color rgb="FF000000"/>
        <rFont val="Arial"/>
        <family val="2"/>
      </rPr>
      <t xml:space="preserve"> de chaque côté du coffrage               </t>
    </r>
  </si>
  <si>
    <t>de +2 à -4</t>
  </si>
  <si>
    <t xml:space="preserve">INTEGRATION DANS UN CADRE BOIS DE FINITION AVEC FEUILLURES                                      </t>
  </si>
  <si>
    <t xml:space="preserve"> section des bastaings         6*17 cm</t>
  </si>
  <si>
    <t xml:space="preserve">Les dimensionnements non indiqués ne sont pas encore disponibles </t>
  </si>
  <si>
    <r>
      <rPr>
        <b/>
        <sz val="18"/>
        <color theme="0"/>
        <rFont val="Arial"/>
        <family val="2"/>
      </rPr>
      <t>INTEGRATION SUR LE COFFRAGE</t>
    </r>
    <r>
      <rPr>
        <sz val="18"/>
        <color theme="0"/>
        <rFont val="Arial"/>
        <family val="2"/>
      </rPr>
      <t xml:space="preserve"> - Dimensions intérieures du coffrage</t>
    </r>
  </si>
  <si>
    <t>La tolérance implique des feuillures et encoches réduites.</t>
  </si>
  <si>
    <t>PARPAINGS 25*50*15</t>
  </si>
  <si>
    <t>BETON</t>
  </si>
  <si>
    <t>PARPAINGS D'ANGLE</t>
  </si>
  <si>
    <t>PARPAINGS EN U (bloc linteau)</t>
  </si>
  <si>
    <t>TOTAL Exutoire  - Zones d'infiltration</t>
  </si>
  <si>
    <t>g</t>
  </si>
  <si>
    <t>LORENZATO</t>
  </si>
  <si>
    <t>24 m²</t>
  </si>
  <si>
    <t>4 * 6</t>
  </si>
  <si>
    <t>TOTAL - Finitions</t>
  </si>
  <si>
    <t>d</t>
  </si>
  <si>
    <t xml:space="preserve"> m²</t>
  </si>
  <si>
    <t>Réalisation du réseau de collecte des eaux usées et du réseau d'évacuation des eaux traitées.(tranchée gravitaire DN100 = 50 ml, tranchée pression DN50 = 60 ml).</t>
  </si>
  <si>
    <t>Fourniture et pose du poste de relevage modèle : NSPR-1200-PA ;  broyeur en ligne Aquatiris ;</t>
  </si>
  <si>
    <t>TVA à 20 % soit :</t>
  </si>
  <si>
    <r>
      <t>Redevances</t>
    </r>
    <r>
      <rPr>
        <sz val="9"/>
        <color rgb="FFFFFFFF"/>
        <rFont val="Arial"/>
        <family val="2"/>
      </rPr>
      <t xml:space="preserve"> (incluses dans la partie KIT MATERIEL)</t>
    </r>
  </si>
  <si>
    <t>tranchée pression DIA variable</t>
  </si>
  <si>
    <t>ZI = zone d'infiltration avec drain + géotextile + terre végétale</t>
  </si>
  <si>
    <t>ZRV = pas de drain, amménagements de surface accessibles</t>
  </si>
  <si>
    <t>CHASSE AQUATIRIS 30 L</t>
  </si>
  <si>
    <t>CHASSE INEAUTECH 100L</t>
  </si>
  <si>
    <t>Epandrain (ml)</t>
  </si>
  <si>
    <t>SC FV5               SEMI-ENTERRE                Coffrage Plaques PVC</t>
  </si>
  <si>
    <t>SC FV9              ENTERRE                Coffrage Plaques PVC</t>
  </si>
  <si>
    <t>Plaques PVC (int)</t>
  </si>
  <si>
    <t>Cadre bois + plaques béton (ext)</t>
  </si>
  <si>
    <t xml:space="preserve">Fourniture et pose d'une structure en plaques PVC (int.) pour FV EPDM -enterré </t>
  </si>
  <si>
    <t xml:space="preserve"> Fourniture et pose d'une structure en plaques PVC FV EPDM - semi-enterré </t>
  </si>
  <si>
    <t>Les bacs doivent rester une filière semi-industrielle, l'habillage des bacs est prévu en remblai (terre végétale) et aucune finition n'est proposée pour le moment hormis une bande de propreté ci-dessous.</t>
  </si>
  <si>
    <t>5 EH</t>
  </si>
  <si>
    <t>10 m²</t>
  </si>
  <si>
    <t>perimetre</t>
  </si>
  <si>
    <t>2,5 * 4</t>
  </si>
  <si>
    <t>Fourniture et pose du poste de relevage modèle : NSPR-1200-PA ; clapet anti-retour</t>
  </si>
  <si>
    <t>TOTAL =</t>
  </si>
  <si>
    <t>Main d'œuvre</t>
  </si>
  <si>
    <t>MAIN D'ŒUVRE</t>
  </si>
  <si>
    <t xml:space="preserve"> SASKIT </t>
  </si>
  <si>
    <t>Matériaux</t>
  </si>
  <si>
    <t>Dont</t>
  </si>
  <si>
    <t>Autres</t>
  </si>
  <si>
    <t>TOTAL MARGE</t>
  </si>
  <si>
    <t xml:space="preserve">BP4 (gravillons) </t>
  </si>
  <si>
    <t>Fourniture et mise en œuvre d'une bande de propreté de 50 cm gravillonées (géotextile+10cm de gravillons)</t>
  </si>
  <si>
    <t>non</t>
  </si>
  <si>
    <t>Tronc Commun FV+FH</t>
  </si>
  <si>
    <t>PSFV2EH2.5X1.6</t>
  </si>
  <si>
    <t>PSFV3EH3X2</t>
  </si>
  <si>
    <t>PSFV4EH4X2</t>
  </si>
  <si>
    <t>PSFV5EH</t>
  </si>
  <si>
    <t>PSFV6EH4X3</t>
  </si>
  <si>
    <t>PSFV7EH4X3.5</t>
  </si>
  <si>
    <t>PSFV8EH4X4</t>
  </si>
  <si>
    <t>PSFV9EH4X4.5</t>
  </si>
  <si>
    <t>PSFV10EH4X5</t>
  </si>
  <si>
    <t>PSFV12EH6X4</t>
  </si>
  <si>
    <t>PSFV14EH7X4</t>
  </si>
  <si>
    <t>PSFV16EH8X4</t>
  </si>
  <si>
    <t>PSFV18EH8X4.5</t>
  </si>
  <si>
    <t>PSFV20EH8X5</t>
  </si>
  <si>
    <t>Tronc Commun FV EPDM 1.5 mm</t>
  </si>
  <si>
    <t>Nb BACS</t>
  </si>
  <si>
    <t>Tronc Commun FV pour FV+FH</t>
  </si>
  <si>
    <t>TOTAL - Bandes de propreté</t>
  </si>
  <si>
    <t>e</t>
  </si>
  <si>
    <t>S2</t>
  </si>
  <si>
    <t>Coefficient d'accessibilité (passages étroits, terrains rocheux et/ou pentu, accès livraison difficile</t>
  </si>
  <si>
    <t>TOTAL - Bordures</t>
  </si>
  <si>
    <t>TVA à 10 % soit :</t>
  </si>
  <si>
    <t>RAKOTO</t>
  </si>
  <si>
    <t>Réalisation du réseau de collecte des eaux usées et du réseau d'évacuation des eaux traitées.(tranchée gravitaire DN100 = 40 ml, tranchée pression DN50 = 50 ml).</t>
  </si>
  <si>
    <t>4 EH</t>
  </si>
  <si>
    <t>7 EH</t>
  </si>
  <si>
    <t xml:space="preserve"> coudes 30° DN 100</t>
  </si>
  <si>
    <t>DN50</t>
  </si>
  <si>
    <t>RD2</t>
  </si>
  <si>
    <t>PVC</t>
  </si>
  <si>
    <t>Chevron PE 5*8</t>
  </si>
  <si>
    <t>Plaques PVC 1m</t>
  </si>
  <si>
    <t>Lame bois finition douglas 2,5 cm</t>
  </si>
  <si>
    <t>Pose chevron PE</t>
  </si>
  <si>
    <t>Pose plaque PVC</t>
  </si>
  <si>
    <t>Pose cornière</t>
  </si>
  <si>
    <t>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</si>
</sst>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164" formatCode="_(&quot;€&quot;* #,##0.00_);_(&quot;€&quot;* \(#,##0.00\);_(&quot;€&quot;* &quot;-&quot;??_);_(@_)"/>
    <numFmt numFmtId="165" formatCode="_(* #,##0.00_);_(* \(#,##0.00\);_(* &quot;-&quot;??_);_(@_)"/>
    <numFmt numFmtId="166" formatCode="#"/>
    <numFmt numFmtId="167" formatCode="[$-40C]0.00"/>
    <numFmt numFmtId="168" formatCode="#,##0.00&quot; &quot;[$€-40C];[Red]&quot;-&quot;#,##0.00&quot; &quot;[$€-40C]"/>
    <numFmt numFmtId="169" formatCode="#,##0.00&quot; €&quot;"/>
    <numFmt numFmtId="170" formatCode="[$-40C]0.000"/>
    <numFmt numFmtId="171" formatCode="[$-40C]#,##0.00"/>
    <numFmt numFmtId="172" formatCode="[$-40C]0.00%"/>
    <numFmt numFmtId="173" formatCode="[$-40C]0%"/>
    <numFmt numFmtId="174" formatCode="[$-40C]#,##0"/>
    <numFmt numFmtId="175" formatCode="[$-40C]General"/>
    <numFmt numFmtId="176" formatCode="#,##0.00\ &quot;€&quot;"/>
    <numFmt numFmtId="177" formatCode="_-* #,##0.00\ [$€-40C]_-;\-* #,##0.00\ [$€-40C]_-;_-* &quot;-&quot;??\ [$€-40C]_-;_-@_-"/>
    <numFmt numFmtId="178" formatCode="0.0"/>
    <numFmt numFmtId="179" formatCode="0.000"/>
  </numFmts>
  <fonts count="141" x14ac:knownFonts="1">
    <font>
      <sz val="11"/>
      <color theme="1"/>
      <name val="Arial"/>
      <family val="2"/>
    </font>
    <font>
      <sz val="11"/>
      <color theme="1"/>
      <name val="Calibri"/>
      <family val="2"/>
      <scheme val="minor"/>
    </font>
    <font>
      <sz val="11"/>
      <color rgb="FF000000"/>
      <name val="Arial"/>
      <family val="2"/>
    </font>
    <font>
      <sz val="11"/>
      <color rgb="FF000000"/>
      <name val="Calibri"/>
      <family val="2"/>
    </font>
    <font>
      <b/>
      <i/>
      <sz val="16"/>
      <color theme="1"/>
      <name val="Arial"/>
      <family val="2"/>
    </font>
    <font>
      <b/>
      <i/>
      <sz val="16"/>
      <color rgb="FF000000"/>
      <name val="Arial"/>
      <family val="2"/>
    </font>
    <font>
      <b/>
      <i/>
      <u/>
      <sz val="11"/>
      <color theme="1"/>
      <name val="Arial"/>
      <family val="2"/>
    </font>
    <font>
      <b/>
      <i/>
      <u/>
      <sz val="11"/>
      <color rgb="FF000000"/>
      <name val="Arial"/>
      <family val="2"/>
    </font>
    <font>
      <sz val="11"/>
      <color rgb="FFFFFFFF"/>
      <name val="Arial"/>
      <family val="2"/>
    </font>
    <font>
      <b/>
      <sz val="11"/>
      <color rgb="FF000000"/>
      <name val="Arial"/>
      <family val="2"/>
    </font>
    <font>
      <b/>
      <sz val="14"/>
      <color rgb="FFFF0000"/>
      <name val="Arial"/>
      <family val="2"/>
    </font>
    <font>
      <b/>
      <sz val="11"/>
      <color rgb="FFFFFFFF"/>
      <name val="Arial"/>
      <family val="2"/>
    </font>
    <font>
      <sz val="10"/>
      <color rgb="FF000000"/>
      <name val="Arial"/>
      <family val="2"/>
    </font>
    <font>
      <b/>
      <sz val="11"/>
      <color rgb="FF000000"/>
      <name val="Calibri"/>
      <family val="2"/>
    </font>
    <font>
      <b/>
      <i/>
      <sz val="11"/>
      <color rgb="FF000000"/>
      <name val="Arial"/>
      <family val="2"/>
    </font>
    <font>
      <i/>
      <sz val="11"/>
      <color rgb="FF000000"/>
      <name val="Arial"/>
      <family val="2"/>
    </font>
    <font>
      <b/>
      <sz val="14"/>
      <color rgb="FF000000"/>
      <name val="Arial"/>
      <family val="2"/>
    </font>
    <font>
      <b/>
      <sz val="8"/>
      <color rgb="FFFFFFFF"/>
      <name val="Arial"/>
      <family val="2"/>
    </font>
    <font>
      <sz val="8"/>
      <color rgb="FF000000"/>
      <name val="Arial"/>
      <family val="2"/>
    </font>
    <font>
      <b/>
      <sz val="11"/>
      <color rgb="FFFF0000"/>
      <name val="Arial"/>
      <family val="2"/>
    </font>
    <font>
      <b/>
      <sz val="14"/>
      <color rgb="FFFFFFFF"/>
      <name val="Arial"/>
      <family val="2"/>
    </font>
    <font>
      <sz val="36"/>
      <color rgb="FFFFFFFF"/>
      <name val="Arial"/>
      <family val="2"/>
    </font>
    <font>
      <sz val="26"/>
      <color rgb="FFFFFFFF"/>
      <name val="Arial"/>
      <family val="2"/>
    </font>
    <font>
      <b/>
      <sz val="13"/>
      <color rgb="FF000000"/>
      <name val="Arial"/>
      <family val="2"/>
    </font>
    <font>
      <b/>
      <sz val="11"/>
      <color rgb="FFC00000"/>
      <name val="Arial"/>
      <family val="2"/>
    </font>
    <font>
      <b/>
      <sz val="16"/>
      <color rgb="FFFFFFFF"/>
      <name val="Arial"/>
      <family val="2"/>
    </font>
    <font>
      <sz val="11"/>
      <color rgb="FFFF0000"/>
      <name val="Arial"/>
      <family val="2"/>
    </font>
    <font>
      <b/>
      <sz val="12"/>
      <color rgb="FFFFFFFF"/>
      <name val="Arial"/>
      <family val="2"/>
    </font>
    <font>
      <b/>
      <sz val="18"/>
      <color rgb="FF000000"/>
      <name val="Arial"/>
      <family val="2"/>
    </font>
    <font>
      <b/>
      <sz val="18"/>
      <color rgb="FFFFFFFF"/>
      <name val="Arial"/>
      <family val="2"/>
    </font>
    <font>
      <b/>
      <sz val="10"/>
      <color rgb="FFFFFFFF"/>
      <name val="Arial"/>
      <family val="2"/>
    </font>
    <font>
      <sz val="12"/>
      <color rgb="FF000000"/>
      <name val="Arial"/>
      <family val="2"/>
    </font>
    <font>
      <b/>
      <sz val="11"/>
      <color theme="0"/>
      <name val="Arial"/>
      <family val="2"/>
    </font>
    <font>
      <b/>
      <sz val="18"/>
      <color rgb="FFFFFFFF"/>
      <name val="Calibri"/>
      <family val="2"/>
    </font>
    <font>
      <b/>
      <sz val="14"/>
      <color theme="0"/>
      <name val="Calibri"/>
      <family val="2"/>
    </font>
    <font>
      <sz val="11"/>
      <color theme="0"/>
      <name val="Arial"/>
      <family val="2"/>
    </font>
    <font>
      <b/>
      <sz val="14"/>
      <color theme="0"/>
      <name val="Arial"/>
      <family val="2"/>
    </font>
    <font>
      <sz val="9"/>
      <color rgb="FF000000"/>
      <name val="Arial"/>
      <family val="2"/>
    </font>
    <font>
      <b/>
      <sz val="9"/>
      <color rgb="FF000000"/>
      <name val="Arial"/>
      <family val="2"/>
    </font>
    <font>
      <b/>
      <sz val="9"/>
      <color rgb="FFFFFFFF"/>
      <name val="Arial"/>
      <family val="2"/>
    </font>
    <font>
      <sz val="9"/>
      <color rgb="FFFFFFFF"/>
      <name val="Arial"/>
      <family val="2"/>
    </font>
    <font>
      <sz val="20"/>
      <color rgb="FFFFFFFF"/>
      <name val="Arial"/>
      <family val="2"/>
    </font>
    <font>
      <sz val="14"/>
      <color rgb="FF000000"/>
      <name val="Courier New"/>
      <family val="3"/>
    </font>
    <font>
      <b/>
      <sz val="24"/>
      <color rgb="FFFFFFFF"/>
      <name val="Arial"/>
      <family val="2"/>
    </font>
    <font>
      <b/>
      <sz val="11"/>
      <name val="Arial"/>
      <family val="2"/>
    </font>
    <font>
      <sz val="11"/>
      <color theme="1"/>
      <name val="Arial"/>
      <family val="2"/>
    </font>
    <font>
      <sz val="14"/>
      <color rgb="FF000000"/>
      <name val="Calibri"/>
      <family val="2"/>
    </font>
    <font>
      <sz val="14"/>
      <color rgb="FF000000"/>
      <name val="Arial"/>
      <family val="2"/>
    </font>
    <font>
      <sz val="14"/>
      <color rgb="FFFF0000"/>
      <name val="Arial"/>
      <family val="2"/>
    </font>
    <font>
      <b/>
      <sz val="20"/>
      <color rgb="FFFFFFFF"/>
      <name val="Arial"/>
      <family val="2"/>
    </font>
    <font>
      <b/>
      <sz val="10"/>
      <color theme="0"/>
      <name val="Arial"/>
      <family val="2"/>
    </font>
    <font>
      <sz val="11"/>
      <name val="Arial"/>
      <family val="2"/>
    </font>
    <font>
      <sz val="14"/>
      <name val="Arial"/>
      <family val="2"/>
    </font>
    <font>
      <sz val="12"/>
      <color rgb="FFFFFFFF"/>
      <name val="Arial"/>
      <family val="2"/>
    </font>
    <font>
      <sz val="9"/>
      <color rgb="FFFF0000"/>
      <name val="Arial"/>
      <family val="2"/>
    </font>
    <font>
      <sz val="8"/>
      <color theme="1"/>
      <name val="Arial"/>
      <family val="2"/>
    </font>
    <font>
      <b/>
      <sz val="10"/>
      <name val="Arial"/>
      <family val="2"/>
    </font>
    <font>
      <b/>
      <sz val="8"/>
      <name val="Arial"/>
      <family val="2"/>
    </font>
    <font>
      <b/>
      <sz val="8"/>
      <color rgb="FF000000"/>
      <name val="Arial"/>
      <family val="2"/>
    </font>
    <font>
      <sz val="9"/>
      <color theme="0"/>
      <name val="Arial"/>
      <family val="2"/>
    </font>
    <font>
      <b/>
      <sz val="26"/>
      <color theme="0"/>
      <name val="Arial"/>
      <family val="2"/>
    </font>
    <font>
      <b/>
      <sz val="9"/>
      <name val="Arial"/>
      <family val="2"/>
    </font>
    <font>
      <sz val="4"/>
      <color rgb="FF000000"/>
      <name val="Arial"/>
      <family val="2"/>
    </font>
    <font>
      <b/>
      <sz val="4"/>
      <color rgb="FFFFFFFF"/>
      <name val="Arial"/>
      <family val="2"/>
    </font>
    <font>
      <b/>
      <sz val="11"/>
      <color theme="1"/>
      <name val="Arial"/>
      <family val="2"/>
    </font>
    <font>
      <b/>
      <sz val="18"/>
      <color theme="1"/>
      <name val="Arial"/>
      <family val="2"/>
    </font>
    <font>
      <sz val="8"/>
      <color rgb="FF000000"/>
      <name val="Segoe UI"/>
      <family val="2"/>
    </font>
    <font>
      <b/>
      <sz val="12"/>
      <name val="Arial"/>
      <family val="2"/>
    </font>
    <font>
      <sz val="11"/>
      <color rgb="FF002060"/>
      <name val="Arial"/>
      <family val="2"/>
    </font>
    <font>
      <sz val="11"/>
      <color theme="1"/>
      <name val="Arial"/>
      <family val="2"/>
    </font>
    <font>
      <sz val="8"/>
      <color theme="1"/>
      <name val="Arial"/>
      <family val="2"/>
    </font>
    <font>
      <sz val="5"/>
      <color rgb="FF002060"/>
      <name val="Arial"/>
      <family val="2"/>
    </font>
    <font>
      <b/>
      <sz val="5"/>
      <color rgb="FF002060"/>
      <name val="Arial"/>
      <family val="2"/>
    </font>
    <font>
      <sz val="5"/>
      <color theme="1"/>
      <name val="Arial"/>
      <family val="2"/>
    </font>
    <font>
      <sz val="6"/>
      <color theme="1"/>
      <name val="Arial"/>
      <family val="2"/>
    </font>
    <font>
      <sz val="8"/>
      <color theme="0"/>
      <name val="Arial"/>
      <family val="2"/>
    </font>
    <font>
      <sz val="10"/>
      <color theme="1"/>
      <name val="Arial"/>
      <family val="2"/>
    </font>
    <font>
      <sz val="11"/>
      <color theme="0"/>
      <name val="Arial"/>
      <family val="2"/>
    </font>
    <font>
      <b/>
      <sz val="11"/>
      <color theme="1"/>
      <name val="Arial"/>
      <family val="2"/>
    </font>
    <font>
      <b/>
      <sz val="10"/>
      <color theme="1"/>
      <name val="Arial"/>
      <family val="2"/>
    </font>
    <font>
      <b/>
      <sz val="10"/>
      <color theme="9" tint="-0.499984740745262"/>
      <name val="Arial"/>
      <family val="2"/>
    </font>
    <font>
      <b/>
      <sz val="10"/>
      <color theme="4" tint="-0.499984740745262"/>
      <name val="Arial"/>
      <family val="2"/>
    </font>
    <font>
      <b/>
      <sz val="8"/>
      <color theme="0"/>
      <name val="Arial"/>
      <family val="2"/>
    </font>
    <font>
      <b/>
      <sz val="9"/>
      <color theme="2" tint="-9.9978637043366805E-2"/>
      <name val="Arial"/>
      <family val="2"/>
    </font>
    <font>
      <sz val="8"/>
      <color rgb="FF000000"/>
      <name val="Arial"/>
      <family val="2"/>
    </font>
    <font>
      <sz val="10"/>
      <color rgb="FF000000"/>
      <name val="Arial"/>
      <family val="2"/>
    </font>
    <font>
      <sz val="8"/>
      <color rgb="FFFFFFFF"/>
      <name val="Arial"/>
      <family val="2"/>
    </font>
    <font>
      <sz val="8"/>
      <color rgb="FFFF0000"/>
      <name val="Arial"/>
      <family val="2"/>
    </font>
    <font>
      <sz val="11"/>
      <color rgb="FF000000"/>
      <name val="Arial"/>
      <family val="2"/>
    </font>
    <font>
      <sz val="11"/>
      <color theme="1"/>
      <name val="Arial"/>
      <family val="2"/>
    </font>
    <font>
      <b/>
      <sz val="8"/>
      <color rgb="FFFFFFFF"/>
      <name val="Arial"/>
      <family val="2"/>
    </font>
    <font>
      <b/>
      <sz val="10"/>
      <color rgb="FFFFFFFF"/>
      <name val="Arial"/>
      <family val="2"/>
    </font>
    <font>
      <b/>
      <sz val="18"/>
      <color rgb="FFFFFFFF"/>
      <name val="Arial"/>
      <family val="2"/>
    </font>
    <font>
      <b/>
      <sz val="8"/>
      <color rgb="FFFF0000"/>
      <name val="Arial"/>
      <family val="2"/>
    </font>
    <font>
      <b/>
      <sz val="18"/>
      <color theme="0"/>
      <name val="Arial"/>
      <family val="2"/>
    </font>
    <font>
      <sz val="8"/>
      <color theme="1"/>
      <name val="Arial"/>
      <family val="2"/>
    </font>
    <font>
      <b/>
      <sz val="12"/>
      <color rgb="FFFFFFFF"/>
      <name val="Arial"/>
      <family val="2"/>
    </font>
    <font>
      <b/>
      <sz val="8"/>
      <color theme="0"/>
      <name val="Arial"/>
      <family val="2"/>
    </font>
    <font>
      <b/>
      <sz val="10"/>
      <color theme="0"/>
      <name val="Arial"/>
      <family val="2"/>
    </font>
    <font>
      <b/>
      <sz val="10"/>
      <name val="Arial"/>
      <family val="2"/>
    </font>
    <font>
      <b/>
      <sz val="9"/>
      <color rgb="FF000000"/>
      <name val="Arial"/>
      <family val="2"/>
    </font>
    <font>
      <sz val="10"/>
      <color theme="0"/>
      <name val="Arial"/>
      <family val="2"/>
    </font>
    <font>
      <b/>
      <sz val="8"/>
      <color rgb="FF000000"/>
      <name val="Arial"/>
      <family val="2"/>
    </font>
    <font>
      <b/>
      <sz val="11"/>
      <color rgb="FFFFFFFF"/>
      <name val="Arial"/>
      <family val="2"/>
    </font>
    <font>
      <b/>
      <sz val="14"/>
      <color theme="0"/>
      <name val="Arial"/>
      <family val="2"/>
    </font>
    <font>
      <b/>
      <sz val="10"/>
      <color rgb="FFFF0000"/>
      <name val="Arial"/>
      <family val="2"/>
    </font>
    <font>
      <sz val="9"/>
      <color rgb="FF000000"/>
      <name val="Arial"/>
      <family val="2"/>
    </font>
    <font>
      <b/>
      <sz val="9"/>
      <color rgb="FF7030A0"/>
      <name val="Arial"/>
      <family val="2"/>
    </font>
    <font>
      <b/>
      <sz val="8"/>
      <name val="Arial"/>
      <family val="2"/>
    </font>
    <font>
      <sz val="8"/>
      <color theme="0"/>
      <name val="Arial"/>
      <family val="2"/>
    </font>
    <font>
      <sz val="8"/>
      <name val="Arial"/>
      <family val="2"/>
    </font>
    <font>
      <b/>
      <sz val="9"/>
      <color theme="0"/>
      <name val="Arial"/>
      <family val="2"/>
    </font>
    <font>
      <b/>
      <sz val="6"/>
      <color theme="0"/>
      <name val="Arial"/>
      <family val="2"/>
    </font>
    <font>
      <b/>
      <sz val="10"/>
      <color rgb="FF7030A0"/>
      <name val="Arial"/>
      <family val="2"/>
    </font>
    <font>
      <b/>
      <sz val="9"/>
      <color rgb="FFFFFFFF"/>
      <name val="Arial"/>
      <family val="2"/>
    </font>
    <font>
      <b/>
      <sz val="8"/>
      <color rgb="FF000000"/>
      <name val="Arial Black"/>
      <family val="2"/>
    </font>
    <font>
      <b/>
      <sz val="10"/>
      <color rgb="FF000000"/>
      <name val="Arial Black"/>
      <family val="2"/>
    </font>
    <font>
      <sz val="11"/>
      <color rgb="FFFFFFFF"/>
      <name val="Arial"/>
      <family val="2"/>
    </font>
    <font>
      <b/>
      <sz val="9"/>
      <color theme="1"/>
      <name val="Arial"/>
      <family val="2"/>
    </font>
    <font>
      <b/>
      <sz val="12"/>
      <color rgb="FF000000"/>
      <name val="Arial"/>
      <family val="2"/>
    </font>
    <font>
      <sz val="12"/>
      <color rgb="FF000000"/>
      <name val="Arial"/>
      <family val="2"/>
    </font>
    <font>
      <sz val="4"/>
      <color theme="2"/>
      <name val="Arial"/>
      <family val="2"/>
    </font>
    <font>
      <sz val="9"/>
      <color theme="1"/>
      <name val="Arial"/>
      <family val="2"/>
    </font>
    <font>
      <b/>
      <sz val="18"/>
      <color rgb="FF000000"/>
      <name val="Arial"/>
      <family val="2"/>
    </font>
    <font>
      <sz val="9"/>
      <color theme="0"/>
      <name val="Arial"/>
      <family val="2"/>
    </font>
    <font>
      <b/>
      <sz val="11"/>
      <color theme="0"/>
      <name val="Arial"/>
      <family val="2"/>
    </font>
    <font>
      <sz val="11"/>
      <color theme="0"/>
      <name val="Arial"/>
      <family val="2"/>
    </font>
    <font>
      <b/>
      <sz val="7"/>
      <color theme="0"/>
      <name val="Arial"/>
      <family val="2"/>
    </font>
    <font>
      <sz val="4"/>
      <name val="Arial"/>
      <family val="2"/>
    </font>
    <font>
      <sz val="11"/>
      <name val="Calibri"/>
      <family val="2"/>
    </font>
    <font>
      <sz val="12"/>
      <color theme="1"/>
      <name val="Arial"/>
      <family val="2"/>
    </font>
    <font>
      <u/>
      <sz val="11"/>
      <color theme="10"/>
      <name val="Arial"/>
      <family val="2"/>
    </font>
    <font>
      <sz val="10"/>
      <color rgb="FFFFFFFF"/>
      <name val="Arial"/>
      <family val="2"/>
    </font>
    <font>
      <b/>
      <sz val="16"/>
      <color theme="0"/>
      <name val="Arial"/>
      <family val="2"/>
    </font>
    <font>
      <b/>
      <sz val="16"/>
      <color rgb="FF000000"/>
      <name val="Arial"/>
      <family val="2"/>
    </font>
    <font>
      <b/>
      <sz val="16"/>
      <color theme="1"/>
      <name val="Arial"/>
      <family val="2"/>
    </font>
    <font>
      <sz val="12"/>
      <color theme="0"/>
      <name val="Arial"/>
      <family val="2"/>
    </font>
    <font>
      <sz val="14"/>
      <color theme="1"/>
      <name val="Arial"/>
      <family val="2"/>
    </font>
    <font>
      <b/>
      <sz val="12"/>
      <color theme="0"/>
      <name val="Arial"/>
      <family val="2"/>
    </font>
    <font>
      <b/>
      <sz val="14"/>
      <color theme="1"/>
      <name val="Arial"/>
      <family val="2"/>
    </font>
    <font>
      <sz val="18"/>
      <color theme="0"/>
      <name val="Arial"/>
      <family val="2"/>
    </font>
  </fonts>
  <fills count="252">
    <fill>
      <patternFill patternType="none"/>
    </fill>
    <fill>
      <patternFill patternType="gray125"/>
    </fill>
    <fill>
      <patternFill patternType="solid">
        <fgColor rgb="FFFFCC99"/>
        <bgColor rgb="FFFFCC99"/>
      </patternFill>
    </fill>
    <fill>
      <patternFill patternType="solid">
        <fgColor rgb="FFFFFFCC"/>
        <bgColor rgb="FFFFFFCC"/>
      </patternFill>
    </fill>
    <fill>
      <patternFill patternType="solid">
        <fgColor rgb="FF0066CC"/>
        <bgColor rgb="FF0066CC"/>
      </patternFill>
    </fill>
    <fill>
      <patternFill patternType="solid">
        <fgColor rgb="FFBDD7EE"/>
        <bgColor rgb="FFBDD7EE"/>
      </patternFill>
    </fill>
    <fill>
      <patternFill patternType="solid">
        <fgColor rgb="FFFFFFFF"/>
        <bgColor rgb="FFFFFFFF"/>
      </patternFill>
    </fill>
    <fill>
      <patternFill patternType="solid">
        <fgColor rgb="FFFFF2CC"/>
        <bgColor rgb="FFFFF2CC"/>
      </patternFill>
    </fill>
    <fill>
      <patternFill patternType="solid">
        <fgColor rgb="FFD0CECE"/>
        <bgColor rgb="FFD0CECE"/>
      </patternFill>
    </fill>
    <fill>
      <patternFill patternType="solid">
        <fgColor rgb="FFF8CBAD"/>
        <bgColor rgb="FFF8CBAD"/>
      </patternFill>
    </fill>
    <fill>
      <patternFill patternType="solid">
        <fgColor rgb="FFAECF00"/>
        <bgColor rgb="FFAECF00"/>
      </patternFill>
    </fill>
    <fill>
      <patternFill patternType="solid">
        <fgColor rgb="FFFF6600"/>
        <bgColor rgb="FFFF6600"/>
      </patternFill>
    </fill>
    <fill>
      <patternFill patternType="solid">
        <fgColor rgb="FF993366"/>
        <bgColor rgb="FF993366"/>
      </patternFill>
    </fill>
    <fill>
      <patternFill patternType="solid">
        <fgColor rgb="FFCCCCCC"/>
        <bgColor rgb="FFCCCCCC"/>
      </patternFill>
    </fill>
    <fill>
      <patternFill patternType="solid">
        <fgColor rgb="FFCFE7F5"/>
        <bgColor rgb="FFCFE7F5"/>
      </patternFill>
    </fill>
    <fill>
      <patternFill patternType="solid">
        <fgColor rgb="FFFFCCFF"/>
        <bgColor rgb="FFFFCCFF"/>
      </patternFill>
    </fill>
    <fill>
      <patternFill patternType="solid">
        <fgColor rgb="FFFF3333"/>
        <bgColor rgb="FFFF3333"/>
      </patternFill>
    </fill>
    <fill>
      <patternFill patternType="solid">
        <fgColor rgb="FFFF9900"/>
        <bgColor rgb="FFFF9900"/>
      </patternFill>
    </fill>
    <fill>
      <patternFill patternType="solid">
        <fgColor rgb="FFFFFF66"/>
        <bgColor rgb="FFFFFF66"/>
      </patternFill>
    </fill>
    <fill>
      <patternFill patternType="solid">
        <fgColor rgb="FFCCCCFF"/>
        <bgColor rgb="FFCCCCFF"/>
      </patternFill>
    </fill>
    <fill>
      <patternFill patternType="solid">
        <fgColor rgb="FFFF950E"/>
        <bgColor rgb="FFFF950E"/>
      </patternFill>
    </fill>
    <fill>
      <patternFill patternType="solid">
        <fgColor rgb="FF666666"/>
        <bgColor rgb="FF666666"/>
      </patternFill>
    </fill>
    <fill>
      <patternFill patternType="solid">
        <fgColor rgb="FF333F50"/>
        <bgColor rgb="FF333F50"/>
      </patternFill>
    </fill>
    <fill>
      <patternFill patternType="solid">
        <fgColor rgb="FF2E75B6"/>
        <bgColor rgb="FF2E75B6"/>
      </patternFill>
    </fill>
    <fill>
      <patternFill patternType="solid">
        <fgColor rgb="FF9900FF"/>
        <bgColor rgb="FF9900FF"/>
      </patternFill>
    </fill>
    <fill>
      <patternFill patternType="solid">
        <fgColor rgb="FFEEEEEE"/>
        <bgColor rgb="FFEEEEEE"/>
      </patternFill>
    </fill>
    <fill>
      <patternFill patternType="solid">
        <fgColor rgb="FFB4C7E7"/>
        <bgColor rgb="FFB4C7E7"/>
      </patternFill>
    </fill>
    <fill>
      <patternFill patternType="solid">
        <fgColor rgb="FFDEEBF7"/>
        <bgColor rgb="FFDEEBF7"/>
      </patternFill>
    </fill>
    <fill>
      <patternFill patternType="solid">
        <fgColor rgb="FFFF0000"/>
        <bgColor rgb="FFFF0000"/>
      </patternFill>
    </fill>
    <fill>
      <patternFill patternType="solid">
        <fgColor rgb="FF548235"/>
        <bgColor rgb="FF548235"/>
      </patternFill>
    </fill>
    <fill>
      <patternFill patternType="solid">
        <fgColor rgb="FFE2F0D9"/>
        <bgColor rgb="FFE2F0D9"/>
      </patternFill>
    </fill>
    <fill>
      <patternFill patternType="solid">
        <fgColor rgb="FF843C0B"/>
        <bgColor rgb="FF843C0B"/>
      </patternFill>
    </fill>
    <fill>
      <patternFill patternType="solid">
        <fgColor rgb="FFFBE5D6"/>
        <bgColor rgb="FFFBE5D6"/>
      </patternFill>
    </fill>
    <fill>
      <patternFill patternType="solid">
        <fgColor rgb="FF333300"/>
        <bgColor rgb="FF333300"/>
      </patternFill>
    </fill>
    <fill>
      <patternFill patternType="solid">
        <fgColor rgb="FFC5000B"/>
        <bgColor rgb="FFC5000B"/>
      </patternFill>
    </fill>
    <fill>
      <patternFill patternType="solid">
        <fgColor rgb="FF333333"/>
        <bgColor rgb="FF333333"/>
      </patternFill>
    </fill>
    <fill>
      <patternFill patternType="solid">
        <fgColor rgb="FF004586"/>
        <bgColor rgb="FF004586"/>
      </patternFill>
    </fill>
    <fill>
      <patternFill patternType="solid">
        <fgColor rgb="FF006600"/>
        <bgColor rgb="FF006600"/>
      </patternFill>
    </fill>
    <fill>
      <patternFill patternType="solid">
        <fgColor rgb="FFDDDDDD"/>
        <bgColor rgb="FFDDDDDD"/>
      </patternFill>
    </fill>
    <fill>
      <patternFill patternType="solid">
        <fgColor rgb="FFCCFFCC"/>
        <bgColor rgb="FFCCFFCC"/>
      </patternFill>
    </fill>
    <fill>
      <patternFill patternType="solid">
        <fgColor rgb="FFFFCCCC"/>
        <bgColor rgb="FFFFCCCC"/>
      </patternFill>
    </fill>
    <fill>
      <patternFill patternType="solid">
        <fgColor rgb="FF339966"/>
        <bgColor rgb="FF339966"/>
      </patternFill>
    </fill>
    <fill>
      <patternFill patternType="solid">
        <fgColor rgb="FF669999"/>
        <bgColor rgb="FF669999"/>
      </patternFill>
    </fill>
    <fill>
      <patternFill patternType="solid">
        <fgColor rgb="FFCCFFFF"/>
        <bgColor rgb="FFCCFFFF"/>
      </patternFill>
    </fill>
    <fill>
      <patternFill patternType="solid">
        <fgColor rgb="FF385724"/>
        <bgColor rgb="FF385724"/>
      </patternFill>
    </fill>
    <fill>
      <patternFill patternType="solid">
        <fgColor rgb="FFC55A11"/>
        <bgColor rgb="FFC55A11"/>
      </patternFill>
    </fill>
    <fill>
      <patternFill patternType="solid">
        <fgColor rgb="FF7030A0"/>
        <bgColor rgb="FF7030A0"/>
      </patternFill>
    </fill>
    <fill>
      <patternFill patternType="solid">
        <fgColor rgb="FFC9C9C9"/>
        <bgColor rgb="FFC9C9C9"/>
      </patternFill>
    </fill>
    <fill>
      <patternFill patternType="solid">
        <fgColor rgb="FFDAE3F3"/>
        <bgColor rgb="FFDAE3F3"/>
      </patternFill>
    </fill>
    <fill>
      <patternFill patternType="solid">
        <fgColor rgb="FFE7E6E6"/>
        <bgColor rgb="FFE7E6E6"/>
      </patternFill>
    </fill>
    <fill>
      <patternFill patternType="solid">
        <fgColor rgb="FFA9D18E"/>
        <bgColor rgb="FFA9D18E"/>
      </patternFill>
    </fill>
    <fill>
      <patternFill patternType="solid">
        <fgColor rgb="FFC5E0B4"/>
        <bgColor rgb="FFC5E0B4"/>
      </patternFill>
    </fill>
    <fill>
      <patternFill patternType="solid">
        <fgColor rgb="FF2F5597"/>
        <bgColor rgb="FF2F5597"/>
      </patternFill>
    </fill>
    <fill>
      <patternFill patternType="solid">
        <fgColor rgb="FF203864"/>
        <bgColor rgb="FF203864"/>
      </patternFill>
    </fill>
    <fill>
      <patternFill patternType="solid">
        <fgColor rgb="FF806000"/>
        <bgColor rgb="FF806000"/>
      </patternFill>
    </fill>
    <fill>
      <patternFill patternType="solid">
        <fgColor rgb="FFBF9000"/>
        <bgColor rgb="FFBF9000"/>
      </patternFill>
    </fill>
    <fill>
      <patternFill patternType="solid">
        <fgColor rgb="FFFFE699"/>
        <bgColor rgb="FFFFE699"/>
      </patternFill>
    </fill>
    <fill>
      <patternFill patternType="solid">
        <fgColor rgb="FFC00000"/>
        <bgColor rgb="FFC00000"/>
      </patternFill>
    </fill>
    <fill>
      <patternFill patternType="solid">
        <fgColor rgb="FFA40000"/>
        <bgColor rgb="FFA40000"/>
      </patternFill>
    </fill>
    <fill>
      <patternFill patternType="solid">
        <fgColor rgb="FFFF9999"/>
        <bgColor rgb="FFFF9999"/>
      </patternFill>
    </fill>
    <fill>
      <patternFill patternType="solid">
        <fgColor rgb="FF8497B0"/>
        <bgColor rgb="FF8497B0"/>
      </patternFill>
    </fill>
    <fill>
      <patternFill patternType="solid">
        <fgColor rgb="FF767171"/>
        <bgColor rgb="FF767171"/>
      </patternFill>
    </fill>
    <fill>
      <patternFill patternType="solid">
        <fgColor rgb="FF99CC99"/>
        <bgColor rgb="FF99CC99"/>
      </patternFill>
    </fill>
    <fill>
      <patternFill patternType="solid">
        <fgColor rgb="FFCC66FF"/>
        <bgColor rgb="FFCC66FF"/>
      </patternFill>
    </fill>
    <fill>
      <patternFill patternType="solid">
        <fgColor rgb="FF66FF99"/>
        <bgColor rgb="FF66FF99"/>
      </patternFill>
    </fill>
    <fill>
      <patternFill patternType="solid">
        <fgColor rgb="FF99CCFF"/>
        <bgColor rgb="FF99CCFF"/>
      </patternFill>
    </fill>
    <fill>
      <patternFill patternType="solid">
        <fgColor rgb="FF00FFFF"/>
        <bgColor rgb="FF00FFFF"/>
      </patternFill>
    </fill>
    <fill>
      <patternFill patternType="solid">
        <fgColor rgb="FFCC9966"/>
        <bgColor rgb="FFCC9966"/>
      </patternFill>
    </fill>
    <fill>
      <patternFill patternType="solid">
        <fgColor rgb="FF99FF99"/>
        <bgColor rgb="FF99FF99"/>
      </patternFill>
    </fill>
    <fill>
      <patternFill patternType="solid">
        <fgColor rgb="FF66FFFF"/>
        <bgColor rgb="FF66FFFF"/>
      </patternFill>
    </fill>
    <fill>
      <patternFill patternType="solid">
        <fgColor rgb="FF669933"/>
        <bgColor rgb="FF669933"/>
      </patternFill>
    </fill>
    <fill>
      <patternFill patternType="solid">
        <fgColor rgb="FFFF420E"/>
        <bgColor rgb="FFFF420E"/>
      </patternFill>
    </fill>
    <fill>
      <patternFill patternType="solid">
        <fgColor rgb="FFFFCC00"/>
        <bgColor rgb="FFFFCC00"/>
      </patternFill>
    </fill>
    <fill>
      <patternFill patternType="solid">
        <fgColor rgb="FF666633"/>
        <bgColor rgb="FF666633"/>
      </patternFill>
    </fill>
    <fill>
      <patternFill patternType="solid">
        <fgColor rgb="FFCC0000"/>
        <bgColor rgb="FFCC0000"/>
      </patternFill>
    </fill>
    <fill>
      <patternFill patternType="solid">
        <fgColor rgb="FF663333"/>
        <bgColor rgb="FF663333"/>
      </patternFill>
    </fill>
    <fill>
      <patternFill patternType="solid">
        <fgColor rgb="FF3B3838"/>
        <bgColor rgb="FF3B3838"/>
      </patternFill>
    </fill>
    <fill>
      <patternFill patternType="solid">
        <fgColor rgb="FFFFC000"/>
        <bgColor rgb="FFFFC000"/>
      </patternFill>
    </fill>
    <fill>
      <patternFill patternType="solid">
        <fgColor rgb="FF1F4E79"/>
        <bgColor rgb="FF1F4E79"/>
      </patternFill>
    </fill>
    <fill>
      <patternFill patternType="solid">
        <fgColor rgb="FF8FAADC"/>
        <bgColor rgb="FF8FAADC"/>
      </patternFill>
    </fill>
    <fill>
      <patternFill patternType="solid">
        <fgColor theme="3" tint="-0.249977111117893"/>
        <bgColor rgb="FFFFFFFF"/>
      </patternFill>
    </fill>
    <fill>
      <patternFill patternType="solid">
        <fgColor theme="3" tint="-0.249977111117893"/>
        <bgColor rgb="FFDDDDDD"/>
      </patternFill>
    </fill>
    <fill>
      <patternFill patternType="solid">
        <fgColor theme="0"/>
        <bgColor indexed="64"/>
      </patternFill>
    </fill>
    <fill>
      <patternFill patternType="solid">
        <fgColor theme="0"/>
        <bgColor rgb="FF843C0B"/>
      </patternFill>
    </fill>
    <fill>
      <patternFill patternType="solid">
        <fgColor theme="0"/>
        <bgColor rgb="FFFFFFFF"/>
      </patternFill>
    </fill>
    <fill>
      <patternFill patternType="solid">
        <fgColor theme="0"/>
        <bgColor rgb="FFC00000"/>
      </patternFill>
    </fill>
    <fill>
      <patternFill patternType="solid">
        <fgColor theme="0"/>
        <bgColor rgb="FF385724"/>
      </patternFill>
    </fill>
    <fill>
      <patternFill patternType="solid">
        <fgColor theme="0"/>
        <bgColor rgb="FF1F4E79"/>
      </patternFill>
    </fill>
    <fill>
      <patternFill patternType="solid">
        <fgColor theme="0"/>
        <bgColor rgb="FFFFC000"/>
      </patternFill>
    </fill>
    <fill>
      <patternFill patternType="solid">
        <fgColor theme="0"/>
        <bgColor rgb="FFE7E6E6"/>
      </patternFill>
    </fill>
    <fill>
      <patternFill patternType="solid">
        <fgColor theme="0"/>
        <bgColor rgb="FFDEEBF7"/>
      </patternFill>
    </fill>
    <fill>
      <patternFill patternType="solid">
        <fgColor theme="0"/>
        <bgColor rgb="FFDAE3F3"/>
      </patternFill>
    </fill>
    <fill>
      <patternFill patternType="solid">
        <fgColor theme="0"/>
        <bgColor rgb="FFC55A11"/>
      </patternFill>
    </fill>
    <fill>
      <patternFill patternType="solid">
        <fgColor theme="0"/>
        <bgColor rgb="FFF8CBAD"/>
      </patternFill>
    </fill>
    <fill>
      <patternFill patternType="solid">
        <fgColor theme="0"/>
        <bgColor rgb="FFFFF2CC"/>
      </patternFill>
    </fill>
    <fill>
      <patternFill patternType="solid">
        <fgColor theme="0"/>
        <bgColor rgb="FFC5E0B4"/>
      </patternFill>
    </fill>
    <fill>
      <patternFill patternType="solid">
        <fgColor theme="0"/>
        <bgColor rgb="FFE2F0D9"/>
      </patternFill>
    </fill>
    <fill>
      <patternFill patternType="solid">
        <fgColor theme="0"/>
        <bgColor rgb="FFBDD7EE"/>
      </patternFill>
    </fill>
    <fill>
      <patternFill patternType="solid">
        <fgColor theme="0"/>
        <bgColor rgb="FFFFE699"/>
      </patternFill>
    </fill>
    <fill>
      <patternFill patternType="solid">
        <fgColor theme="0"/>
        <bgColor rgb="FFFBE5D6"/>
      </patternFill>
    </fill>
    <fill>
      <patternFill patternType="solid">
        <fgColor theme="6" tint="-0.249977111117893"/>
        <bgColor rgb="FFDDDDDD"/>
      </patternFill>
    </fill>
    <fill>
      <patternFill patternType="solid">
        <fgColor theme="0" tint="-0.34998626667073579"/>
        <bgColor rgb="FFDDDDDD"/>
      </patternFill>
    </fill>
    <fill>
      <patternFill patternType="solid">
        <fgColor theme="5" tint="-0.249977111117893"/>
        <bgColor indexed="64"/>
      </patternFill>
    </fill>
    <fill>
      <patternFill patternType="solid">
        <fgColor theme="5" tint="0.79998168889431442"/>
        <bgColor indexed="64"/>
      </patternFill>
    </fill>
    <fill>
      <patternFill patternType="solid">
        <fgColor theme="5" tint="0.79998168889431442"/>
        <bgColor rgb="FFFFFFFF"/>
      </patternFill>
    </fill>
    <fill>
      <patternFill patternType="solid">
        <fgColor theme="0"/>
        <bgColor rgb="FFBF9000"/>
      </patternFill>
    </fill>
    <fill>
      <patternFill patternType="solid">
        <fgColor theme="2" tint="-0.749992370372631"/>
        <bgColor rgb="FFFFFFFF"/>
      </patternFill>
    </fill>
    <fill>
      <patternFill patternType="solid">
        <fgColor theme="9" tint="-0.499984740745262"/>
        <bgColor rgb="FF333F50"/>
      </patternFill>
    </fill>
    <fill>
      <patternFill patternType="solid">
        <fgColor theme="7" tint="0.39997558519241921"/>
        <bgColor indexed="64"/>
      </patternFill>
    </fill>
    <fill>
      <patternFill patternType="solid">
        <fgColor theme="8" tint="0.39997558519241921"/>
        <bgColor rgb="FFFFFFFF"/>
      </patternFill>
    </fill>
    <fill>
      <patternFill patternType="solid">
        <fgColor theme="9" tint="-0.499984740745262"/>
        <bgColor indexed="64"/>
      </patternFill>
    </fill>
    <fill>
      <patternFill patternType="solid">
        <fgColor rgb="FF7030A0"/>
        <bgColor indexed="64"/>
      </patternFill>
    </fill>
    <fill>
      <patternFill patternType="solid">
        <fgColor theme="4" tint="-0.249977111117893"/>
        <bgColor rgb="FFFFC000"/>
      </patternFill>
    </fill>
    <fill>
      <patternFill patternType="solid">
        <fgColor theme="4" tint="0.59999389629810485"/>
        <bgColor rgb="FFFFFFFF"/>
      </patternFill>
    </fill>
    <fill>
      <patternFill patternType="solid">
        <fgColor rgb="FF0070C0"/>
        <bgColor rgb="FFC55A11"/>
      </patternFill>
    </fill>
    <fill>
      <patternFill patternType="solid">
        <fgColor theme="8" tint="-0.499984740745262"/>
        <bgColor rgb="FFC55A11"/>
      </patternFill>
    </fill>
    <fill>
      <patternFill patternType="solid">
        <fgColor theme="5" tint="0.59999389629810485"/>
        <bgColor rgb="FFFFFFFF"/>
      </patternFill>
    </fill>
    <fill>
      <patternFill patternType="solid">
        <fgColor theme="9" tint="0.39997558519241921"/>
        <bgColor rgb="FFFFFFFF"/>
      </patternFill>
    </fill>
    <fill>
      <patternFill patternType="solid">
        <fgColor theme="4" tint="0.59999389629810485"/>
        <bgColor rgb="FFC55A11"/>
      </patternFill>
    </fill>
    <fill>
      <patternFill patternType="solid">
        <fgColor theme="4" tint="0.59999389629810485"/>
        <bgColor rgb="FF843C0B"/>
      </patternFill>
    </fill>
    <fill>
      <patternFill patternType="solid">
        <fgColor theme="2"/>
        <bgColor rgb="FFF8CBAD"/>
      </patternFill>
    </fill>
    <fill>
      <patternFill patternType="solid">
        <fgColor theme="8" tint="0.79998168889431442"/>
        <bgColor rgb="FFF8CBAD"/>
      </patternFill>
    </fill>
    <fill>
      <patternFill patternType="solid">
        <fgColor theme="8" tint="-0.249977111117893"/>
        <bgColor rgb="FFC55A11"/>
      </patternFill>
    </fill>
    <fill>
      <patternFill patternType="solid">
        <fgColor theme="0" tint="-0.499984740745262"/>
        <bgColor rgb="FFC55A11"/>
      </patternFill>
    </fill>
    <fill>
      <patternFill patternType="solid">
        <fgColor rgb="FFFF0000"/>
        <bgColor rgb="FFF8CBAD"/>
      </patternFill>
    </fill>
    <fill>
      <patternFill patternType="solid">
        <fgColor theme="5" tint="0.59999389629810485"/>
        <bgColor rgb="FFE7E6E6"/>
      </patternFill>
    </fill>
    <fill>
      <patternFill patternType="solid">
        <fgColor rgb="FFFF0000"/>
        <bgColor rgb="FFFBE5D6"/>
      </patternFill>
    </fill>
    <fill>
      <patternFill patternType="solid">
        <fgColor rgb="FF7030A0"/>
        <bgColor rgb="FF548235"/>
      </patternFill>
    </fill>
    <fill>
      <patternFill patternType="solid">
        <fgColor theme="7" tint="0.79998168889431442"/>
        <bgColor rgb="FFFBE5D6"/>
      </patternFill>
    </fill>
    <fill>
      <patternFill patternType="solid">
        <fgColor theme="3" tint="-0.499984740745262"/>
        <bgColor rgb="FFFFC000"/>
      </patternFill>
    </fill>
    <fill>
      <patternFill patternType="solid">
        <fgColor theme="0"/>
        <bgColor rgb="FFA40000"/>
      </patternFill>
    </fill>
    <fill>
      <patternFill patternType="solid">
        <fgColor theme="4" tint="0.59999389629810485"/>
        <bgColor rgb="FFFFF2CC"/>
      </patternFill>
    </fill>
    <fill>
      <patternFill patternType="solid">
        <fgColor theme="9" tint="0.79998168889431442"/>
        <bgColor rgb="FFFFF2CC"/>
      </patternFill>
    </fill>
    <fill>
      <patternFill patternType="solid">
        <fgColor theme="9" tint="0.59999389629810485"/>
        <bgColor rgb="FFFFF2CC"/>
      </patternFill>
    </fill>
    <fill>
      <patternFill patternType="solid">
        <fgColor theme="5" tint="-0.249977111117893"/>
        <bgColor rgb="FFE7E6E6"/>
      </patternFill>
    </fill>
    <fill>
      <patternFill patternType="solid">
        <fgColor theme="4" tint="-0.249977111117893"/>
        <bgColor rgb="FFE7E6E6"/>
      </patternFill>
    </fill>
    <fill>
      <patternFill patternType="solid">
        <fgColor theme="9" tint="-0.249977111117893"/>
        <bgColor rgb="FFE7E6E6"/>
      </patternFill>
    </fill>
    <fill>
      <patternFill patternType="solid">
        <fgColor theme="8" tint="-0.499984740745262"/>
        <bgColor rgb="FF767171"/>
      </patternFill>
    </fill>
    <fill>
      <patternFill patternType="solid">
        <fgColor theme="9" tint="0.59999389629810485"/>
        <bgColor rgb="FFE7E6E6"/>
      </patternFill>
    </fill>
    <fill>
      <patternFill patternType="solid">
        <fgColor theme="7" tint="0.59999389629810485"/>
        <bgColor rgb="FFE7E6E6"/>
      </patternFill>
    </fill>
    <fill>
      <patternFill patternType="solid">
        <fgColor theme="8" tint="0.59999389629810485"/>
        <bgColor rgb="FFE7E6E6"/>
      </patternFill>
    </fill>
    <fill>
      <patternFill patternType="solid">
        <fgColor theme="3" tint="0.79998168889431442"/>
        <bgColor rgb="FFFFFFFF"/>
      </patternFill>
    </fill>
    <fill>
      <patternFill patternType="solid">
        <fgColor theme="9" tint="0.79998168889431442"/>
        <bgColor rgb="FFFBE5D6"/>
      </patternFill>
    </fill>
    <fill>
      <patternFill patternType="solid">
        <fgColor theme="5" tint="0.39997558519241921"/>
        <bgColor rgb="FF843C0B"/>
      </patternFill>
    </fill>
    <fill>
      <patternFill patternType="solid">
        <fgColor theme="9" tint="-0.499984740745262"/>
        <bgColor rgb="FF7030A0"/>
      </patternFill>
    </fill>
    <fill>
      <patternFill patternType="solid">
        <fgColor theme="0"/>
        <bgColor rgb="FF7030A0"/>
      </patternFill>
    </fill>
    <fill>
      <patternFill patternType="solid">
        <fgColor theme="3" tint="0.79998168889431442"/>
        <bgColor indexed="64"/>
      </patternFill>
    </fill>
    <fill>
      <patternFill patternType="solid">
        <fgColor theme="9" tint="0.79998168889431442"/>
        <bgColor rgb="FFF8CBAD"/>
      </patternFill>
    </fill>
    <fill>
      <patternFill patternType="solid">
        <fgColor theme="9" tint="-0.249977111117893"/>
        <bgColor rgb="FFC55A11"/>
      </patternFill>
    </fill>
    <fill>
      <patternFill patternType="solid">
        <fgColor theme="5" tint="-0.249977111117893"/>
        <bgColor rgb="FF548235"/>
      </patternFill>
    </fill>
    <fill>
      <patternFill patternType="solid">
        <fgColor theme="5" tint="-0.249977111117893"/>
        <bgColor rgb="FF2E75B6"/>
      </patternFill>
    </fill>
    <fill>
      <patternFill patternType="solid">
        <fgColor theme="7" tint="0.79998168889431442"/>
        <bgColor rgb="FFDAE3F3"/>
      </patternFill>
    </fill>
    <fill>
      <patternFill patternType="solid">
        <fgColor theme="7" tint="0.59999389629810485"/>
        <bgColor rgb="FFDAE3F3"/>
      </patternFill>
    </fill>
    <fill>
      <patternFill patternType="solid">
        <fgColor theme="4" tint="-0.249977111117893"/>
        <bgColor rgb="FF8FAADC"/>
      </patternFill>
    </fill>
    <fill>
      <patternFill patternType="solid">
        <fgColor theme="4" tint="0.79998168889431442"/>
        <bgColor rgb="FFDEEBF7"/>
      </patternFill>
    </fill>
    <fill>
      <patternFill patternType="solid">
        <fgColor theme="0"/>
        <bgColor rgb="FF203864"/>
      </patternFill>
    </fill>
    <fill>
      <patternFill patternType="solid">
        <fgColor theme="0"/>
        <bgColor rgb="FF8FAADC"/>
      </patternFill>
    </fill>
    <fill>
      <patternFill patternType="solid">
        <fgColor theme="6" tint="-0.249977111117893"/>
        <bgColor indexed="64"/>
      </patternFill>
    </fill>
    <fill>
      <patternFill patternType="solid">
        <fgColor theme="0"/>
        <bgColor rgb="FF333F50"/>
      </patternFill>
    </fill>
    <fill>
      <patternFill patternType="solid">
        <fgColor theme="0"/>
        <bgColor rgb="FFC9C9C9"/>
      </patternFill>
    </fill>
    <fill>
      <patternFill patternType="solid">
        <fgColor theme="0"/>
        <bgColor rgb="FFFF9999"/>
      </patternFill>
    </fill>
    <fill>
      <patternFill patternType="solid">
        <fgColor theme="0"/>
        <bgColor rgb="FF666666"/>
      </patternFill>
    </fill>
    <fill>
      <patternFill patternType="solid">
        <fgColor theme="0"/>
        <bgColor rgb="FF006600"/>
      </patternFill>
    </fill>
    <fill>
      <patternFill patternType="solid">
        <fgColor theme="9" tint="-0.249977111117893"/>
        <bgColor indexed="64"/>
      </patternFill>
    </fill>
    <fill>
      <patternFill patternType="solid">
        <fgColor theme="9" tint="0.79998168889431442"/>
        <bgColor indexed="64"/>
      </patternFill>
    </fill>
    <fill>
      <patternFill patternType="solid">
        <fgColor theme="9" tint="0.79998168889431442"/>
        <bgColor rgb="FFFFFFFF"/>
      </patternFill>
    </fill>
    <fill>
      <patternFill patternType="solid">
        <fgColor theme="6" tint="0.59999389629810485"/>
        <bgColor indexed="64"/>
      </patternFill>
    </fill>
    <fill>
      <patternFill patternType="solid">
        <fgColor theme="5" tint="-0.499984740745262"/>
        <bgColor rgb="FFC55A11"/>
      </patternFill>
    </fill>
    <fill>
      <patternFill patternType="solid">
        <fgColor theme="5" tint="0.39997558519241921"/>
        <bgColor rgb="FFF8CBAD"/>
      </patternFill>
    </fill>
    <fill>
      <patternFill patternType="solid">
        <fgColor theme="4" tint="-0.499984740745262"/>
        <bgColor rgb="FFC55A11"/>
      </patternFill>
    </fill>
    <fill>
      <patternFill patternType="solid">
        <fgColor theme="4" tint="0.59999389629810485"/>
        <bgColor rgb="FFF8CBAD"/>
      </patternFill>
    </fill>
    <fill>
      <patternFill patternType="solid">
        <fgColor rgb="FFC00000"/>
        <bgColor rgb="FF203864"/>
      </patternFill>
    </fill>
    <fill>
      <patternFill patternType="solid">
        <fgColor rgb="FFC00000"/>
        <bgColor rgb="FFDEEBF7"/>
      </patternFill>
    </fill>
    <fill>
      <patternFill patternType="solid">
        <fgColor theme="8" tint="-0.249977111117893"/>
        <bgColor rgb="FFA40000"/>
      </patternFill>
    </fill>
    <fill>
      <patternFill patternType="solid">
        <fgColor theme="4" tint="0.59999389629810485"/>
        <bgColor rgb="FFFF9999"/>
      </patternFill>
    </fill>
    <fill>
      <patternFill patternType="solid">
        <fgColor theme="6" tint="-0.249977111117893"/>
        <bgColor rgb="FFC55A11"/>
      </patternFill>
    </fill>
    <fill>
      <patternFill patternType="solid">
        <fgColor theme="5" tint="-0.249977111117893"/>
        <bgColor rgb="FFC55A11"/>
      </patternFill>
    </fill>
    <fill>
      <patternFill patternType="solid">
        <fgColor theme="7" tint="-0.249977111117893"/>
        <bgColor rgb="FFC55A11"/>
      </patternFill>
    </fill>
    <fill>
      <patternFill patternType="solid">
        <fgColor theme="7" tint="0.59999389629810485"/>
        <bgColor indexed="64"/>
      </patternFill>
    </fill>
    <fill>
      <patternFill patternType="solid">
        <fgColor theme="0" tint="-0.249977111117893"/>
        <bgColor rgb="FFC55A11"/>
      </patternFill>
    </fill>
    <fill>
      <patternFill patternType="solid">
        <fgColor theme="6" tint="0.59999389629810485"/>
        <bgColor rgb="FFFFFFFF"/>
      </patternFill>
    </fill>
    <fill>
      <patternFill patternType="solid">
        <fgColor theme="7" tint="0.59999389629810485"/>
        <bgColor rgb="FFFFFFFF"/>
      </patternFill>
    </fill>
    <fill>
      <patternFill patternType="solid">
        <fgColor theme="2" tint="-0.749992370372631"/>
        <bgColor indexed="64"/>
      </patternFill>
    </fill>
    <fill>
      <patternFill patternType="solid">
        <fgColor theme="6" tint="-0.499984740745262"/>
        <bgColor rgb="FFDDDDDD"/>
      </patternFill>
    </fill>
    <fill>
      <patternFill patternType="solid">
        <fgColor theme="6" tint="0.7999816888943144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79998168889431442"/>
        <bgColor indexed="64"/>
      </patternFill>
    </fill>
    <fill>
      <patternFill patternType="solid">
        <fgColor theme="5" tint="0.59999389629810485"/>
        <bgColor rgb="FFDDDDDD"/>
      </patternFill>
    </fill>
    <fill>
      <patternFill patternType="solid">
        <fgColor theme="5" tint="-0.499984740745262"/>
        <bgColor rgb="FFDDDDDD"/>
      </patternFill>
    </fill>
    <fill>
      <patternFill patternType="solid">
        <fgColor theme="8" tint="-0.499984740745262"/>
        <bgColor indexed="64"/>
      </patternFill>
    </fill>
    <fill>
      <patternFill patternType="solid">
        <fgColor rgb="FFFF0000"/>
        <bgColor indexed="64"/>
      </patternFill>
    </fill>
    <fill>
      <patternFill patternType="solid">
        <fgColor theme="4" tint="-0.499984740745262"/>
        <bgColor indexed="64"/>
      </patternFill>
    </fill>
    <fill>
      <patternFill patternType="solid">
        <fgColor theme="4" tint="-0.499984740745262"/>
        <bgColor rgb="FFFFFFFF"/>
      </patternFill>
    </fill>
    <fill>
      <patternFill patternType="solid">
        <fgColor theme="4" tint="-0.499984740745262"/>
        <bgColor rgb="FF843C0B"/>
      </patternFill>
    </fill>
    <fill>
      <patternFill patternType="solid">
        <fgColor theme="2" tint="-9.9978637043366805E-2"/>
        <bgColor indexed="64"/>
      </patternFill>
    </fill>
    <fill>
      <patternFill patternType="solid">
        <fgColor rgb="FF92D050"/>
        <bgColor rgb="FFFFF2CC"/>
      </patternFill>
    </fill>
    <fill>
      <patternFill patternType="solid">
        <fgColor theme="6" tint="0.39997558519241921"/>
        <bgColor indexed="64"/>
      </patternFill>
    </fill>
    <fill>
      <patternFill patternType="solid">
        <fgColor theme="2"/>
        <bgColor rgb="FFC55A11"/>
      </patternFill>
    </fill>
    <fill>
      <patternFill patternType="solid">
        <fgColor theme="8" tint="0.39997558519241921"/>
        <bgColor indexed="64"/>
      </patternFill>
    </fill>
    <fill>
      <patternFill patternType="solid">
        <fgColor theme="3" tint="-0.249977111117893"/>
        <bgColor indexed="64"/>
      </patternFill>
    </fill>
    <fill>
      <patternFill patternType="solid">
        <fgColor theme="3" tint="-0.249977111117893"/>
        <bgColor rgb="FFE7E6E6"/>
      </patternFill>
    </fill>
    <fill>
      <patternFill patternType="solid">
        <fgColor rgb="FF0070C0"/>
        <bgColor rgb="FF843C0B"/>
      </patternFill>
    </fill>
    <fill>
      <patternFill patternType="solid">
        <fgColor rgb="FF0070C0"/>
        <bgColor rgb="FFFFFFFF"/>
      </patternFill>
    </fill>
    <fill>
      <patternFill patternType="solid">
        <fgColor theme="2" tint="-9.9978637043366805E-2"/>
        <bgColor rgb="FFFFFFFF"/>
      </patternFill>
    </fill>
    <fill>
      <patternFill patternType="solid">
        <fgColor theme="2" tint="-0.499984740745262"/>
        <bgColor rgb="FFFFFFFF"/>
      </patternFill>
    </fill>
    <fill>
      <patternFill patternType="solid">
        <fgColor theme="3" tint="-0.249977111117893"/>
        <bgColor rgb="FF8FAADC"/>
      </patternFill>
    </fill>
    <fill>
      <patternFill patternType="solid">
        <fgColor theme="5" tint="0.39997558519241921"/>
        <bgColor rgb="FFC00000"/>
      </patternFill>
    </fill>
    <fill>
      <patternFill patternType="solid">
        <fgColor theme="9" tint="0.39997558519241921"/>
        <bgColor rgb="FFC00000"/>
      </patternFill>
    </fill>
    <fill>
      <patternFill patternType="solid">
        <fgColor theme="8" tint="0.79998168889431442"/>
        <bgColor indexed="64"/>
      </patternFill>
    </fill>
    <fill>
      <patternFill patternType="solid">
        <fgColor theme="2"/>
        <bgColor indexed="64"/>
      </patternFill>
    </fill>
    <fill>
      <patternFill patternType="solid">
        <fgColor theme="1" tint="0.499984740745262"/>
        <bgColor indexed="64"/>
      </patternFill>
    </fill>
    <fill>
      <patternFill patternType="solid">
        <fgColor theme="2" tint="-0.749992370372631"/>
        <bgColor rgb="FFC55A11"/>
      </patternFill>
    </fill>
    <fill>
      <patternFill patternType="solid">
        <fgColor theme="2" tint="-0.749992370372631"/>
        <bgColor rgb="FFF8CBAD"/>
      </patternFill>
    </fill>
    <fill>
      <patternFill patternType="solid">
        <fgColor theme="4" tint="-0.249977111117893"/>
        <bgColor indexed="64"/>
      </patternFill>
    </fill>
    <fill>
      <patternFill patternType="solid">
        <fgColor rgb="FFC00000"/>
        <bgColor rgb="FFC55A11"/>
      </patternFill>
    </fill>
    <fill>
      <patternFill patternType="solid">
        <fgColor theme="5" tint="0.59999389629810485"/>
        <bgColor indexed="64"/>
      </patternFill>
    </fill>
    <fill>
      <patternFill patternType="solid">
        <fgColor theme="5" tint="0.39997558519241921"/>
        <bgColor indexed="64"/>
      </patternFill>
    </fill>
    <fill>
      <patternFill patternType="solid">
        <fgColor theme="5" tint="-0.499984740745262"/>
        <bgColor indexed="64"/>
      </patternFill>
    </fill>
    <fill>
      <patternFill patternType="solid">
        <fgColor theme="8" tint="-0.249977111117893"/>
        <bgColor rgb="FFBF9000"/>
      </patternFill>
    </fill>
    <fill>
      <patternFill patternType="solid">
        <fgColor theme="8" tint="-0.499984740745262"/>
        <bgColor rgb="FF806000"/>
      </patternFill>
    </fill>
    <fill>
      <patternFill patternType="solid">
        <fgColor theme="8" tint="0.79998168889431442"/>
        <bgColor rgb="FFFFF2CC"/>
      </patternFill>
    </fill>
    <fill>
      <patternFill patternType="solid">
        <fgColor theme="2" tint="-0.249977111117893"/>
        <bgColor rgb="FFC55A11"/>
      </patternFill>
    </fill>
    <fill>
      <patternFill patternType="solid">
        <fgColor theme="0"/>
        <bgColor rgb="FFDDDDDD"/>
      </patternFill>
    </fill>
    <fill>
      <patternFill patternType="solid">
        <fgColor rgb="FF7030A0"/>
        <bgColor rgb="FFFFC000"/>
      </patternFill>
    </fill>
    <fill>
      <patternFill patternType="solid">
        <fgColor theme="0"/>
        <bgColor rgb="FF8497B0"/>
      </patternFill>
    </fill>
    <fill>
      <patternFill patternType="solid">
        <fgColor theme="6" tint="0.79998168889431442"/>
        <bgColor rgb="FFFFFFFF"/>
      </patternFill>
    </fill>
    <fill>
      <patternFill patternType="solid">
        <fgColor theme="3" tint="0.39997558519241921"/>
        <bgColor rgb="FFFFFFFF"/>
      </patternFill>
    </fill>
    <fill>
      <patternFill patternType="solid">
        <fgColor rgb="FFC00000"/>
        <bgColor indexed="64"/>
      </patternFill>
    </fill>
    <fill>
      <patternFill patternType="solid">
        <fgColor theme="0" tint="-4.9989318521683403E-2"/>
        <bgColor rgb="FFEEEEEE"/>
      </patternFill>
    </fill>
    <fill>
      <patternFill patternType="solid">
        <fgColor theme="8" tint="0.59999389629810485"/>
        <bgColor rgb="FFDEEBF7"/>
      </patternFill>
    </fill>
    <fill>
      <patternFill patternType="solid">
        <fgColor theme="9" tint="0.79998168889431442"/>
        <bgColor rgb="FFE2F0D9"/>
      </patternFill>
    </fill>
    <fill>
      <patternFill patternType="solid">
        <fgColor theme="9" tint="0.59999389629810485"/>
        <bgColor rgb="FFE2F0D9"/>
      </patternFill>
    </fill>
    <fill>
      <patternFill patternType="solid">
        <fgColor theme="6" tint="-0.499984740745262"/>
        <bgColor indexed="64"/>
      </patternFill>
    </fill>
    <fill>
      <patternFill patternType="solid">
        <fgColor theme="2" tint="-0.249977111117893"/>
        <bgColor indexed="64"/>
      </patternFill>
    </fill>
    <fill>
      <patternFill patternType="solid">
        <fgColor theme="0"/>
        <bgColor rgb="FF2E75B6"/>
      </patternFill>
    </fill>
    <fill>
      <patternFill patternType="solid">
        <fgColor theme="9" tint="-0.249977111117893"/>
        <bgColor rgb="FF548235"/>
      </patternFill>
    </fill>
    <fill>
      <patternFill patternType="solid">
        <fgColor rgb="FFFFC000"/>
        <bgColor indexed="64"/>
      </patternFill>
    </fill>
    <fill>
      <patternFill patternType="solid">
        <fgColor theme="3" tint="-0.249977111117893"/>
        <bgColor rgb="FFDEEBF7"/>
      </patternFill>
    </fill>
    <fill>
      <patternFill patternType="solid">
        <fgColor theme="4" tint="-0.249977111117893"/>
        <bgColor rgb="FF2E75B6"/>
      </patternFill>
    </fill>
    <fill>
      <patternFill patternType="solid">
        <fgColor theme="0"/>
        <bgColor rgb="FFEEEEEE"/>
      </patternFill>
    </fill>
    <fill>
      <patternFill patternType="solid">
        <fgColor theme="2" tint="-0.499984740745262"/>
        <bgColor indexed="64"/>
      </patternFill>
    </fill>
    <fill>
      <patternFill patternType="solid">
        <fgColor theme="2" tint="-0.249977111117893"/>
        <bgColor rgb="FFFFFFFF"/>
      </patternFill>
    </fill>
    <fill>
      <patternFill patternType="solid">
        <fgColor theme="4" tint="0.39997558519241921"/>
        <bgColor rgb="FFC55A11"/>
      </patternFill>
    </fill>
    <fill>
      <patternFill patternType="solid">
        <fgColor theme="4" tint="0.79998168889431442"/>
        <bgColor rgb="FFF8CBAD"/>
      </patternFill>
    </fill>
    <fill>
      <patternFill patternType="solid">
        <fgColor theme="5" tint="-0.499984740745262"/>
        <bgColor rgb="FFC00000"/>
      </patternFill>
    </fill>
    <fill>
      <patternFill patternType="solid">
        <fgColor rgb="FF7030A0"/>
        <bgColor rgb="FFDDDDDD"/>
      </patternFill>
    </fill>
    <fill>
      <patternFill patternType="solid">
        <fgColor rgb="FFFFFF00"/>
        <bgColor rgb="FFDDDDDD"/>
      </patternFill>
    </fill>
    <fill>
      <patternFill patternType="solid">
        <fgColor rgb="FFFFFF00"/>
        <bgColor rgb="FFE7E6E6"/>
      </patternFill>
    </fill>
    <fill>
      <patternFill patternType="solid">
        <fgColor rgb="FF7030A0"/>
        <bgColor rgb="FFE7E6E6"/>
      </patternFill>
    </fill>
    <fill>
      <patternFill patternType="solid">
        <fgColor rgb="FFFF0000"/>
        <bgColor rgb="FFDDDDDD"/>
      </patternFill>
    </fill>
    <fill>
      <patternFill patternType="solid">
        <fgColor rgb="FFFF0000"/>
        <bgColor rgb="FFE7E6E6"/>
      </patternFill>
    </fill>
  </fills>
  <borders count="159">
    <border>
      <left/>
      <right/>
      <top/>
      <bottom/>
      <diagonal/>
    </border>
    <border>
      <left style="thin">
        <color rgb="FFFFFFFF"/>
      </left>
      <right style="thin">
        <color rgb="FFFFFFFF"/>
      </right>
      <top style="thin">
        <color rgb="FFFFFFFF"/>
      </top>
      <bottom style="thin">
        <color rgb="FFFFFFFF"/>
      </bottom>
      <diagonal/>
    </border>
    <border>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style="thin">
        <color rgb="FF000000"/>
      </right>
      <top style="thin">
        <color rgb="FF000000"/>
      </top>
      <bottom style="thin">
        <color rgb="FF000000"/>
      </bottom>
      <diagonal/>
    </border>
    <border>
      <left/>
      <right/>
      <top/>
      <bottom style="thin">
        <color rgb="FFFFFFFF"/>
      </bottom>
      <diagonal/>
    </border>
    <border>
      <left/>
      <right/>
      <top style="thin">
        <color rgb="FFFFFFFF"/>
      </top>
      <bottom/>
      <diagonal/>
    </border>
    <border>
      <left style="thin">
        <color rgb="FFFFFFFF"/>
      </left>
      <right style="thin">
        <color rgb="FFFFFFFF"/>
      </right>
      <top/>
      <bottom style="thin">
        <color rgb="FFFFFFFF"/>
      </bottom>
      <diagonal/>
    </border>
    <border>
      <left style="thin">
        <color rgb="FFFFFFFF"/>
      </left>
      <right style="thin">
        <color rgb="FFFFFFFF"/>
      </right>
      <top style="thin">
        <color rgb="FFFFFFFF"/>
      </top>
      <bottom/>
      <diagonal/>
    </border>
    <border>
      <left style="thin">
        <color rgb="FFFFFFFF"/>
      </left>
      <right/>
      <top style="thin">
        <color rgb="FFFFFFFF"/>
      </top>
      <bottom style="thin">
        <color rgb="FFFFFFFF"/>
      </bottom>
      <diagonal/>
    </border>
    <border>
      <left/>
      <right style="thin">
        <color rgb="FFFFFFFF"/>
      </right>
      <top style="thin">
        <color rgb="FFFFFFFF"/>
      </top>
      <bottom style="thin">
        <color rgb="FFFFFFFF"/>
      </bottom>
      <diagonal/>
    </border>
    <border>
      <left/>
      <right style="thin">
        <color rgb="FFFFFFFF"/>
      </right>
      <top/>
      <bottom/>
      <diagonal/>
    </border>
    <border>
      <left style="thin">
        <color rgb="FFFFFFFF"/>
      </left>
      <right/>
      <top/>
      <bottom/>
      <diagonal/>
    </border>
    <border>
      <left style="thin">
        <color rgb="FFFFFFFF"/>
      </left>
      <right/>
      <top/>
      <bottom style="thin">
        <color rgb="FFFFFFFF"/>
      </bottom>
      <diagonal/>
    </border>
    <border>
      <left/>
      <right/>
      <top style="thin">
        <color rgb="FFFFFFFF"/>
      </top>
      <bottom style="thin">
        <color rgb="FFFFFFFF"/>
      </bottom>
      <diagonal/>
    </border>
    <border>
      <left/>
      <right style="thin">
        <color rgb="FFFFFFFF"/>
      </right>
      <top/>
      <bottom style="thin">
        <color rgb="FFFFFFFF"/>
      </bottom>
      <diagonal/>
    </border>
    <border>
      <left style="thin">
        <color rgb="FFFFFFFF"/>
      </left>
      <right style="thin">
        <color rgb="FFFFFFFF"/>
      </right>
      <top/>
      <bottom/>
      <diagonal/>
    </border>
    <border>
      <left/>
      <right style="thin">
        <color rgb="FFFFFFFF"/>
      </right>
      <top style="thin">
        <color rgb="FFFFFFFF"/>
      </top>
      <bottom/>
      <diagonal/>
    </border>
    <border>
      <left/>
      <right/>
      <top style="thin">
        <color rgb="FF000000"/>
      </top>
      <bottom/>
      <diagonal/>
    </border>
    <border>
      <left style="thin">
        <color rgb="FFFFFFFF"/>
      </left>
      <right/>
      <top style="thin">
        <color rgb="FFFFFFFF"/>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medium">
        <color rgb="FF000000"/>
      </right>
      <top/>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0"/>
      </top>
      <bottom style="thin">
        <color theme="0"/>
      </bottom>
      <diagonal/>
    </border>
    <border>
      <left style="thick">
        <color theme="0"/>
      </left>
      <right style="thick">
        <color theme="0"/>
      </right>
      <top style="thick">
        <color theme="0"/>
      </top>
      <bottom style="thick">
        <color theme="0"/>
      </bottom>
      <diagonal/>
    </border>
    <border>
      <left style="thick">
        <color rgb="FFFFFFFF"/>
      </left>
      <right style="thick">
        <color rgb="FFFFFFFF"/>
      </right>
      <top style="thick">
        <color rgb="FFFFFFFF"/>
      </top>
      <bottom style="thick">
        <color rgb="FFFFFFFF"/>
      </bottom>
      <diagonal/>
    </border>
    <border>
      <left/>
      <right style="thin">
        <color theme="0"/>
      </right>
      <top/>
      <bottom/>
      <diagonal/>
    </border>
    <border>
      <left style="thick">
        <color theme="0"/>
      </left>
      <right style="thick">
        <color theme="0"/>
      </right>
      <top style="thick">
        <color theme="0"/>
      </top>
      <bottom/>
      <diagonal/>
    </border>
    <border>
      <left style="thin">
        <color theme="0"/>
      </left>
      <right/>
      <top/>
      <bottom/>
      <diagonal/>
    </border>
    <border>
      <left style="thick">
        <color rgb="FFFF0000"/>
      </left>
      <right/>
      <top style="thick">
        <color rgb="FFFF0000"/>
      </top>
      <bottom/>
      <diagonal/>
    </border>
    <border>
      <left style="thick">
        <color rgb="FFFF0000"/>
      </left>
      <right style="thin">
        <color rgb="FFFFFFFF"/>
      </right>
      <top style="thin">
        <color rgb="FFFF0000"/>
      </top>
      <bottom style="thin">
        <color rgb="FFFFFFFF"/>
      </bottom>
      <diagonal/>
    </border>
    <border>
      <left/>
      <right style="thick">
        <color rgb="FFFF0000"/>
      </right>
      <top/>
      <bottom/>
      <diagonal/>
    </border>
    <border>
      <left style="thick">
        <color rgb="FFFF0000"/>
      </left>
      <right style="thin">
        <color rgb="FFFFFFFF"/>
      </right>
      <top style="thin">
        <color rgb="FFFFFFFF"/>
      </top>
      <bottom style="thin">
        <color rgb="FFFF0000"/>
      </bottom>
      <diagonal/>
    </border>
    <border>
      <left style="thick">
        <color rgb="FFFF0000"/>
      </left>
      <right/>
      <top/>
      <bottom style="thin">
        <color rgb="FFFFFFFF"/>
      </bottom>
      <diagonal/>
    </border>
    <border>
      <left style="thick">
        <color rgb="FFFF0000"/>
      </left>
      <right style="thin">
        <color rgb="FFFFFFFF"/>
      </right>
      <top style="thin">
        <color rgb="FFFFFFFF"/>
      </top>
      <bottom style="thin">
        <color rgb="FFFFFFFF"/>
      </bottom>
      <diagonal/>
    </border>
    <border>
      <left style="thick">
        <color rgb="FFFF0000"/>
      </left>
      <right/>
      <top/>
      <bottom style="thick">
        <color rgb="FFFF0000"/>
      </bottom>
      <diagonal/>
    </border>
    <border>
      <left style="thin">
        <color rgb="FFFFFFFF"/>
      </left>
      <right style="thick">
        <color rgb="FFFF0000"/>
      </right>
      <top style="thin">
        <color rgb="FFFFFFFF"/>
      </top>
      <bottom style="thick">
        <color rgb="FFFF0000"/>
      </bottom>
      <diagonal/>
    </border>
    <border>
      <left style="thick">
        <color rgb="FFFF0000"/>
      </left>
      <right/>
      <top/>
      <bottom/>
      <diagonal/>
    </border>
    <border>
      <left/>
      <right/>
      <top style="thick">
        <color rgb="FFFF0000"/>
      </top>
      <bottom/>
      <diagonal/>
    </border>
    <border>
      <left/>
      <right style="thick">
        <color rgb="FFFF0000"/>
      </right>
      <top style="thick">
        <color rgb="FFFF0000"/>
      </top>
      <bottom/>
      <diagonal/>
    </border>
    <border>
      <left style="thick">
        <color rgb="FFFF0000"/>
      </left>
      <right style="thin">
        <color rgb="FFFFFFFF"/>
      </right>
      <top/>
      <bottom style="thin">
        <color rgb="FFFFFFFF"/>
      </bottom>
      <diagonal/>
    </border>
    <border>
      <left style="thick">
        <color rgb="FFFF0000"/>
      </left>
      <right style="thin">
        <color rgb="FFFFFFFF"/>
      </right>
      <top style="thin">
        <color rgb="FFFFFFFF"/>
      </top>
      <bottom/>
      <diagonal/>
    </border>
    <border>
      <left style="thick">
        <color rgb="FFFF0000"/>
      </left>
      <right style="thin">
        <color theme="0"/>
      </right>
      <top style="thin">
        <color theme="0"/>
      </top>
      <bottom style="thin">
        <color theme="0"/>
      </bottom>
      <diagonal/>
    </border>
    <border>
      <left style="thin">
        <color rgb="FFFFFFFF"/>
      </left>
      <right style="thick">
        <color rgb="FFFF0000"/>
      </right>
      <top style="thin">
        <color rgb="FFFFFFFF"/>
      </top>
      <bottom style="thin">
        <color rgb="FFFFFFFF"/>
      </bottom>
      <diagonal/>
    </border>
    <border>
      <left style="thick">
        <color rgb="FFFF0000"/>
      </left>
      <right style="thin">
        <color theme="0"/>
      </right>
      <top style="thin">
        <color theme="0"/>
      </top>
      <bottom style="thick">
        <color rgb="FFFF0000"/>
      </bottom>
      <diagonal/>
    </border>
    <border>
      <left style="thin">
        <color theme="0"/>
      </left>
      <right style="thin">
        <color theme="0"/>
      </right>
      <top style="thin">
        <color theme="0"/>
      </top>
      <bottom style="thick">
        <color rgb="FFFF0000"/>
      </bottom>
      <diagonal/>
    </border>
    <border>
      <left/>
      <right/>
      <top style="thin">
        <color rgb="FFFFFFFF"/>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n">
        <color rgb="FFFFFFFF"/>
      </left>
      <right style="thin">
        <color theme="0"/>
      </right>
      <top style="thin">
        <color rgb="FFFFFFFF"/>
      </top>
      <bottom style="thin">
        <color rgb="FFFFFFFF"/>
      </bottom>
      <diagonal/>
    </border>
    <border>
      <left style="thin">
        <color rgb="FFFFFFFF"/>
      </left>
      <right style="thin">
        <color theme="0"/>
      </right>
      <top/>
      <bottom style="thin">
        <color rgb="FFFFFFFF"/>
      </bottom>
      <diagonal/>
    </border>
    <border>
      <left style="thin">
        <color theme="0"/>
      </left>
      <right style="thick">
        <color rgb="FFFF0000"/>
      </right>
      <top style="thin">
        <color theme="0"/>
      </top>
      <bottom style="thin">
        <color theme="0"/>
      </bottom>
      <diagonal/>
    </border>
    <border>
      <left style="thin">
        <color rgb="FFFFFFFF"/>
      </left>
      <right style="thin">
        <color theme="0"/>
      </right>
      <top style="thin">
        <color theme="0"/>
      </top>
      <bottom style="thin">
        <color theme="0"/>
      </bottom>
      <diagonal/>
    </border>
    <border>
      <left style="thin">
        <color theme="0"/>
      </left>
      <right style="thin">
        <color theme="0"/>
      </right>
      <top style="thin">
        <color rgb="FFFFFFFF"/>
      </top>
      <bottom style="thin">
        <color rgb="FFFFFFFF"/>
      </bottom>
      <diagonal/>
    </border>
    <border>
      <left style="thick">
        <color rgb="FFFF0000"/>
      </left>
      <right style="thin">
        <color rgb="FFFFFFFF"/>
      </right>
      <top style="thin">
        <color rgb="FFFFFFFF"/>
      </top>
      <bottom style="thick">
        <color rgb="FFFF0000"/>
      </bottom>
      <diagonal/>
    </border>
    <border>
      <left style="thin">
        <color rgb="FFFFFFFF"/>
      </left>
      <right style="thick">
        <color rgb="FFFF0000"/>
      </right>
      <top style="thin">
        <color rgb="FFFFFFFF"/>
      </top>
      <bottom/>
      <diagonal/>
    </border>
    <border>
      <left style="thin">
        <color rgb="FFFFFFFF"/>
      </left>
      <right style="thick">
        <color rgb="FFFF0000"/>
      </right>
      <top/>
      <bottom style="thin">
        <color rgb="FFFFFFFF"/>
      </bottom>
      <diagonal/>
    </border>
    <border>
      <left style="thin">
        <color rgb="FFFFFFFF"/>
      </left>
      <right/>
      <top style="thin">
        <color theme="0"/>
      </top>
      <bottom/>
      <diagonal/>
    </border>
    <border>
      <left/>
      <right style="thin">
        <color rgb="FFFFFFFF"/>
      </right>
      <top style="thin">
        <color theme="0"/>
      </top>
      <bottom/>
      <diagonal/>
    </border>
    <border>
      <left style="thin">
        <color rgb="FFFFFFFF"/>
      </left>
      <right/>
      <top style="thin">
        <color theme="0"/>
      </top>
      <bottom style="thin">
        <color theme="0"/>
      </bottom>
      <diagonal/>
    </border>
    <border>
      <left/>
      <right style="thin">
        <color rgb="FFFFFFFF"/>
      </right>
      <top style="thin">
        <color theme="0"/>
      </top>
      <bottom style="thin">
        <color theme="0"/>
      </bottom>
      <diagonal/>
    </border>
    <border>
      <left/>
      <right/>
      <top/>
      <bottom style="thin">
        <color theme="0"/>
      </bottom>
      <diagonal/>
    </border>
    <border>
      <left style="thick">
        <color theme="0"/>
      </left>
      <right/>
      <top style="thick">
        <color theme="0"/>
      </top>
      <bottom style="thick">
        <color theme="0"/>
      </bottom>
      <diagonal/>
    </border>
    <border>
      <left/>
      <right style="thick">
        <color theme="0"/>
      </right>
      <top style="thick">
        <color theme="0"/>
      </top>
      <bottom style="thick">
        <color theme="0"/>
      </bottom>
      <diagonal/>
    </border>
    <border>
      <left style="thin">
        <color rgb="FFFFFFFF"/>
      </left>
      <right style="thin">
        <color theme="0"/>
      </right>
      <top style="thick">
        <color rgb="FFFF0000"/>
      </top>
      <bottom/>
      <diagonal/>
    </border>
    <border>
      <left style="thin">
        <color theme="0"/>
      </left>
      <right style="thick">
        <color rgb="FFFF0000"/>
      </right>
      <top style="thick">
        <color rgb="FFFF0000"/>
      </top>
      <bottom/>
      <diagonal/>
    </border>
    <border>
      <left style="thin">
        <color theme="0"/>
      </left>
      <right style="thick">
        <color rgb="FFFF0000"/>
      </right>
      <top/>
      <bottom/>
      <diagonal/>
    </border>
    <border>
      <left style="thin">
        <color theme="0"/>
      </left>
      <right style="thick">
        <color rgb="FFFF0000"/>
      </right>
      <top/>
      <bottom style="thick">
        <color rgb="FFFF0000"/>
      </bottom>
      <diagonal/>
    </border>
    <border>
      <left style="thin">
        <color theme="0"/>
      </left>
      <right/>
      <top style="thin">
        <color theme="0"/>
      </top>
      <bottom/>
      <diagonal/>
    </border>
    <border>
      <left style="thin">
        <color theme="0"/>
      </left>
      <right/>
      <top/>
      <bottom style="thin">
        <color theme="0"/>
      </bottom>
      <diagonal/>
    </border>
    <border>
      <left style="thick">
        <color theme="0"/>
      </left>
      <right/>
      <top style="thick">
        <color theme="0"/>
      </top>
      <bottom style="thin">
        <color theme="0"/>
      </bottom>
      <diagonal/>
    </border>
    <border>
      <left/>
      <right style="thick">
        <color theme="0"/>
      </right>
      <top style="thick">
        <color theme="0"/>
      </top>
      <bottom style="thin">
        <color theme="0"/>
      </bottom>
      <diagonal/>
    </border>
    <border>
      <left/>
      <right style="thin">
        <color theme="0"/>
      </right>
      <top style="thin">
        <color rgb="FFFFFFFF"/>
      </top>
      <bottom style="thin">
        <color rgb="FFFFFFFF"/>
      </bottom>
      <diagonal/>
    </border>
    <border>
      <left/>
      <right style="thin">
        <color rgb="FFFFFFFF"/>
      </right>
      <top/>
      <bottom style="thin">
        <color theme="0"/>
      </bottom>
      <diagonal/>
    </border>
    <border>
      <left/>
      <right style="thin">
        <color theme="0"/>
      </right>
      <top/>
      <bottom style="thin">
        <color theme="0"/>
      </bottom>
      <diagonal/>
    </border>
    <border>
      <left/>
      <right/>
      <top/>
      <bottom style="thick">
        <color theme="0"/>
      </bottom>
      <diagonal/>
    </border>
    <border>
      <left style="thin">
        <color rgb="FFFFFFFF"/>
      </left>
      <right style="thin">
        <color rgb="FFFFFFFF"/>
      </right>
      <top/>
      <bottom style="thick">
        <color theme="0"/>
      </bottom>
      <diagonal/>
    </border>
    <border>
      <left style="thick">
        <color theme="0"/>
      </left>
      <right style="thin">
        <color theme="0"/>
      </right>
      <top style="thin">
        <color theme="0"/>
      </top>
      <bottom style="thick">
        <color theme="0"/>
      </bottom>
      <diagonal/>
    </border>
    <border>
      <left style="thin">
        <color theme="0"/>
      </left>
      <right style="thin">
        <color theme="0"/>
      </right>
      <top style="thin">
        <color theme="0"/>
      </top>
      <bottom style="thick">
        <color theme="0"/>
      </bottom>
      <diagonal/>
    </border>
    <border>
      <left style="thin">
        <color theme="0"/>
      </left>
      <right style="thick">
        <color theme="0"/>
      </right>
      <top style="thin">
        <color theme="0"/>
      </top>
      <bottom style="thick">
        <color theme="0"/>
      </bottom>
      <diagonal/>
    </border>
    <border>
      <left style="thick">
        <color theme="0"/>
      </left>
      <right style="thin">
        <color theme="0"/>
      </right>
      <top/>
      <bottom style="thin">
        <color theme="0"/>
      </bottom>
      <diagonal/>
    </border>
    <border>
      <left style="thin">
        <color theme="0"/>
      </left>
      <right style="thick">
        <color theme="0"/>
      </right>
      <top/>
      <bottom style="thin">
        <color theme="0"/>
      </bottom>
      <diagonal/>
    </border>
    <border>
      <left style="thick">
        <color theme="0"/>
      </left>
      <right style="thin">
        <color theme="0"/>
      </right>
      <top style="thick">
        <color theme="0"/>
      </top>
      <bottom style="thick">
        <color theme="0"/>
      </bottom>
      <diagonal/>
    </border>
    <border>
      <left style="thin">
        <color theme="0"/>
      </left>
      <right style="thin">
        <color theme="0"/>
      </right>
      <top style="thick">
        <color theme="0"/>
      </top>
      <bottom style="thick">
        <color theme="0"/>
      </bottom>
      <diagonal/>
    </border>
    <border>
      <left style="thin">
        <color theme="0"/>
      </left>
      <right style="thick">
        <color theme="0"/>
      </right>
      <top style="thick">
        <color theme="0"/>
      </top>
      <bottom style="thick">
        <color theme="0"/>
      </bottom>
      <diagonal/>
    </border>
    <border>
      <left style="thin">
        <color theme="0"/>
      </left>
      <right/>
      <top/>
      <bottom style="thick">
        <color theme="0"/>
      </bottom>
      <diagonal/>
    </border>
    <border>
      <left style="mediumDashed">
        <color theme="2" tint="-9.9978637043366805E-2"/>
      </left>
      <right style="mediumDashed">
        <color theme="2" tint="-9.9978637043366805E-2"/>
      </right>
      <top style="mediumDashed">
        <color theme="2" tint="-9.9978637043366805E-2"/>
      </top>
      <bottom style="mediumDashed">
        <color theme="2" tint="-9.9978637043366805E-2"/>
      </bottom>
      <diagonal/>
    </border>
    <border>
      <left style="mediumDashed">
        <color theme="2" tint="-9.9978637043366805E-2"/>
      </left>
      <right style="mediumDashed">
        <color theme="2" tint="-9.9978637043366805E-2"/>
      </right>
      <top style="mediumDashed">
        <color theme="2" tint="-9.9978637043366805E-2"/>
      </top>
      <bottom style="mediumDashed">
        <color theme="6" tint="-0.24994659260841701"/>
      </bottom>
      <diagonal/>
    </border>
    <border>
      <left style="mediumDashed">
        <color theme="2" tint="-9.9978637043366805E-2"/>
      </left>
      <right style="thin">
        <color theme="0"/>
      </right>
      <top style="mediumDashed">
        <color theme="2" tint="-9.9978637043366805E-2"/>
      </top>
      <bottom style="mediumDashed">
        <color theme="2" tint="-9.9978637043366805E-2"/>
      </bottom>
      <diagonal/>
    </border>
    <border>
      <left/>
      <right/>
      <top style="mediumDashed">
        <color theme="2" tint="-9.9978637043366805E-2"/>
      </top>
      <bottom style="mediumDashed">
        <color theme="2" tint="-9.9978637043366805E-2"/>
      </bottom>
      <diagonal/>
    </border>
    <border>
      <left/>
      <right style="mediumDashed">
        <color theme="2" tint="-9.9978637043366805E-2"/>
      </right>
      <top style="mediumDashed">
        <color theme="2" tint="-9.9978637043366805E-2"/>
      </top>
      <bottom style="mediumDashed">
        <color theme="2" tint="-9.9978637043366805E-2"/>
      </bottom>
      <diagonal/>
    </border>
    <border>
      <left/>
      <right style="mediumDashed">
        <color theme="2" tint="-9.9978637043366805E-2"/>
      </right>
      <top style="mediumDashed">
        <color theme="2" tint="-9.9978637043366805E-2"/>
      </top>
      <bottom style="mediumDashed">
        <color theme="6" tint="-0.24994659260841701"/>
      </bottom>
      <diagonal/>
    </border>
    <border>
      <left/>
      <right style="thin">
        <color rgb="FFFF0000"/>
      </right>
      <top style="mediumDashed">
        <color theme="2" tint="-9.9978637043366805E-2"/>
      </top>
      <bottom style="mediumDashed">
        <color theme="6" tint="-0.24994659260841701"/>
      </bottom>
      <diagonal/>
    </border>
    <border>
      <left/>
      <right style="thin">
        <color rgb="FFFF0000"/>
      </right>
      <top style="mediumDashed">
        <color theme="2" tint="-9.9978637043366805E-2"/>
      </top>
      <bottom style="mediumDashed">
        <color theme="2" tint="-9.9978637043366805E-2"/>
      </bottom>
      <diagonal/>
    </border>
    <border>
      <left style="thin">
        <color rgb="FFFFFFFF"/>
      </left>
      <right/>
      <top style="thin">
        <color rgb="FFFF0000"/>
      </top>
      <bottom style="thin">
        <color rgb="FFFFFFFF"/>
      </bottom>
      <diagonal/>
    </border>
    <border>
      <left style="thin">
        <color rgb="FFFFFFFF"/>
      </left>
      <right/>
      <top style="thin">
        <color rgb="FFFFFFFF"/>
      </top>
      <bottom style="thin">
        <color rgb="FFFF0000"/>
      </bottom>
      <diagonal/>
    </border>
    <border>
      <left style="thick">
        <color rgb="FFFF0000"/>
      </left>
      <right style="thick">
        <color rgb="FFFF0000"/>
      </right>
      <top/>
      <bottom/>
      <diagonal/>
    </border>
    <border>
      <left style="thick">
        <color rgb="FFFF0000"/>
      </left>
      <right style="thick">
        <color rgb="FFFF0000"/>
      </right>
      <top style="thin">
        <color rgb="FFFFFFFF"/>
      </top>
      <bottom/>
      <diagonal/>
    </border>
    <border>
      <left style="thick">
        <color rgb="FFFF0000"/>
      </left>
      <right style="thick">
        <color rgb="FFFF0000"/>
      </right>
      <top/>
      <bottom style="thick">
        <color rgb="FFFF0000"/>
      </bottom>
      <diagonal/>
    </border>
    <border>
      <left style="thick">
        <color rgb="FFFF0000"/>
      </left>
      <right style="thick">
        <color rgb="FFFF0000"/>
      </right>
      <top/>
      <bottom style="thin">
        <color rgb="FFFFFFFF"/>
      </bottom>
      <diagonal/>
    </border>
    <border>
      <left style="dotted">
        <color theme="6" tint="-0.24994659260841701"/>
      </left>
      <right style="dotted">
        <color theme="6" tint="-0.24994659260841701"/>
      </right>
      <top style="mediumDashed">
        <color theme="6" tint="-0.24994659260841701"/>
      </top>
      <bottom style="dotted">
        <color theme="6" tint="-0.24994659260841701"/>
      </bottom>
      <diagonal/>
    </border>
    <border>
      <left style="dotted">
        <color theme="6" tint="-0.24994659260841701"/>
      </left>
      <right style="dotted">
        <color theme="6" tint="-0.24994659260841701"/>
      </right>
      <top style="dotted">
        <color theme="6" tint="-0.24994659260841701"/>
      </top>
      <bottom style="dotted">
        <color theme="6" tint="-0.24994659260841701"/>
      </bottom>
      <diagonal/>
    </border>
    <border>
      <left style="dotted">
        <color theme="6" tint="-0.24994659260841701"/>
      </left>
      <right style="dotted">
        <color theme="6" tint="-0.24994659260841701"/>
      </right>
      <top style="dotted">
        <color theme="6" tint="-0.24994659260841701"/>
      </top>
      <bottom style="mediumDashed">
        <color theme="6" tint="-0.24994659260841701"/>
      </bottom>
      <diagonal/>
    </border>
    <border>
      <left style="dotted">
        <color theme="6" tint="-0.24994659260841701"/>
      </left>
      <right style="dotted">
        <color theme="6" tint="-0.24994659260841701"/>
      </right>
      <top style="dotted">
        <color theme="6" tint="-0.24994659260841701"/>
      </top>
      <bottom/>
      <diagonal/>
    </border>
    <border>
      <left style="dotted">
        <color theme="6" tint="-0.24994659260841701"/>
      </left>
      <right style="dotted">
        <color theme="6" tint="-0.24994659260841701"/>
      </right>
      <top style="mediumDashed">
        <color rgb="FFFF0000"/>
      </top>
      <bottom style="dotted">
        <color theme="6" tint="-0.2499465926084170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rgb="FFFFFFFF"/>
      </bottom>
      <diagonal/>
    </border>
    <border>
      <left/>
      <right style="medium">
        <color indexed="64"/>
      </right>
      <top/>
      <bottom style="thin">
        <color rgb="FFFFFFFF"/>
      </bottom>
      <diagonal/>
    </border>
    <border>
      <left style="medium">
        <color indexed="64"/>
      </left>
      <right style="thin">
        <color rgb="FFFFFFFF"/>
      </right>
      <top style="thin">
        <color rgb="FFFFFFFF"/>
      </top>
      <bottom style="thin">
        <color rgb="FFFFFFFF"/>
      </bottom>
      <diagonal/>
    </border>
    <border>
      <left style="thin">
        <color rgb="FFFFFFFF"/>
      </left>
      <right style="medium">
        <color indexed="64"/>
      </right>
      <top style="thin">
        <color rgb="FFFFFFFF"/>
      </top>
      <bottom style="thin">
        <color rgb="FFFFFFFF"/>
      </bottom>
      <diagonal/>
    </border>
    <border>
      <left style="medium">
        <color indexed="64"/>
      </left>
      <right style="thin">
        <color rgb="FFFFFFFF"/>
      </right>
      <top style="thin">
        <color rgb="FFFFFFFF"/>
      </top>
      <bottom style="medium">
        <color indexed="64"/>
      </bottom>
      <diagonal/>
    </border>
    <border>
      <left style="thin">
        <color rgb="FFFFFFFF"/>
      </left>
      <right style="medium">
        <color indexed="64"/>
      </right>
      <top style="thin">
        <color rgb="FFFFFFFF"/>
      </top>
      <bottom style="medium">
        <color indexed="64"/>
      </bottom>
      <diagonal/>
    </border>
    <border>
      <left style="medium">
        <color rgb="FFFF0000"/>
      </left>
      <right style="medium">
        <color rgb="FFFF0000"/>
      </right>
      <top style="thin">
        <color theme="0"/>
      </top>
      <bottom style="thin">
        <color theme="0"/>
      </bottom>
      <diagonal/>
    </border>
    <border>
      <left style="medium">
        <color rgb="FFFF0000"/>
      </left>
      <right style="medium">
        <color rgb="FFFF0000"/>
      </right>
      <top style="thin">
        <color theme="0"/>
      </top>
      <bottom style="medium">
        <color rgb="FFFF0000"/>
      </bottom>
      <diagonal/>
    </border>
    <border>
      <left style="medium">
        <color rgb="FFFF0000"/>
      </left>
      <right style="medium">
        <color rgb="FFFF0000"/>
      </right>
      <top/>
      <bottom/>
      <diagonal/>
    </border>
    <border>
      <left style="thin">
        <color theme="0"/>
      </left>
      <right style="thin">
        <color theme="0"/>
      </right>
      <top style="medium">
        <color theme="3" tint="-0.249977111117893"/>
      </top>
      <bottom style="thin">
        <color theme="0"/>
      </bottom>
      <diagonal/>
    </border>
    <border>
      <left style="thin">
        <color theme="0"/>
      </left>
      <right/>
      <top style="medium">
        <color theme="3" tint="-0.249977111117893"/>
      </top>
      <bottom style="thin">
        <color theme="0"/>
      </bottom>
      <diagonal/>
    </border>
    <border>
      <left style="thin">
        <color theme="0"/>
      </left>
      <right style="thin">
        <color theme="0"/>
      </right>
      <top/>
      <bottom style="medium">
        <color theme="3" tint="-0.249977111117893"/>
      </bottom>
      <diagonal/>
    </border>
    <border>
      <left style="thin">
        <color theme="0"/>
      </left>
      <right style="thin">
        <color theme="0"/>
      </right>
      <top style="thin">
        <color theme="0"/>
      </top>
      <bottom style="medium">
        <color theme="3" tint="-0.249977111117893"/>
      </bottom>
      <diagonal/>
    </border>
    <border>
      <left style="thin">
        <color theme="0"/>
      </left>
      <right/>
      <top style="thin">
        <color theme="0"/>
      </top>
      <bottom style="medium">
        <color theme="3" tint="-0.249977111117893"/>
      </bottom>
      <diagonal/>
    </border>
    <border>
      <left style="medium">
        <color theme="3" tint="-0.249977111117893"/>
      </left>
      <right style="thin">
        <color rgb="FFFFFFFF"/>
      </right>
      <top style="medium">
        <color theme="3" tint="-0.249977111117893"/>
      </top>
      <bottom/>
      <diagonal/>
    </border>
    <border>
      <left style="thin">
        <color rgb="FFFFFFFF"/>
      </left>
      <right style="thin">
        <color rgb="FFFFFFFF"/>
      </right>
      <top style="medium">
        <color theme="3" tint="-0.249977111117893"/>
      </top>
      <bottom style="thin">
        <color rgb="FFFFFFFF"/>
      </bottom>
      <diagonal/>
    </border>
    <border>
      <left style="thin">
        <color rgb="FFFFFFFF"/>
      </left>
      <right style="thin">
        <color rgb="FFFFFFFF"/>
      </right>
      <top style="medium">
        <color theme="3" tint="-0.249977111117893"/>
      </top>
      <bottom/>
      <diagonal/>
    </border>
    <border>
      <left style="medium">
        <color theme="3" tint="-0.249977111117893"/>
      </left>
      <right style="thin">
        <color rgb="FFFFFFFF"/>
      </right>
      <top/>
      <bottom/>
      <diagonal/>
    </border>
    <border>
      <left style="medium">
        <color theme="3" tint="-0.249977111117893"/>
      </left>
      <right style="thin">
        <color rgb="FFFFFFFF"/>
      </right>
      <top/>
      <bottom style="medium">
        <color theme="3" tint="-0.249977111117893"/>
      </bottom>
      <diagonal/>
    </border>
    <border>
      <left style="thin">
        <color rgb="FFFFFFFF"/>
      </left>
      <right/>
      <top/>
      <bottom style="medium">
        <color theme="3" tint="-0.249977111117893"/>
      </bottom>
      <diagonal/>
    </border>
    <border>
      <left style="thin">
        <color rgb="FFFFFFFF"/>
      </left>
      <right/>
      <top style="thin">
        <color rgb="FFFFFFFF"/>
      </top>
      <bottom style="medium">
        <color theme="3" tint="-0.249977111117893"/>
      </bottom>
      <diagonal/>
    </border>
    <border>
      <left/>
      <right/>
      <top style="thin">
        <color theme="0"/>
      </top>
      <bottom style="medium">
        <color theme="3" tint="-0.249977111117893"/>
      </bottom>
      <diagonal/>
    </border>
    <border>
      <left style="medium">
        <color theme="3" tint="-0.249977111117893"/>
      </left>
      <right style="thin">
        <color theme="0"/>
      </right>
      <top style="medium">
        <color theme="3" tint="-0.249977111117893"/>
      </top>
      <bottom style="thin">
        <color theme="0"/>
      </bottom>
      <diagonal/>
    </border>
    <border>
      <left style="medium">
        <color theme="3" tint="-0.249977111117893"/>
      </left>
      <right style="thin">
        <color theme="0"/>
      </right>
      <top style="thin">
        <color theme="0"/>
      </top>
      <bottom style="medium">
        <color theme="3" tint="-0.249977111117893"/>
      </bottom>
      <diagonal/>
    </border>
    <border>
      <left style="medium">
        <color theme="3" tint="-0.249977111117893"/>
      </left>
      <right/>
      <top style="medium">
        <color theme="3" tint="-0.249977111117893"/>
      </top>
      <bottom style="thin">
        <color theme="0"/>
      </bottom>
      <diagonal/>
    </border>
    <border>
      <left style="medium">
        <color theme="3" tint="-0.249977111117893"/>
      </left>
      <right/>
      <top style="thin">
        <color theme="0"/>
      </top>
      <bottom style="thin">
        <color theme="0"/>
      </bottom>
      <diagonal/>
    </border>
    <border>
      <left/>
      <right style="thin">
        <color rgb="FFFFFFFF"/>
      </right>
      <top style="medium">
        <color theme="3" tint="-0.249977111117893"/>
      </top>
      <bottom style="thin">
        <color rgb="FFFFFFFF"/>
      </bottom>
      <diagonal/>
    </border>
    <border>
      <left/>
      <right style="thin">
        <color rgb="FFFFFFFF"/>
      </right>
      <top style="medium">
        <color theme="3" tint="-0.249977111117893"/>
      </top>
      <bottom/>
      <diagonal/>
    </border>
    <border>
      <left style="medium">
        <color theme="3" tint="-0.249977111117893"/>
      </left>
      <right/>
      <top style="thin">
        <color theme="0"/>
      </top>
      <bottom style="medium">
        <color theme="3" tint="-0.249977111117893"/>
      </bottom>
      <diagonal/>
    </border>
    <border>
      <left style="thin">
        <color theme="0"/>
      </left>
      <right style="thin">
        <color theme="0"/>
      </right>
      <top style="medium">
        <color theme="3" tint="-0.249977111117893"/>
      </top>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theme="3" tint="-0.249977111117893"/>
      </top>
      <bottom style="thin">
        <color theme="0"/>
      </bottom>
      <diagonal/>
    </border>
    <border>
      <left style="medium">
        <color rgb="FFFF0000"/>
      </left>
      <right style="medium">
        <color rgb="FFFF0000"/>
      </right>
      <top style="thin">
        <color theme="0"/>
      </top>
      <bottom style="medium">
        <color theme="3" tint="-0.249977111117893"/>
      </bottom>
      <diagonal/>
    </border>
    <border>
      <left/>
      <right/>
      <top style="medium">
        <color theme="3" tint="-0.249977111117893"/>
      </top>
      <bottom style="thin">
        <color theme="0"/>
      </bottom>
      <diagonal/>
    </border>
    <border>
      <left/>
      <right/>
      <top style="thin">
        <color theme="0"/>
      </top>
      <bottom/>
      <diagonal/>
    </border>
    <border>
      <left/>
      <right/>
      <top style="medium">
        <color theme="3" tint="-0.249977111117893"/>
      </top>
      <bottom/>
      <diagonal/>
    </border>
    <border>
      <left/>
      <right/>
      <top/>
      <bottom style="medium">
        <color theme="3" tint="-0.249977111117893"/>
      </bottom>
      <diagonal/>
    </border>
    <border>
      <left style="medium">
        <color rgb="FFFF0000"/>
      </left>
      <right style="medium">
        <color rgb="FFFF0000"/>
      </right>
      <top/>
      <bottom style="medium">
        <color theme="3" tint="-0.249977111117893"/>
      </bottom>
      <diagonal/>
    </border>
    <border>
      <left style="medium">
        <color rgb="FFFF0000"/>
      </left>
      <right style="medium">
        <color rgb="FFFF0000"/>
      </right>
      <top style="medium">
        <color theme="3" tint="-0.249977111117893"/>
      </top>
      <bottom/>
      <diagonal/>
    </border>
    <border>
      <left style="thin">
        <color theme="0"/>
      </left>
      <right/>
      <top/>
      <bottom style="medium">
        <color theme="3" tint="-0.249977111117893"/>
      </bottom>
      <diagonal/>
    </border>
  </borders>
  <cellStyleXfs count="19">
    <xf numFmtId="0" fontId="0" fillId="0" borderId="0"/>
    <xf numFmtId="175" fontId="2" fillId="0" borderId="0"/>
    <xf numFmtId="175" fontId="3" fillId="0" borderId="0"/>
    <xf numFmtId="0" fontId="4" fillId="0" borderId="0">
      <alignment horizontal="center"/>
    </xf>
    <xf numFmtId="175" fontId="5" fillId="0" borderId="0">
      <alignment horizontal="center"/>
    </xf>
    <xf numFmtId="0" fontId="4" fillId="0" borderId="0">
      <alignment horizontal="center" textRotation="90"/>
    </xf>
    <xf numFmtId="175" fontId="5" fillId="0" borderId="0">
      <alignment horizontal="center" textRotation="90"/>
    </xf>
    <xf numFmtId="175" fontId="3" fillId="0" borderId="0"/>
    <xf numFmtId="0" fontId="6" fillId="0" borderId="0"/>
    <xf numFmtId="175" fontId="7" fillId="0" borderId="0"/>
    <xf numFmtId="168" fontId="6" fillId="0" borderId="0"/>
    <xf numFmtId="168" fontId="7" fillId="0" borderId="0"/>
    <xf numFmtId="0" fontId="2" fillId="2" borderId="0"/>
    <xf numFmtId="0" fontId="8" fillId="4" borderId="0"/>
    <xf numFmtId="164" fontId="45" fillId="0" borderId="0" applyFont="0" applyFill="0" applyBorder="0" applyAlignment="0" applyProtection="0"/>
    <xf numFmtId="165" fontId="45" fillId="0" borderId="0" applyFont="0" applyFill="0" applyBorder="0" applyAlignment="0" applyProtection="0"/>
    <xf numFmtId="9" fontId="45" fillId="0" borderId="0" applyFont="0" applyFill="0" applyBorder="0" applyAlignment="0" applyProtection="0"/>
    <xf numFmtId="0" fontId="1" fillId="0" borderId="0"/>
    <xf numFmtId="0" fontId="131" fillId="0" borderId="0" applyNumberFormat="0" applyFill="0" applyBorder="0" applyAlignment="0" applyProtection="0"/>
  </cellStyleXfs>
  <cellXfs count="1752">
    <xf numFmtId="0" fontId="0" fillId="0" borderId="0" xfId="0"/>
    <xf numFmtId="175" fontId="2" fillId="6" borderId="0" xfId="1" applyFill="1" applyAlignment="1">
      <alignment horizontal="center" wrapText="1"/>
    </xf>
    <xf numFmtId="175" fontId="2" fillId="6" borderId="0" xfId="1" applyFill="1"/>
    <xf numFmtId="175" fontId="2" fillId="0" borderId="0" xfId="1"/>
    <xf numFmtId="175" fontId="2" fillId="8" borderId="0" xfId="1" applyFill="1"/>
    <xf numFmtId="175" fontId="9" fillId="5" borderId="0" xfId="1" applyFont="1" applyFill="1" applyAlignment="1">
      <alignment horizontal="center" wrapText="1"/>
    </xf>
    <xf numFmtId="175" fontId="2" fillId="7" borderId="0" xfId="1" applyFill="1"/>
    <xf numFmtId="175" fontId="2" fillId="5" borderId="0" xfId="1" applyFill="1"/>
    <xf numFmtId="175" fontId="10" fillId="5" borderId="0" xfId="1" applyFont="1" applyFill="1"/>
    <xf numFmtId="175" fontId="2" fillId="6" borderId="0" xfId="1" applyFill="1" applyAlignment="1">
      <alignment horizontal="left" vertical="top" wrapText="1"/>
    </xf>
    <xf numFmtId="175" fontId="2" fillId="0" borderId="0" xfId="1" applyAlignment="1">
      <alignment horizontal="center"/>
    </xf>
    <xf numFmtId="175" fontId="9" fillId="0" borderId="0" xfId="1" applyFont="1"/>
    <xf numFmtId="175" fontId="2" fillId="10" borderId="0" xfId="1" applyFill="1" applyAlignment="1">
      <alignment horizontal="center"/>
    </xf>
    <xf numFmtId="173" fontId="2" fillId="10" borderId="0" xfId="1" applyNumberFormat="1" applyFill="1" applyAlignment="1">
      <alignment horizontal="center"/>
    </xf>
    <xf numFmtId="172" fontId="2" fillId="0" borderId="0" xfId="1" applyNumberFormat="1" applyAlignment="1">
      <alignment horizontal="center"/>
    </xf>
    <xf numFmtId="175" fontId="9" fillId="0" borderId="2" xfId="1" applyFont="1" applyBorder="1"/>
    <xf numFmtId="175" fontId="2" fillId="0" borderId="2" xfId="1" applyBorder="1" applyAlignment="1">
      <alignment horizontal="center"/>
    </xf>
    <xf numFmtId="175" fontId="9" fillId="13" borderId="1" xfId="1" applyFont="1" applyFill="1" applyBorder="1" applyAlignment="1">
      <alignment horizontal="center"/>
    </xf>
    <xf numFmtId="175" fontId="9" fillId="2" borderId="1" xfId="1" applyFont="1" applyFill="1" applyBorder="1" applyAlignment="1">
      <alignment horizontal="center"/>
    </xf>
    <xf numFmtId="175" fontId="9" fillId="14" borderId="1" xfId="1" applyFont="1" applyFill="1" applyBorder="1" applyAlignment="1">
      <alignment horizontal="center"/>
    </xf>
    <xf numFmtId="175" fontId="9" fillId="15" borderId="1" xfId="1" applyFont="1" applyFill="1" applyBorder="1" applyAlignment="1">
      <alignment horizontal="center"/>
    </xf>
    <xf numFmtId="175" fontId="2" fillId="0" borderId="0" xfId="1" applyAlignment="1">
      <alignment horizontal="right"/>
    </xf>
    <xf numFmtId="175" fontId="2" fillId="0" borderId="0" xfId="1" applyAlignment="1">
      <alignment horizontal="left"/>
    </xf>
    <xf numFmtId="166" fontId="2" fillId="13" borderId="1" xfId="1" applyNumberFormat="1" applyFill="1" applyBorder="1" applyAlignment="1">
      <alignment horizontal="center"/>
    </xf>
    <xf numFmtId="175" fontId="2" fillId="2" borderId="1" xfId="1" applyFill="1" applyBorder="1" applyAlignment="1">
      <alignment horizontal="center"/>
    </xf>
    <xf numFmtId="175" fontId="2" fillId="13" borderId="1" xfId="1" applyFill="1" applyBorder="1" applyAlignment="1">
      <alignment horizontal="center"/>
    </xf>
    <xf numFmtId="175" fontId="2" fillId="14" borderId="1" xfId="1" applyFill="1" applyBorder="1" applyAlignment="1">
      <alignment horizontal="center"/>
    </xf>
    <xf numFmtId="175" fontId="2" fillId="15" borderId="1" xfId="1" applyFill="1" applyBorder="1" applyAlignment="1">
      <alignment horizontal="center"/>
    </xf>
    <xf numFmtId="175" fontId="2" fillId="0" borderId="2" xfId="1" applyBorder="1" applyAlignment="1">
      <alignment horizontal="right"/>
    </xf>
    <xf numFmtId="175" fontId="2" fillId="0" borderId="2" xfId="1" applyBorder="1" applyAlignment="1">
      <alignment horizontal="left"/>
    </xf>
    <xf numFmtId="175" fontId="9" fillId="16" borderId="1" xfId="1" applyFont="1" applyFill="1" applyBorder="1" applyAlignment="1">
      <alignment horizontal="center"/>
    </xf>
    <xf numFmtId="175" fontId="9" fillId="16" borderId="1" xfId="1" applyFont="1" applyFill="1" applyBorder="1" applyAlignment="1">
      <alignment horizontal="right"/>
    </xf>
    <xf numFmtId="175" fontId="9" fillId="0" borderId="0" xfId="1" applyFont="1" applyBorder="1" applyAlignment="1">
      <alignment horizontal="center"/>
    </xf>
    <xf numFmtId="175" fontId="9" fillId="0" borderId="0" xfId="1" applyFont="1" applyBorder="1" applyAlignment="1">
      <alignment horizontal="right"/>
    </xf>
    <xf numFmtId="175" fontId="9" fillId="0" borderId="3" xfId="1" applyFont="1" applyBorder="1"/>
    <xf numFmtId="175" fontId="9" fillId="0" borderId="4" xfId="1" applyFont="1" applyBorder="1" applyAlignment="1">
      <alignment horizontal="center"/>
    </xf>
    <xf numFmtId="175" fontId="2" fillId="0" borderId="5" xfId="1" applyBorder="1" applyAlignment="1">
      <alignment horizontal="center"/>
    </xf>
    <xf numFmtId="175" fontId="2" fillId="0" borderId="6" xfId="1" applyBorder="1"/>
    <xf numFmtId="175" fontId="2" fillId="17" borderId="0" xfId="1" applyFill="1" applyAlignment="1">
      <alignment horizontal="center"/>
    </xf>
    <xf numFmtId="168" fontId="2" fillId="0" borderId="0" xfId="1" applyNumberFormat="1" applyAlignment="1">
      <alignment horizontal="right"/>
    </xf>
    <xf numFmtId="175" fontId="2" fillId="0" borderId="7" xfId="1" applyBorder="1" applyAlignment="1">
      <alignment horizontal="center"/>
    </xf>
    <xf numFmtId="175" fontId="2" fillId="0" borderId="8" xfId="1" applyBorder="1"/>
    <xf numFmtId="168" fontId="2" fillId="0" borderId="2" xfId="1" applyNumberFormat="1" applyBorder="1" applyAlignment="1">
      <alignment horizontal="right"/>
    </xf>
    <xf numFmtId="175" fontId="2" fillId="0" borderId="2" xfId="1" applyBorder="1"/>
    <xf numFmtId="168" fontId="2" fillId="18" borderId="2" xfId="1" applyNumberFormat="1" applyFill="1" applyBorder="1" applyAlignment="1">
      <alignment horizontal="right"/>
    </xf>
    <xf numFmtId="175" fontId="2" fillId="0" borderId="9" xfId="1" applyBorder="1" applyAlignment="1">
      <alignment horizontal="center"/>
    </xf>
    <xf numFmtId="168" fontId="2" fillId="0" borderId="0" xfId="1" applyNumberFormat="1" applyFill="1" applyAlignment="1">
      <alignment horizontal="right"/>
    </xf>
    <xf numFmtId="175" fontId="9" fillId="0" borderId="8" xfId="1" applyFont="1" applyBorder="1" applyAlignment="1">
      <alignment horizontal="center"/>
    </xf>
    <xf numFmtId="175" fontId="9" fillId="0" borderId="9" xfId="1" applyFont="1" applyBorder="1" applyAlignment="1">
      <alignment horizontal="center"/>
    </xf>
    <xf numFmtId="49" fontId="12" fillId="0" borderId="0" xfId="2" applyNumberFormat="1" applyFont="1" applyFill="1" applyBorder="1" applyAlignment="1">
      <alignment horizontal="right" wrapText="1"/>
    </xf>
    <xf numFmtId="167" fontId="2" fillId="19" borderId="6" xfId="1" applyNumberFormat="1" applyFill="1" applyBorder="1" applyAlignment="1">
      <alignment horizontal="center"/>
    </xf>
    <xf numFmtId="167" fontId="2" fillId="0" borderId="7" xfId="1" applyNumberFormat="1" applyBorder="1" applyAlignment="1">
      <alignment horizontal="center"/>
    </xf>
    <xf numFmtId="167" fontId="2" fillId="0" borderId="6" xfId="1" applyNumberFormat="1" applyBorder="1" applyAlignment="1">
      <alignment horizontal="center"/>
    </xf>
    <xf numFmtId="175" fontId="13" fillId="0" borderId="0" xfId="2" applyFont="1" applyAlignment="1">
      <alignment horizontal="right"/>
    </xf>
    <xf numFmtId="175" fontId="3" fillId="0" borderId="0" xfId="2" applyFont="1" applyAlignment="1">
      <alignment horizontal="right"/>
    </xf>
    <xf numFmtId="175" fontId="3" fillId="0" borderId="0" xfId="2" applyBorder="1" applyAlignment="1">
      <alignment horizontal="right"/>
    </xf>
    <xf numFmtId="175" fontId="2" fillId="0" borderId="0" xfId="1" applyBorder="1" applyAlignment="1">
      <alignment horizontal="center"/>
    </xf>
    <xf numFmtId="175" fontId="2" fillId="0" borderId="0" xfId="1" applyBorder="1" applyAlignment="1">
      <alignment horizontal="left"/>
    </xf>
    <xf numFmtId="175" fontId="3" fillId="0" borderId="0" xfId="2" applyAlignment="1">
      <alignment horizontal="right"/>
    </xf>
    <xf numFmtId="175" fontId="3" fillId="0" borderId="0" xfId="2"/>
    <xf numFmtId="175" fontId="2" fillId="0" borderId="6" xfId="1" applyBorder="1" applyAlignment="1">
      <alignment horizontal="center"/>
    </xf>
    <xf numFmtId="175" fontId="2" fillId="0" borderId="7" xfId="1" applyBorder="1"/>
    <xf numFmtId="175" fontId="13" fillId="0" borderId="0" xfId="2" applyFont="1"/>
    <xf numFmtId="175" fontId="3" fillId="0" borderId="0" xfId="2" applyFill="1" applyAlignment="1">
      <alignment horizontal="right"/>
    </xf>
    <xf numFmtId="2" fontId="3" fillId="0" borderId="0" xfId="2" applyNumberFormat="1" applyAlignment="1">
      <alignment horizontal="center"/>
    </xf>
    <xf numFmtId="167" fontId="2" fillId="0" borderId="6" xfId="1" applyNumberFormat="1" applyFill="1" applyBorder="1" applyAlignment="1">
      <alignment horizontal="center"/>
    </xf>
    <xf numFmtId="175" fontId="2" fillId="0" borderId="0" xfId="1" applyFill="1" applyAlignment="1">
      <alignment horizontal="right"/>
    </xf>
    <xf numFmtId="175" fontId="2" fillId="0" borderId="6" xfId="1" applyFill="1" applyBorder="1" applyAlignment="1">
      <alignment horizontal="center"/>
    </xf>
    <xf numFmtId="167" fontId="2" fillId="14" borderId="8" xfId="1" applyNumberFormat="1" applyFill="1" applyBorder="1" applyAlignment="1">
      <alignment horizontal="center"/>
    </xf>
    <xf numFmtId="167" fontId="2" fillId="0" borderId="9" xfId="1" applyNumberFormat="1" applyBorder="1" applyAlignment="1">
      <alignment horizontal="center"/>
    </xf>
    <xf numFmtId="167" fontId="2" fillId="0" borderId="8" xfId="1" applyNumberFormat="1" applyBorder="1" applyAlignment="1">
      <alignment horizontal="center"/>
    </xf>
    <xf numFmtId="167" fontId="2" fillId="0" borderId="0" xfId="1" applyNumberFormat="1" applyBorder="1" applyAlignment="1">
      <alignment horizontal="center"/>
    </xf>
    <xf numFmtId="175" fontId="9" fillId="0" borderId="2" xfId="1" applyFont="1" applyBorder="1" applyAlignment="1">
      <alignment horizontal="center"/>
    </xf>
    <xf numFmtId="168" fontId="2" fillId="18" borderId="0" xfId="1" applyNumberFormat="1" applyFill="1" applyAlignment="1">
      <alignment horizontal="right"/>
    </xf>
    <xf numFmtId="175" fontId="3" fillId="0" borderId="2" xfId="2" applyBorder="1"/>
    <xf numFmtId="175" fontId="2" fillId="0" borderId="11" xfId="1" applyBorder="1" applyAlignment="1">
      <alignment horizontal="center"/>
    </xf>
    <xf numFmtId="175" fontId="2" fillId="19" borderId="6" xfId="1" applyFill="1" applyBorder="1" applyAlignment="1">
      <alignment horizontal="center"/>
    </xf>
    <xf numFmtId="175" fontId="2" fillId="14" borderId="6" xfId="1" applyFill="1" applyBorder="1" applyAlignment="1">
      <alignment horizontal="center"/>
    </xf>
    <xf numFmtId="175" fontId="2" fillId="0" borderId="7" xfId="1" applyFill="1" applyBorder="1" applyAlignment="1">
      <alignment horizontal="center"/>
    </xf>
    <xf numFmtId="175" fontId="2" fillId="0" borderId="0" xfId="1" applyFont="1" applyAlignment="1">
      <alignment horizontal="right"/>
    </xf>
    <xf numFmtId="167" fontId="2" fillId="14" borderId="6" xfId="1" applyNumberFormat="1" applyFill="1" applyBorder="1" applyAlignment="1">
      <alignment horizontal="center"/>
    </xf>
    <xf numFmtId="175" fontId="14" fillId="0" borderId="0" xfId="1" applyFont="1" applyAlignment="1">
      <alignment horizontal="right"/>
    </xf>
    <xf numFmtId="175" fontId="2" fillId="0" borderId="8" xfId="1" applyBorder="1" applyAlignment="1">
      <alignment horizontal="center"/>
    </xf>
    <xf numFmtId="167" fontId="2" fillId="0" borderId="0" xfId="1" applyNumberFormat="1" applyAlignment="1">
      <alignment horizontal="center"/>
    </xf>
    <xf numFmtId="174" fontId="2" fillId="0" borderId="0" xfId="1" applyNumberFormat="1" applyAlignment="1">
      <alignment horizontal="center"/>
    </xf>
    <xf numFmtId="174" fontId="2" fillId="0" borderId="2" xfId="1" applyNumberFormat="1" applyBorder="1" applyAlignment="1">
      <alignment horizontal="center"/>
    </xf>
    <xf numFmtId="166" fontId="2" fillId="0" borderId="6" xfId="1" applyNumberFormat="1" applyBorder="1" applyAlignment="1">
      <alignment horizontal="center"/>
    </xf>
    <xf numFmtId="175" fontId="9" fillId="0" borderId="8" xfId="1" applyFont="1" applyBorder="1" applyAlignment="1">
      <alignment horizontal="right"/>
    </xf>
    <xf numFmtId="175" fontId="15" fillId="0" borderId="0" xfId="1" applyFont="1" applyBorder="1" applyAlignment="1">
      <alignment horizontal="right"/>
    </xf>
    <xf numFmtId="175" fontId="15" fillId="0" borderId="2" xfId="1" applyFont="1" applyBorder="1" applyAlignment="1">
      <alignment horizontal="right"/>
    </xf>
    <xf numFmtId="175" fontId="2" fillId="0" borderId="0" xfId="1" applyFont="1" applyBorder="1" applyAlignment="1">
      <alignment horizontal="right"/>
    </xf>
    <xf numFmtId="175" fontId="9" fillId="0" borderId="0" xfId="1" applyFont="1" applyAlignment="1">
      <alignment horizontal="left"/>
    </xf>
    <xf numFmtId="168" fontId="2" fillId="10" borderId="0" xfId="1" applyNumberFormat="1" applyFill="1" applyAlignment="1">
      <alignment horizontal="right"/>
    </xf>
    <xf numFmtId="168" fontId="2" fillId="10" borderId="2" xfId="1" applyNumberFormat="1" applyFill="1" applyBorder="1" applyAlignment="1">
      <alignment horizontal="right"/>
    </xf>
    <xf numFmtId="175" fontId="9" fillId="0" borderId="0" xfId="1" applyFont="1" applyAlignment="1">
      <alignment horizontal="right"/>
    </xf>
    <xf numFmtId="175" fontId="15" fillId="0" borderId="0" xfId="1" applyFont="1" applyAlignment="1">
      <alignment horizontal="right"/>
    </xf>
    <xf numFmtId="168" fontId="2" fillId="0" borderId="0" xfId="1" applyNumberFormat="1" applyAlignment="1">
      <alignment horizontal="center"/>
    </xf>
    <xf numFmtId="167" fontId="2" fillId="10" borderId="0" xfId="1" applyNumberFormat="1" applyFill="1" applyAlignment="1">
      <alignment horizontal="center"/>
    </xf>
    <xf numFmtId="168" fontId="2" fillId="10" borderId="0" xfId="1" applyNumberFormat="1" applyFill="1" applyAlignment="1">
      <alignment horizontal="center"/>
    </xf>
    <xf numFmtId="168" fontId="2" fillId="0" borderId="0" xfId="1" applyNumberFormat="1" applyFill="1" applyAlignment="1">
      <alignment horizontal="center"/>
    </xf>
    <xf numFmtId="173" fontId="2" fillId="0" borderId="0" xfId="1" applyNumberFormat="1" applyAlignment="1">
      <alignment horizontal="center"/>
    </xf>
    <xf numFmtId="175" fontId="9" fillId="17" borderId="0" xfId="1" applyFont="1" applyFill="1" applyAlignment="1">
      <alignment horizontal="right"/>
    </xf>
    <xf numFmtId="175" fontId="9" fillId="17" borderId="0" xfId="1" applyFont="1" applyFill="1" applyAlignment="1">
      <alignment horizontal="center"/>
    </xf>
    <xf numFmtId="173" fontId="9" fillId="17" borderId="0" xfId="1" applyNumberFormat="1" applyFont="1" applyFill="1" applyAlignment="1">
      <alignment horizontal="center"/>
    </xf>
    <xf numFmtId="172" fontId="2" fillId="10" borderId="0" xfId="1" applyNumberFormat="1" applyFill="1" applyAlignment="1">
      <alignment horizontal="center"/>
    </xf>
    <xf numFmtId="175" fontId="9" fillId="20" borderId="0" xfId="1" applyFont="1" applyFill="1" applyAlignment="1">
      <alignment horizontal="right"/>
    </xf>
    <xf numFmtId="175" fontId="9" fillId="20" borderId="0" xfId="1" applyFont="1" applyFill="1" applyAlignment="1">
      <alignment horizontal="center"/>
    </xf>
    <xf numFmtId="173" fontId="9" fillId="20" borderId="0" xfId="1" applyNumberFormat="1" applyFont="1" applyFill="1" applyAlignment="1">
      <alignment horizontal="center"/>
    </xf>
    <xf numFmtId="175" fontId="9" fillId="0" borderId="12" xfId="1" applyFont="1" applyBorder="1" applyAlignment="1">
      <alignment horizontal="center"/>
    </xf>
    <xf numFmtId="167" fontId="9" fillId="0" borderId="8" xfId="1" applyNumberFormat="1" applyFont="1" applyBorder="1" applyAlignment="1">
      <alignment horizontal="center"/>
    </xf>
    <xf numFmtId="167" fontId="9" fillId="0" borderId="9" xfId="1" applyNumberFormat="1" applyFont="1" applyBorder="1" applyAlignment="1">
      <alignment horizontal="center"/>
    </xf>
    <xf numFmtId="167" fontId="9" fillId="0" borderId="8" xfId="1" applyNumberFormat="1" applyFont="1" applyBorder="1" applyAlignment="1">
      <alignment horizontal="right"/>
    </xf>
    <xf numFmtId="175" fontId="2" fillId="0" borderId="0" xfId="1" applyAlignment="1">
      <alignment horizontal="center" vertical="center"/>
    </xf>
    <xf numFmtId="175" fontId="16" fillId="0" borderId="0" xfId="1" applyFont="1" applyAlignment="1">
      <alignment horizontal="center" vertical="center"/>
    </xf>
    <xf numFmtId="175" fontId="16" fillId="0" borderId="0" xfId="1" applyFont="1" applyBorder="1" applyAlignment="1">
      <alignment horizontal="center" vertical="center"/>
    </xf>
    <xf numFmtId="175" fontId="11" fillId="21" borderId="1" xfId="1" applyFont="1" applyFill="1" applyBorder="1" applyAlignment="1">
      <alignment horizontal="center" vertical="center" wrapText="1"/>
    </xf>
    <xf numFmtId="175" fontId="17" fillId="21" borderId="1" xfId="1" applyFont="1" applyFill="1" applyBorder="1" applyAlignment="1">
      <alignment horizontal="center" vertical="center" wrapText="1"/>
    </xf>
    <xf numFmtId="175" fontId="11" fillId="22" borderId="1" xfId="1" applyFont="1" applyFill="1" applyBorder="1" applyAlignment="1">
      <alignment horizontal="center" vertical="center" wrapText="1"/>
    </xf>
    <xf numFmtId="175" fontId="11" fillId="23" borderId="1" xfId="1" applyFont="1" applyFill="1" applyBorder="1" applyAlignment="1">
      <alignment horizontal="center" vertical="center" wrapText="1"/>
    </xf>
    <xf numFmtId="175" fontId="11" fillId="24" borderId="1" xfId="1" applyFont="1" applyFill="1" applyBorder="1" applyAlignment="1">
      <alignment horizontal="center" vertical="center" wrapText="1"/>
    </xf>
    <xf numFmtId="175" fontId="2" fillId="25" borderId="1" xfId="1" applyFill="1" applyBorder="1" applyAlignment="1">
      <alignment horizontal="center" vertical="center"/>
    </xf>
    <xf numFmtId="175" fontId="18" fillId="25" borderId="1" xfId="1" applyFont="1" applyFill="1" applyBorder="1" applyAlignment="1">
      <alignment horizontal="center" vertical="center"/>
    </xf>
    <xf numFmtId="175" fontId="2" fillId="26" borderId="1" xfId="1" applyFill="1" applyBorder="1" applyAlignment="1">
      <alignment horizontal="center" vertical="center"/>
    </xf>
    <xf numFmtId="175" fontId="2" fillId="27" borderId="1" xfId="1" applyFill="1" applyBorder="1" applyAlignment="1">
      <alignment horizontal="center" vertical="center"/>
    </xf>
    <xf numFmtId="175" fontId="2" fillId="15" borderId="1" xfId="1" applyFill="1" applyBorder="1" applyAlignment="1">
      <alignment horizontal="center" vertical="center"/>
    </xf>
    <xf numFmtId="175" fontId="2" fillId="15" borderId="0" xfId="1" applyFill="1" applyBorder="1" applyAlignment="1">
      <alignment horizontal="center" vertical="center"/>
    </xf>
    <xf numFmtId="175" fontId="2" fillId="6" borderId="0" xfId="1" applyFill="1" applyAlignment="1">
      <alignment horizontal="center" vertical="center"/>
    </xf>
    <xf numFmtId="175" fontId="18" fillId="6" borderId="0" xfId="1" applyFont="1" applyFill="1" applyAlignment="1">
      <alignment horizontal="center" vertical="center"/>
    </xf>
    <xf numFmtId="175" fontId="8" fillId="21" borderId="1" xfId="1" applyFont="1" applyFill="1" applyBorder="1" applyAlignment="1">
      <alignment horizontal="center" vertical="center" wrapText="1"/>
    </xf>
    <xf numFmtId="175" fontId="8" fillId="22" borderId="1" xfId="1" applyFont="1" applyFill="1" applyBorder="1" applyAlignment="1">
      <alignment horizontal="center" vertical="center" wrapText="1"/>
    </xf>
    <xf numFmtId="175" fontId="17" fillId="22" borderId="1" xfId="1" applyFont="1" applyFill="1" applyBorder="1" applyAlignment="1">
      <alignment horizontal="center" vertical="center" wrapText="1"/>
    </xf>
    <xf numFmtId="175" fontId="8" fillId="23" borderId="1" xfId="1" applyFont="1" applyFill="1" applyBorder="1" applyAlignment="1">
      <alignment horizontal="center" vertical="center" wrapText="1"/>
    </xf>
    <xf numFmtId="175" fontId="17" fillId="23" borderId="1" xfId="1" applyFont="1" applyFill="1" applyBorder="1" applyAlignment="1">
      <alignment horizontal="center" vertical="center" wrapText="1"/>
    </xf>
    <xf numFmtId="175" fontId="18" fillId="0" borderId="0" xfId="1" applyFont="1" applyAlignment="1">
      <alignment horizontal="center" vertical="center"/>
    </xf>
    <xf numFmtId="175" fontId="2" fillId="28" borderId="0" xfId="1" applyFill="1" applyAlignment="1">
      <alignment horizontal="center" vertical="center"/>
    </xf>
    <xf numFmtId="175" fontId="2" fillId="0" borderId="0" xfId="1" applyAlignment="1">
      <alignment horizontal="center" vertical="center" wrapText="1"/>
    </xf>
    <xf numFmtId="175" fontId="18" fillId="0" borderId="0" xfId="1" applyFont="1" applyAlignment="1">
      <alignment horizontal="center" vertical="center" wrapText="1"/>
    </xf>
    <xf numFmtId="175" fontId="11" fillId="29" borderId="1" xfId="1" applyFont="1" applyFill="1" applyBorder="1" applyAlignment="1">
      <alignment horizontal="center" vertical="center"/>
    </xf>
    <xf numFmtId="175" fontId="17" fillId="29" borderId="1" xfId="1" applyFont="1" applyFill="1" applyBorder="1" applyAlignment="1">
      <alignment horizontal="center" vertical="center"/>
    </xf>
    <xf numFmtId="175" fontId="2" fillId="30" borderId="1" xfId="1" applyFill="1" applyBorder="1" applyAlignment="1">
      <alignment horizontal="center" vertical="center"/>
    </xf>
    <xf numFmtId="175" fontId="11" fillId="29" borderId="1" xfId="1" applyFont="1" applyFill="1" applyBorder="1" applyAlignment="1">
      <alignment horizontal="center" vertical="center" wrapText="1"/>
    </xf>
    <xf numFmtId="175" fontId="11" fillId="31" borderId="1" xfId="1" applyFont="1" applyFill="1" applyBorder="1" applyAlignment="1">
      <alignment horizontal="center" vertical="center"/>
    </xf>
    <xf numFmtId="175" fontId="17" fillId="31" borderId="1" xfId="1" applyFont="1" applyFill="1" applyBorder="1" applyAlignment="1">
      <alignment horizontal="center" vertical="center"/>
    </xf>
    <xf numFmtId="175" fontId="2" fillId="32" borderId="1" xfId="1" applyFill="1" applyBorder="1" applyAlignment="1">
      <alignment horizontal="center" vertical="center"/>
    </xf>
    <xf numFmtId="175" fontId="11" fillId="33" borderId="1" xfId="1" applyFont="1" applyFill="1" applyBorder="1" applyAlignment="1">
      <alignment horizontal="center" vertical="center" wrapText="1"/>
    </xf>
    <xf numFmtId="175" fontId="11" fillId="36" borderId="1" xfId="1" applyFont="1" applyFill="1" applyBorder="1" applyAlignment="1">
      <alignment horizontal="center" vertical="center" wrapText="1"/>
    </xf>
    <xf numFmtId="175" fontId="11" fillId="37" borderId="1" xfId="1" applyFont="1" applyFill="1" applyBorder="1" applyAlignment="1">
      <alignment horizontal="center" vertical="center" wrapText="1"/>
    </xf>
    <xf numFmtId="175" fontId="3" fillId="38" borderId="1" xfId="2" applyFill="1" applyBorder="1" applyAlignment="1">
      <alignment horizontal="center" vertical="center" wrapText="1"/>
    </xf>
    <xf numFmtId="175" fontId="2" fillId="38" borderId="1" xfId="1" applyFill="1" applyBorder="1" applyAlignment="1">
      <alignment horizontal="center" vertical="center" wrapText="1"/>
    </xf>
    <xf numFmtId="169" fontId="2" fillId="32" borderId="1" xfId="1" applyNumberFormat="1" applyFill="1" applyBorder="1" applyAlignment="1">
      <alignment horizontal="center" vertical="center" wrapText="1"/>
    </xf>
    <xf numFmtId="167" fontId="2" fillId="14" borderId="1" xfId="1" applyNumberFormat="1" applyFill="1" applyBorder="1" applyAlignment="1">
      <alignment horizontal="center" vertical="center" wrapText="1"/>
    </xf>
    <xf numFmtId="167" fontId="2" fillId="39" borderId="1" xfId="1" applyNumberFormat="1" applyFill="1" applyBorder="1" applyAlignment="1">
      <alignment horizontal="center" vertical="center" wrapText="1"/>
    </xf>
    <xf numFmtId="175" fontId="2" fillId="14" borderId="1" xfId="1" applyFill="1" applyBorder="1" applyAlignment="1">
      <alignment horizontal="center" vertical="center" wrapText="1"/>
    </xf>
    <xf numFmtId="175" fontId="2" fillId="38" borderId="15" xfId="1" applyFill="1" applyBorder="1" applyAlignment="1">
      <alignment horizontal="center" vertical="center" wrapText="1"/>
    </xf>
    <xf numFmtId="175" fontId="2" fillId="6" borderId="0" xfId="1" applyFill="1" applyAlignment="1">
      <alignment horizontal="center" vertical="center" wrapText="1"/>
    </xf>
    <xf numFmtId="175" fontId="2" fillId="6" borderId="0" xfId="1" applyFill="1" applyBorder="1" applyAlignment="1">
      <alignment horizontal="center" vertical="center" wrapText="1"/>
    </xf>
    <xf numFmtId="175" fontId="13" fillId="0" borderId="0" xfId="7" applyFont="1" applyAlignment="1">
      <alignment horizontal="center"/>
    </xf>
    <xf numFmtId="175" fontId="3" fillId="0" borderId="0" xfId="7"/>
    <xf numFmtId="175" fontId="2" fillId="6" borderId="1" xfId="1" applyFill="1" applyBorder="1" applyAlignment="1">
      <alignment horizontal="center" vertical="center" wrapText="1"/>
    </xf>
    <xf numFmtId="167" fontId="2" fillId="6" borderId="0" xfId="1" applyNumberFormat="1" applyFill="1" applyAlignment="1">
      <alignment horizontal="center" vertical="center" wrapText="1"/>
    </xf>
    <xf numFmtId="170" fontId="2" fillId="39" borderId="1" xfId="1" applyNumberFormat="1" applyFill="1" applyBorder="1" applyAlignment="1">
      <alignment horizontal="center" vertical="center" wrapText="1"/>
    </xf>
    <xf numFmtId="175" fontId="2" fillId="38" borderId="1" xfId="1" applyFont="1" applyFill="1" applyBorder="1" applyAlignment="1">
      <alignment horizontal="center" vertical="center" wrapText="1"/>
    </xf>
    <xf numFmtId="170" fontId="2" fillId="39" borderId="15" xfId="1" applyNumberFormat="1" applyFill="1" applyBorder="1" applyAlignment="1">
      <alignment horizontal="center" vertical="center" wrapText="1"/>
    </xf>
    <xf numFmtId="175" fontId="11" fillId="34" borderId="1" xfId="1" applyFont="1" applyFill="1" applyBorder="1" applyAlignment="1">
      <alignment horizontal="center" vertical="center" wrapText="1"/>
    </xf>
    <xf numFmtId="175" fontId="11" fillId="4" borderId="0" xfId="1" applyFont="1" applyFill="1" applyAlignment="1">
      <alignment horizontal="center" vertical="center"/>
    </xf>
    <xf numFmtId="175" fontId="3" fillId="40" borderId="1" xfId="2" applyFill="1" applyBorder="1" applyAlignment="1">
      <alignment horizontal="center" vertical="center" wrapText="1"/>
    </xf>
    <xf numFmtId="175" fontId="2" fillId="40" borderId="1" xfId="1" applyFill="1" applyBorder="1" applyAlignment="1">
      <alignment horizontal="center" vertical="center" wrapText="1"/>
    </xf>
    <xf numFmtId="175" fontId="11" fillId="41" borderId="1" xfId="1" applyFont="1" applyFill="1" applyBorder="1" applyAlignment="1">
      <alignment horizontal="center" vertical="center"/>
    </xf>
    <xf numFmtId="175" fontId="11" fillId="42" borderId="1" xfId="1" applyFont="1" applyFill="1" applyBorder="1" applyAlignment="1">
      <alignment horizontal="center" vertical="center"/>
    </xf>
    <xf numFmtId="175" fontId="2" fillId="43" borderId="1" xfId="1" applyFill="1" applyBorder="1" applyAlignment="1">
      <alignment horizontal="center" vertical="center" wrapText="1"/>
    </xf>
    <xf numFmtId="175" fontId="2" fillId="39" borderId="1" xfId="1" applyFont="1" applyFill="1" applyBorder="1" applyAlignment="1">
      <alignment horizontal="center" vertical="center" wrapText="1"/>
    </xf>
    <xf numFmtId="175" fontId="2" fillId="0" borderId="1" xfId="1" applyBorder="1"/>
    <xf numFmtId="175" fontId="20" fillId="6" borderId="1" xfId="1" applyFont="1" applyFill="1" applyBorder="1" applyAlignment="1">
      <alignment horizontal="center" vertical="center" wrapText="1"/>
    </xf>
    <xf numFmtId="175" fontId="2" fillId="6" borderId="0" xfId="1" applyFill="1" applyAlignment="1">
      <alignment horizontal="left" vertical="center" wrapText="1"/>
    </xf>
    <xf numFmtId="175" fontId="9" fillId="44" borderId="0" xfId="1" applyFont="1" applyFill="1" applyAlignment="1">
      <alignment horizontal="center" vertical="center" wrapText="1"/>
    </xf>
    <xf numFmtId="175" fontId="11" fillId="22" borderId="18" xfId="1" applyFont="1" applyFill="1" applyBorder="1" applyAlignment="1">
      <alignment horizontal="center" vertical="center" wrapText="1"/>
    </xf>
    <xf numFmtId="175" fontId="11" fillId="46" borderId="1" xfId="1" applyFont="1" applyFill="1" applyBorder="1" applyAlignment="1">
      <alignment horizontal="center" vertical="center" wrapText="1"/>
    </xf>
    <xf numFmtId="175" fontId="11" fillId="21" borderId="18" xfId="1" applyFont="1" applyFill="1" applyBorder="1" applyAlignment="1">
      <alignment horizontal="center" vertical="center" wrapText="1"/>
    </xf>
    <xf numFmtId="175" fontId="9" fillId="0" borderId="0" xfId="1" applyFont="1" applyAlignment="1">
      <alignment horizontal="center" vertical="center" wrapText="1"/>
    </xf>
    <xf numFmtId="175" fontId="2" fillId="47" borderId="1" xfId="1" applyFill="1" applyBorder="1" applyAlignment="1">
      <alignment horizontal="center" vertical="center" wrapText="1"/>
    </xf>
    <xf numFmtId="175" fontId="9" fillId="48" borderId="18" xfId="1" applyFont="1" applyFill="1" applyBorder="1" applyAlignment="1">
      <alignment horizontal="center" vertical="center" wrapText="1"/>
    </xf>
    <xf numFmtId="168" fontId="2" fillId="49" borderId="1" xfId="1" applyNumberFormat="1" applyFill="1" applyBorder="1" applyAlignment="1">
      <alignment horizontal="center" vertical="center" wrapText="1"/>
    </xf>
    <xf numFmtId="175" fontId="9" fillId="50" borderId="17" xfId="1" applyFont="1" applyFill="1" applyBorder="1" applyAlignment="1">
      <alignment horizontal="center" vertical="center" wrapText="1"/>
    </xf>
    <xf numFmtId="175" fontId="9" fillId="30" borderId="18" xfId="1" applyFont="1" applyFill="1" applyBorder="1" applyAlignment="1">
      <alignment horizontal="center" vertical="center" wrapText="1"/>
    </xf>
    <xf numFmtId="169" fontId="2" fillId="51" borderId="22" xfId="1" applyNumberFormat="1" applyFill="1" applyBorder="1" applyAlignment="1">
      <alignment horizontal="center" vertical="center" wrapText="1"/>
    </xf>
    <xf numFmtId="169" fontId="2" fillId="30" borderId="18" xfId="1" applyNumberFormat="1" applyFill="1" applyBorder="1" applyAlignment="1">
      <alignment horizontal="center" vertical="center" wrapText="1"/>
    </xf>
    <xf numFmtId="175" fontId="2" fillId="49" borderId="1" xfId="1" applyFill="1" applyBorder="1" applyAlignment="1">
      <alignment horizontal="center" vertical="center" wrapText="1"/>
    </xf>
    <xf numFmtId="169" fontId="23" fillId="5" borderId="22" xfId="1" applyNumberFormat="1" applyFont="1" applyFill="1" applyBorder="1" applyAlignment="1">
      <alignment horizontal="center" vertical="center" wrapText="1"/>
    </xf>
    <xf numFmtId="171" fontId="23" fillId="27" borderId="18" xfId="1" applyNumberFormat="1" applyFont="1" applyFill="1" applyBorder="1" applyAlignment="1">
      <alignment horizontal="center" vertical="center" wrapText="1"/>
    </xf>
    <xf numFmtId="169" fontId="9" fillId="5" borderId="22" xfId="1" applyNumberFormat="1" applyFont="1" applyFill="1" applyBorder="1" applyAlignment="1">
      <alignment horizontal="center" vertical="center" wrapText="1"/>
    </xf>
    <xf numFmtId="171" fontId="9" fillId="27" borderId="18" xfId="1" applyNumberFormat="1" applyFont="1" applyFill="1" applyBorder="1" applyAlignment="1">
      <alignment horizontal="center" vertical="center" wrapText="1"/>
    </xf>
    <xf numFmtId="169" fontId="9" fillId="56" borderId="22" xfId="1" applyNumberFormat="1" applyFont="1" applyFill="1" applyBorder="1" applyAlignment="1">
      <alignment horizontal="center" vertical="center" wrapText="1"/>
    </xf>
    <xf numFmtId="171" fontId="9" fillId="7" borderId="22" xfId="1" applyNumberFormat="1" applyFont="1" applyFill="1" applyBorder="1" applyAlignment="1">
      <alignment horizontal="center" vertical="center" wrapText="1"/>
    </xf>
    <xf numFmtId="169" fontId="2" fillId="56" borderId="22" xfId="1" applyNumberFormat="1" applyFill="1" applyBorder="1" applyAlignment="1">
      <alignment horizontal="center" vertical="center" wrapText="1"/>
    </xf>
    <xf numFmtId="171" fontId="2" fillId="7" borderId="22" xfId="1" applyNumberFormat="1" applyFill="1" applyBorder="1" applyAlignment="1">
      <alignment horizontal="center" vertical="center" wrapText="1"/>
    </xf>
    <xf numFmtId="169" fontId="9" fillId="9" borderId="22" xfId="1" applyNumberFormat="1" applyFont="1" applyFill="1" applyBorder="1" applyAlignment="1">
      <alignment horizontal="center" vertical="center" wrapText="1"/>
    </xf>
    <xf numFmtId="171" fontId="9" fillId="32" borderId="22" xfId="1" applyNumberFormat="1" applyFont="1" applyFill="1" applyBorder="1" applyAlignment="1">
      <alignment horizontal="center" vertical="center" wrapText="1"/>
    </xf>
    <xf numFmtId="169" fontId="2" fillId="9" borderId="22" xfId="1" applyNumberFormat="1" applyFill="1" applyBorder="1" applyAlignment="1">
      <alignment horizontal="center" vertical="center" wrapText="1"/>
    </xf>
    <xf numFmtId="171" fontId="2" fillId="32" borderId="22" xfId="1" applyNumberFormat="1" applyFill="1" applyBorder="1" applyAlignment="1">
      <alignment horizontal="center" vertical="center" wrapText="1"/>
    </xf>
    <xf numFmtId="175" fontId="20" fillId="6" borderId="0" xfId="1" applyFont="1" applyFill="1" applyBorder="1" applyAlignment="1">
      <alignment horizontal="center" vertical="center" wrapText="1"/>
    </xf>
    <xf numFmtId="175" fontId="11" fillId="6" borderId="21" xfId="1" applyFont="1" applyFill="1" applyBorder="1" applyAlignment="1">
      <alignment horizontal="center" vertical="center" wrapText="1"/>
    </xf>
    <xf numFmtId="175" fontId="11" fillId="6" borderId="23" xfId="1" applyFont="1" applyFill="1" applyBorder="1" applyAlignment="1">
      <alignment horizontal="center" vertical="center" wrapText="1"/>
    </xf>
    <xf numFmtId="175" fontId="2" fillId="6" borderId="17" xfId="1" applyFill="1" applyBorder="1" applyAlignment="1">
      <alignment horizontal="center" vertical="center" wrapText="1"/>
    </xf>
    <xf numFmtId="175" fontId="2" fillId="6" borderId="18" xfId="1" applyFill="1" applyBorder="1" applyAlignment="1">
      <alignment horizontal="center" vertical="center" wrapText="1"/>
    </xf>
    <xf numFmtId="175" fontId="2" fillId="6" borderId="13" xfId="1" applyFill="1" applyBorder="1" applyAlignment="1">
      <alignment horizontal="center" vertical="center" wrapText="1"/>
    </xf>
    <xf numFmtId="175" fontId="20" fillId="58" borderId="17" xfId="1" applyFont="1" applyFill="1" applyBorder="1" applyAlignment="1">
      <alignment horizontal="center" vertical="center" wrapText="1"/>
    </xf>
    <xf numFmtId="175" fontId="20" fillId="58" borderId="20" xfId="1" applyFont="1" applyFill="1" applyBorder="1" applyAlignment="1">
      <alignment horizontal="center" vertical="center" wrapText="1"/>
    </xf>
    <xf numFmtId="172" fontId="2" fillId="32" borderId="1" xfId="1" applyNumberFormat="1" applyFill="1" applyBorder="1" applyAlignment="1">
      <alignment horizontal="center" vertical="center" wrapText="1"/>
    </xf>
    <xf numFmtId="175" fontId="20" fillId="58" borderId="21" xfId="1" applyFont="1" applyFill="1" applyBorder="1" applyAlignment="1">
      <alignment horizontal="center" vertical="center" wrapText="1"/>
    </xf>
    <xf numFmtId="175" fontId="3" fillId="6" borderId="0" xfId="1" applyFont="1" applyFill="1" applyAlignment="1">
      <alignment horizontal="center" vertical="center" wrapText="1"/>
    </xf>
    <xf numFmtId="175" fontId="2" fillId="44" borderId="0" xfId="1" applyFill="1" applyAlignment="1">
      <alignment horizontal="center" vertical="center" wrapText="1"/>
    </xf>
    <xf numFmtId="175" fontId="20" fillId="22" borderId="1" xfId="1" applyFont="1" applyFill="1" applyBorder="1" applyAlignment="1">
      <alignment horizontal="center" vertical="center" wrapText="1"/>
    </xf>
    <xf numFmtId="175" fontId="2" fillId="60" borderId="0" xfId="1" applyFill="1" applyAlignment="1">
      <alignment horizontal="left" vertical="center" wrapText="1"/>
    </xf>
    <xf numFmtId="175" fontId="11" fillId="22" borderId="18" xfId="1" applyFont="1" applyFill="1" applyBorder="1" applyAlignment="1">
      <alignment horizontal="center" vertical="center" wrapText="1"/>
    </xf>
    <xf numFmtId="175" fontId="11" fillId="22" borderId="1" xfId="1" applyFont="1" applyFill="1" applyBorder="1" applyAlignment="1">
      <alignment horizontal="center" vertical="center" wrapText="1"/>
    </xf>
    <xf numFmtId="175" fontId="2" fillId="6" borderId="0" xfId="1" applyFont="1" applyFill="1" applyAlignment="1">
      <alignment horizontal="center" vertical="center" wrapText="1"/>
    </xf>
    <xf numFmtId="175" fontId="16" fillId="6" borderId="1" xfId="1" applyFont="1" applyFill="1" applyBorder="1" applyAlignment="1">
      <alignment horizontal="center" vertical="center" wrapText="1"/>
    </xf>
    <xf numFmtId="175" fontId="2" fillId="6" borderId="24" xfId="1" applyFont="1" applyFill="1" applyBorder="1" applyAlignment="1">
      <alignment horizontal="center" vertical="center" wrapText="1"/>
    </xf>
    <xf numFmtId="175" fontId="11" fillId="22" borderId="22" xfId="1" applyFont="1" applyFill="1" applyBorder="1" applyAlignment="1">
      <alignment horizontal="center" vertical="center" wrapText="1"/>
    </xf>
    <xf numFmtId="175" fontId="11" fillId="60" borderId="1" xfId="1" applyFont="1" applyFill="1" applyBorder="1" applyAlignment="1">
      <alignment horizontal="center" vertical="center" wrapText="1"/>
    </xf>
    <xf numFmtId="175" fontId="11" fillId="21" borderId="25" xfId="1" applyFont="1" applyFill="1" applyBorder="1" applyAlignment="1">
      <alignment horizontal="center" vertical="center" wrapText="1"/>
    </xf>
    <xf numFmtId="175" fontId="11" fillId="60" borderId="16" xfId="1" applyFont="1" applyFill="1" applyBorder="1" applyAlignment="1">
      <alignment horizontal="center" vertical="center" wrapText="1"/>
    </xf>
    <xf numFmtId="175" fontId="16" fillId="6" borderId="25" xfId="1" applyFont="1" applyFill="1" applyBorder="1" applyAlignment="1">
      <alignment vertical="center" wrapText="1"/>
    </xf>
    <xf numFmtId="175" fontId="16" fillId="0" borderId="0" xfId="1" applyFont="1" applyAlignment="1">
      <alignment horizontal="center" vertical="center" wrapText="1"/>
    </xf>
    <xf numFmtId="175" fontId="2" fillId="0" borderId="0" xfId="1" applyBorder="1" applyAlignment="1">
      <alignment horizontal="center" vertical="center" wrapText="1"/>
    </xf>
    <xf numFmtId="175" fontId="16" fillId="6" borderId="18" xfId="1" applyFont="1" applyFill="1" applyBorder="1" applyAlignment="1">
      <alignment vertical="center" wrapText="1"/>
    </xf>
    <xf numFmtId="175" fontId="16" fillId="0" borderId="13" xfId="1" applyFont="1" applyBorder="1" applyAlignment="1">
      <alignment horizontal="center" vertical="center" wrapText="1"/>
    </xf>
    <xf numFmtId="175" fontId="2" fillId="6" borderId="24" xfId="1" applyFill="1" applyBorder="1" applyAlignment="1">
      <alignment horizontal="center" vertical="center" wrapText="1"/>
    </xf>
    <xf numFmtId="175" fontId="2" fillId="6" borderId="21" xfId="1" applyFill="1" applyBorder="1" applyAlignment="1">
      <alignment horizontal="center" vertical="center" wrapText="1"/>
    </xf>
    <xf numFmtId="175" fontId="2" fillId="6" borderId="23" xfId="1" applyFill="1" applyBorder="1" applyAlignment="1">
      <alignment horizontal="center" vertical="center" wrapText="1"/>
    </xf>
    <xf numFmtId="175" fontId="2" fillId="6" borderId="25" xfId="1" applyFill="1" applyBorder="1" applyAlignment="1">
      <alignment horizontal="center" vertical="center" wrapText="1"/>
    </xf>
    <xf numFmtId="175" fontId="2" fillId="61" borderId="0" xfId="1" applyFill="1" applyAlignment="1">
      <alignment horizontal="center" vertical="center" wrapText="1"/>
    </xf>
    <xf numFmtId="175" fontId="2" fillId="0" borderId="24" xfId="1" applyBorder="1" applyAlignment="1">
      <alignment horizontal="center" vertical="center" wrapText="1"/>
    </xf>
    <xf numFmtId="175" fontId="20" fillId="22" borderId="1" xfId="1" applyFont="1" applyFill="1" applyBorder="1" applyAlignment="1">
      <alignment horizontal="center" vertical="center" wrapText="1"/>
    </xf>
    <xf numFmtId="175" fontId="20" fillId="58" borderId="17" xfId="1" applyFont="1" applyFill="1" applyBorder="1" applyAlignment="1">
      <alignment horizontal="center" vertical="center" wrapText="1"/>
    </xf>
    <xf numFmtId="175" fontId="2" fillId="9" borderId="1" xfId="1" applyFont="1" applyFill="1" applyBorder="1" applyAlignment="1">
      <alignment horizontal="center" vertical="center" wrapText="1"/>
    </xf>
    <xf numFmtId="175" fontId="11" fillId="21" borderId="18" xfId="1" applyFont="1" applyFill="1" applyBorder="1" applyAlignment="1">
      <alignment horizontal="center" vertical="center" wrapText="1"/>
    </xf>
    <xf numFmtId="175" fontId="2" fillId="62" borderId="1" xfId="1" applyFill="1" applyBorder="1" applyAlignment="1">
      <alignment vertical="center" wrapText="1"/>
    </xf>
    <xf numFmtId="175" fontId="2" fillId="62" borderId="1" xfId="1" applyFill="1" applyBorder="1" applyAlignment="1">
      <alignment horizontal="center" vertical="center" wrapText="1"/>
    </xf>
    <xf numFmtId="175" fontId="2" fillId="0" borderId="0" xfId="1" applyFill="1" applyAlignment="1">
      <alignment horizontal="center"/>
    </xf>
    <xf numFmtId="175" fontId="2" fillId="0" borderId="0" xfId="1" applyAlignment="1">
      <alignment vertical="center"/>
    </xf>
    <xf numFmtId="175" fontId="9" fillId="0" borderId="0" xfId="1" applyFont="1" applyAlignment="1">
      <alignment vertical="center"/>
    </xf>
    <xf numFmtId="175" fontId="9" fillId="0" borderId="0" xfId="1" applyFont="1" applyAlignment="1">
      <alignment vertical="center" wrapText="1"/>
    </xf>
    <xf numFmtId="175" fontId="9" fillId="0" borderId="0" xfId="1" applyFont="1" applyFill="1" applyAlignment="1">
      <alignment horizontal="center" vertical="center"/>
    </xf>
    <xf numFmtId="175" fontId="9" fillId="0" borderId="26" xfId="1" applyFont="1" applyBorder="1"/>
    <xf numFmtId="175" fontId="9" fillId="11" borderId="26" xfId="1" applyFont="1" applyFill="1" applyBorder="1" applyAlignment="1">
      <alignment horizontal="center" vertical="center"/>
    </xf>
    <xf numFmtId="175" fontId="9" fillId="0" borderId="26" xfId="1" applyFont="1" applyBorder="1" applyAlignment="1">
      <alignment horizontal="center" vertical="center"/>
    </xf>
    <xf numFmtId="175" fontId="9" fillId="64" borderId="26" xfId="1" applyFont="1" applyFill="1" applyBorder="1" applyAlignment="1">
      <alignment horizontal="center" vertical="center"/>
    </xf>
    <xf numFmtId="175" fontId="9" fillId="65" borderId="26" xfId="1" applyFont="1" applyFill="1" applyBorder="1" applyAlignment="1">
      <alignment horizontal="center" vertical="center"/>
    </xf>
    <xf numFmtId="175" fontId="9" fillId="0" borderId="26" xfId="1" applyFont="1" applyFill="1" applyBorder="1" applyAlignment="1">
      <alignment horizontal="center" vertical="center"/>
    </xf>
    <xf numFmtId="175" fontId="9" fillId="66" borderId="26" xfId="1" applyFont="1" applyFill="1" applyBorder="1" applyAlignment="1">
      <alignment horizontal="center" vertical="center"/>
    </xf>
    <xf numFmtId="175" fontId="9" fillId="59" borderId="26" xfId="1" applyFont="1" applyFill="1" applyBorder="1" applyAlignment="1">
      <alignment horizontal="center" vertical="center"/>
    </xf>
    <xf numFmtId="175" fontId="9" fillId="67" borderId="26" xfId="1" applyFont="1" applyFill="1" applyBorder="1" applyAlignment="1">
      <alignment horizontal="center" vertical="center"/>
    </xf>
    <xf numFmtId="175" fontId="9" fillId="10" borderId="5" xfId="1" applyFont="1" applyFill="1" applyBorder="1" applyAlignment="1">
      <alignment horizontal="center" vertical="center"/>
    </xf>
    <xf numFmtId="175" fontId="2" fillId="0" borderId="0" xfId="1" applyFill="1"/>
    <xf numFmtId="175" fontId="9" fillId="0" borderId="0" xfId="1" applyFont="1" applyAlignment="1">
      <alignment horizontal="center" vertical="center"/>
    </xf>
    <xf numFmtId="175" fontId="2" fillId="0" borderId="7" xfId="1" applyBorder="1" applyAlignment="1">
      <alignment vertical="center"/>
    </xf>
    <xf numFmtId="175" fontId="9" fillId="11" borderId="0" xfId="1" applyFont="1" applyFill="1" applyAlignment="1">
      <alignment horizontal="center" vertical="center"/>
    </xf>
    <xf numFmtId="175" fontId="9" fillId="64" borderId="0" xfId="1" applyFont="1" applyFill="1" applyAlignment="1">
      <alignment horizontal="center" vertical="center"/>
    </xf>
    <xf numFmtId="175" fontId="9" fillId="66" borderId="0" xfId="1" applyFont="1" applyFill="1" applyAlignment="1">
      <alignment horizontal="center" vertical="center"/>
    </xf>
    <xf numFmtId="175" fontId="9" fillId="10" borderId="7" xfId="1" applyFont="1" applyFill="1" applyBorder="1" applyAlignment="1">
      <alignment horizontal="center" vertical="center"/>
    </xf>
    <xf numFmtId="175" fontId="9" fillId="0" borderId="7" xfId="1" applyFont="1" applyBorder="1" applyAlignment="1">
      <alignment vertical="center"/>
    </xf>
    <xf numFmtId="175" fontId="9" fillId="0" borderId="2" xfId="1" applyFont="1" applyBorder="1" applyAlignment="1">
      <alignment vertical="center"/>
    </xf>
    <xf numFmtId="175" fontId="9" fillId="0" borderId="9" xfId="1" applyFont="1" applyBorder="1" applyAlignment="1">
      <alignment vertical="center"/>
    </xf>
    <xf numFmtId="175" fontId="9" fillId="0" borderId="0" xfId="1" applyFont="1" applyAlignment="1">
      <alignment horizontal="center"/>
    </xf>
    <xf numFmtId="175" fontId="9" fillId="0" borderId="26" xfId="1" applyFont="1" applyBorder="1" applyAlignment="1">
      <alignment horizontal="center"/>
    </xf>
    <xf numFmtId="175" fontId="2" fillId="0" borderId="26" xfId="1" applyBorder="1"/>
    <xf numFmtId="175" fontId="9" fillId="0" borderId="7" xfId="1" applyFont="1" applyBorder="1" applyAlignment="1">
      <alignment horizontal="center" vertical="center"/>
    </xf>
    <xf numFmtId="175" fontId="9" fillId="11" borderId="0" xfId="1" applyFont="1" applyFill="1" applyBorder="1" applyAlignment="1">
      <alignment horizontal="center" vertical="center"/>
    </xf>
    <xf numFmtId="175" fontId="9" fillId="0" borderId="0" xfId="1" applyFont="1" applyBorder="1" applyAlignment="1">
      <alignment horizontal="center" vertical="center"/>
    </xf>
    <xf numFmtId="175" fontId="9" fillId="64" borderId="0" xfId="1" applyFont="1" applyFill="1" applyBorder="1" applyAlignment="1">
      <alignment horizontal="center" vertical="center"/>
    </xf>
    <xf numFmtId="175" fontId="2" fillId="0" borderId="0" xfId="1" applyBorder="1"/>
    <xf numFmtId="175" fontId="2" fillId="0" borderId="8" xfId="1" applyFill="1" applyBorder="1" applyAlignment="1">
      <alignment horizontal="center" vertical="center"/>
    </xf>
    <xf numFmtId="175" fontId="9" fillId="0" borderId="2" xfId="1" applyFont="1" applyFill="1" applyBorder="1" applyAlignment="1">
      <alignment horizontal="center"/>
    </xf>
    <xf numFmtId="175" fontId="9" fillId="0" borderId="2" xfId="1" applyFont="1" applyFill="1" applyBorder="1" applyAlignment="1">
      <alignment horizontal="center" vertical="center"/>
    </xf>
    <xf numFmtId="175" fontId="2" fillId="0" borderId="2" xfId="1" applyFill="1" applyBorder="1"/>
    <xf numFmtId="175" fontId="9" fillId="0" borderId="2" xfId="1" applyFont="1" applyBorder="1" applyAlignment="1">
      <alignment horizontal="center" vertical="center"/>
    </xf>
    <xf numFmtId="175" fontId="9" fillId="0" borderId="9" xfId="1" applyFont="1" applyFill="1" applyBorder="1" applyAlignment="1">
      <alignment horizontal="center" vertical="center"/>
    </xf>
    <xf numFmtId="175" fontId="9" fillId="0" borderId="0" xfId="1" applyFont="1" applyBorder="1"/>
    <xf numFmtId="175" fontId="9" fillId="0" borderId="0" xfId="1" applyFont="1" applyFill="1" applyBorder="1" applyAlignment="1">
      <alignment horizontal="center" vertical="center"/>
    </xf>
    <xf numFmtId="175" fontId="9" fillId="66" borderId="0" xfId="1" applyFont="1" applyFill="1" applyBorder="1" applyAlignment="1">
      <alignment horizontal="center" vertical="center"/>
    </xf>
    <xf numFmtId="175" fontId="9" fillId="0" borderId="0" xfId="1" applyFont="1" applyBorder="1" applyAlignment="1">
      <alignment vertical="center"/>
    </xf>
    <xf numFmtId="175" fontId="9" fillId="0" borderId="2" xfId="1" applyFont="1" applyFill="1" applyBorder="1"/>
    <xf numFmtId="175" fontId="9" fillId="0" borderId="2" xfId="1" applyFont="1" applyFill="1" applyBorder="1" applyAlignment="1">
      <alignment vertical="center"/>
    </xf>
    <xf numFmtId="175" fontId="9" fillId="0" borderId="0" xfId="1" applyFont="1" applyAlignment="1">
      <alignment wrapText="1"/>
    </xf>
    <xf numFmtId="175" fontId="2" fillId="0" borderId="9" xfId="1" applyBorder="1"/>
    <xf numFmtId="175" fontId="2" fillId="0" borderId="0" xfId="1" applyAlignment="1">
      <alignment horizontal="right" vertical="center" wrapText="1"/>
    </xf>
    <xf numFmtId="175" fontId="11" fillId="70" borderId="1" xfId="1" applyFont="1" applyFill="1" applyBorder="1" applyAlignment="1">
      <alignment horizontal="right" vertical="center" wrapText="1"/>
    </xf>
    <xf numFmtId="175" fontId="9" fillId="39" borderId="1" xfId="1" applyFont="1" applyFill="1" applyBorder="1" applyAlignment="1">
      <alignment horizontal="center" vertical="center" wrapText="1"/>
    </xf>
    <xf numFmtId="175" fontId="9" fillId="0" borderId="0" xfId="1" applyFont="1" applyAlignment="1">
      <alignment horizontal="right" vertical="center" wrapText="1"/>
    </xf>
    <xf numFmtId="175" fontId="11" fillId="71" borderId="0" xfId="1" applyFont="1" applyFill="1" applyAlignment="1">
      <alignment horizontal="right" vertical="center" wrapText="1"/>
    </xf>
    <xf numFmtId="175" fontId="2" fillId="9" borderId="1" xfId="1" applyFill="1" applyBorder="1" applyAlignment="1">
      <alignment horizontal="center" vertical="center" wrapText="1"/>
    </xf>
    <xf numFmtId="175" fontId="2" fillId="8" borderId="1" xfId="1" applyFont="1" applyFill="1" applyBorder="1" applyAlignment="1">
      <alignment horizontal="center" vertical="center" wrapText="1"/>
    </xf>
    <xf numFmtId="175" fontId="2" fillId="8" borderId="16" xfId="1" applyFont="1" applyFill="1" applyBorder="1" applyAlignment="1">
      <alignment horizontal="center" vertical="center" wrapText="1"/>
    </xf>
    <xf numFmtId="175" fontId="2" fillId="5" borderId="1" xfId="1" applyFill="1" applyBorder="1" applyAlignment="1">
      <alignment horizontal="center" vertical="center" wrapText="1"/>
    </xf>
    <xf numFmtId="175" fontId="11" fillId="10" borderId="1" xfId="1" applyFont="1" applyFill="1" applyBorder="1" applyAlignment="1">
      <alignment horizontal="center" vertical="center"/>
    </xf>
    <xf numFmtId="175" fontId="11" fillId="6" borderId="1" xfId="1" applyFont="1" applyFill="1" applyBorder="1" applyAlignment="1">
      <alignment horizontal="center" vertical="center" wrapText="1"/>
    </xf>
    <xf numFmtId="175" fontId="2" fillId="6" borderId="1" xfId="1" applyFont="1" applyFill="1" applyBorder="1" applyAlignment="1">
      <alignment horizontal="center" vertical="center" wrapText="1"/>
    </xf>
    <xf numFmtId="175" fontId="11" fillId="6" borderId="15" xfId="1" applyFont="1" applyFill="1" applyBorder="1" applyAlignment="1">
      <alignment horizontal="center" vertical="center" wrapText="1"/>
    </xf>
    <xf numFmtId="175" fontId="11" fillId="6" borderId="16" xfId="1" applyFont="1" applyFill="1" applyBorder="1" applyAlignment="1">
      <alignment horizontal="center" vertical="center"/>
    </xf>
    <xf numFmtId="175" fontId="8" fillId="22" borderId="18" xfId="1" applyFont="1" applyFill="1" applyBorder="1" applyAlignment="1">
      <alignment horizontal="center" vertical="center" wrapText="1"/>
    </xf>
    <xf numFmtId="175" fontId="2" fillId="30" borderId="15" xfId="1" applyFont="1" applyFill="1" applyBorder="1" applyAlignment="1">
      <alignment horizontal="center" vertical="center" wrapText="1"/>
    </xf>
    <xf numFmtId="175" fontId="2" fillId="30" borderId="1" xfId="1" applyFont="1" applyFill="1" applyBorder="1" applyAlignment="1">
      <alignment horizontal="center" vertical="center" wrapText="1"/>
    </xf>
    <xf numFmtId="175" fontId="11" fillId="60" borderId="1" xfId="1" applyFont="1" applyFill="1" applyBorder="1" applyAlignment="1">
      <alignment horizontal="center" vertical="center" wrapText="1"/>
    </xf>
    <xf numFmtId="175" fontId="11" fillId="29" borderId="1" xfId="1" applyFont="1" applyFill="1" applyBorder="1" applyAlignment="1">
      <alignment vertical="center" wrapText="1"/>
    </xf>
    <xf numFmtId="175" fontId="2" fillId="5" borderId="15" xfId="1" applyFont="1" applyFill="1" applyBorder="1" applyAlignment="1">
      <alignment horizontal="center" vertical="center" wrapText="1"/>
    </xf>
    <xf numFmtId="175" fontId="2" fillId="9" borderId="15" xfId="1" applyFont="1" applyFill="1" applyBorder="1" applyAlignment="1">
      <alignment horizontal="center" vertical="center" wrapText="1"/>
    </xf>
    <xf numFmtId="175" fontId="2" fillId="9" borderId="18" xfId="1" applyFont="1" applyFill="1" applyBorder="1" applyAlignment="1">
      <alignment horizontal="center" vertical="center" wrapText="1"/>
    </xf>
    <xf numFmtId="175" fontId="2" fillId="5" borderId="1" xfId="1" applyFont="1" applyFill="1" applyBorder="1" applyAlignment="1">
      <alignment horizontal="center" vertical="center" wrapText="1"/>
    </xf>
    <xf numFmtId="175" fontId="22" fillId="44" borderId="19" xfId="1" applyFont="1" applyFill="1" applyBorder="1" applyAlignment="1">
      <alignment vertical="center" textRotation="255" wrapText="1"/>
    </xf>
    <xf numFmtId="175" fontId="2" fillId="0" borderId="8" xfId="1" quotePrefix="1" applyBorder="1"/>
    <xf numFmtId="175" fontId="2" fillId="0" borderId="2" xfId="1" quotePrefix="1" applyBorder="1"/>
    <xf numFmtId="175" fontId="2" fillId="0" borderId="0" xfId="1" quotePrefix="1" applyAlignment="1">
      <alignment horizontal="right"/>
    </xf>
    <xf numFmtId="49" fontId="12" fillId="38" borderId="18" xfId="2" applyNumberFormat="1" applyFont="1" applyFill="1" applyBorder="1" applyAlignment="1">
      <alignment horizontal="center" vertical="center" wrapText="1"/>
    </xf>
    <xf numFmtId="175" fontId="8" fillId="22" borderId="28" xfId="1" applyFont="1" applyFill="1" applyBorder="1" applyAlignment="1">
      <alignment horizontal="center" vertical="center" wrapText="1"/>
    </xf>
    <xf numFmtId="175" fontId="2" fillId="49" borderId="18" xfId="1" applyFont="1" applyFill="1" applyBorder="1" applyAlignment="1">
      <alignment horizontal="center" vertical="center" wrapText="1"/>
    </xf>
    <xf numFmtId="175" fontId="20" fillId="53" borderId="20" xfId="1" applyFont="1" applyFill="1" applyBorder="1" applyAlignment="1">
      <alignment horizontal="center" vertical="center" wrapText="1"/>
    </xf>
    <xf numFmtId="175" fontId="20" fillId="55" borderId="20" xfId="1" applyFont="1" applyFill="1" applyBorder="1" applyAlignment="1">
      <alignment horizontal="center" vertical="center" wrapText="1"/>
    </xf>
    <xf numFmtId="175" fontId="20" fillId="45" borderId="21" xfId="1" applyFont="1" applyFill="1" applyBorder="1" applyAlignment="1">
      <alignment horizontal="center" vertical="center" wrapText="1"/>
    </xf>
    <xf numFmtId="175" fontId="11" fillId="33" borderId="28" xfId="1" applyFont="1" applyFill="1" applyBorder="1" applyAlignment="1">
      <alignment horizontal="center" vertical="center" wrapText="1"/>
    </xf>
    <xf numFmtId="175" fontId="11" fillId="35" borderId="28" xfId="1" applyFont="1" applyFill="1" applyBorder="1" applyAlignment="1">
      <alignment horizontal="center" vertical="center"/>
    </xf>
    <xf numFmtId="175" fontId="3" fillId="38" borderId="28" xfId="2" applyFill="1" applyBorder="1" applyAlignment="1">
      <alignment horizontal="center" vertical="center" wrapText="1"/>
    </xf>
    <xf numFmtId="175" fontId="2" fillId="38" borderId="28" xfId="1" applyFill="1" applyBorder="1" applyAlignment="1">
      <alignment horizontal="center" vertical="center" wrapText="1"/>
    </xf>
    <xf numFmtId="0" fontId="2" fillId="3" borderId="28" xfId="13" applyFont="1" applyFill="1" applyBorder="1" applyAlignment="1">
      <alignment horizontal="center"/>
    </xf>
    <xf numFmtId="175" fontId="2" fillId="0" borderId="28" xfId="1" applyBorder="1" applyAlignment="1">
      <alignment horizontal="center" vertical="center" wrapText="1"/>
    </xf>
    <xf numFmtId="175" fontId="3" fillId="38" borderId="28" xfId="2" applyFill="1" applyBorder="1" applyAlignment="1">
      <alignment horizontal="right" vertical="center" wrapText="1"/>
    </xf>
    <xf numFmtId="175" fontId="2" fillId="38" borderId="28" xfId="1" applyFill="1" applyBorder="1" applyAlignment="1">
      <alignment horizontal="right" vertical="center" wrapText="1"/>
    </xf>
    <xf numFmtId="175" fontId="2" fillId="0" borderId="28" xfId="1" applyBorder="1" applyAlignment="1">
      <alignment horizontal="right" vertical="center" wrapText="1"/>
    </xf>
    <xf numFmtId="0" fontId="27" fillId="34" borderId="28" xfId="1" applyNumberFormat="1" applyFont="1" applyFill="1" applyBorder="1" applyAlignment="1">
      <alignment horizontal="center" vertical="center" wrapText="1"/>
    </xf>
    <xf numFmtId="0" fontId="2" fillId="32" borderId="28" xfId="1" applyNumberFormat="1" applyFill="1" applyBorder="1" applyAlignment="1">
      <alignment horizontal="center" vertical="center" wrapText="1"/>
    </xf>
    <xf numFmtId="0" fontId="2" fillId="0" borderId="28" xfId="1" applyNumberFormat="1" applyBorder="1" applyAlignment="1">
      <alignment horizontal="center" vertical="center" wrapText="1"/>
    </xf>
    <xf numFmtId="2" fontId="2" fillId="32" borderId="28" xfId="1" applyNumberFormat="1" applyFill="1" applyBorder="1" applyAlignment="1">
      <alignment horizontal="center" vertical="center" wrapText="1"/>
    </xf>
    <xf numFmtId="175" fontId="34" fillId="81" borderId="28" xfId="2" applyFont="1" applyFill="1" applyBorder="1" applyAlignment="1">
      <alignment horizontal="center" vertical="center" wrapText="1"/>
    </xf>
    <xf numFmtId="167" fontId="32" fillId="80" borderId="29" xfId="1" applyNumberFormat="1" applyFont="1" applyFill="1" applyBorder="1" applyAlignment="1">
      <alignment horizontal="center" vertical="center" wrapText="1"/>
    </xf>
    <xf numFmtId="175" fontId="2" fillId="0" borderId="16" xfId="1" applyBorder="1"/>
    <xf numFmtId="175" fontId="35" fillId="82" borderId="0" xfId="1" applyFont="1" applyFill="1" applyAlignment="1">
      <alignment horizontal="center" vertical="center" wrapText="1"/>
    </xf>
    <xf numFmtId="175" fontId="35" fillId="82" borderId="0" xfId="1" applyFont="1" applyFill="1"/>
    <xf numFmtId="175" fontId="2" fillId="82" borderId="0" xfId="1" applyFill="1"/>
    <xf numFmtId="0" fontId="0" fillId="82" borderId="0" xfId="0" applyFill="1"/>
    <xf numFmtId="0" fontId="2" fillId="32" borderId="0" xfId="1" applyNumberFormat="1" applyFill="1" applyBorder="1" applyAlignment="1">
      <alignment horizontal="center" vertical="center" wrapText="1"/>
    </xf>
    <xf numFmtId="175" fontId="3" fillId="38" borderId="18" xfId="2" applyFill="1" applyBorder="1" applyAlignment="1">
      <alignment horizontal="right" vertical="center" wrapText="1"/>
    </xf>
    <xf numFmtId="167" fontId="32" fillId="80" borderId="28" xfId="1" applyNumberFormat="1" applyFont="1" applyFill="1" applyBorder="1" applyAlignment="1">
      <alignment horizontal="center" vertical="center" wrapText="1"/>
    </xf>
    <xf numFmtId="0" fontId="2" fillId="0" borderId="0" xfId="1" applyNumberFormat="1" applyBorder="1" applyAlignment="1">
      <alignment horizontal="center" vertical="center" wrapText="1"/>
    </xf>
    <xf numFmtId="2" fontId="2" fillId="32" borderId="0" xfId="1" applyNumberFormat="1" applyFill="1" applyBorder="1" applyAlignment="1">
      <alignment horizontal="center" vertical="center" wrapText="1"/>
    </xf>
    <xf numFmtId="0" fontId="27" fillId="34" borderId="29" xfId="1" applyNumberFormat="1" applyFont="1" applyFill="1" applyBorder="1" applyAlignment="1">
      <alignment horizontal="center" vertical="center" wrapText="1"/>
    </xf>
    <xf numFmtId="0" fontId="0" fillId="0" borderId="0" xfId="0"/>
    <xf numFmtId="175" fontId="2" fillId="38" borderId="30" xfId="1" applyFill="1" applyBorder="1" applyAlignment="1">
      <alignment horizontal="right" vertical="center" wrapText="1"/>
    </xf>
    <xf numFmtId="0" fontId="2" fillId="32" borderId="31" xfId="1" applyNumberFormat="1" applyFill="1" applyBorder="1" applyAlignment="1">
      <alignment horizontal="center" vertical="center" wrapText="1"/>
    </xf>
    <xf numFmtId="0" fontId="2" fillId="32" borderId="0" xfId="1" applyNumberFormat="1" applyFill="1" applyAlignment="1">
      <alignment horizontal="center" vertical="center" wrapText="1"/>
    </xf>
    <xf numFmtId="175" fontId="11" fillId="37" borderId="1" xfId="1" applyFont="1" applyFill="1" applyBorder="1" applyAlignment="1">
      <alignment horizontal="center" vertical="center" wrapText="1"/>
    </xf>
    <xf numFmtId="0" fontId="0" fillId="6" borderId="0" xfId="0" applyFill="1" applyBorder="1" applyAlignment="1"/>
    <xf numFmtId="175" fontId="38" fillId="44" borderId="0" xfId="1" applyFont="1" applyFill="1" applyAlignment="1">
      <alignment horizontal="center" vertical="center" wrapText="1"/>
    </xf>
    <xf numFmtId="175" fontId="39" fillId="21" borderId="1" xfId="1" applyFont="1" applyFill="1" applyBorder="1" applyAlignment="1">
      <alignment horizontal="center" vertical="center" wrapText="1"/>
    </xf>
    <xf numFmtId="175" fontId="39" fillId="22" borderId="22" xfId="1" applyFont="1" applyFill="1" applyBorder="1" applyAlignment="1">
      <alignment horizontal="center" vertical="center" wrapText="1"/>
    </xf>
    <xf numFmtId="175" fontId="39" fillId="22" borderId="18" xfId="1" applyFont="1" applyFill="1" applyBorder="1" applyAlignment="1">
      <alignment horizontal="center" vertical="center" wrapText="1"/>
    </xf>
    <xf numFmtId="175" fontId="39" fillId="22" borderId="1" xfId="1" applyFont="1" applyFill="1" applyBorder="1" applyAlignment="1">
      <alignment horizontal="center" vertical="center" wrapText="1"/>
    </xf>
    <xf numFmtId="175" fontId="39" fillId="46" borderId="1" xfId="1" applyFont="1" applyFill="1" applyBorder="1" applyAlignment="1">
      <alignment horizontal="center" vertical="center" wrapText="1"/>
    </xf>
    <xf numFmtId="175" fontId="39" fillId="21" borderId="18" xfId="1" applyFont="1" applyFill="1" applyBorder="1" applyAlignment="1">
      <alignment horizontal="center" vertical="center" wrapText="1"/>
    </xf>
    <xf numFmtId="175" fontId="39" fillId="60" borderId="1" xfId="1" applyFont="1" applyFill="1" applyBorder="1" applyAlignment="1">
      <alignment horizontal="center" vertical="center" wrapText="1"/>
    </xf>
    <xf numFmtId="175" fontId="39" fillId="21" borderId="25" xfId="1" applyFont="1" applyFill="1" applyBorder="1" applyAlignment="1">
      <alignment horizontal="center" vertical="center" wrapText="1"/>
    </xf>
    <xf numFmtId="175" fontId="39" fillId="60" borderId="16" xfId="1" applyFont="1" applyFill="1" applyBorder="1" applyAlignment="1">
      <alignment horizontal="center" vertical="center" wrapText="1"/>
    </xf>
    <xf numFmtId="175" fontId="40" fillId="22" borderId="28" xfId="1" applyFont="1" applyFill="1" applyBorder="1" applyAlignment="1">
      <alignment horizontal="center" vertical="center" wrapText="1"/>
    </xf>
    <xf numFmtId="49" fontId="37" fillId="38" borderId="18" xfId="2" applyNumberFormat="1" applyFont="1" applyFill="1" applyBorder="1" applyAlignment="1">
      <alignment horizontal="center" vertical="center" wrapText="1"/>
    </xf>
    <xf numFmtId="175" fontId="37" fillId="47" borderId="1" xfId="1" applyFont="1" applyFill="1" applyBorder="1" applyAlignment="1">
      <alignment horizontal="center" vertical="center" wrapText="1"/>
    </xf>
    <xf numFmtId="175" fontId="38" fillId="48" borderId="18" xfId="1" applyFont="1" applyFill="1" applyBorder="1" applyAlignment="1">
      <alignment horizontal="center" vertical="center" wrapText="1"/>
    </xf>
    <xf numFmtId="168" fontId="37" fillId="49" borderId="1" xfId="1" applyNumberFormat="1" applyFont="1" applyFill="1" applyBorder="1" applyAlignment="1">
      <alignment horizontal="center" vertical="center" wrapText="1"/>
    </xf>
    <xf numFmtId="175" fontId="40" fillId="44" borderId="0" xfId="1" applyFont="1" applyFill="1" applyBorder="1" applyAlignment="1">
      <alignment vertical="center" textRotation="255" wrapText="1"/>
    </xf>
    <xf numFmtId="175" fontId="39" fillId="44" borderId="28" xfId="1" applyFont="1" applyFill="1" applyBorder="1" applyAlignment="1">
      <alignment horizontal="center" vertical="center" wrapText="1"/>
    </xf>
    <xf numFmtId="175" fontId="38" fillId="50" borderId="22" xfId="1" applyFont="1" applyFill="1" applyBorder="1" applyAlignment="1">
      <alignment horizontal="center" vertical="center" wrapText="1"/>
    </xf>
    <xf numFmtId="175" fontId="38" fillId="30" borderId="18" xfId="1" applyFont="1" applyFill="1" applyBorder="1" applyAlignment="1">
      <alignment horizontal="center" vertical="center" wrapText="1"/>
    </xf>
    <xf numFmtId="169" fontId="37" fillId="51" borderId="22" xfId="1" applyNumberFormat="1" applyFont="1" applyFill="1" applyBorder="1" applyAlignment="1">
      <alignment horizontal="center" vertical="center" wrapText="1"/>
    </xf>
    <xf numFmtId="169" fontId="37" fillId="30" borderId="18" xfId="1" applyNumberFormat="1" applyFont="1" applyFill="1" applyBorder="1" applyAlignment="1">
      <alignment horizontal="center" vertical="center" wrapText="1"/>
    </xf>
    <xf numFmtId="175" fontId="37" fillId="49" borderId="1" xfId="1" applyFont="1" applyFill="1" applyBorder="1" applyAlignment="1">
      <alignment horizontal="center" vertical="center" wrapText="1"/>
    </xf>
    <xf numFmtId="175" fontId="40" fillId="22" borderId="20" xfId="1" applyFont="1" applyFill="1" applyBorder="1" applyAlignment="1">
      <alignment horizontal="center" vertical="center" wrapText="1"/>
    </xf>
    <xf numFmtId="49" fontId="37" fillId="38" borderId="1" xfId="2" applyNumberFormat="1" applyFont="1" applyFill="1" applyBorder="1" applyAlignment="1">
      <alignment horizontal="center" vertical="center" wrapText="1"/>
    </xf>
    <xf numFmtId="175" fontId="39" fillId="53" borderId="28" xfId="1" applyFont="1" applyFill="1" applyBorder="1" applyAlignment="1">
      <alignment horizontal="center" vertical="center" wrapText="1"/>
    </xf>
    <xf numFmtId="169" fontId="38" fillId="5" borderId="22" xfId="1" applyNumberFormat="1" applyFont="1" applyFill="1" applyBorder="1" applyAlignment="1">
      <alignment horizontal="center" vertical="center" wrapText="1"/>
    </xf>
    <xf numFmtId="171" fontId="38" fillId="27" borderId="18" xfId="1" applyNumberFormat="1" applyFont="1" applyFill="1" applyBorder="1" applyAlignment="1">
      <alignment horizontal="center" vertical="center" wrapText="1"/>
    </xf>
    <xf numFmtId="175" fontId="37" fillId="49" borderId="18" xfId="1" applyFont="1" applyFill="1" applyBorder="1" applyAlignment="1">
      <alignment horizontal="center" vertical="center" wrapText="1"/>
    </xf>
    <xf numFmtId="175" fontId="39" fillId="55" borderId="28" xfId="1" applyFont="1" applyFill="1" applyBorder="1" applyAlignment="1">
      <alignment horizontal="center" vertical="center" wrapText="1"/>
    </xf>
    <xf numFmtId="169" fontId="38" fillId="56" borderId="22" xfId="1" applyNumberFormat="1" applyFont="1" applyFill="1" applyBorder="1" applyAlignment="1">
      <alignment horizontal="center" vertical="center" wrapText="1"/>
    </xf>
    <xf numFmtId="171" fontId="38" fillId="7" borderId="22" xfId="1" applyNumberFormat="1" applyFont="1" applyFill="1" applyBorder="1" applyAlignment="1">
      <alignment horizontal="center" vertical="center" wrapText="1"/>
    </xf>
    <xf numFmtId="169" fontId="37" fillId="56" borderId="22" xfId="1" applyNumberFormat="1" applyFont="1" applyFill="1" applyBorder="1" applyAlignment="1">
      <alignment horizontal="center" vertical="center" wrapText="1"/>
    </xf>
    <xf numFmtId="171" fontId="37" fillId="7" borderId="22" xfId="1" applyNumberFormat="1" applyFont="1" applyFill="1" applyBorder="1" applyAlignment="1">
      <alignment horizontal="center" vertical="center" wrapText="1"/>
    </xf>
    <xf numFmtId="175" fontId="39" fillId="45" borderId="17" xfId="1" applyFont="1" applyFill="1" applyBorder="1" applyAlignment="1">
      <alignment horizontal="center" vertical="center" wrapText="1"/>
    </xf>
    <xf numFmtId="169" fontId="38" fillId="9" borderId="22" xfId="1" applyNumberFormat="1" applyFont="1" applyFill="1" applyBorder="1" applyAlignment="1">
      <alignment horizontal="center" vertical="center" wrapText="1"/>
    </xf>
    <xf numFmtId="171" fontId="38" fillId="32" borderId="22" xfId="1" applyNumberFormat="1" applyFont="1" applyFill="1" applyBorder="1" applyAlignment="1">
      <alignment horizontal="center" vertical="center" wrapText="1"/>
    </xf>
    <xf numFmtId="169" fontId="37" fillId="9" borderId="22" xfId="1" applyNumberFormat="1" applyFont="1" applyFill="1" applyBorder="1" applyAlignment="1">
      <alignment horizontal="center" vertical="center" wrapText="1"/>
    </xf>
    <xf numFmtId="171" fontId="37" fillId="32" borderId="22" xfId="1" applyNumberFormat="1" applyFont="1" applyFill="1" applyBorder="1" applyAlignment="1">
      <alignment horizontal="center" vertical="center" wrapText="1"/>
    </xf>
    <xf numFmtId="2" fontId="37" fillId="49" borderId="1" xfId="1" applyNumberFormat="1" applyFont="1" applyFill="1" applyBorder="1" applyAlignment="1">
      <alignment horizontal="center" vertical="center" wrapText="1"/>
    </xf>
    <xf numFmtId="175" fontId="2" fillId="82" borderId="0" xfId="1" applyFill="1" applyAlignment="1">
      <alignment horizontal="center" vertical="center" wrapText="1"/>
    </xf>
    <xf numFmtId="175" fontId="2" fillId="89" borderId="1" xfId="1" applyFill="1" applyBorder="1" applyAlignment="1">
      <alignment horizontal="center" vertical="center" wrapText="1"/>
    </xf>
    <xf numFmtId="175" fontId="2" fillId="84" borderId="1" xfId="1" applyFill="1" applyBorder="1" applyAlignment="1">
      <alignment horizontal="center" vertical="center" wrapText="1"/>
    </xf>
    <xf numFmtId="175" fontId="2" fillId="84" borderId="0" xfId="1" applyFill="1" applyAlignment="1">
      <alignment horizontal="center" vertical="center" wrapText="1"/>
    </xf>
    <xf numFmtId="175" fontId="2" fillId="100" borderId="28" xfId="1" applyFill="1" applyBorder="1" applyAlignment="1">
      <alignment horizontal="center" vertical="center" wrapText="1"/>
    </xf>
    <xf numFmtId="175" fontId="2" fillId="101" borderId="28" xfId="1" applyFill="1" applyBorder="1" applyAlignment="1">
      <alignment horizontal="center" vertical="center" wrapText="1"/>
    </xf>
    <xf numFmtId="175" fontId="9" fillId="101" borderId="28" xfId="1" applyFont="1" applyFill="1" applyBorder="1" applyAlignment="1">
      <alignment horizontal="center" vertical="center" wrapText="1"/>
    </xf>
    <xf numFmtId="175" fontId="9" fillId="101" borderId="28" xfId="1" applyFont="1" applyFill="1" applyBorder="1" applyAlignment="1">
      <alignment horizontal="right" vertical="center" wrapText="1"/>
    </xf>
    <xf numFmtId="0" fontId="42" fillId="102" borderId="32" xfId="0" applyFont="1" applyFill="1" applyBorder="1" applyAlignment="1">
      <alignment horizontal="center" vertical="center" wrapText="1"/>
    </xf>
    <xf numFmtId="0" fontId="0" fillId="103" borderId="0" xfId="0" applyFill="1"/>
    <xf numFmtId="175" fontId="2" fillId="38" borderId="0" xfId="1" applyFill="1" applyBorder="1" applyAlignment="1">
      <alignment horizontal="center" vertical="center" wrapText="1"/>
    </xf>
    <xf numFmtId="175" fontId="2" fillId="8" borderId="1" xfId="1" applyFont="1" applyFill="1" applyBorder="1" applyAlignment="1">
      <alignment horizontal="center" vertical="center" wrapText="1"/>
    </xf>
    <xf numFmtId="0" fontId="2" fillId="3" borderId="28" xfId="13" applyFont="1" applyFill="1" applyBorder="1" applyAlignment="1">
      <alignment horizontal="center" vertical="center"/>
    </xf>
    <xf numFmtId="169" fontId="9" fillId="51" borderId="22" xfId="1" applyNumberFormat="1" applyFont="1" applyFill="1" applyBorder="1" applyAlignment="1">
      <alignment horizontal="center" vertical="center" wrapText="1"/>
    </xf>
    <xf numFmtId="175" fontId="38" fillId="48" borderId="18" xfId="1" applyNumberFormat="1" applyFont="1" applyFill="1" applyBorder="1" applyAlignment="1">
      <alignment horizontal="center" vertical="center" wrapText="1"/>
    </xf>
    <xf numFmtId="175" fontId="20" fillId="22" borderId="1" xfId="1" applyFont="1" applyFill="1" applyBorder="1" applyAlignment="1">
      <alignment horizontal="center" vertical="center" wrapText="1"/>
    </xf>
    <xf numFmtId="175" fontId="11" fillId="22" borderId="1" xfId="1" applyFont="1" applyFill="1" applyBorder="1" applyAlignment="1">
      <alignment horizontal="center" vertical="center" wrapText="1"/>
    </xf>
    <xf numFmtId="175" fontId="46" fillId="40" borderId="1" xfId="2" applyFont="1" applyFill="1" applyBorder="1" applyAlignment="1">
      <alignment horizontal="center" vertical="center" wrapText="1"/>
    </xf>
    <xf numFmtId="175" fontId="47" fillId="40" borderId="1" xfId="1" applyFont="1" applyFill="1" applyBorder="1" applyAlignment="1">
      <alignment horizontal="center" vertical="center" wrapText="1"/>
    </xf>
    <xf numFmtId="175" fontId="2" fillId="0" borderId="0" xfId="1" applyFill="1" applyBorder="1" applyAlignment="1">
      <alignment horizontal="center" vertical="center"/>
    </xf>
    <xf numFmtId="175" fontId="48" fillId="40" borderId="1" xfId="1" applyFont="1" applyFill="1" applyBorder="1" applyAlignment="1">
      <alignment horizontal="center" vertical="center" wrapText="1"/>
    </xf>
    <xf numFmtId="175" fontId="8" fillId="22" borderId="0" xfId="1" applyFont="1" applyFill="1" applyBorder="1" applyAlignment="1">
      <alignment horizontal="center" vertical="center" wrapText="1"/>
    </xf>
    <xf numFmtId="49" fontId="12" fillId="38" borderId="22" xfId="2" applyNumberFormat="1" applyFont="1" applyFill="1" applyBorder="1" applyAlignment="1">
      <alignment horizontal="center" vertical="center" wrapText="1"/>
    </xf>
    <xf numFmtId="175" fontId="27" fillId="107" borderId="28" xfId="1" applyFont="1" applyFill="1" applyBorder="1" applyAlignment="1">
      <alignment horizontal="center" vertical="center" wrapText="1"/>
    </xf>
    <xf numFmtId="175" fontId="8" fillId="22" borderId="30" xfId="1" applyFont="1" applyFill="1" applyBorder="1" applyAlignment="1">
      <alignment horizontal="center" vertical="center" wrapText="1"/>
    </xf>
    <xf numFmtId="175" fontId="20" fillId="53" borderId="0" xfId="1" applyFont="1" applyFill="1" applyBorder="1" applyAlignment="1">
      <alignment horizontal="center" vertical="center" wrapText="1"/>
    </xf>
    <xf numFmtId="175" fontId="20" fillId="55" borderId="0" xfId="1" applyFont="1" applyFill="1" applyBorder="1" applyAlignment="1">
      <alignment horizontal="center" vertical="center" wrapText="1"/>
    </xf>
    <xf numFmtId="175" fontId="20" fillId="45" borderId="13" xfId="1" applyFont="1" applyFill="1" applyBorder="1" applyAlignment="1">
      <alignment horizontal="center" vertical="center" wrapText="1"/>
    </xf>
    <xf numFmtId="175" fontId="11" fillId="22" borderId="18" xfId="1" applyFont="1" applyFill="1" applyBorder="1" applyAlignment="1">
      <alignment horizontal="center" vertical="center" wrapText="1"/>
    </xf>
    <xf numFmtId="175" fontId="11" fillId="22" borderId="1" xfId="1" applyFont="1" applyFill="1" applyBorder="1" applyAlignment="1">
      <alignment horizontal="center" vertical="center" wrapText="1"/>
    </xf>
    <xf numFmtId="175" fontId="2" fillId="8" borderId="1" xfId="1" applyFont="1" applyFill="1" applyBorder="1" applyAlignment="1">
      <alignment horizontal="center" vertical="center" wrapText="1"/>
    </xf>
    <xf numFmtId="175" fontId="11" fillId="60" borderId="1" xfId="1" applyFont="1" applyFill="1" applyBorder="1" applyAlignment="1">
      <alignment horizontal="center" vertical="center" wrapText="1"/>
    </xf>
    <xf numFmtId="175" fontId="2" fillId="32" borderId="0" xfId="1" applyFill="1" applyBorder="1" applyAlignment="1">
      <alignment horizontal="center" vertical="center"/>
    </xf>
    <xf numFmtId="175" fontId="2" fillId="82" borderId="0" xfId="1" applyFill="1" applyAlignment="1">
      <alignment horizontal="center" vertical="center"/>
    </xf>
    <xf numFmtId="175" fontId="2" fillId="82" borderId="0" xfId="1" applyFill="1" applyBorder="1" applyAlignment="1">
      <alignment horizontal="center" vertical="center"/>
    </xf>
    <xf numFmtId="175" fontId="11" fillId="83" borderId="0" xfId="1" applyFont="1" applyFill="1" applyBorder="1" applyAlignment="1">
      <alignment horizontal="center" vertical="center"/>
    </xf>
    <xf numFmtId="175" fontId="17" fillId="83" borderId="0" xfId="1" applyFont="1" applyFill="1" applyBorder="1" applyAlignment="1">
      <alignment horizontal="center" vertical="center"/>
    </xf>
    <xf numFmtId="175" fontId="2" fillId="99" borderId="0" xfId="1" applyFill="1" applyBorder="1" applyAlignment="1">
      <alignment horizontal="center" vertical="center"/>
    </xf>
    <xf numFmtId="175" fontId="12" fillId="0" borderId="0" xfId="1" applyFont="1" applyAlignment="1">
      <alignment horizontal="center" vertical="center"/>
    </xf>
    <xf numFmtId="175" fontId="20" fillId="22" borderId="1" xfId="1" applyFont="1" applyFill="1" applyBorder="1" applyAlignment="1">
      <alignment horizontal="center" vertical="center" wrapText="1"/>
    </xf>
    <xf numFmtId="175" fontId="2" fillId="8" borderId="1" xfId="1" applyFont="1" applyFill="1" applyBorder="1" applyAlignment="1">
      <alignment horizontal="center" vertical="center" wrapText="1"/>
    </xf>
    <xf numFmtId="175" fontId="11" fillId="60" borderId="1" xfId="1" applyFont="1" applyFill="1" applyBorder="1" applyAlignment="1">
      <alignment horizontal="center" vertical="center" wrapText="1"/>
    </xf>
    <xf numFmtId="175" fontId="2" fillId="108" borderId="0" xfId="1" applyFill="1" applyBorder="1" applyAlignment="1">
      <alignment horizontal="center" vertical="center"/>
    </xf>
    <xf numFmtId="175" fontId="11" fillId="31" borderId="16" xfId="1" applyFont="1" applyFill="1" applyBorder="1" applyAlignment="1">
      <alignment horizontal="center" vertical="center"/>
    </xf>
    <xf numFmtId="175" fontId="17" fillId="31" borderId="16" xfId="1" applyFont="1" applyFill="1" applyBorder="1" applyAlignment="1">
      <alignment horizontal="center" vertical="center"/>
    </xf>
    <xf numFmtId="175" fontId="11" fillId="31" borderId="28" xfId="1" applyFont="1" applyFill="1" applyBorder="1" applyAlignment="1">
      <alignment horizontal="center" vertical="center" wrapText="1"/>
    </xf>
    <xf numFmtId="175" fontId="17" fillId="31" borderId="28" xfId="1" applyFont="1" applyFill="1" applyBorder="1" applyAlignment="1">
      <alignment horizontal="center" vertical="center"/>
    </xf>
    <xf numFmtId="175" fontId="51" fillId="82" borderId="0" xfId="1" applyFont="1" applyFill="1" applyAlignment="1">
      <alignment horizontal="center" vertical="center" wrapText="1"/>
    </xf>
    <xf numFmtId="175" fontId="52" fillId="40" borderId="1" xfId="1" applyFont="1" applyFill="1" applyBorder="1" applyAlignment="1">
      <alignment horizontal="center" vertical="center" wrapText="1"/>
    </xf>
    <xf numFmtId="0" fontId="31" fillId="93" borderId="0" xfId="0" applyFont="1" applyFill="1" applyAlignment="1">
      <alignment horizontal="center" vertical="center" wrapText="1"/>
    </xf>
    <xf numFmtId="0" fontId="31" fillId="93" borderId="37" xfId="0" applyFont="1" applyFill="1" applyBorder="1" applyAlignment="1">
      <alignment horizontal="center" vertical="center" wrapText="1"/>
    </xf>
    <xf numFmtId="175" fontId="26" fillId="38" borderId="28" xfId="1" applyFont="1" applyFill="1" applyBorder="1" applyAlignment="1">
      <alignment horizontal="right" vertical="center" wrapText="1"/>
    </xf>
    <xf numFmtId="175" fontId="26" fillId="38" borderId="28" xfId="1" applyFont="1" applyFill="1" applyBorder="1" applyAlignment="1">
      <alignment horizontal="center" vertical="center" wrapText="1"/>
    </xf>
    <xf numFmtId="0" fontId="26" fillId="3" borderId="28" xfId="13" applyFont="1" applyFill="1" applyBorder="1" applyAlignment="1">
      <alignment horizontal="center"/>
    </xf>
    <xf numFmtId="2" fontId="26" fillId="32" borderId="28" xfId="1" applyNumberFormat="1" applyFont="1" applyFill="1" applyBorder="1" applyAlignment="1">
      <alignment horizontal="center" vertical="center" wrapText="1"/>
    </xf>
    <xf numFmtId="175" fontId="40" fillId="22" borderId="0" xfId="1" applyFont="1" applyFill="1" applyBorder="1" applyAlignment="1">
      <alignment horizontal="center" vertical="center" wrapText="1"/>
    </xf>
    <xf numFmtId="175" fontId="37" fillId="49" borderId="22" xfId="1" applyFont="1" applyFill="1" applyBorder="1" applyAlignment="1">
      <alignment horizontal="center" vertical="center" wrapText="1"/>
    </xf>
    <xf numFmtId="175" fontId="37" fillId="47" borderId="22" xfId="1" applyFont="1" applyFill="1" applyBorder="1" applyAlignment="1">
      <alignment horizontal="center" vertical="center" wrapText="1"/>
    </xf>
    <xf numFmtId="175" fontId="38" fillId="48" borderId="22" xfId="1" applyFont="1" applyFill="1" applyBorder="1" applyAlignment="1">
      <alignment horizontal="center" vertical="center" wrapText="1"/>
    </xf>
    <xf numFmtId="175" fontId="40" fillId="44" borderId="0" xfId="1" applyFont="1" applyFill="1" applyBorder="1" applyAlignment="1">
      <alignment vertical="center" wrapText="1"/>
    </xf>
    <xf numFmtId="175" fontId="53" fillId="44" borderId="0" xfId="1" applyFont="1" applyFill="1" applyBorder="1" applyAlignment="1">
      <alignment vertical="center" wrapText="1"/>
    </xf>
    <xf numFmtId="175" fontId="11" fillId="58" borderId="16" xfId="1" applyFont="1" applyFill="1" applyBorder="1" applyAlignment="1">
      <alignment vertical="center" wrapText="1"/>
    </xf>
    <xf numFmtId="175" fontId="24" fillId="59" borderId="1" xfId="1" applyFont="1" applyFill="1" applyBorder="1" applyAlignment="1">
      <alignment vertical="center" wrapText="1"/>
    </xf>
    <xf numFmtId="175" fontId="2" fillId="40" borderId="16" xfId="1" applyFill="1" applyBorder="1" applyAlignment="1">
      <alignment horizontal="center" vertical="center" wrapText="1"/>
    </xf>
    <xf numFmtId="175" fontId="3" fillId="38" borderId="16" xfId="2" applyFill="1" applyBorder="1" applyAlignment="1">
      <alignment horizontal="center" vertical="center" wrapText="1"/>
    </xf>
    <xf numFmtId="175" fontId="2" fillId="38" borderId="16" xfId="1" applyFill="1" applyBorder="1" applyAlignment="1">
      <alignment horizontal="center" vertical="center" wrapText="1"/>
    </xf>
    <xf numFmtId="175" fontId="11" fillId="107" borderId="30" xfId="1" applyFont="1" applyFill="1" applyBorder="1" applyAlignment="1">
      <alignment horizontal="center" vertical="center" wrapText="1"/>
    </xf>
    <xf numFmtId="1" fontId="2" fillId="48" borderId="1" xfId="1" applyNumberFormat="1" applyFill="1" applyBorder="1" applyAlignment="1">
      <alignment horizontal="center" vertical="center" wrapText="1"/>
    </xf>
    <xf numFmtId="175" fontId="26" fillId="38" borderId="30" xfId="1" applyFont="1" applyFill="1" applyBorder="1" applyAlignment="1">
      <alignment horizontal="right" vertical="center" wrapText="1"/>
    </xf>
    <xf numFmtId="0" fontId="26" fillId="32" borderId="31" xfId="1" applyNumberFormat="1" applyFont="1" applyFill="1" applyBorder="1" applyAlignment="1">
      <alignment horizontal="center" vertical="center" wrapText="1"/>
    </xf>
    <xf numFmtId="0" fontId="26" fillId="32" borderId="0" xfId="1" applyNumberFormat="1" applyFont="1" applyFill="1" applyAlignment="1">
      <alignment horizontal="center" vertical="center" wrapText="1"/>
    </xf>
    <xf numFmtId="175" fontId="39" fillId="22" borderId="18" xfId="1" applyFont="1" applyFill="1" applyBorder="1" applyAlignment="1">
      <alignment horizontal="center" vertical="center" wrapText="1"/>
    </xf>
    <xf numFmtId="175" fontId="39" fillId="22" borderId="1" xfId="1" applyFont="1" applyFill="1" applyBorder="1" applyAlignment="1">
      <alignment horizontal="center" vertical="center" wrapText="1"/>
    </xf>
    <xf numFmtId="175" fontId="11" fillId="22" borderId="18" xfId="1" applyFont="1" applyFill="1" applyBorder="1" applyAlignment="1">
      <alignment horizontal="center" vertical="center" wrapText="1"/>
    </xf>
    <xf numFmtId="175" fontId="20" fillId="22" borderId="1" xfId="1" applyFont="1" applyFill="1" applyBorder="1" applyAlignment="1">
      <alignment horizontal="center" vertical="center" wrapText="1"/>
    </xf>
    <xf numFmtId="175" fontId="11" fillId="22" borderId="1" xfId="1" applyFont="1" applyFill="1" applyBorder="1" applyAlignment="1">
      <alignment horizontal="center" vertical="center" wrapText="1"/>
    </xf>
    <xf numFmtId="175" fontId="11" fillId="60" borderId="1" xfId="1" applyFont="1" applyFill="1" applyBorder="1" applyAlignment="1">
      <alignment horizontal="center" vertical="center" wrapText="1"/>
    </xf>
    <xf numFmtId="175" fontId="11" fillId="60" borderId="16" xfId="1" applyFont="1" applyFill="1" applyBorder="1" applyAlignment="1">
      <alignment horizontal="center" vertical="center" wrapText="1"/>
    </xf>
    <xf numFmtId="175" fontId="11" fillId="73" borderId="24" xfId="1" applyFont="1" applyFill="1" applyBorder="1" applyAlignment="1">
      <alignment horizontal="center" vertical="center" wrapText="1"/>
    </xf>
    <xf numFmtId="175" fontId="2" fillId="8" borderId="24" xfId="1" applyFont="1" applyFill="1" applyBorder="1" applyAlignment="1">
      <alignment horizontal="center" vertical="center" wrapText="1"/>
    </xf>
    <xf numFmtId="175" fontId="11" fillId="31" borderId="1" xfId="1" applyFont="1" applyFill="1" applyBorder="1" applyAlignment="1">
      <alignment vertical="center" wrapText="1"/>
    </xf>
    <xf numFmtId="175" fontId="2" fillId="124" borderId="18" xfId="1" applyFont="1" applyFill="1" applyBorder="1" applyAlignment="1">
      <alignment horizontal="center" vertical="center" wrapText="1"/>
    </xf>
    <xf numFmtId="175" fontId="2" fillId="124" borderId="1" xfId="1" applyFont="1" applyFill="1" applyBorder="1" applyAlignment="1">
      <alignment horizontal="center" vertical="center" wrapText="1"/>
    </xf>
    <xf numFmtId="175" fontId="2" fillId="97" borderId="1" xfId="1" applyFont="1" applyFill="1" applyBorder="1" applyAlignment="1">
      <alignment horizontal="center" vertical="center" wrapText="1"/>
    </xf>
    <xf numFmtId="175" fontId="11" fillId="84" borderId="1" xfId="1" applyFont="1" applyFill="1" applyBorder="1" applyAlignment="1">
      <alignment horizontal="center" vertical="center" wrapText="1"/>
    </xf>
    <xf numFmtId="175" fontId="2" fillId="84" borderId="1" xfId="1" applyFont="1" applyFill="1" applyBorder="1" applyAlignment="1">
      <alignment horizontal="center" vertical="center" wrapText="1"/>
    </xf>
    <xf numFmtId="175" fontId="2" fillId="96" borderId="15" xfId="1" applyFont="1" applyFill="1" applyBorder="1" applyAlignment="1">
      <alignment horizontal="center" vertical="center" wrapText="1"/>
    </xf>
    <xf numFmtId="1" fontId="2" fillId="91" borderId="1" xfId="1" applyNumberFormat="1" applyFill="1" applyBorder="1" applyAlignment="1">
      <alignment horizontal="center" vertical="center" wrapText="1"/>
    </xf>
    <xf numFmtId="175" fontId="2" fillId="97" borderId="0" xfId="1" applyFill="1"/>
    <xf numFmtId="175" fontId="2" fillId="8" borderId="1" xfId="1" applyFont="1" applyFill="1" applyBorder="1" applyAlignment="1">
      <alignment horizontal="center" vertical="center" wrapText="1"/>
    </xf>
    <xf numFmtId="175" fontId="2" fillId="8" borderId="16" xfId="1" applyFont="1" applyFill="1" applyBorder="1" applyAlignment="1">
      <alignment horizontal="center" vertical="center" wrapText="1"/>
    </xf>
    <xf numFmtId="175" fontId="11" fillId="60" borderId="1" xfId="1" applyFont="1" applyFill="1" applyBorder="1" applyAlignment="1">
      <alignment horizontal="center" vertical="center" wrapText="1"/>
    </xf>
    <xf numFmtId="175" fontId="19" fillId="6" borderId="14" xfId="1" applyFont="1" applyFill="1" applyBorder="1" applyAlignment="1">
      <alignment vertical="center" wrapText="1"/>
    </xf>
    <xf numFmtId="175" fontId="2" fillId="124" borderId="15" xfId="1" applyFont="1" applyFill="1" applyBorder="1" applyAlignment="1">
      <alignment horizontal="center" vertical="center" wrapText="1"/>
    </xf>
    <xf numFmtId="0" fontId="2" fillId="126" borderId="31" xfId="1" applyNumberFormat="1" applyFill="1" applyBorder="1" applyAlignment="1">
      <alignment horizontal="center" vertical="center" wrapText="1"/>
    </xf>
    <xf numFmtId="165" fontId="37" fillId="49" borderId="1" xfId="15" applyFont="1" applyFill="1" applyBorder="1" applyAlignment="1">
      <alignment horizontal="center" vertical="center" wrapText="1"/>
    </xf>
    <xf numFmtId="175" fontId="11" fillId="29" borderId="1" xfId="1" applyFont="1" applyFill="1" applyBorder="1" applyAlignment="1">
      <alignment horizontal="center" vertical="center" wrapText="1"/>
    </xf>
    <xf numFmtId="175" fontId="2" fillId="62" borderId="1" xfId="1" applyFill="1" applyBorder="1" applyAlignment="1">
      <alignment horizontal="center" vertical="center" wrapText="1"/>
    </xf>
    <xf numFmtId="169" fontId="38" fillId="51" borderId="22" xfId="1" applyNumberFormat="1" applyFont="1" applyFill="1" applyBorder="1" applyAlignment="1">
      <alignment horizontal="center" vertical="center" wrapText="1"/>
    </xf>
    <xf numFmtId="169" fontId="38" fillId="30" borderId="18" xfId="1" applyNumberFormat="1" applyFont="1" applyFill="1" applyBorder="1" applyAlignment="1">
      <alignment horizontal="center" vertical="center" wrapText="1"/>
    </xf>
    <xf numFmtId="172" fontId="2" fillId="99" borderId="1" xfId="1" applyNumberFormat="1" applyFill="1" applyBorder="1" applyAlignment="1">
      <alignment horizontal="center" vertical="center" wrapText="1"/>
    </xf>
    <xf numFmtId="49" fontId="54" fillId="38" borderId="18" xfId="2" applyNumberFormat="1" applyFont="1" applyFill="1" applyBorder="1" applyAlignment="1">
      <alignment horizontal="center" vertical="center" wrapText="1"/>
    </xf>
    <xf numFmtId="175" fontId="20" fillId="22" borderId="1" xfId="1" applyFont="1" applyFill="1" applyBorder="1" applyAlignment="1">
      <alignment horizontal="center" vertical="center" wrapText="1"/>
    </xf>
    <xf numFmtId="175" fontId="11" fillId="60" borderId="1" xfId="1" applyFont="1" applyFill="1" applyBorder="1" applyAlignment="1">
      <alignment horizontal="center" vertical="center" wrapText="1"/>
    </xf>
    <xf numFmtId="0" fontId="37" fillId="38" borderId="18" xfId="2" applyNumberFormat="1" applyFont="1" applyFill="1" applyBorder="1" applyAlignment="1">
      <alignment horizontal="center" vertical="center" wrapText="1"/>
    </xf>
    <xf numFmtId="175" fontId="2" fillId="6" borderId="22" xfId="1" applyFill="1" applyBorder="1" applyAlignment="1">
      <alignment horizontal="center" vertical="center" wrapText="1"/>
    </xf>
    <xf numFmtId="175" fontId="11" fillId="60" borderId="1" xfId="1" applyFont="1" applyFill="1" applyBorder="1" applyAlignment="1">
      <alignment horizontal="center" vertical="center" wrapText="1"/>
    </xf>
    <xf numFmtId="175" fontId="11" fillId="37" borderId="1" xfId="1" applyFont="1" applyFill="1" applyBorder="1" applyAlignment="1">
      <alignment horizontal="center" vertical="center" wrapText="1"/>
    </xf>
    <xf numFmtId="175" fontId="2" fillId="8" borderId="1" xfId="1" applyFont="1" applyFill="1" applyBorder="1" applyAlignment="1">
      <alignment horizontal="center" vertical="center" wrapText="1"/>
    </xf>
    <xf numFmtId="175" fontId="2" fillId="8" borderId="16" xfId="1" applyFont="1" applyFill="1" applyBorder="1" applyAlignment="1">
      <alignment horizontal="center" vertical="center" wrapText="1"/>
    </xf>
    <xf numFmtId="175" fontId="11" fillId="29" borderId="18" xfId="1" applyFont="1" applyFill="1" applyBorder="1" applyAlignment="1">
      <alignment vertical="center" wrapText="1"/>
    </xf>
    <xf numFmtId="175" fontId="2" fillId="8" borderId="1" xfId="1" applyFont="1" applyFill="1" applyBorder="1" applyAlignment="1">
      <alignment horizontal="center" vertical="center" wrapText="1"/>
    </xf>
    <xf numFmtId="175" fontId="2" fillId="0" borderId="0" xfId="1" applyFill="1" applyBorder="1"/>
    <xf numFmtId="175" fontId="2" fillId="97" borderId="1" xfId="1" applyFill="1" applyBorder="1" applyAlignment="1">
      <alignment horizontal="center" vertical="center" wrapText="1"/>
    </xf>
    <xf numFmtId="175" fontId="11" fillId="158" borderId="18" xfId="1" applyFont="1" applyFill="1" applyBorder="1" applyAlignment="1">
      <alignment horizontal="center" vertical="center" wrapText="1"/>
    </xf>
    <xf numFmtId="175" fontId="11" fillId="145" borderId="18" xfId="1" applyFont="1" applyFill="1" applyBorder="1" applyAlignment="1">
      <alignment horizontal="center" vertical="center" wrapText="1"/>
    </xf>
    <xf numFmtId="175" fontId="2" fillId="159" borderId="18" xfId="1" applyFill="1" applyBorder="1" applyAlignment="1">
      <alignment horizontal="center" vertical="center" wrapText="1"/>
    </xf>
    <xf numFmtId="175" fontId="9" fillId="96" borderId="22" xfId="1" applyFont="1" applyFill="1" applyBorder="1" applyAlignment="1">
      <alignment horizontal="center" vertical="center" wrapText="1"/>
    </xf>
    <xf numFmtId="171" fontId="23" fillId="90" borderId="22" xfId="1" applyNumberFormat="1" applyFont="1" applyFill="1" applyBorder="1" applyAlignment="1">
      <alignment horizontal="center" vertical="center" wrapText="1"/>
    </xf>
    <xf numFmtId="171" fontId="9" fillId="94" borderId="22" xfId="1" applyNumberFormat="1" applyFont="1" applyFill="1" applyBorder="1" applyAlignment="1">
      <alignment horizontal="center" vertical="center" wrapText="1"/>
    </xf>
    <xf numFmtId="171" fontId="9" fillId="99" borderId="22" xfId="1" applyNumberFormat="1" applyFont="1" applyFill="1" applyBorder="1" applyAlignment="1">
      <alignment horizontal="center" vertical="center" wrapText="1"/>
    </xf>
    <xf numFmtId="175" fontId="11" fillId="84" borderId="13" xfId="1" applyFont="1" applyFill="1" applyBorder="1" applyAlignment="1">
      <alignment horizontal="center" vertical="center" wrapText="1"/>
    </xf>
    <xf numFmtId="175" fontId="11" fillId="130" borderId="16" xfId="1" applyFont="1" applyFill="1" applyBorder="1" applyAlignment="1">
      <alignment horizontal="center" vertical="center" wrapText="1"/>
    </xf>
    <xf numFmtId="175" fontId="24" fillId="160" borderId="1" xfId="1" applyFont="1" applyFill="1" applyBorder="1" applyAlignment="1">
      <alignment horizontal="center" vertical="center" wrapText="1"/>
    </xf>
    <xf numFmtId="175" fontId="11" fillId="161" borderId="1" xfId="1" applyFont="1" applyFill="1" applyBorder="1" applyAlignment="1">
      <alignment horizontal="center" vertical="center" wrapText="1"/>
    </xf>
    <xf numFmtId="171" fontId="2" fillId="94" borderId="22" xfId="1" applyNumberFormat="1" applyFill="1" applyBorder="1" applyAlignment="1">
      <alignment horizontal="center" vertical="center" wrapText="1"/>
    </xf>
    <xf numFmtId="175" fontId="2" fillId="84" borderId="22" xfId="1" applyFill="1" applyBorder="1" applyAlignment="1">
      <alignment horizontal="center" vertical="center" wrapText="1"/>
    </xf>
    <xf numFmtId="169" fontId="11" fillId="130" borderId="16" xfId="1" applyNumberFormat="1" applyFont="1" applyFill="1" applyBorder="1" applyAlignment="1">
      <alignment horizontal="center" vertical="center" wrapText="1"/>
    </xf>
    <xf numFmtId="169" fontId="2" fillId="98" borderId="22" xfId="1" applyNumberFormat="1" applyFill="1" applyBorder="1" applyAlignment="1">
      <alignment horizontal="center" vertical="center" wrapText="1"/>
    </xf>
    <xf numFmtId="175" fontId="11" fillId="84" borderId="16" xfId="1" applyFont="1" applyFill="1" applyBorder="1" applyAlignment="1">
      <alignment horizontal="center" vertical="center"/>
    </xf>
    <xf numFmtId="175" fontId="11" fillId="84" borderId="15" xfId="1" applyFont="1" applyFill="1" applyBorder="1" applyAlignment="1">
      <alignment horizontal="center" vertical="center" wrapText="1"/>
    </xf>
    <xf numFmtId="175" fontId="60" fillId="163" borderId="0" xfId="1" applyFont="1" applyFill="1" applyAlignment="1">
      <alignment horizontal="center"/>
    </xf>
    <xf numFmtId="1" fontId="2" fillId="48" borderId="17" xfId="1" applyNumberFormat="1" applyFill="1" applyBorder="1" applyAlignment="1">
      <alignment horizontal="center" vertical="center" wrapText="1"/>
    </xf>
    <xf numFmtId="175" fontId="51" fillId="164" borderId="28" xfId="1" applyFont="1" applyFill="1" applyBorder="1" applyAlignment="1">
      <alignment horizontal="center" vertical="center" wrapText="1"/>
    </xf>
    <xf numFmtId="175" fontId="51" fillId="165" borderId="28" xfId="1" applyFont="1" applyFill="1" applyBorder="1" applyAlignment="1">
      <alignment horizontal="center" vertical="center" wrapText="1"/>
    </xf>
    <xf numFmtId="175" fontId="51" fillId="164" borderId="28" xfId="1" applyFont="1" applyFill="1" applyBorder="1"/>
    <xf numFmtId="175" fontId="51" fillId="164" borderId="28" xfId="1" applyFont="1" applyFill="1" applyBorder="1" applyAlignment="1">
      <alignment horizontal="center"/>
    </xf>
    <xf numFmtId="175" fontId="11" fillId="60" borderId="1" xfId="1" applyFont="1" applyFill="1" applyBorder="1" applyAlignment="1">
      <alignment horizontal="center" vertical="center" wrapText="1"/>
    </xf>
    <xf numFmtId="175" fontId="2" fillId="49" borderId="0" xfId="1" applyFill="1" applyBorder="1" applyAlignment="1">
      <alignment horizontal="center" vertical="center" wrapText="1"/>
    </xf>
    <xf numFmtId="175" fontId="16" fillId="6" borderId="13" xfId="1" applyFont="1" applyFill="1" applyBorder="1" applyAlignment="1">
      <alignment vertical="center" wrapText="1"/>
    </xf>
    <xf numFmtId="175" fontId="39" fillId="175" borderId="15" xfId="1" applyFont="1" applyFill="1" applyBorder="1" applyAlignment="1">
      <alignment vertical="center" wrapText="1"/>
    </xf>
    <xf numFmtId="175" fontId="39" fillId="115" borderId="15" xfId="1" applyFont="1" applyFill="1" applyBorder="1" applyAlignment="1">
      <alignment horizontal="center" vertical="center" wrapText="1"/>
    </xf>
    <xf numFmtId="175" fontId="39" fillId="175" borderId="21" xfId="1" applyFont="1" applyFill="1" applyBorder="1" applyAlignment="1">
      <alignment vertical="center" wrapText="1"/>
    </xf>
    <xf numFmtId="175" fontId="39" fillId="122" borderId="19" xfId="1" applyFont="1" applyFill="1" applyBorder="1" applyAlignment="1">
      <alignment horizontal="center" vertical="center" wrapText="1"/>
    </xf>
    <xf numFmtId="175" fontId="40" fillId="179" borderId="28" xfId="1" applyFont="1" applyFill="1" applyBorder="1" applyAlignment="1">
      <alignment vertical="center" wrapText="1"/>
    </xf>
    <xf numFmtId="175" fontId="18" fillId="6" borderId="0" xfId="1" applyFont="1" applyFill="1" applyAlignment="1">
      <alignment horizontal="center" vertical="center" wrapText="1"/>
    </xf>
    <xf numFmtId="175" fontId="17" fillId="6" borderId="1" xfId="1" applyFont="1" applyFill="1" applyBorder="1" applyAlignment="1">
      <alignment horizontal="center" vertical="center" wrapText="1"/>
    </xf>
    <xf numFmtId="175" fontId="18" fillId="6" borderId="24" xfId="1" applyFont="1" applyFill="1" applyBorder="1" applyAlignment="1">
      <alignment horizontal="center" vertical="center" wrapText="1"/>
    </xf>
    <xf numFmtId="175" fontId="58" fillId="6" borderId="1" xfId="1" applyFont="1" applyFill="1" applyBorder="1" applyAlignment="1">
      <alignment horizontal="center" vertical="center" wrapText="1"/>
    </xf>
    <xf numFmtId="175" fontId="18" fillId="6" borderId="0" xfId="1" applyFont="1" applyFill="1" applyAlignment="1">
      <alignment horizontal="left" vertical="center" wrapText="1"/>
    </xf>
    <xf numFmtId="175" fontId="18" fillId="84" borderId="0" xfId="1" applyFont="1" applyFill="1" applyAlignment="1">
      <alignment horizontal="center" vertical="center" wrapText="1"/>
    </xf>
    <xf numFmtId="175" fontId="2" fillId="5" borderId="0" xfId="1" applyFill="1" applyBorder="1" applyAlignment="1">
      <alignment horizontal="center" vertical="center" wrapText="1"/>
    </xf>
    <xf numFmtId="175" fontId="11" fillId="77" borderId="0" xfId="1" applyFont="1" applyFill="1" applyBorder="1" applyAlignment="1">
      <alignment horizontal="center" vertical="center" wrapText="1"/>
    </xf>
    <xf numFmtId="175" fontId="2" fillId="8" borderId="0" xfId="1" applyFont="1" applyFill="1" applyBorder="1" applyAlignment="1">
      <alignment horizontal="center" vertical="center" wrapText="1"/>
    </xf>
    <xf numFmtId="175" fontId="2" fillId="9" borderId="0" xfId="1" applyFill="1" applyBorder="1" applyAlignment="1">
      <alignment horizontal="center" vertical="center" wrapText="1"/>
    </xf>
    <xf numFmtId="0" fontId="0" fillId="184" borderId="28" xfId="0" applyFill="1" applyBorder="1" applyAlignment="1">
      <alignment horizontal="center" vertical="center"/>
    </xf>
    <xf numFmtId="2" fontId="38" fillId="48" borderId="18" xfId="1" applyNumberFormat="1" applyFont="1" applyFill="1" applyBorder="1" applyAlignment="1">
      <alignment horizontal="center" vertical="center" wrapText="1"/>
    </xf>
    <xf numFmtId="0" fontId="56" fillId="146" borderId="28" xfId="0" applyFont="1" applyFill="1" applyBorder="1" applyAlignment="1">
      <alignment horizontal="center"/>
    </xf>
    <xf numFmtId="0" fontId="32" fillId="182" borderId="28" xfId="0" applyFont="1" applyFill="1" applyBorder="1" applyAlignment="1">
      <alignment horizontal="center" vertical="center"/>
    </xf>
    <xf numFmtId="0" fontId="35" fillId="157" borderId="28" xfId="0" applyFont="1" applyFill="1" applyBorder="1" applyAlignment="1">
      <alignment horizontal="center" vertical="center"/>
    </xf>
    <xf numFmtId="49" fontId="37" fillId="188" borderId="28" xfId="2" applyNumberFormat="1" applyFont="1" applyFill="1" applyBorder="1" applyAlignment="1">
      <alignment horizontal="center" vertical="center" wrapText="1"/>
    </xf>
    <xf numFmtId="0" fontId="37" fillId="188" borderId="28" xfId="2" applyNumberFormat="1" applyFont="1" applyFill="1" applyBorder="1" applyAlignment="1">
      <alignment horizontal="center" vertical="center" wrapText="1"/>
    </xf>
    <xf numFmtId="0" fontId="35" fillId="82" borderId="28" xfId="0" applyFont="1" applyFill="1" applyBorder="1" applyAlignment="1">
      <alignment horizontal="center" vertical="center"/>
    </xf>
    <xf numFmtId="49" fontId="59" fillId="183" borderId="25" xfId="2" applyNumberFormat="1" applyFont="1" applyFill="1" applyBorder="1" applyAlignment="1">
      <alignment horizontal="center" vertical="center" wrapText="1"/>
    </xf>
    <xf numFmtId="49" fontId="59" fillId="189" borderId="25" xfId="2" applyNumberFormat="1" applyFont="1" applyFill="1" applyBorder="1" applyAlignment="1">
      <alignment horizontal="center" vertical="center" wrapText="1"/>
    </xf>
    <xf numFmtId="49" fontId="37" fillId="38" borderId="28" xfId="2" applyNumberFormat="1" applyFont="1" applyFill="1" applyBorder="1" applyAlignment="1">
      <alignment horizontal="center" vertical="center" wrapText="1"/>
    </xf>
    <xf numFmtId="0" fontId="35" fillId="82" borderId="0" xfId="0" applyFont="1" applyFill="1" applyBorder="1" applyAlignment="1">
      <alignment horizontal="center" vertical="center"/>
    </xf>
    <xf numFmtId="0" fontId="0" fillId="0" borderId="0" xfId="0" applyAlignment="1">
      <alignment wrapText="1"/>
    </xf>
    <xf numFmtId="0" fontId="0" fillId="146" borderId="28" xfId="0" applyFill="1" applyBorder="1" applyAlignment="1">
      <alignment horizontal="center" vertical="center"/>
    </xf>
    <xf numFmtId="0" fontId="35" fillId="190" borderId="28" xfId="0" applyFont="1" applyFill="1" applyBorder="1" applyAlignment="1">
      <alignment horizontal="center" vertical="center"/>
    </xf>
    <xf numFmtId="49" fontId="0" fillId="0" borderId="0" xfId="0" applyNumberFormat="1"/>
    <xf numFmtId="0" fontId="0" fillId="0" borderId="0" xfId="0" applyNumberFormat="1"/>
    <xf numFmtId="175" fontId="2" fillId="6" borderId="0" xfId="1" applyFont="1" applyFill="1" applyAlignment="1" applyProtection="1">
      <alignment horizontal="center" vertical="center" wrapText="1"/>
    </xf>
    <xf numFmtId="0" fontId="0" fillId="0" borderId="0" xfId="0" applyProtection="1"/>
    <xf numFmtId="49" fontId="0" fillId="0" borderId="0" xfId="0" applyNumberFormat="1" applyAlignment="1">
      <alignment wrapText="1"/>
    </xf>
    <xf numFmtId="0" fontId="0" fillId="191" borderId="0" xfId="0" applyFill="1" applyAlignment="1">
      <alignment wrapText="1"/>
    </xf>
    <xf numFmtId="0" fontId="0" fillId="82" borderId="28" xfId="0" applyFill="1" applyBorder="1" applyAlignment="1">
      <alignment horizontal="center" vertical="center"/>
    </xf>
    <xf numFmtId="175" fontId="2" fillId="0" borderId="29" xfId="1" applyBorder="1" applyAlignment="1">
      <alignment horizontal="center" vertical="center" wrapText="1"/>
    </xf>
    <xf numFmtId="0" fontId="54" fillId="188" borderId="28" xfId="2" applyNumberFormat="1" applyFont="1" applyFill="1" applyBorder="1" applyAlignment="1">
      <alignment horizontal="center" vertical="center" wrapText="1"/>
    </xf>
    <xf numFmtId="175" fontId="62" fillId="6" borderId="0" xfId="1" applyFont="1" applyFill="1" applyAlignment="1">
      <alignment horizontal="center" vertical="center" wrapText="1"/>
    </xf>
    <xf numFmtId="175" fontId="63" fillId="6" borderId="1" xfId="1" applyFont="1" applyFill="1" applyBorder="1" applyAlignment="1">
      <alignment horizontal="center" vertical="center" wrapText="1"/>
    </xf>
    <xf numFmtId="175" fontId="62" fillId="6" borderId="24" xfId="1" applyFont="1" applyFill="1" applyBorder="1" applyAlignment="1">
      <alignment horizontal="center" vertical="center" wrapText="1"/>
    </xf>
    <xf numFmtId="175" fontId="11" fillId="60" borderId="1" xfId="1" applyFont="1" applyFill="1" applyBorder="1" applyAlignment="1">
      <alignment horizontal="center" vertical="center" wrapText="1"/>
    </xf>
    <xf numFmtId="175" fontId="2" fillId="8" borderId="1" xfId="1" applyFont="1" applyFill="1" applyBorder="1" applyAlignment="1">
      <alignment horizontal="center" vertical="center" wrapText="1"/>
    </xf>
    <xf numFmtId="175" fontId="2" fillId="0" borderId="0" xfId="1" applyFill="1" applyAlignment="1">
      <alignment horizontal="center" vertical="center" wrapText="1"/>
    </xf>
    <xf numFmtId="0" fontId="0" fillId="82" borderId="0" xfId="0" applyFill="1" applyBorder="1" applyAlignment="1">
      <alignment horizontal="left"/>
    </xf>
    <xf numFmtId="0" fontId="0" fillId="82" borderId="0" xfId="0" applyFill="1" applyAlignment="1">
      <alignment vertical="center"/>
    </xf>
    <xf numFmtId="0" fontId="64" fillId="0" borderId="0" xfId="0" applyFont="1" applyAlignment="1">
      <alignment vertical="center"/>
    </xf>
    <xf numFmtId="0" fontId="64" fillId="82" borderId="0" xfId="0" applyFont="1" applyFill="1" applyBorder="1" applyAlignment="1">
      <alignment horizontal="left"/>
    </xf>
    <xf numFmtId="0" fontId="65" fillId="82" borderId="0" xfId="0" applyFont="1" applyFill="1" applyAlignment="1">
      <alignment vertical="center"/>
    </xf>
    <xf numFmtId="0" fontId="68" fillId="82" borderId="0" xfId="0" applyFont="1" applyFill="1" applyBorder="1"/>
    <xf numFmtId="0" fontId="69" fillId="82" borderId="0" xfId="0" applyFont="1" applyFill="1"/>
    <xf numFmtId="0" fontId="70" fillId="82" borderId="0" xfId="0" applyFont="1" applyFill="1" applyAlignment="1">
      <alignment horizontal="center"/>
    </xf>
    <xf numFmtId="0" fontId="70" fillId="0" borderId="0" xfId="0" applyFont="1" applyAlignment="1">
      <alignment horizontal="center"/>
    </xf>
    <xf numFmtId="0" fontId="70" fillId="0" borderId="0" xfId="0" applyFont="1" applyAlignment="1">
      <alignment horizontal="center" vertical="center"/>
    </xf>
    <xf numFmtId="0" fontId="69" fillId="0" borderId="0" xfId="0" applyFont="1"/>
    <xf numFmtId="0" fontId="69" fillId="82" borderId="0" xfId="0" applyFont="1" applyFill="1" applyBorder="1"/>
    <xf numFmtId="0" fontId="71" fillId="82" borderId="0" xfId="0" applyFont="1" applyFill="1" applyBorder="1" applyAlignment="1">
      <alignment horizontal="center" vertical="center"/>
    </xf>
    <xf numFmtId="0" fontId="71" fillId="0" borderId="105" xfId="0" applyFont="1" applyBorder="1" applyAlignment="1">
      <alignment horizontal="center" vertical="center"/>
    </xf>
    <xf numFmtId="0" fontId="72" fillId="0" borderId="102" xfId="0" applyFont="1" applyBorder="1" applyAlignment="1">
      <alignment horizontal="right" vertical="center"/>
    </xf>
    <xf numFmtId="0" fontId="72" fillId="0" borderId="98" xfId="0" applyFont="1" applyBorder="1" applyAlignment="1">
      <alignment horizontal="right" vertical="center"/>
    </xf>
    <xf numFmtId="0" fontId="73" fillId="0" borderId="102" xfId="0" applyFont="1" applyBorder="1" applyAlignment="1">
      <alignment horizontal="center" vertical="center"/>
    </xf>
    <xf numFmtId="0" fontId="73" fillId="0" borderId="98" xfId="0" applyFont="1" applyBorder="1" applyAlignment="1">
      <alignment horizontal="center" vertical="center"/>
    </xf>
    <xf numFmtId="0" fontId="71" fillId="0" borderId="104" xfId="0" applyFont="1" applyBorder="1" applyAlignment="1">
      <alignment horizontal="center" vertical="center"/>
    </xf>
    <xf numFmtId="0" fontId="74" fillId="0" borderId="103" xfId="0" applyFont="1" applyBorder="1" applyAlignment="1">
      <alignment horizontal="center"/>
    </xf>
    <xf numFmtId="0" fontId="74" fillId="0" borderId="99" xfId="0" applyFont="1" applyBorder="1" applyAlignment="1">
      <alignment horizontal="center"/>
    </xf>
    <xf numFmtId="0" fontId="75" fillId="82" borderId="30" xfId="0" applyFont="1" applyFill="1" applyBorder="1" applyAlignment="1">
      <alignment horizontal="center"/>
    </xf>
    <xf numFmtId="0" fontId="75" fillId="82" borderId="28" xfId="0" applyFont="1" applyFill="1" applyBorder="1" applyAlignment="1">
      <alignment horizontal="center"/>
    </xf>
    <xf numFmtId="0" fontId="75" fillId="211" borderId="28" xfId="0" applyFont="1" applyFill="1" applyBorder="1" applyAlignment="1">
      <alignment horizontal="center"/>
    </xf>
    <xf numFmtId="0" fontId="75" fillId="163" borderId="28" xfId="0" applyFont="1" applyFill="1" applyBorder="1" applyAlignment="1">
      <alignment horizontal="center"/>
    </xf>
    <xf numFmtId="0" fontId="75" fillId="214" borderId="28" xfId="0" applyFont="1" applyFill="1" applyBorder="1" applyAlignment="1">
      <alignment horizontal="center"/>
    </xf>
    <xf numFmtId="0" fontId="75" fillId="200" borderId="30" xfId="0" applyFont="1" applyFill="1" applyBorder="1" applyAlignment="1">
      <alignment horizontal="center"/>
    </xf>
    <xf numFmtId="0" fontId="70" fillId="82" borderId="28" xfId="0" applyFont="1" applyFill="1" applyBorder="1" applyAlignment="1">
      <alignment horizontal="center"/>
    </xf>
    <xf numFmtId="0" fontId="76" fillId="82" borderId="101" xfId="0" applyFont="1" applyFill="1" applyBorder="1" applyAlignment="1">
      <alignment horizontal="left" vertical="center"/>
    </xf>
    <xf numFmtId="0" fontId="76" fillId="82" borderId="102" xfId="0" applyFont="1" applyFill="1" applyBorder="1" applyAlignment="1">
      <alignment horizontal="center" vertical="center"/>
    </xf>
    <xf numFmtId="0" fontId="69" fillId="0" borderId="30" xfId="0" applyFont="1" applyBorder="1"/>
    <xf numFmtId="0" fontId="69" fillId="0" borderId="28" xfId="0" applyFont="1" applyBorder="1"/>
    <xf numFmtId="0" fontId="69" fillId="82" borderId="28" xfId="0" applyFont="1" applyFill="1" applyBorder="1"/>
    <xf numFmtId="0" fontId="75" fillId="82" borderId="30" xfId="0" applyFont="1" applyFill="1" applyBorder="1" applyAlignment="1">
      <alignment horizontal="center" vertical="center"/>
    </xf>
    <xf numFmtId="0" fontId="75" fillId="82" borderId="28" xfId="0" applyFont="1" applyFill="1" applyBorder="1" applyAlignment="1">
      <alignment horizontal="center" vertical="center"/>
    </xf>
    <xf numFmtId="0" fontId="70" fillId="82" borderId="28" xfId="0" applyFont="1" applyFill="1" applyBorder="1" applyAlignment="1">
      <alignment horizontal="center" vertical="center"/>
    </xf>
    <xf numFmtId="0" fontId="75" fillId="200" borderId="30" xfId="0" applyFont="1" applyFill="1" applyBorder="1" applyAlignment="1">
      <alignment horizontal="center" wrapText="1"/>
    </xf>
    <xf numFmtId="0" fontId="75" fillId="200" borderId="30" xfId="0" applyFont="1" applyFill="1" applyBorder="1" applyAlignment="1">
      <alignment horizontal="center" vertical="center"/>
    </xf>
    <xf numFmtId="0" fontId="69" fillId="82" borderId="0" xfId="0" applyFont="1" applyFill="1" applyAlignment="1">
      <alignment vertical="center"/>
    </xf>
    <xf numFmtId="0" fontId="77" fillId="82" borderId="28" xfId="0" applyFont="1" applyFill="1" applyBorder="1"/>
    <xf numFmtId="0" fontId="70" fillId="82" borderId="31" xfId="0" applyFont="1" applyFill="1" applyBorder="1" applyAlignment="1">
      <alignment horizontal="center" vertical="center"/>
    </xf>
    <xf numFmtId="0" fontId="70" fillId="216" borderId="28" xfId="0" applyFont="1" applyFill="1" applyBorder="1" applyAlignment="1">
      <alignment horizontal="center" vertical="center"/>
    </xf>
    <xf numFmtId="0" fontId="75" fillId="218" borderId="28" xfId="0" applyFont="1" applyFill="1" applyBorder="1" applyAlignment="1">
      <alignment horizontal="center"/>
    </xf>
    <xf numFmtId="0" fontId="70" fillId="216" borderId="31" xfId="0" applyFont="1" applyFill="1" applyBorder="1" applyAlignment="1">
      <alignment horizontal="center" vertical="center"/>
    </xf>
    <xf numFmtId="0" fontId="78" fillId="0" borderId="0" xfId="0" applyFont="1" applyAlignment="1">
      <alignment horizontal="center"/>
    </xf>
    <xf numFmtId="0" fontId="79" fillId="210" borderId="28" xfId="0" applyFont="1" applyFill="1" applyBorder="1" applyAlignment="1">
      <alignment horizontal="center" vertical="center"/>
    </xf>
    <xf numFmtId="0" fontId="80" fillId="164" borderId="28" xfId="0" applyFont="1" applyFill="1" applyBorder="1" applyAlignment="1">
      <alignment horizontal="center" vertical="center"/>
    </xf>
    <xf numFmtId="0" fontId="80" fillId="164" borderId="31" xfId="0" applyFont="1" applyFill="1" applyBorder="1" applyAlignment="1">
      <alignment horizontal="center" vertical="center"/>
    </xf>
    <xf numFmtId="1" fontId="81" fillId="217" borderId="28" xfId="0" applyNumberFormat="1" applyFont="1" applyFill="1" applyBorder="1" applyAlignment="1">
      <alignment horizontal="center" vertical="center"/>
    </xf>
    <xf numFmtId="0" fontId="79" fillId="82" borderId="0" xfId="0" applyFont="1" applyFill="1" applyAlignment="1">
      <alignment vertical="center"/>
    </xf>
    <xf numFmtId="0" fontId="71" fillId="0" borderId="112" xfId="0" applyFont="1" applyBorder="1" applyAlignment="1">
      <alignment horizontal="center" vertical="center"/>
    </xf>
    <xf numFmtId="0" fontId="69" fillId="0" borderId="112" xfId="0" applyFont="1" applyBorder="1"/>
    <xf numFmtId="0" fontId="71" fillId="0" borderId="113" xfId="0" applyFont="1" applyBorder="1" applyAlignment="1">
      <alignment horizontal="center" vertical="center"/>
    </xf>
    <xf numFmtId="0" fontId="69" fillId="0" borderId="113" xfId="0" applyFont="1" applyBorder="1"/>
    <xf numFmtId="0" fontId="71" fillId="0" borderId="114" xfId="0" applyFont="1" applyBorder="1" applyAlignment="1">
      <alignment horizontal="center" vertical="center"/>
    </xf>
    <xf numFmtId="0" fontId="74" fillId="0" borderId="114" xfId="0" applyFont="1" applyBorder="1" applyAlignment="1">
      <alignment horizontal="center"/>
    </xf>
    <xf numFmtId="0" fontId="71" fillId="0" borderId="115" xfId="0" applyFont="1" applyBorder="1" applyAlignment="1">
      <alignment horizontal="center" vertical="center"/>
    </xf>
    <xf numFmtId="0" fontId="74" fillId="0" borderId="115" xfId="0" applyFont="1" applyBorder="1" applyAlignment="1">
      <alignment horizontal="center"/>
    </xf>
    <xf numFmtId="0" fontId="71" fillId="0" borderId="116" xfId="0" applyFont="1" applyBorder="1" applyAlignment="1">
      <alignment horizontal="center" vertical="center"/>
    </xf>
    <xf numFmtId="0" fontId="69" fillId="0" borderId="116" xfId="0" applyFont="1" applyBorder="1"/>
    <xf numFmtId="0" fontId="83" fillId="82" borderId="0" xfId="0" applyFont="1" applyFill="1"/>
    <xf numFmtId="0" fontId="83" fillId="82" borderId="0" xfId="0" applyFont="1" applyFill="1" applyAlignment="1">
      <alignment horizontal="right"/>
    </xf>
    <xf numFmtId="0" fontId="0" fillId="82" borderId="0" xfId="0" applyFill="1" applyBorder="1"/>
    <xf numFmtId="1" fontId="81" fillId="209" borderId="28" xfId="0" applyNumberFormat="1" applyFont="1" applyFill="1" applyBorder="1" applyAlignment="1">
      <alignment horizontal="center" vertical="center"/>
    </xf>
    <xf numFmtId="1" fontId="81" fillId="209" borderId="33" xfId="0" applyNumberFormat="1" applyFont="1" applyFill="1" applyBorder="1" applyAlignment="1">
      <alignment horizontal="center" vertical="center"/>
    </xf>
    <xf numFmtId="1" fontId="81" fillId="209" borderId="100" xfId="0" applyNumberFormat="1" applyFont="1" applyFill="1" applyBorder="1" applyAlignment="1">
      <alignment horizontal="center" vertical="center"/>
    </xf>
    <xf numFmtId="1" fontId="81" fillId="209" borderId="34" xfId="0" applyNumberFormat="1" applyFont="1" applyFill="1" applyBorder="1" applyAlignment="1">
      <alignment horizontal="center" vertical="center"/>
    </xf>
    <xf numFmtId="0" fontId="83" fillId="82" borderId="0" xfId="0" applyFont="1" applyFill="1" applyAlignment="1">
      <alignment vertical="center" wrapText="1"/>
    </xf>
    <xf numFmtId="0" fontId="75" fillId="82" borderId="0" xfId="0" applyFont="1" applyFill="1" applyAlignment="1">
      <alignment horizontal="center"/>
    </xf>
    <xf numFmtId="0" fontId="75" fillId="0" borderId="0" xfId="0" applyFont="1" applyAlignment="1">
      <alignment horizontal="center"/>
    </xf>
    <xf numFmtId="170" fontId="2" fillId="14" borderId="1" xfId="1" applyNumberFormat="1" applyFill="1" applyBorder="1" applyAlignment="1">
      <alignment horizontal="center" vertical="center" wrapText="1"/>
    </xf>
    <xf numFmtId="170" fontId="2" fillId="14" borderId="16" xfId="1" applyNumberFormat="1" applyFill="1" applyBorder="1" applyAlignment="1">
      <alignment horizontal="center" vertical="center" wrapText="1"/>
    </xf>
    <xf numFmtId="175" fontId="84" fillId="6" borderId="0" xfId="1" applyFont="1" applyFill="1"/>
    <xf numFmtId="175" fontId="85" fillId="83" borderId="0" xfId="1" applyFont="1" applyFill="1"/>
    <xf numFmtId="175" fontId="86" fillId="6" borderId="0" xfId="1" applyFont="1" applyFill="1"/>
    <xf numFmtId="175" fontId="84" fillId="6" borderId="0" xfId="1" applyFont="1" applyFill="1" applyAlignment="1">
      <alignment wrapText="1"/>
    </xf>
    <xf numFmtId="175" fontId="84" fillId="84" borderId="0" xfId="1" applyFont="1" applyFill="1"/>
    <xf numFmtId="175" fontId="87" fillId="193" borderId="0" xfId="1" applyFont="1" applyFill="1"/>
    <xf numFmtId="164" fontId="84" fillId="0" borderId="0" xfId="14" applyFont="1" applyAlignment="1">
      <alignment horizontal="center" vertical="center"/>
    </xf>
    <xf numFmtId="175" fontId="84" fillId="0" borderId="0" xfId="1" applyFont="1"/>
    <xf numFmtId="175" fontId="84" fillId="82" borderId="0" xfId="1" applyFont="1" applyFill="1" applyAlignment="1">
      <alignment horizontal="center" vertical="center"/>
    </xf>
    <xf numFmtId="175" fontId="84" fillId="0" borderId="1" xfId="1" applyFont="1" applyBorder="1" applyAlignment="1">
      <alignment horizontal="left" vertical="center" wrapText="1"/>
    </xf>
    <xf numFmtId="175" fontId="84" fillId="82" borderId="0" xfId="1" applyFont="1" applyFill="1"/>
    <xf numFmtId="175" fontId="88" fillId="82" borderId="0" xfId="1" applyFont="1" applyFill="1"/>
    <xf numFmtId="175" fontId="88" fillId="0" borderId="0" xfId="1" applyFont="1"/>
    <xf numFmtId="0" fontId="89" fillId="0" borderId="0" xfId="0" applyFont="1"/>
    <xf numFmtId="175" fontId="90" fillId="203" borderId="0" xfId="1" applyFont="1" applyFill="1" applyBorder="1" applyAlignment="1">
      <alignment horizontal="center" vertical="center"/>
    </xf>
    <xf numFmtId="175" fontId="91" fillId="202" borderId="0" xfId="1" applyFont="1" applyFill="1" applyBorder="1" applyAlignment="1">
      <alignment horizontal="center" vertical="center"/>
    </xf>
    <xf numFmtId="175" fontId="90" fillId="202" borderId="0" xfId="1" applyFont="1" applyFill="1" applyBorder="1" applyAlignment="1">
      <alignment vertical="center"/>
    </xf>
    <xf numFmtId="175" fontId="90" fillId="6" borderId="0" xfId="1" applyFont="1" applyFill="1" applyBorder="1" applyAlignment="1">
      <alignment vertical="center"/>
    </xf>
    <xf numFmtId="175" fontId="93" fillId="193" borderId="13" xfId="1" applyFont="1" applyFill="1" applyBorder="1" applyAlignment="1">
      <alignment vertical="center"/>
    </xf>
    <xf numFmtId="175" fontId="90" fillId="6" borderId="13" xfId="1" applyFont="1" applyFill="1" applyBorder="1" applyAlignment="1">
      <alignment vertical="center"/>
    </xf>
    <xf numFmtId="175" fontId="84" fillId="90" borderId="18" xfId="1" applyFont="1" applyFill="1" applyBorder="1" applyAlignment="1">
      <alignment horizontal="center"/>
    </xf>
    <xf numFmtId="0" fontId="95" fillId="0" borderId="0" xfId="0" applyFont="1"/>
    <xf numFmtId="175" fontId="90" fillId="84" borderId="0" xfId="1" applyFont="1" applyFill="1" applyBorder="1" applyAlignment="1">
      <alignment vertical="center"/>
    </xf>
    <xf numFmtId="175" fontId="93" fillId="193" borderId="0" xfId="1" applyFont="1" applyFill="1" applyBorder="1" applyAlignment="1">
      <alignment vertical="center"/>
    </xf>
    <xf numFmtId="0" fontId="95" fillId="82" borderId="0" xfId="0" applyFont="1" applyFill="1" applyAlignment="1">
      <alignment horizontal="center" vertical="center"/>
    </xf>
    <xf numFmtId="0" fontId="89" fillId="82" borderId="0" xfId="0" applyFont="1" applyFill="1"/>
    <xf numFmtId="175" fontId="85" fillId="90" borderId="18" xfId="1" applyFont="1" applyFill="1" applyBorder="1" applyAlignment="1">
      <alignment horizontal="center"/>
    </xf>
    <xf numFmtId="175" fontId="90" fillId="84" borderId="0" xfId="1" applyFont="1" applyFill="1" applyBorder="1" applyAlignment="1">
      <alignment horizontal="center" vertical="center"/>
    </xf>
    <xf numFmtId="175" fontId="91" fillId="83" borderId="0" xfId="1" applyFont="1" applyFill="1" applyBorder="1" applyAlignment="1">
      <alignment horizontal="center" vertical="center"/>
    </xf>
    <xf numFmtId="175" fontId="90" fillId="83" borderId="0" xfId="1" applyFont="1" applyFill="1" applyBorder="1" applyAlignment="1">
      <alignment vertical="center"/>
    </xf>
    <xf numFmtId="175" fontId="92" fillId="83" borderId="0" xfId="1" applyFont="1" applyFill="1" applyBorder="1" applyAlignment="1">
      <alignment horizontal="center" vertical="center" wrapText="1"/>
    </xf>
    <xf numFmtId="164" fontId="93" fillId="85" borderId="0" xfId="14" applyFont="1" applyFill="1" applyBorder="1" applyAlignment="1">
      <alignment horizontal="center" vertical="center"/>
    </xf>
    <xf numFmtId="175" fontId="90" fillId="86" borderId="0" xfId="1" applyFont="1" applyFill="1" applyBorder="1" applyAlignment="1">
      <alignment horizontal="center" vertical="center"/>
    </xf>
    <xf numFmtId="175" fontId="90" fillId="87" borderId="0" xfId="1" applyFont="1" applyFill="1" applyBorder="1" applyAlignment="1">
      <alignment horizontal="center" vertical="center"/>
    </xf>
    <xf numFmtId="175" fontId="90" fillId="88" borderId="0" xfId="1" applyFont="1" applyFill="1" applyBorder="1" applyAlignment="1">
      <alignment horizontal="center" vertical="center"/>
    </xf>
    <xf numFmtId="175" fontId="90" fillId="83" borderId="0" xfId="1" applyFont="1" applyFill="1" applyBorder="1" applyAlignment="1">
      <alignment horizontal="center" vertical="center"/>
    </xf>
    <xf numFmtId="0" fontId="95" fillId="82" borderId="0" xfId="0" applyFont="1" applyFill="1" applyAlignment="1">
      <alignment horizontal="left" vertical="center" wrapText="1"/>
    </xf>
    <xf numFmtId="0" fontId="95" fillId="82" borderId="0" xfId="0" applyFont="1" applyFill="1"/>
    <xf numFmtId="175" fontId="97" fillId="6" borderId="0" xfId="1" applyFont="1" applyFill="1" applyBorder="1" applyAlignment="1">
      <alignment horizontal="center" vertical="center"/>
    </xf>
    <xf numFmtId="175" fontId="98" fillId="83" borderId="0" xfId="1" applyFont="1" applyFill="1" applyBorder="1" applyAlignment="1">
      <alignment horizontal="center" vertical="center"/>
    </xf>
    <xf numFmtId="175" fontId="90" fillId="83" borderId="0" xfId="1" applyFont="1" applyFill="1" applyBorder="1" applyAlignment="1">
      <alignment vertical="center" wrapText="1"/>
    </xf>
    <xf numFmtId="164" fontId="90" fillId="85" borderId="0" xfId="14" applyFont="1" applyFill="1" applyBorder="1" applyAlignment="1">
      <alignment horizontal="center" vertical="center"/>
    </xf>
    <xf numFmtId="175" fontId="88" fillId="84" borderId="0" xfId="1" applyFont="1" applyFill="1"/>
    <xf numFmtId="175" fontId="88" fillId="6" borderId="0" xfId="1" applyFont="1" applyFill="1"/>
    <xf numFmtId="175" fontId="90" fillId="53" borderId="13" xfId="1" applyFont="1" applyFill="1" applyBorder="1" applyAlignment="1">
      <alignment horizontal="center" vertical="center" wrapText="1"/>
    </xf>
    <xf numFmtId="175" fontId="90" fillId="153" borderId="1" xfId="1" applyFont="1" applyFill="1" applyBorder="1" applyAlignment="1">
      <alignment horizontal="center" vertical="center" wrapText="1"/>
    </xf>
    <xf numFmtId="176" fontId="100" fillId="27" borderId="18" xfId="1" applyNumberFormat="1" applyFont="1" applyFill="1" applyBorder="1" applyAlignment="1">
      <alignment horizontal="center" vertical="center"/>
    </xf>
    <xf numFmtId="175" fontId="84" fillId="91" borderId="1" xfId="1" applyFont="1" applyFill="1" applyBorder="1" applyAlignment="1">
      <alignment horizontal="center" vertical="center"/>
    </xf>
    <xf numFmtId="175" fontId="90" fillId="155" borderId="13" xfId="1" applyFont="1" applyFill="1" applyBorder="1" applyAlignment="1">
      <alignment horizontal="center" vertical="center" wrapText="1"/>
    </xf>
    <xf numFmtId="175" fontId="90" fillId="206" borderId="1" xfId="1" applyFont="1" applyFill="1" applyBorder="1" applyAlignment="1">
      <alignment horizontal="center" vertical="center" wrapText="1"/>
    </xf>
    <xf numFmtId="175" fontId="101" fillId="83" borderId="0" xfId="1" applyFont="1" applyFill="1"/>
    <xf numFmtId="175" fontId="90" fillId="83" borderId="13" xfId="1" applyFont="1" applyFill="1" applyBorder="1" applyAlignment="1">
      <alignment horizontal="center" vertical="center"/>
    </xf>
    <xf numFmtId="175" fontId="90" fillId="6" borderId="0" xfId="1" applyFont="1" applyFill="1" applyBorder="1" applyAlignment="1">
      <alignment horizontal="center" vertical="center"/>
    </xf>
    <xf numFmtId="175" fontId="93" fillId="194" borderId="0" xfId="1" applyFont="1" applyFill="1" applyBorder="1" applyAlignment="1">
      <alignment vertical="center"/>
    </xf>
    <xf numFmtId="175" fontId="102" fillId="6" borderId="41" xfId="1" applyFont="1" applyFill="1" applyBorder="1" applyAlignment="1">
      <alignment horizontal="center" vertical="center" wrapText="1"/>
    </xf>
    <xf numFmtId="177" fontId="84" fillId="7" borderId="76" xfId="1" applyNumberFormat="1" applyFont="1" applyFill="1" applyBorder="1" applyAlignment="1">
      <alignment vertical="center"/>
    </xf>
    <xf numFmtId="177" fontId="84" fillId="82" borderId="0" xfId="1" applyNumberFormat="1" applyFont="1" applyFill="1" applyBorder="1" applyAlignment="1">
      <alignment horizontal="center" vertical="center"/>
    </xf>
    <xf numFmtId="9" fontId="84" fillId="151" borderId="1" xfId="16" applyFont="1" applyFill="1" applyBorder="1" applyAlignment="1">
      <alignment horizontal="center" vertical="center"/>
    </xf>
    <xf numFmtId="175" fontId="103" fillId="171" borderId="84" xfId="1" applyFont="1" applyFill="1" applyBorder="1" applyAlignment="1">
      <alignment horizontal="center" vertical="center" wrapText="1"/>
    </xf>
    <xf numFmtId="2" fontId="104" fillId="172" borderId="18" xfId="1" applyNumberFormat="1" applyFont="1" applyFill="1" applyBorder="1" applyAlignment="1">
      <alignment horizontal="center" vertical="center"/>
    </xf>
    <xf numFmtId="175" fontId="97" fillId="6" borderId="59" xfId="1" applyFont="1" applyFill="1" applyBorder="1" applyAlignment="1">
      <alignment horizontal="center" vertical="center"/>
    </xf>
    <xf numFmtId="175" fontId="90" fillId="6" borderId="13" xfId="1" applyFont="1" applyFill="1" applyBorder="1" applyAlignment="1">
      <alignment horizontal="center" vertical="center"/>
    </xf>
    <xf numFmtId="175" fontId="95" fillId="118" borderId="28" xfId="1" applyFont="1" applyFill="1" applyBorder="1" applyAlignment="1">
      <alignment horizontal="center" vertical="center" wrapText="1"/>
    </xf>
    <xf numFmtId="175" fontId="95" fillId="121" borderId="28" xfId="1" applyFont="1" applyFill="1" applyBorder="1" applyAlignment="1">
      <alignment horizontal="center" vertical="center"/>
    </xf>
    <xf numFmtId="175" fontId="84" fillId="6" borderId="0" xfId="1" applyFont="1" applyFill="1" applyBorder="1" applyAlignment="1">
      <alignment horizontal="center"/>
    </xf>
    <xf numFmtId="175" fontId="86" fillId="61" borderId="52" xfId="1" applyFont="1" applyFill="1" applyBorder="1" applyAlignment="1">
      <alignment horizontal="center" vertical="center" wrapText="1"/>
    </xf>
    <xf numFmtId="175" fontId="97" fillId="136" borderId="21" xfId="1" applyFont="1" applyFill="1" applyBorder="1" applyAlignment="1">
      <alignment horizontal="center" vertical="center"/>
    </xf>
    <xf numFmtId="175" fontId="97" fillId="134" borderId="21" xfId="1" applyFont="1" applyFill="1" applyBorder="1" applyAlignment="1">
      <alignment horizontal="center" vertical="center"/>
    </xf>
    <xf numFmtId="175" fontId="97" fillId="135" borderId="21" xfId="1" applyFont="1" applyFill="1" applyBorder="1" applyAlignment="1">
      <alignment horizontal="center" vertical="center"/>
    </xf>
    <xf numFmtId="175" fontId="84" fillId="6" borderId="43" xfId="1" applyFont="1" applyFill="1" applyBorder="1" applyAlignment="1">
      <alignment horizontal="center" vertical="center"/>
    </xf>
    <xf numFmtId="175" fontId="102" fillId="6" borderId="49" xfId="1" applyFont="1" applyFill="1" applyBorder="1" applyAlignment="1">
      <alignment horizontal="center" vertical="center" wrapText="1"/>
    </xf>
    <xf numFmtId="177" fontId="84" fillId="7" borderId="64" xfId="1" applyNumberFormat="1" applyFont="1" applyFill="1" applyBorder="1" applyAlignment="1">
      <alignment vertical="center"/>
    </xf>
    <xf numFmtId="2" fontId="99" fillId="79" borderId="1" xfId="1" applyNumberFormat="1" applyFont="1" applyFill="1" applyBorder="1" applyAlignment="1">
      <alignment horizontal="center" vertical="center" wrapText="1"/>
    </xf>
    <xf numFmtId="2" fontId="106" fillId="27" borderId="18" xfId="1" applyNumberFormat="1" applyFont="1" applyFill="1" applyBorder="1" applyAlignment="1">
      <alignment horizontal="center" vertical="center"/>
    </xf>
    <xf numFmtId="9" fontId="84" fillId="152" borderId="1" xfId="16" applyFont="1" applyFill="1" applyBorder="1" applyAlignment="1">
      <alignment horizontal="center" vertical="center"/>
    </xf>
    <xf numFmtId="175" fontId="84" fillId="89" borderId="49" xfId="1" applyFont="1" applyFill="1" applyBorder="1" applyAlignment="1">
      <alignment horizontal="center" vertical="center"/>
    </xf>
    <xf numFmtId="175" fontId="90" fillId="31" borderId="13" xfId="1" applyFont="1" applyFill="1" applyBorder="1" applyAlignment="1">
      <alignment horizontal="center" vertical="center"/>
    </xf>
    <xf numFmtId="175" fontId="90" fillId="83" borderId="111" xfId="1" applyFont="1" applyFill="1" applyBorder="1" applyAlignment="1">
      <alignment horizontal="center" vertical="center"/>
    </xf>
    <xf numFmtId="175" fontId="84" fillId="6" borderId="0" xfId="1" applyFont="1" applyFill="1" applyBorder="1" applyAlignment="1">
      <alignment horizontal="center" vertical="center"/>
    </xf>
    <xf numFmtId="175" fontId="84" fillId="138" borderId="21" xfId="1" applyFont="1" applyFill="1" applyBorder="1" applyAlignment="1">
      <alignment horizontal="center" vertical="center"/>
    </xf>
    <xf numFmtId="175" fontId="84" fillId="125" borderId="21" xfId="1" applyFont="1" applyFill="1" applyBorder="1" applyAlignment="1">
      <alignment horizontal="center" vertical="center"/>
    </xf>
    <xf numFmtId="175" fontId="84" fillId="140" borderId="61" xfId="1" applyFont="1" applyFill="1" applyBorder="1" applyAlignment="1">
      <alignment horizontal="center" vertical="center"/>
    </xf>
    <xf numFmtId="175" fontId="84" fillId="141" borderId="63" xfId="1" applyFont="1" applyFill="1" applyBorder="1" applyAlignment="1">
      <alignment horizontal="center" vertical="center"/>
    </xf>
    <xf numFmtId="175" fontId="84" fillId="93" borderId="20" xfId="1" applyFont="1" applyFill="1" applyBorder="1" applyAlignment="1">
      <alignment horizontal="left" vertical="center"/>
    </xf>
    <xf numFmtId="175" fontId="84" fillId="93" borderId="0" xfId="1" applyFont="1" applyFill="1" applyBorder="1" applyAlignment="1">
      <alignment horizontal="left" vertical="center"/>
    </xf>
    <xf numFmtId="175" fontId="90" fillId="45" borderId="42" xfId="1" applyFont="1" applyFill="1" applyBorder="1" applyAlignment="1">
      <alignment horizontal="center" vertical="center" wrapText="1"/>
    </xf>
    <xf numFmtId="175" fontId="85" fillId="9" borderId="106" xfId="1" applyFont="1" applyFill="1" applyBorder="1" applyAlignment="1">
      <alignment horizontal="center" vertical="center"/>
    </xf>
    <xf numFmtId="175" fontId="86" fillId="6" borderId="108" xfId="1" applyFont="1" applyFill="1" applyBorder="1"/>
    <xf numFmtId="175" fontId="84" fillId="89" borderId="0" xfId="1" applyFont="1" applyFill="1" applyBorder="1" applyAlignment="1">
      <alignment horizontal="center" vertical="center"/>
    </xf>
    <xf numFmtId="175" fontId="86" fillId="61" borderId="46" xfId="1" applyFont="1" applyFill="1" applyBorder="1" applyAlignment="1">
      <alignment horizontal="center" vertical="center" wrapText="1"/>
    </xf>
    <xf numFmtId="175" fontId="84" fillId="138" borderId="17" xfId="1" applyFont="1" applyFill="1" applyBorder="1" applyAlignment="1">
      <alignment horizontal="center" vertical="center"/>
    </xf>
    <xf numFmtId="175" fontId="84" fillId="140" borderId="62" xfId="1" applyFont="1" applyFill="1" applyBorder="1" applyAlignment="1">
      <alignment horizontal="center" vertical="center"/>
    </xf>
    <xf numFmtId="175" fontId="84" fillId="141" borderId="43" xfId="1" applyFont="1" applyFill="1" applyBorder="1" applyAlignment="1">
      <alignment horizontal="center" vertical="center"/>
    </xf>
    <xf numFmtId="175" fontId="102" fillId="6" borderId="47" xfId="1" applyFont="1" applyFill="1" applyBorder="1" applyAlignment="1">
      <alignment horizontal="center" vertical="center" wrapText="1"/>
    </xf>
    <xf numFmtId="177" fontId="102" fillId="196" borderId="57" xfId="1" applyNumberFormat="1" applyFont="1" applyFill="1" applyBorder="1" applyAlignment="1">
      <alignment vertical="center"/>
    </xf>
    <xf numFmtId="176" fontId="106" fillId="27" borderId="18" xfId="1" applyNumberFormat="1" applyFont="1" applyFill="1" applyBorder="1" applyAlignment="1">
      <alignment horizontal="center" vertical="center"/>
    </xf>
    <xf numFmtId="175" fontId="90" fillId="45" borderId="44" xfId="1" applyFont="1" applyFill="1" applyBorder="1" applyAlignment="1">
      <alignment horizontal="center" vertical="center" wrapText="1"/>
    </xf>
    <xf numFmtId="175" fontId="85" fillId="9" borderId="107" xfId="1" applyFont="1" applyFill="1" applyBorder="1" applyAlignment="1">
      <alignment horizontal="center" vertical="center"/>
    </xf>
    <xf numFmtId="175" fontId="84" fillId="84" borderId="0" xfId="1" applyFont="1" applyFill="1" applyBorder="1" applyAlignment="1">
      <alignment horizontal="center"/>
    </xf>
    <xf numFmtId="175" fontId="84" fillId="139" borderId="17" xfId="1" applyFont="1" applyFill="1" applyBorder="1" applyAlignment="1">
      <alignment horizontal="center" vertical="center"/>
    </xf>
    <xf numFmtId="175" fontId="84" fillId="139" borderId="18" xfId="1" applyFont="1" applyFill="1" applyBorder="1" applyAlignment="1">
      <alignment horizontal="center" vertical="center"/>
    </xf>
    <xf numFmtId="175" fontId="84" fillId="140" borderId="17" xfId="1" applyFont="1" applyFill="1" applyBorder="1" applyAlignment="1">
      <alignment horizontal="center" vertical="center"/>
    </xf>
    <xf numFmtId="175" fontId="84" fillId="117" borderId="43" xfId="1" applyFont="1" applyFill="1" applyBorder="1"/>
    <xf numFmtId="164" fontId="90" fillId="83" borderId="0" xfId="14" applyFont="1" applyFill="1" applyBorder="1" applyAlignment="1">
      <alignment horizontal="center" vertical="center"/>
    </xf>
    <xf numFmtId="175" fontId="84" fillId="93" borderId="0" xfId="1" applyFont="1" applyFill="1" applyBorder="1" applyAlignment="1">
      <alignment horizontal="center" vertical="center"/>
    </xf>
    <xf numFmtId="175" fontId="90" fillId="156" borderId="1" xfId="1" applyFont="1" applyFill="1" applyBorder="1" applyAlignment="1">
      <alignment horizontal="center" vertical="center" wrapText="1"/>
    </xf>
    <xf numFmtId="176" fontId="106" fillId="90" borderId="18" xfId="1" applyNumberFormat="1" applyFont="1" applyFill="1" applyBorder="1" applyAlignment="1">
      <alignment horizontal="center" vertical="center"/>
    </xf>
    <xf numFmtId="9" fontId="84" fillId="91" borderId="1" xfId="16" applyFont="1" applyFill="1" applyBorder="1" applyAlignment="1">
      <alignment horizontal="center" vertical="center"/>
    </xf>
    <xf numFmtId="175" fontId="107" fillId="92" borderId="45" xfId="1" applyFont="1" applyFill="1" applyBorder="1" applyAlignment="1">
      <alignment horizontal="center" vertical="center" wrapText="1"/>
    </xf>
    <xf numFmtId="175" fontId="107" fillId="92" borderId="13" xfId="1" applyFont="1" applyFill="1" applyBorder="1" applyAlignment="1">
      <alignment horizontal="center" vertical="center" wrapText="1"/>
    </xf>
    <xf numFmtId="175" fontId="84" fillId="89" borderId="14" xfId="1" applyFont="1" applyFill="1" applyBorder="1" applyAlignment="1">
      <alignment horizontal="center" vertical="center"/>
    </xf>
    <xf numFmtId="175" fontId="107" fillId="92" borderId="46" xfId="1" applyFont="1" applyFill="1" applyBorder="1" applyAlignment="1">
      <alignment horizontal="center" vertical="center" wrapText="1"/>
    </xf>
    <xf numFmtId="175" fontId="107" fillId="93" borderId="17" xfId="1" applyFont="1" applyFill="1" applyBorder="1" applyAlignment="1">
      <alignment horizontal="center" vertical="center"/>
    </xf>
    <xf numFmtId="175" fontId="84" fillId="117" borderId="43" xfId="1" applyFont="1" applyFill="1" applyBorder="1" applyAlignment="1">
      <alignment horizontal="center" vertical="center"/>
    </xf>
    <xf numFmtId="176" fontId="106" fillId="154" borderId="18" xfId="1" applyNumberFormat="1" applyFont="1" applyFill="1" applyBorder="1" applyAlignment="1">
      <alignment horizontal="center" vertical="center"/>
    </xf>
    <xf numFmtId="175" fontId="90" fillId="55" borderId="46" xfId="1" applyFont="1" applyFill="1" applyBorder="1" applyAlignment="1">
      <alignment horizontal="center" vertical="center" wrapText="1"/>
    </xf>
    <xf numFmtId="175" fontId="99" fillId="7" borderId="17" xfId="1" applyFont="1" applyFill="1" applyBorder="1" applyAlignment="1">
      <alignment horizontal="center" vertical="center"/>
    </xf>
    <xf numFmtId="175" fontId="86" fillId="61" borderId="53" xfId="1" applyFont="1" applyFill="1" applyBorder="1" applyAlignment="1">
      <alignment horizontal="center" vertical="center" wrapText="1"/>
    </xf>
    <xf numFmtId="175" fontId="84" fillId="49" borderId="17" xfId="1" applyFont="1" applyFill="1" applyBorder="1" applyAlignment="1">
      <alignment horizontal="center" vertical="center"/>
    </xf>
    <xf numFmtId="175" fontId="108" fillId="143" borderId="43" xfId="1" applyFont="1" applyFill="1" applyBorder="1" applyAlignment="1">
      <alignment horizontal="center" vertical="center"/>
    </xf>
    <xf numFmtId="175" fontId="90" fillId="148" borderId="46" xfId="1" applyFont="1" applyFill="1" applyBorder="1" applyAlignment="1">
      <alignment horizontal="center" vertical="center" wrapText="1"/>
    </xf>
    <xf numFmtId="175" fontId="99" fillId="147" borderId="17" xfId="1" applyFont="1" applyFill="1" applyBorder="1" applyAlignment="1">
      <alignment horizontal="center" vertical="center"/>
    </xf>
    <xf numFmtId="175" fontId="95" fillId="119" borderId="28" xfId="1" applyFont="1" applyFill="1" applyBorder="1" applyAlignment="1">
      <alignment horizontal="center" vertical="center" wrapText="1"/>
    </xf>
    <xf numFmtId="175" fontId="86" fillId="137" borderId="54" xfId="1" applyFont="1" applyFill="1" applyBorder="1" applyAlignment="1">
      <alignment horizontal="center" vertical="center" wrapText="1"/>
    </xf>
    <xf numFmtId="175" fontId="84" fillId="49" borderId="22" xfId="1" applyFont="1" applyFill="1" applyBorder="1" applyAlignment="1">
      <alignment horizontal="center" vertical="center"/>
    </xf>
    <xf numFmtId="175" fontId="90" fillId="83" borderId="43" xfId="1" applyFont="1" applyFill="1" applyBorder="1" applyAlignment="1">
      <alignment vertical="center"/>
    </xf>
    <xf numFmtId="175" fontId="90" fillId="155" borderId="19" xfId="1" applyFont="1" applyFill="1" applyBorder="1" applyAlignment="1">
      <alignment horizontal="center" vertical="center" wrapText="1"/>
    </xf>
    <xf numFmtId="175" fontId="84" fillId="89" borderId="49" xfId="1" applyFont="1" applyFill="1" applyBorder="1" applyAlignment="1">
      <alignment vertical="center" wrapText="1"/>
    </xf>
    <xf numFmtId="175" fontId="84" fillId="89" borderId="38" xfId="1" applyFont="1" applyFill="1" applyBorder="1" applyAlignment="1">
      <alignment vertical="center" wrapText="1"/>
    </xf>
    <xf numFmtId="175" fontId="84" fillId="49" borderId="55" xfId="1" applyFont="1" applyFill="1" applyBorder="1" applyAlignment="1">
      <alignment horizontal="center" vertical="center"/>
    </xf>
    <xf numFmtId="164" fontId="108" fillId="83" borderId="73" xfId="14" applyFont="1" applyFill="1" applyBorder="1" applyAlignment="1">
      <alignment vertical="center"/>
    </xf>
    <xf numFmtId="175" fontId="84" fillId="6" borderId="0" xfId="1" applyFont="1" applyFill="1" applyBorder="1"/>
    <xf numFmtId="175" fontId="84" fillId="6" borderId="43" xfId="1" applyFont="1" applyFill="1" applyBorder="1" applyAlignment="1">
      <alignment horizontal="center"/>
    </xf>
    <xf numFmtId="175" fontId="102" fillId="6" borderId="0" xfId="1" applyFont="1" applyFill="1" applyAlignment="1">
      <alignment horizontal="center" vertical="center" wrapText="1"/>
    </xf>
    <xf numFmtId="177" fontId="84" fillId="49" borderId="28" xfId="14" applyNumberFormat="1" applyFont="1" applyFill="1" applyBorder="1" applyAlignment="1">
      <alignment vertical="center"/>
    </xf>
    <xf numFmtId="177" fontId="95" fillId="51" borderId="28" xfId="0" applyNumberFormat="1" applyFont="1" applyFill="1" applyBorder="1" applyAlignment="1">
      <alignment vertical="center"/>
    </xf>
    <xf numFmtId="177" fontId="95" fillId="27" borderId="28" xfId="14" applyNumberFormat="1" applyFont="1" applyFill="1" applyBorder="1" applyAlignment="1">
      <alignment vertical="center"/>
    </xf>
    <xf numFmtId="177" fontId="95" fillId="7" borderId="28" xfId="14" applyNumberFormat="1" applyFont="1" applyFill="1" applyBorder="1" applyAlignment="1">
      <alignment vertical="center"/>
    </xf>
    <xf numFmtId="177" fontId="95" fillId="32" borderId="28" xfId="14" applyNumberFormat="1" applyFont="1" applyFill="1" applyBorder="1" applyAlignment="1">
      <alignment vertical="center"/>
    </xf>
    <xf numFmtId="175" fontId="90" fillId="167" borderId="46" xfId="1" applyFont="1" applyFill="1" applyBorder="1" applyAlignment="1">
      <alignment horizontal="center" vertical="center" wrapText="1"/>
    </xf>
    <xf numFmtId="175" fontId="99" fillId="168" borderId="17" xfId="1" applyFont="1" applyFill="1" applyBorder="1" applyAlignment="1">
      <alignment horizontal="center" vertical="center"/>
    </xf>
    <xf numFmtId="0" fontId="95" fillId="121" borderId="28" xfId="1" applyNumberFormat="1" applyFont="1" applyFill="1" applyBorder="1" applyAlignment="1">
      <alignment horizontal="center" vertical="center"/>
    </xf>
    <xf numFmtId="175" fontId="109" fillId="122" borderId="54" xfId="1" applyFont="1" applyFill="1" applyBorder="1" applyAlignment="1">
      <alignment horizontal="center" vertical="center" wrapText="1"/>
    </xf>
    <xf numFmtId="175" fontId="95" fillId="120" borderId="28" xfId="1" applyFont="1" applyFill="1" applyBorder="1" applyAlignment="1">
      <alignment horizontal="center" vertical="center"/>
    </xf>
    <xf numFmtId="164" fontId="88" fillId="0" borderId="0" xfId="14" applyFont="1" applyAlignment="1">
      <alignment horizontal="center" vertical="center"/>
    </xf>
    <xf numFmtId="175" fontId="90" fillId="79" borderId="1" xfId="1" applyFont="1" applyFill="1" applyBorder="1" applyAlignment="1">
      <alignment horizontal="center" vertical="center" wrapText="1"/>
    </xf>
    <xf numFmtId="0" fontId="95" fillId="0" borderId="108" xfId="0" applyFont="1" applyBorder="1"/>
    <xf numFmtId="0" fontId="95" fillId="0" borderId="0" xfId="0" applyFont="1" applyBorder="1"/>
    <xf numFmtId="175" fontId="106" fillId="6" borderId="0" xfId="1" applyFont="1" applyFill="1"/>
    <xf numFmtId="175" fontId="84" fillId="166" borderId="28" xfId="1" applyFont="1" applyFill="1" applyBorder="1" applyAlignment="1">
      <alignment vertical="center" wrapText="1"/>
    </xf>
    <xf numFmtId="175" fontId="91" fillId="105" borderId="1" xfId="1" applyFont="1" applyFill="1" applyBorder="1" applyAlignment="1">
      <alignment horizontal="center" vertical="center" wrapText="1"/>
    </xf>
    <xf numFmtId="177" fontId="84" fillId="89" borderId="28" xfId="14" applyNumberFormat="1" applyFont="1" applyFill="1" applyBorder="1" applyAlignment="1">
      <alignment vertical="center"/>
    </xf>
    <xf numFmtId="175" fontId="90" fillId="169" borderId="46" xfId="1" applyFont="1" applyFill="1" applyBorder="1" applyAlignment="1">
      <alignment horizontal="center" vertical="center" wrapText="1"/>
    </xf>
    <xf numFmtId="175" fontId="99" fillId="170" borderId="17" xfId="1" applyFont="1" applyFill="1" applyBorder="1" applyAlignment="1">
      <alignment horizontal="center" vertical="center"/>
    </xf>
    <xf numFmtId="175" fontId="84" fillId="0" borderId="109" xfId="1" applyFont="1" applyFill="1" applyBorder="1" applyAlignment="1">
      <alignment horizontal="center" vertical="center"/>
    </xf>
    <xf numFmtId="175" fontId="84" fillId="89" borderId="17" xfId="1" applyFont="1" applyFill="1" applyBorder="1" applyAlignment="1">
      <alignment horizontal="center" vertical="center"/>
    </xf>
    <xf numFmtId="175" fontId="112" fillId="157" borderId="0" xfId="1" applyFont="1" applyFill="1" applyBorder="1" applyAlignment="1">
      <alignment horizontal="right" vertical="center"/>
    </xf>
    <xf numFmtId="175" fontId="85" fillId="84" borderId="18" xfId="1" applyFont="1" applyFill="1" applyBorder="1" applyAlignment="1">
      <alignment horizontal="center"/>
    </xf>
    <xf numFmtId="175" fontId="84" fillId="0" borderId="47" xfId="1" applyFont="1" applyFill="1" applyBorder="1" applyAlignment="1">
      <alignment horizontal="center"/>
    </xf>
    <xf numFmtId="175" fontId="113" fillId="0" borderId="59" xfId="1" applyFont="1" applyFill="1" applyBorder="1" applyAlignment="1">
      <alignment horizontal="center" vertical="center" wrapText="1"/>
    </xf>
    <xf numFmtId="175" fontId="84" fillId="0" borderId="110" xfId="1" applyFont="1" applyFill="1" applyBorder="1" applyAlignment="1">
      <alignment horizontal="center" vertical="center"/>
    </xf>
    <xf numFmtId="175" fontId="84" fillId="0" borderId="0" xfId="1" applyFont="1" applyFill="1" applyBorder="1" applyAlignment="1">
      <alignment horizontal="center"/>
    </xf>
    <xf numFmtId="175" fontId="84" fillId="0" borderId="0" xfId="1" applyFont="1" applyFill="1" applyAlignment="1">
      <alignment wrapText="1"/>
    </xf>
    <xf numFmtId="175" fontId="109" fillId="123" borderId="56" xfId="1" applyFont="1" applyFill="1" applyBorder="1" applyAlignment="1">
      <alignment horizontal="center" vertical="center" wrapText="1"/>
    </xf>
    <xf numFmtId="175" fontId="84" fillId="0" borderId="58" xfId="1" applyFont="1" applyFill="1" applyBorder="1" applyAlignment="1">
      <alignment horizontal="center" vertical="center"/>
    </xf>
    <xf numFmtId="175" fontId="84" fillId="0" borderId="59" xfId="1" applyFont="1" applyFill="1" applyBorder="1" applyAlignment="1">
      <alignment horizontal="center"/>
    </xf>
    <xf numFmtId="175" fontId="84" fillId="0" borderId="60" xfId="1" applyFont="1" applyFill="1" applyBorder="1" applyAlignment="1">
      <alignment horizontal="center"/>
    </xf>
    <xf numFmtId="175" fontId="84" fillId="82" borderId="0" xfId="1" applyFont="1" applyFill="1" applyBorder="1" applyAlignment="1">
      <alignment horizontal="center"/>
    </xf>
    <xf numFmtId="175" fontId="87" fillId="192" borderId="0" xfId="1" applyFont="1" applyFill="1"/>
    <xf numFmtId="164" fontId="95" fillId="32" borderId="28" xfId="14" applyFont="1" applyFill="1" applyBorder="1" applyAlignment="1">
      <alignment vertical="center"/>
    </xf>
    <xf numFmtId="175" fontId="102" fillId="166" borderId="28" xfId="1" applyFont="1" applyFill="1" applyBorder="1" applyAlignment="1">
      <alignment horizontal="center" vertical="center" wrapText="1"/>
    </xf>
    <xf numFmtId="175" fontId="85" fillId="82" borderId="18" xfId="1" applyFont="1" applyFill="1" applyBorder="1" applyAlignment="1">
      <alignment horizontal="center"/>
    </xf>
    <xf numFmtId="175" fontId="88" fillId="0" borderId="0" xfId="1" applyFont="1" applyFill="1"/>
    <xf numFmtId="0" fontId="89" fillId="0" borderId="0" xfId="0" applyFont="1" applyFill="1"/>
    <xf numFmtId="175" fontId="115" fillId="84" borderId="0" xfId="1" applyFont="1" applyFill="1" applyBorder="1" applyAlignment="1">
      <alignment vertical="center" textRotation="255"/>
    </xf>
    <xf numFmtId="175" fontId="85" fillId="84" borderId="0" xfId="1" applyFont="1" applyFill="1" applyBorder="1" applyAlignment="1">
      <alignment horizontal="center"/>
    </xf>
    <xf numFmtId="175" fontId="86" fillId="84" borderId="0" xfId="1" applyFont="1" applyFill="1" applyBorder="1" applyAlignment="1">
      <alignment horizontal="center"/>
    </xf>
    <xf numFmtId="175" fontId="84" fillId="84" borderId="0" xfId="1" applyFont="1" applyFill="1" applyBorder="1" applyAlignment="1">
      <alignment horizontal="center" wrapText="1"/>
    </xf>
    <xf numFmtId="175" fontId="84" fillId="82" borderId="81" xfId="1" applyFont="1" applyFill="1" applyBorder="1"/>
    <xf numFmtId="175" fontId="88" fillId="82" borderId="73" xfId="1" applyFont="1" applyFill="1" applyBorder="1"/>
    <xf numFmtId="175" fontId="85" fillId="31" borderId="0" xfId="1" applyFont="1" applyFill="1"/>
    <xf numFmtId="175" fontId="117" fillId="6" borderId="0" xfId="1" applyFont="1" applyFill="1"/>
    <xf numFmtId="175" fontId="88" fillId="6" borderId="0" xfId="1" applyFont="1" applyFill="1" applyAlignment="1">
      <alignment wrapText="1"/>
    </xf>
    <xf numFmtId="175" fontId="100" fillId="6" borderId="0" xfId="1" applyFont="1" applyFill="1" applyAlignment="1">
      <alignment horizontal="center" vertical="center" wrapText="1"/>
    </xf>
    <xf numFmtId="177" fontId="100" fillId="49" borderId="28" xfId="14" applyNumberFormat="1" applyFont="1" applyFill="1" applyBorder="1" applyAlignment="1">
      <alignment vertical="center"/>
    </xf>
    <xf numFmtId="177" fontId="118" fillId="51" borderId="28" xfId="0" applyNumberFormat="1" applyFont="1" applyFill="1" applyBorder="1" applyAlignment="1">
      <alignment vertical="center"/>
    </xf>
    <xf numFmtId="177" fontId="118" fillId="27" borderId="28" xfId="14" applyNumberFormat="1" applyFont="1" applyFill="1" applyBorder="1" applyAlignment="1">
      <alignment vertical="center"/>
    </xf>
    <xf numFmtId="177" fontId="118" fillId="7" borderId="28" xfId="14" applyNumberFormat="1" applyFont="1" applyFill="1" applyBorder="1" applyAlignment="1">
      <alignment vertical="center"/>
    </xf>
    <xf numFmtId="177" fontId="118" fillId="32" borderId="28" xfId="14" applyNumberFormat="1" applyFont="1" applyFill="1" applyBorder="1" applyAlignment="1">
      <alignment vertical="center"/>
    </xf>
    <xf numFmtId="175" fontId="106" fillId="82" borderId="0" xfId="1" applyFont="1" applyFill="1" applyAlignment="1">
      <alignment horizontal="center" vertical="center"/>
    </xf>
    <xf numFmtId="175" fontId="100" fillId="199" borderId="0" xfId="1" applyFont="1" applyFill="1" applyBorder="1" applyAlignment="1">
      <alignment vertical="center" wrapText="1"/>
    </xf>
    <xf numFmtId="175" fontId="102" fillId="199" borderId="0" xfId="1" applyFont="1" applyFill="1" applyBorder="1" applyAlignment="1">
      <alignment vertical="center" wrapText="1"/>
    </xf>
    <xf numFmtId="175" fontId="91" fillId="144" borderId="22" xfId="1" applyFont="1" applyFill="1" applyBorder="1" applyAlignment="1">
      <alignment horizontal="center" vertical="center"/>
    </xf>
    <xf numFmtId="175" fontId="90" fillId="6" borderId="14" xfId="1" applyFont="1" applyFill="1" applyBorder="1" applyAlignment="1">
      <alignment vertical="center"/>
    </xf>
    <xf numFmtId="175" fontId="120" fillId="6" borderId="14" xfId="1" applyFont="1" applyFill="1" applyBorder="1" applyAlignment="1">
      <alignment horizontal="center" vertical="center"/>
    </xf>
    <xf numFmtId="175" fontId="120" fillId="133" borderId="14" xfId="1" applyFont="1" applyFill="1" applyBorder="1" applyAlignment="1">
      <alignment horizontal="center" vertical="center"/>
    </xf>
    <xf numFmtId="175" fontId="120" fillId="133" borderId="14" xfId="1" applyFont="1" applyFill="1" applyBorder="1" applyAlignment="1">
      <alignment horizontal="center" vertical="center" wrapText="1"/>
    </xf>
    <xf numFmtId="175" fontId="120" fillId="94" borderId="0" xfId="1" applyFont="1" applyFill="1" applyBorder="1" applyAlignment="1">
      <alignment horizontal="center" vertical="center"/>
    </xf>
    <xf numFmtId="177" fontId="89" fillId="82" borderId="0" xfId="0" applyNumberFormat="1" applyFont="1" applyFill="1" applyAlignment="1">
      <alignment vertical="center"/>
    </xf>
    <xf numFmtId="175" fontId="109" fillId="82" borderId="24" xfId="1" applyFont="1" applyFill="1" applyBorder="1" applyAlignment="1">
      <alignment horizontal="left" vertical="center" wrapText="1"/>
    </xf>
    <xf numFmtId="175" fontId="114" fillId="155" borderId="19" xfId="1" applyFont="1" applyFill="1" applyBorder="1" applyAlignment="1">
      <alignment horizontal="center" vertical="center" wrapText="1"/>
    </xf>
    <xf numFmtId="175" fontId="91" fillId="127" borderId="0" xfId="1" applyFont="1" applyFill="1" applyBorder="1" applyAlignment="1">
      <alignment horizontal="center" vertical="center" wrapText="1"/>
    </xf>
    <xf numFmtId="175" fontId="93" fillId="84" borderId="0" xfId="1" applyFont="1" applyFill="1" applyBorder="1" applyAlignment="1">
      <alignment horizontal="center"/>
    </xf>
    <xf numFmtId="175" fontId="84" fillId="6" borderId="0" xfId="1" applyFont="1" applyFill="1" applyBorder="1" applyAlignment="1">
      <alignment horizontal="center" wrapText="1"/>
    </xf>
    <xf numFmtId="175" fontId="93" fillId="6" borderId="0" xfId="1" applyFont="1" applyFill="1" applyBorder="1" applyAlignment="1">
      <alignment horizontal="left" vertical="top"/>
    </xf>
    <xf numFmtId="175" fontId="84" fillId="132" borderId="0" xfId="1" applyFont="1" applyFill="1" applyBorder="1" applyAlignment="1">
      <alignment horizontal="center"/>
    </xf>
    <xf numFmtId="175" fontId="102" fillId="6" borderId="19" xfId="1" applyFont="1" applyFill="1" applyBorder="1" applyAlignment="1">
      <alignment vertical="center" wrapText="1"/>
    </xf>
    <xf numFmtId="176" fontId="84" fillId="49" borderId="16" xfId="14" applyNumberFormat="1" applyFont="1" applyFill="1" applyBorder="1" applyAlignment="1">
      <alignment vertical="center"/>
    </xf>
    <xf numFmtId="176" fontId="84" fillId="51" borderId="16" xfId="14" applyNumberFormat="1" applyFont="1" applyFill="1" applyBorder="1" applyAlignment="1">
      <alignment vertical="center"/>
    </xf>
    <xf numFmtId="176" fontId="84" fillId="27" borderId="16" xfId="14" applyNumberFormat="1" applyFont="1" applyFill="1" applyBorder="1" applyAlignment="1">
      <alignment vertical="center"/>
    </xf>
    <xf numFmtId="176" fontId="84" fillId="7" borderId="16" xfId="14" applyNumberFormat="1" applyFont="1" applyFill="1" applyBorder="1" applyAlignment="1">
      <alignment vertical="center"/>
    </xf>
    <xf numFmtId="176" fontId="84" fillId="32" borderId="27" xfId="14" applyNumberFormat="1" applyFont="1" applyFill="1" applyBorder="1" applyAlignment="1">
      <alignment vertical="center"/>
    </xf>
    <xf numFmtId="175" fontId="121" fillId="82" borderId="38" xfId="1" applyFont="1" applyFill="1" applyBorder="1" applyAlignment="1">
      <alignment vertical="center"/>
    </xf>
    <xf numFmtId="175" fontId="84" fillId="166" borderId="33" xfId="1" applyFont="1" applyFill="1" applyBorder="1" applyAlignment="1">
      <alignment vertical="center" wrapText="1"/>
    </xf>
    <xf numFmtId="175" fontId="91" fillId="127" borderId="0" xfId="1" applyFont="1" applyFill="1" applyBorder="1" applyAlignment="1">
      <alignment vertical="center" wrapText="1"/>
    </xf>
    <xf numFmtId="176" fontId="102" fillId="89" borderId="24" xfId="14" applyNumberFormat="1" applyFont="1" applyFill="1" applyBorder="1" applyAlignment="1">
      <alignment vertical="center"/>
    </xf>
    <xf numFmtId="176" fontId="84" fillId="95" borderId="24" xfId="14" applyNumberFormat="1" applyFont="1" applyFill="1" applyBorder="1" applyAlignment="1">
      <alignment vertical="center"/>
    </xf>
    <xf numFmtId="176" fontId="84" fillId="90" borderId="24" xfId="14" applyNumberFormat="1" applyFont="1" applyFill="1" applyBorder="1" applyAlignment="1">
      <alignment vertical="center"/>
    </xf>
    <xf numFmtId="176" fontId="84" fillId="94" borderId="24" xfId="14" applyNumberFormat="1" applyFont="1" applyFill="1" applyBorder="1" applyAlignment="1">
      <alignment vertical="center"/>
    </xf>
    <xf numFmtId="176" fontId="84" fillId="99" borderId="20" xfId="14" applyNumberFormat="1" applyFont="1" applyFill="1" applyBorder="1" applyAlignment="1">
      <alignment vertical="center"/>
    </xf>
    <xf numFmtId="175" fontId="114" fillId="155" borderId="23" xfId="1" applyFont="1" applyFill="1" applyBorder="1" applyAlignment="1">
      <alignment horizontal="center" vertical="center" wrapText="1"/>
    </xf>
    <xf numFmtId="175" fontId="84" fillId="99" borderId="0" xfId="1" applyFont="1" applyFill="1" applyBorder="1" applyAlignment="1">
      <alignment horizontal="center"/>
    </xf>
    <xf numFmtId="175" fontId="84" fillId="99" borderId="0" xfId="1" applyFont="1" applyFill="1" applyBorder="1" applyAlignment="1">
      <alignment horizontal="center" wrapText="1"/>
    </xf>
    <xf numFmtId="176" fontId="102" fillId="89" borderId="15" xfId="14" applyNumberFormat="1" applyFont="1" applyFill="1" applyBorder="1" applyAlignment="1">
      <alignment vertical="center"/>
    </xf>
    <xf numFmtId="176" fontId="84" fillId="95" borderId="15" xfId="14" applyNumberFormat="1" applyFont="1" applyFill="1" applyBorder="1" applyAlignment="1">
      <alignment vertical="center"/>
    </xf>
    <xf numFmtId="176" fontId="84" fillId="90" borderId="15" xfId="14" applyNumberFormat="1" applyFont="1" applyFill="1" applyBorder="1" applyAlignment="1">
      <alignment vertical="center"/>
    </xf>
    <xf numFmtId="176" fontId="84" fillId="94" borderId="15" xfId="14" applyNumberFormat="1" applyFont="1" applyFill="1" applyBorder="1" applyAlignment="1">
      <alignment vertical="center"/>
    </xf>
    <xf numFmtId="176" fontId="84" fillId="99" borderId="21" xfId="14" applyNumberFormat="1" applyFont="1" applyFill="1" applyBorder="1" applyAlignment="1">
      <alignment vertical="center"/>
    </xf>
    <xf numFmtId="175" fontId="84" fillId="82" borderId="34" xfId="1" applyFont="1" applyFill="1" applyBorder="1" applyAlignment="1">
      <alignment vertical="center" wrapText="1"/>
    </xf>
    <xf numFmtId="175" fontId="84" fillId="32" borderId="0" xfId="1" applyFont="1" applyFill="1" applyBorder="1" applyAlignment="1">
      <alignment horizontal="center"/>
    </xf>
    <xf numFmtId="175" fontId="84" fillId="32" borderId="0" xfId="1" applyFont="1" applyFill="1" applyBorder="1" applyAlignment="1">
      <alignment horizontal="center" vertical="center" wrapText="1"/>
    </xf>
    <xf numFmtId="175" fontId="84" fillId="6" borderId="0" xfId="1" applyFont="1" applyFill="1" applyBorder="1" applyAlignment="1">
      <alignment horizontal="center" vertical="center" wrapText="1"/>
    </xf>
    <xf numFmtId="175" fontId="84" fillId="132" borderId="0" xfId="1" applyFont="1" applyFill="1" applyBorder="1" applyAlignment="1">
      <alignment horizontal="center" wrapText="1"/>
    </xf>
    <xf numFmtId="175" fontId="84" fillId="94" borderId="0" xfId="1" applyFont="1" applyFill="1" applyBorder="1" applyAlignment="1">
      <alignment horizontal="center"/>
    </xf>
    <xf numFmtId="175" fontId="84" fillId="7" borderId="0" xfId="1" applyFont="1" applyFill="1" applyBorder="1" applyAlignment="1">
      <alignment horizontal="center"/>
    </xf>
    <xf numFmtId="177" fontId="84" fillId="89" borderId="17" xfId="14" applyNumberFormat="1" applyFont="1" applyFill="1" applyBorder="1" applyAlignment="1">
      <alignment vertical="center"/>
    </xf>
    <xf numFmtId="177" fontId="95" fillId="95" borderId="24" xfId="0" applyNumberFormat="1" applyFont="1" applyFill="1" applyBorder="1" applyAlignment="1">
      <alignment vertical="center"/>
    </xf>
    <xf numFmtId="177" fontId="95" fillId="90" borderId="17" xfId="14" applyNumberFormat="1" applyFont="1" applyFill="1" applyBorder="1" applyAlignment="1">
      <alignment vertical="center"/>
    </xf>
    <xf numFmtId="177" fontId="95" fillId="94" borderId="17" xfId="14" applyNumberFormat="1" applyFont="1" applyFill="1" applyBorder="1" applyAlignment="1">
      <alignment vertical="center"/>
    </xf>
    <xf numFmtId="177" fontId="95" fillId="99" borderId="17" xfId="14" applyNumberFormat="1" applyFont="1" applyFill="1" applyBorder="1" applyAlignment="1">
      <alignment vertical="center"/>
    </xf>
    <xf numFmtId="175" fontId="121" fillId="82" borderId="0" xfId="1" applyFont="1" applyFill="1" applyAlignment="1">
      <alignment horizontal="center" vertical="center"/>
    </xf>
    <xf numFmtId="175" fontId="110" fillId="166" borderId="28" xfId="1" applyFont="1" applyFill="1" applyBorder="1" applyAlignment="1">
      <alignment horizontal="left" vertical="center" wrapText="1"/>
    </xf>
    <xf numFmtId="175" fontId="84" fillId="84" borderId="0" xfId="1" applyFont="1" applyFill="1" applyAlignment="1">
      <alignment horizontal="center" vertical="center"/>
    </xf>
    <xf numFmtId="175" fontId="90" fillId="6" borderId="14" xfId="1" applyFont="1" applyFill="1" applyBorder="1" applyAlignment="1">
      <alignment vertical="center" wrapText="1"/>
    </xf>
    <xf numFmtId="175" fontId="84" fillId="82" borderId="28" xfId="1" applyFont="1" applyFill="1" applyBorder="1" applyAlignment="1">
      <alignment horizontal="left" vertical="center" wrapText="1"/>
    </xf>
    <xf numFmtId="175" fontId="90" fillId="6" borderId="0" xfId="1" applyFont="1" applyFill="1" applyBorder="1" applyAlignment="1">
      <alignment vertical="center" wrapText="1"/>
    </xf>
    <xf numFmtId="177" fontId="84" fillId="49" borderId="17" xfId="14" applyNumberFormat="1" applyFont="1" applyFill="1" applyBorder="1" applyAlignment="1">
      <alignment vertical="center"/>
    </xf>
    <xf numFmtId="177" fontId="84" fillId="51" borderId="27" xfId="14" applyNumberFormat="1" applyFont="1" applyFill="1" applyBorder="1" applyAlignment="1">
      <alignment vertical="center"/>
    </xf>
    <xf numFmtId="177" fontId="84" fillId="27" borderId="27" xfId="14" applyNumberFormat="1" applyFont="1" applyFill="1" applyBorder="1" applyAlignment="1">
      <alignment vertical="center"/>
    </xf>
    <xf numFmtId="177" fontId="84" fillId="7" borderId="27" xfId="14" applyNumberFormat="1" applyFont="1" applyFill="1" applyBorder="1" applyAlignment="1">
      <alignment vertical="center"/>
    </xf>
    <xf numFmtId="177" fontId="84" fillId="32" borderId="27" xfId="14" applyNumberFormat="1" applyFont="1" applyFill="1" applyBorder="1" applyAlignment="1">
      <alignment vertical="center"/>
    </xf>
    <xf numFmtId="175" fontId="84" fillId="166" borderId="28" xfId="1" applyFont="1" applyFill="1" applyBorder="1" applyAlignment="1">
      <alignment horizontal="left" vertical="center" wrapText="1"/>
    </xf>
    <xf numFmtId="175" fontId="88" fillId="82" borderId="97" xfId="1" applyFont="1" applyFill="1" applyBorder="1"/>
    <xf numFmtId="175" fontId="88" fillId="82" borderId="87" xfId="1" applyFont="1" applyFill="1" applyBorder="1"/>
    <xf numFmtId="175" fontId="84" fillId="166" borderId="31" xfId="1" applyFont="1" applyFill="1" applyBorder="1" applyAlignment="1">
      <alignment horizontal="left" vertical="center" wrapText="1"/>
    </xf>
    <xf numFmtId="175" fontId="102" fillId="195" borderId="92" xfId="1" applyFont="1" applyFill="1" applyBorder="1" applyAlignment="1">
      <alignment horizontal="center" vertical="center"/>
    </xf>
    <xf numFmtId="175" fontId="102" fillId="195" borderId="34" xfId="1" applyFont="1" applyFill="1" applyBorder="1" applyAlignment="1">
      <alignment horizontal="center" vertical="center"/>
    </xf>
    <xf numFmtId="175" fontId="102" fillId="195" borderId="93" xfId="1" applyFont="1" applyFill="1" applyBorder="1" applyAlignment="1">
      <alignment horizontal="center" vertical="center"/>
    </xf>
    <xf numFmtId="175" fontId="84" fillId="82" borderId="30" xfId="1" applyFont="1" applyFill="1" applyBorder="1" applyAlignment="1">
      <alignment horizontal="center" vertical="center"/>
    </xf>
    <xf numFmtId="175" fontId="102" fillId="195" borderId="89" xfId="1" applyFont="1" applyFill="1" applyBorder="1" applyAlignment="1">
      <alignment horizontal="center" vertical="center"/>
    </xf>
    <xf numFmtId="175" fontId="102" fillId="195" borderId="90" xfId="1" applyFont="1" applyFill="1" applyBorder="1" applyAlignment="1">
      <alignment horizontal="center" vertical="center"/>
    </xf>
    <xf numFmtId="175" fontId="102" fillId="195" borderId="91" xfId="1" applyFont="1" applyFill="1" applyBorder="1" applyAlignment="1">
      <alignment horizontal="center" vertical="center"/>
    </xf>
    <xf numFmtId="164" fontId="88" fillId="82" borderId="0" xfId="14" applyFont="1" applyFill="1" applyAlignment="1">
      <alignment horizontal="center" vertical="center"/>
    </xf>
    <xf numFmtId="175" fontId="84" fillId="32" borderId="0" xfId="1" applyFont="1" applyFill="1" applyBorder="1" applyAlignment="1">
      <alignment horizontal="center" wrapText="1"/>
    </xf>
    <xf numFmtId="175" fontId="84" fillId="32" borderId="13" xfId="1" applyFont="1" applyFill="1" applyBorder="1" applyAlignment="1">
      <alignment horizontal="center"/>
    </xf>
    <xf numFmtId="175" fontId="84" fillId="32" borderId="13" xfId="1" applyFont="1" applyFill="1" applyBorder="1" applyAlignment="1">
      <alignment horizontal="center" wrapText="1"/>
    </xf>
    <xf numFmtId="175" fontId="84" fillId="6" borderId="13" xfId="1" applyFont="1" applyFill="1" applyBorder="1" applyAlignment="1">
      <alignment horizontal="center"/>
    </xf>
    <xf numFmtId="175" fontId="84" fillId="132" borderId="13" xfId="1" applyFont="1" applyFill="1" applyBorder="1" applyAlignment="1">
      <alignment horizontal="center"/>
    </xf>
    <xf numFmtId="175" fontId="84" fillId="132" borderId="13" xfId="1" applyFont="1" applyFill="1" applyBorder="1" applyAlignment="1">
      <alignment horizontal="center" wrapText="1"/>
    </xf>
    <xf numFmtId="175" fontId="84" fillId="94" borderId="13" xfId="1" applyFont="1" applyFill="1" applyBorder="1" applyAlignment="1">
      <alignment horizontal="center"/>
    </xf>
    <xf numFmtId="175" fontId="84" fillId="7" borderId="13" xfId="1" applyFont="1" applyFill="1" applyBorder="1" applyAlignment="1">
      <alignment horizontal="center"/>
    </xf>
    <xf numFmtId="177" fontId="100" fillId="49" borderId="16" xfId="14" applyNumberFormat="1" applyFont="1" applyFill="1" applyBorder="1" applyAlignment="1">
      <alignment vertical="center"/>
    </xf>
    <xf numFmtId="177" fontId="100" fillId="51" borderId="16" xfId="14" applyNumberFormat="1" applyFont="1" applyFill="1" applyBorder="1" applyAlignment="1">
      <alignment vertical="center"/>
    </xf>
    <xf numFmtId="177" fontId="100" fillId="27" borderId="16" xfId="14" applyNumberFormat="1" applyFont="1" applyFill="1" applyBorder="1" applyAlignment="1">
      <alignment vertical="center"/>
    </xf>
    <xf numFmtId="177" fontId="100" fillId="7" borderId="16" xfId="14" applyNumberFormat="1" applyFont="1" applyFill="1" applyBorder="1" applyAlignment="1">
      <alignment vertical="center"/>
    </xf>
    <xf numFmtId="177" fontId="100" fillId="32" borderId="27" xfId="14" applyNumberFormat="1" applyFont="1" applyFill="1" applyBorder="1" applyAlignment="1">
      <alignment vertical="center"/>
    </xf>
    <xf numFmtId="175" fontId="116" fillId="84" borderId="0" xfId="1" applyFont="1" applyFill="1" applyBorder="1" applyAlignment="1">
      <alignment vertical="center" textRotation="255" wrapText="1"/>
    </xf>
    <xf numFmtId="175" fontId="85" fillId="6" borderId="0" xfId="1" applyFont="1" applyFill="1" applyBorder="1" applyAlignment="1">
      <alignment horizontal="center"/>
    </xf>
    <xf numFmtId="175" fontId="86" fillId="6" borderId="0" xfId="1" applyFont="1" applyFill="1" applyBorder="1" applyAlignment="1">
      <alignment horizontal="center"/>
    </xf>
    <xf numFmtId="177" fontId="90" fillId="6" borderId="1" xfId="14" applyNumberFormat="1" applyFont="1" applyFill="1" applyBorder="1" applyAlignment="1">
      <alignment vertical="center" wrapText="1"/>
    </xf>
    <xf numFmtId="177" fontId="108" fillId="6" borderId="17" xfId="1" applyNumberFormat="1" applyFont="1" applyFill="1" applyBorder="1" applyAlignment="1">
      <alignment vertical="center" wrapText="1"/>
    </xf>
    <xf numFmtId="177" fontId="108" fillId="6" borderId="22" xfId="1" applyNumberFormat="1" applyFont="1" applyFill="1" applyBorder="1" applyAlignment="1">
      <alignment vertical="center" wrapText="1"/>
    </xf>
    <xf numFmtId="177" fontId="108" fillId="6" borderId="18" xfId="1" applyNumberFormat="1" applyFont="1" applyFill="1" applyBorder="1" applyAlignment="1">
      <alignment vertical="center" wrapText="1"/>
    </xf>
    <xf numFmtId="175" fontId="84" fillId="82" borderId="0" xfId="1" applyFont="1" applyFill="1" applyBorder="1"/>
    <xf numFmtId="175" fontId="88" fillId="82" borderId="0" xfId="1" applyFont="1" applyFill="1" applyBorder="1"/>
    <xf numFmtId="175" fontId="88" fillId="82" borderId="0" xfId="1" applyFont="1" applyFill="1" applyAlignment="1">
      <alignment horizontal="center" vertical="center"/>
    </xf>
    <xf numFmtId="177" fontId="84" fillId="95" borderId="27" xfId="14" applyNumberFormat="1" applyFont="1" applyFill="1" applyBorder="1" applyAlignment="1">
      <alignment vertical="center"/>
    </xf>
    <xf numFmtId="177" fontId="84" fillId="90" borderId="27" xfId="14" applyNumberFormat="1" applyFont="1" applyFill="1" applyBorder="1" applyAlignment="1">
      <alignment vertical="center"/>
    </xf>
    <xf numFmtId="177" fontId="84" fillId="94" borderId="27" xfId="14" applyNumberFormat="1" applyFont="1" applyFill="1" applyBorder="1" applyAlignment="1">
      <alignment vertical="center"/>
    </xf>
    <xf numFmtId="177" fontId="84" fillId="99" borderId="27" xfId="14" applyNumberFormat="1" applyFont="1" applyFill="1" applyBorder="1" applyAlignment="1">
      <alignment vertical="center"/>
    </xf>
    <xf numFmtId="175" fontId="84" fillId="82" borderId="73" xfId="1" applyFont="1" applyFill="1" applyBorder="1"/>
    <xf numFmtId="175" fontId="100" fillId="6" borderId="19" xfId="1" applyFont="1" applyFill="1" applyBorder="1" applyAlignment="1">
      <alignment vertical="center" wrapText="1"/>
    </xf>
    <xf numFmtId="175" fontId="102" fillId="84" borderId="19" xfId="1" applyFont="1" applyFill="1" applyBorder="1" applyAlignment="1">
      <alignment vertical="center" wrapText="1"/>
    </xf>
    <xf numFmtId="177" fontId="102" fillId="89" borderId="15" xfId="14" applyNumberFormat="1" applyFont="1" applyFill="1" applyBorder="1" applyAlignment="1">
      <alignment vertical="center"/>
    </xf>
    <xf numFmtId="177" fontId="102" fillId="95" borderId="15" xfId="14" applyNumberFormat="1" applyFont="1" applyFill="1" applyBorder="1" applyAlignment="1">
      <alignment vertical="center"/>
    </xf>
    <xf numFmtId="177" fontId="102" fillId="90" borderId="15" xfId="14" applyNumberFormat="1" applyFont="1" applyFill="1" applyBorder="1" applyAlignment="1">
      <alignment vertical="center"/>
    </xf>
    <xf numFmtId="177" fontId="102" fillId="94" borderId="15" xfId="14" applyNumberFormat="1" applyFont="1" applyFill="1" applyBorder="1" applyAlignment="1">
      <alignment vertical="center"/>
    </xf>
    <xf numFmtId="177" fontId="102" fillId="99" borderId="21" xfId="14" applyNumberFormat="1" applyFont="1" applyFill="1" applyBorder="1" applyAlignment="1">
      <alignment vertical="center"/>
    </xf>
    <xf numFmtId="175" fontId="102" fillId="197" borderId="28" xfId="1" applyFont="1" applyFill="1" applyBorder="1" applyAlignment="1">
      <alignment vertical="center" wrapText="1"/>
    </xf>
    <xf numFmtId="175" fontId="91" fillId="6" borderId="0" xfId="1" applyFont="1" applyFill="1" applyBorder="1" applyAlignment="1">
      <alignment horizontal="center" vertical="center" wrapText="1"/>
    </xf>
    <xf numFmtId="177" fontId="90" fillId="6" borderId="1" xfId="1" applyNumberFormat="1" applyFont="1" applyFill="1" applyBorder="1" applyAlignment="1">
      <alignment vertical="center" wrapText="1"/>
    </xf>
    <xf numFmtId="0" fontId="95" fillId="142" borderId="0" xfId="0" applyFont="1" applyFill="1" applyBorder="1" applyAlignment="1"/>
    <xf numFmtId="0" fontId="95" fillId="128" borderId="0" xfId="0" applyFont="1" applyFill="1" applyBorder="1" applyAlignment="1"/>
    <xf numFmtId="175" fontId="84" fillId="166" borderId="31" xfId="1" applyFont="1" applyFill="1" applyBorder="1" applyAlignment="1">
      <alignment vertical="center" wrapText="1"/>
    </xf>
    <xf numFmtId="177" fontId="84" fillId="49" borderId="16" xfId="14" applyNumberFormat="1" applyFont="1" applyFill="1" applyBorder="1" applyAlignment="1">
      <alignment vertical="center"/>
    </xf>
    <xf numFmtId="177" fontId="84" fillId="51" borderId="16" xfId="14" applyNumberFormat="1" applyFont="1" applyFill="1" applyBorder="1" applyAlignment="1">
      <alignment vertical="center"/>
    </xf>
    <xf numFmtId="177" fontId="84" fillId="27" borderId="16" xfId="14" applyNumberFormat="1" applyFont="1" applyFill="1" applyBorder="1" applyAlignment="1">
      <alignment vertical="center"/>
    </xf>
    <xf numFmtId="177" fontId="84" fillId="7" borderId="16" xfId="14" applyNumberFormat="1" applyFont="1" applyFill="1" applyBorder="1" applyAlignment="1">
      <alignment vertical="center"/>
    </xf>
    <xf numFmtId="175" fontId="84" fillId="166" borderId="80" xfId="1" applyFont="1" applyFill="1" applyBorder="1" applyAlignment="1">
      <alignment vertical="center" wrapText="1"/>
    </xf>
    <xf numFmtId="177" fontId="84" fillId="49" borderId="15" xfId="14" applyNumberFormat="1" applyFont="1" applyFill="1" applyBorder="1" applyAlignment="1">
      <alignment vertical="center"/>
    </xf>
    <xf numFmtId="177" fontId="84" fillId="51" borderId="15" xfId="14" applyNumberFormat="1" applyFont="1" applyFill="1" applyBorder="1" applyAlignment="1">
      <alignment vertical="center"/>
    </xf>
    <xf numFmtId="177" fontId="84" fillId="27" borderId="15" xfId="14" applyNumberFormat="1" applyFont="1" applyFill="1" applyBorder="1" applyAlignment="1">
      <alignment vertical="center"/>
    </xf>
    <xf numFmtId="177" fontId="84" fillId="7" borderId="15" xfId="14" applyNumberFormat="1" applyFont="1" applyFill="1" applyBorder="1" applyAlignment="1">
      <alignment vertical="center"/>
    </xf>
    <xf numFmtId="177" fontId="84" fillId="32" borderId="21" xfId="14" applyNumberFormat="1" applyFont="1" applyFill="1" applyBorder="1" applyAlignment="1">
      <alignment vertical="center"/>
    </xf>
    <xf numFmtId="175" fontId="84" fillId="166" borderId="40" xfId="1" applyFont="1" applyFill="1" applyBorder="1" applyAlignment="1">
      <alignment vertical="center" wrapText="1"/>
    </xf>
    <xf numFmtId="0" fontId="95" fillId="99" borderId="0" xfId="0" applyFont="1" applyFill="1" applyBorder="1" applyAlignment="1"/>
    <xf numFmtId="177" fontId="100" fillId="49" borderId="17" xfId="14" applyNumberFormat="1" applyFont="1" applyFill="1" applyBorder="1" applyAlignment="1">
      <alignment vertical="center"/>
    </xf>
    <xf numFmtId="175" fontId="100" fillId="199" borderId="35" xfId="1" applyFont="1" applyFill="1" applyBorder="1" applyAlignment="1">
      <alignment vertical="center" wrapText="1"/>
    </xf>
    <xf numFmtId="175" fontId="102" fillId="199" borderId="35" xfId="1" applyFont="1" applyFill="1" applyBorder="1" applyAlignment="1">
      <alignment vertical="center" wrapText="1"/>
    </xf>
    <xf numFmtId="177" fontId="90" fillId="6" borderId="27" xfId="1" applyNumberFormat="1" applyFont="1" applyFill="1" applyBorder="1" applyAlignment="1">
      <alignment vertical="center" wrapText="1"/>
    </xf>
    <xf numFmtId="175" fontId="84" fillId="82" borderId="31" xfId="1" applyFont="1" applyFill="1" applyBorder="1" applyAlignment="1">
      <alignment horizontal="left" vertical="center" wrapText="1"/>
    </xf>
    <xf numFmtId="175" fontId="84" fillId="84" borderId="0" xfId="1" applyFont="1" applyFill="1" applyBorder="1"/>
    <xf numFmtId="175" fontId="88" fillId="84" borderId="0" xfId="1" applyFont="1" applyFill="1" applyBorder="1"/>
    <xf numFmtId="175" fontId="84" fillId="166" borderId="80" xfId="1" applyFont="1" applyFill="1" applyBorder="1" applyAlignment="1">
      <alignment horizontal="left" vertical="center" wrapText="1"/>
    </xf>
    <xf numFmtId="177" fontId="100" fillId="51" borderId="27" xfId="14" applyNumberFormat="1" applyFont="1" applyFill="1" applyBorder="1" applyAlignment="1">
      <alignment vertical="center"/>
    </xf>
    <xf numFmtId="177" fontId="100" fillId="27" borderId="27" xfId="14" applyNumberFormat="1" applyFont="1" applyFill="1" applyBorder="1" applyAlignment="1">
      <alignment vertical="center"/>
    </xf>
    <xf numFmtId="177" fontId="100" fillId="7" borderId="27" xfId="14" applyNumberFormat="1" applyFont="1" applyFill="1" applyBorder="1" applyAlignment="1">
      <alignment vertical="center"/>
    </xf>
    <xf numFmtId="175" fontId="102" fillId="6" borderId="0" xfId="1" applyFont="1" applyFill="1" applyAlignment="1">
      <alignment vertical="center" wrapText="1"/>
    </xf>
    <xf numFmtId="175" fontId="84" fillId="93" borderId="0" xfId="1" applyFont="1" applyFill="1" applyBorder="1" applyAlignment="1">
      <alignment horizontal="center"/>
    </xf>
    <xf numFmtId="175" fontId="84" fillId="84" borderId="73" xfId="1" applyFont="1" applyFill="1" applyBorder="1"/>
    <xf numFmtId="175" fontId="88" fillId="84" borderId="73" xfId="1" applyFont="1" applyFill="1" applyBorder="1"/>
    <xf numFmtId="175" fontId="88" fillId="82" borderId="85" xfId="1" applyFont="1" applyFill="1" applyBorder="1"/>
    <xf numFmtId="175" fontId="115" fillId="84" borderId="0" xfId="1" applyFont="1" applyFill="1" applyBorder="1" applyAlignment="1">
      <alignment vertical="center" wrapText="1"/>
    </xf>
    <xf numFmtId="175" fontId="86" fillId="6" borderId="0" xfId="1" applyFont="1" applyFill="1" applyBorder="1" applyAlignment="1">
      <alignment horizontal="center" wrapText="1"/>
    </xf>
    <xf numFmtId="175" fontId="86" fillId="6" borderId="59" xfId="1" applyFont="1" applyFill="1" applyBorder="1" applyAlignment="1">
      <alignment horizontal="center"/>
    </xf>
    <xf numFmtId="177" fontId="90" fillId="6" borderId="65" xfId="14" applyNumberFormat="1" applyFont="1" applyFill="1" applyBorder="1" applyAlignment="1">
      <alignment vertical="center" wrapText="1"/>
    </xf>
    <xf numFmtId="177" fontId="90" fillId="6" borderId="18" xfId="1" applyNumberFormat="1" applyFont="1" applyFill="1" applyBorder="1" applyAlignment="1">
      <alignment vertical="center" wrapText="1"/>
    </xf>
    <xf numFmtId="175" fontId="109" fillId="82" borderId="20" xfId="1" applyFont="1" applyFill="1" applyBorder="1" applyAlignment="1">
      <alignment horizontal="left" vertical="center" wrapText="1"/>
    </xf>
    <xf numFmtId="175" fontId="97" fillId="157" borderId="36" xfId="1" applyFont="1" applyFill="1" applyBorder="1" applyAlignment="1">
      <alignment horizontal="center" vertical="center"/>
    </xf>
    <xf numFmtId="177" fontId="90" fillId="84" borderId="65" xfId="14" applyNumberFormat="1" applyFont="1" applyFill="1" applyBorder="1" applyAlignment="1">
      <alignment vertical="center" wrapText="1"/>
    </xf>
    <xf numFmtId="175" fontId="84" fillId="7" borderId="0" xfId="1" applyFont="1" applyFill="1" applyBorder="1" applyAlignment="1">
      <alignment horizontal="center" wrapText="1"/>
    </xf>
    <xf numFmtId="175" fontId="84" fillId="7" borderId="43" xfId="1" applyFont="1" applyFill="1" applyBorder="1" applyAlignment="1">
      <alignment horizontal="center"/>
    </xf>
    <xf numFmtId="175" fontId="90" fillId="176" borderId="23" xfId="1" applyFont="1" applyFill="1" applyBorder="1" applyAlignment="1">
      <alignment horizontal="center" vertical="center" wrapText="1"/>
    </xf>
    <xf numFmtId="175" fontId="85" fillId="147" borderId="68" xfId="1" applyFont="1" applyFill="1" applyBorder="1" applyAlignment="1">
      <alignment horizontal="center" vertical="center"/>
    </xf>
    <xf numFmtId="177" fontId="84" fillId="49" borderId="65" xfId="14" applyNumberFormat="1" applyFont="1" applyFill="1" applyBorder="1" applyAlignment="1">
      <alignment vertical="center"/>
    </xf>
    <xf numFmtId="177" fontId="84" fillId="51" borderId="14" xfId="14" applyNumberFormat="1" applyFont="1" applyFill="1" applyBorder="1" applyAlignment="1">
      <alignment vertical="center"/>
    </xf>
    <xf numFmtId="175" fontId="84" fillId="195" borderId="34" xfId="1" applyFont="1" applyFill="1" applyBorder="1" applyAlignment="1">
      <alignment horizontal="center" vertical="center"/>
    </xf>
    <xf numFmtId="175" fontId="84" fillId="82" borderId="28" xfId="1" applyFont="1" applyFill="1" applyBorder="1" applyAlignment="1">
      <alignment horizontal="center"/>
    </xf>
    <xf numFmtId="177" fontId="84" fillId="89" borderId="65" xfId="14" applyNumberFormat="1" applyFont="1" applyFill="1" applyBorder="1" applyAlignment="1">
      <alignment vertical="center"/>
    </xf>
    <xf numFmtId="175" fontId="90" fillId="148" borderId="18" xfId="1" applyFont="1" applyFill="1" applyBorder="1" applyAlignment="1">
      <alignment horizontal="center" vertical="center" wrapText="1"/>
    </xf>
    <xf numFmtId="175" fontId="85" fillId="147" borderId="55" xfId="1" applyFont="1" applyFill="1" applyBorder="1" applyAlignment="1">
      <alignment horizontal="center" vertical="center"/>
    </xf>
    <xf numFmtId="175" fontId="111" fillId="212" borderId="23" xfId="1" applyFont="1" applyFill="1" applyBorder="1" applyAlignment="1">
      <alignment horizontal="center" vertical="center" wrapText="1"/>
    </xf>
    <xf numFmtId="175" fontId="111" fillId="213" borderId="68" xfId="1" applyFont="1" applyFill="1" applyBorder="1" applyAlignment="1">
      <alignment horizontal="center" vertical="center"/>
    </xf>
    <xf numFmtId="177" fontId="84" fillId="95" borderId="14" xfId="14" applyNumberFormat="1" applyFont="1" applyFill="1" applyBorder="1" applyAlignment="1">
      <alignment vertical="center"/>
    </xf>
    <xf numFmtId="175" fontId="88" fillId="82" borderId="86" xfId="1" applyFont="1" applyFill="1" applyBorder="1"/>
    <xf numFmtId="175" fontId="122" fillId="198" borderId="66" xfId="1" applyFont="1" applyFill="1" applyBorder="1" applyAlignment="1">
      <alignment horizontal="center" vertical="center" wrapText="1"/>
    </xf>
    <xf numFmtId="175" fontId="85" fillId="120" borderId="48" xfId="1" applyFont="1" applyFill="1" applyBorder="1" applyAlignment="1">
      <alignment horizontal="center" vertical="center"/>
    </xf>
    <xf numFmtId="177" fontId="100" fillId="49" borderId="65" xfId="14" applyNumberFormat="1" applyFont="1" applyFill="1" applyBorder="1" applyAlignment="1">
      <alignment vertical="center"/>
    </xf>
    <xf numFmtId="177" fontId="100" fillId="51" borderId="14" xfId="14" applyNumberFormat="1" applyFont="1" applyFill="1" applyBorder="1" applyAlignment="1">
      <alignment vertical="center"/>
    </xf>
    <xf numFmtId="175" fontId="91" fillId="88" borderId="0" xfId="1" applyFont="1" applyFill="1" applyBorder="1" applyAlignment="1">
      <alignment horizontal="center" vertical="center" wrapText="1"/>
    </xf>
    <xf numFmtId="175" fontId="84" fillId="94" borderId="0" xfId="1" applyFont="1" applyFill="1" applyBorder="1" applyAlignment="1">
      <alignment horizontal="center" wrapText="1"/>
    </xf>
    <xf numFmtId="175" fontId="121" fillId="82" borderId="0" xfId="0" applyNumberFormat="1" applyFont="1" applyFill="1"/>
    <xf numFmtId="175" fontId="84" fillId="84" borderId="81" xfId="1" applyFont="1" applyFill="1" applyBorder="1"/>
    <xf numFmtId="177" fontId="100" fillId="49" borderId="29" xfId="14" applyNumberFormat="1" applyFont="1" applyFill="1" applyBorder="1" applyAlignment="1">
      <alignment vertical="center"/>
    </xf>
    <xf numFmtId="177" fontId="90" fillId="84" borderId="18" xfId="1" applyNumberFormat="1" applyFont="1" applyFill="1" applyBorder="1" applyAlignment="1">
      <alignment vertical="center" wrapText="1"/>
    </xf>
    <xf numFmtId="177" fontId="90" fillId="84" borderId="1" xfId="1" applyNumberFormat="1" applyFont="1" applyFill="1" applyBorder="1" applyAlignment="1">
      <alignment vertical="center" wrapText="1"/>
    </xf>
    <xf numFmtId="175" fontId="90" fillId="215" borderId="36" xfId="1" applyFont="1" applyFill="1" applyBorder="1" applyAlignment="1">
      <alignment horizontal="center" vertical="center" wrapText="1"/>
    </xf>
    <xf numFmtId="175" fontId="90" fillId="114" borderId="36" xfId="1" applyFont="1" applyFill="1" applyBorder="1" applyAlignment="1">
      <alignment horizontal="center" vertical="center" wrapText="1"/>
    </xf>
    <xf numFmtId="175" fontId="90" fillId="177" borderId="36" xfId="1" applyFont="1" applyFill="1" applyBorder="1" applyAlignment="1">
      <alignment horizontal="center" vertical="center" wrapText="1"/>
    </xf>
    <xf numFmtId="175" fontId="124" fillId="222" borderId="36" xfId="1" applyFont="1" applyFill="1" applyBorder="1" applyAlignment="1">
      <alignment horizontal="center" vertical="center" wrapText="1"/>
    </xf>
    <xf numFmtId="175" fontId="124" fillId="222" borderId="74" xfId="1" applyFont="1" applyFill="1" applyBorder="1" applyAlignment="1">
      <alignment vertical="center" wrapText="1"/>
    </xf>
    <xf numFmtId="177" fontId="84" fillId="49" borderId="34" xfId="14" applyNumberFormat="1" applyFont="1" applyFill="1" applyBorder="1" applyAlignment="1">
      <alignment vertical="center"/>
    </xf>
    <xf numFmtId="177" fontId="84" fillId="51" borderId="0" xfId="1" applyNumberFormat="1" applyFont="1" applyFill="1" applyBorder="1" applyAlignment="1">
      <alignment vertical="center"/>
    </xf>
    <xf numFmtId="177" fontId="84" fillId="27" borderId="20" xfId="1" applyNumberFormat="1" applyFont="1" applyFill="1" applyBorder="1" applyAlignment="1">
      <alignment vertical="center"/>
    </xf>
    <xf numFmtId="177" fontId="84" fillId="7" borderId="20" xfId="1" applyNumberFormat="1" applyFont="1" applyFill="1" applyBorder="1" applyAlignment="1">
      <alignment vertical="center"/>
    </xf>
    <xf numFmtId="177" fontId="84" fillId="32" borderId="20" xfId="1" applyNumberFormat="1" applyFont="1" applyFill="1" applyBorder="1" applyAlignment="1">
      <alignment vertical="center"/>
    </xf>
    <xf numFmtId="175" fontId="84" fillId="104" borderId="36" xfId="1" applyFont="1" applyFill="1" applyBorder="1" applyAlignment="1">
      <alignment horizontal="center" vertical="center"/>
    </xf>
    <xf numFmtId="175" fontId="84" fillId="113" borderId="39" xfId="1" applyFont="1" applyFill="1" applyBorder="1" applyAlignment="1">
      <alignment horizontal="center" vertical="center"/>
    </xf>
    <xf numFmtId="175" fontId="84" fillId="181" borderId="36" xfId="1" applyFont="1" applyFill="1" applyBorder="1" applyAlignment="1">
      <alignment horizontal="center" vertical="center"/>
    </xf>
    <xf numFmtId="175" fontId="84" fillId="180" borderId="36" xfId="1" applyFont="1" applyFill="1" applyBorder="1" applyAlignment="1">
      <alignment horizontal="center" vertical="center" wrapText="1"/>
    </xf>
    <xf numFmtId="175" fontId="84" fillId="180" borderId="75" xfId="1" applyFont="1" applyFill="1" applyBorder="1" applyAlignment="1">
      <alignment horizontal="center" vertical="center" wrapText="1"/>
    </xf>
    <xf numFmtId="175" fontId="115" fillId="116" borderId="0" xfId="1" applyFont="1" applyFill="1" applyBorder="1" applyAlignment="1">
      <alignment vertical="center" wrapText="1"/>
    </xf>
    <xf numFmtId="175" fontId="84" fillId="204" borderId="28" xfId="1" applyFont="1" applyFill="1" applyBorder="1" applyAlignment="1">
      <alignment horizontal="center" vertical="center" wrapText="1"/>
    </xf>
    <xf numFmtId="175" fontId="84" fillId="204" borderId="28" xfId="1" applyFont="1" applyFill="1" applyBorder="1" applyAlignment="1">
      <alignment horizontal="center" vertical="center"/>
    </xf>
    <xf numFmtId="177" fontId="100" fillId="49" borderId="20" xfId="14" applyNumberFormat="1" applyFont="1" applyFill="1" applyBorder="1" applyAlignment="1">
      <alignment vertical="center"/>
    </xf>
    <xf numFmtId="177" fontId="100" fillId="51" borderId="20" xfId="1" applyNumberFormat="1" applyFont="1" applyFill="1" applyBorder="1" applyAlignment="1">
      <alignment vertical="center"/>
    </xf>
    <xf numFmtId="177" fontId="100" fillId="27" borderId="20" xfId="1" applyNumberFormat="1" applyFont="1" applyFill="1" applyBorder="1" applyAlignment="1">
      <alignment vertical="center"/>
    </xf>
    <xf numFmtId="177" fontId="100" fillId="7" borderId="20" xfId="1" applyNumberFormat="1" applyFont="1" applyFill="1" applyBorder="1" applyAlignment="1">
      <alignment vertical="center"/>
    </xf>
    <xf numFmtId="177" fontId="100" fillId="32" borderId="20" xfId="1" applyNumberFormat="1" applyFont="1" applyFill="1" applyBorder="1" applyAlignment="1">
      <alignment vertical="center"/>
    </xf>
    <xf numFmtId="175" fontId="109" fillId="205" borderId="28" xfId="1" applyFont="1" applyFill="1" applyBorder="1" applyAlignment="1">
      <alignment horizontal="center" vertical="center" wrapText="1"/>
    </xf>
    <xf numFmtId="177" fontId="84" fillId="89" borderId="1" xfId="14" applyNumberFormat="1" applyFont="1" applyFill="1" applyBorder="1" applyAlignment="1">
      <alignment vertical="center"/>
    </xf>
    <xf numFmtId="177" fontId="84" fillId="95" borderId="16" xfId="1" applyNumberFormat="1" applyFont="1" applyFill="1" applyBorder="1" applyAlignment="1">
      <alignment horizontal="center" vertical="center"/>
    </xf>
    <xf numFmtId="177" fontId="84" fillId="0" borderId="20" xfId="1" applyNumberFormat="1" applyFont="1" applyFill="1" applyBorder="1" applyAlignment="1">
      <alignment horizontal="center" vertical="center"/>
    </xf>
    <xf numFmtId="175" fontId="109" fillId="82" borderId="88" xfId="1" applyFont="1" applyFill="1" applyBorder="1" applyAlignment="1">
      <alignment horizontal="left" vertical="center" wrapText="1"/>
    </xf>
    <xf numFmtId="175" fontId="84" fillId="82" borderId="87" xfId="1" applyFont="1" applyFill="1" applyBorder="1"/>
    <xf numFmtId="177" fontId="125" fillId="186" borderId="0" xfId="1" applyNumberFormat="1" applyFont="1" applyFill="1" applyBorder="1" applyAlignment="1">
      <alignment vertical="center" wrapText="1"/>
    </xf>
    <xf numFmtId="175" fontId="125" fillId="186" borderId="87" xfId="1" applyFont="1" applyFill="1" applyBorder="1" applyAlignment="1">
      <alignment vertical="center" wrapText="1"/>
    </xf>
    <xf numFmtId="175" fontId="126" fillId="82" borderId="87" xfId="1" applyFont="1" applyFill="1" applyBorder="1"/>
    <xf numFmtId="177" fontId="125" fillId="201" borderId="17" xfId="14" applyNumberFormat="1" applyFont="1" applyFill="1" applyBorder="1" applyAlignment="1">
      <alignment vertical="center"/>
    </xf>
    <xf numFmtId="175" fontId="86" fillId="6" borderId="15" xfId="1" applyFont="1" applyFill="1" applyBorder="1" applyAlignment="1">
      <alignment horizontal="center"/>
    </xf>
    <xf numFmtId="175" fontId="84" fillId="6" borderId="15" xfId="1" applyFont="1" applyFill="1" applyBorder="1" applyAlignment="1">
      <alignment horizontal="center"/>
    </xf>
    <xf numFmtId="175" fontId="84" fillId="6" borderId="0" xfId="1" applyFont="1" applyFill="1" applyBorder="1" applyAlignment="1">
      <alignment horizontal="left" vertical="center" wrapText="1"/>
    </xf>
    <xf numFmtId="175" fontId="84" fillId="6" borderId="0" xfId="1" applyFont="1" applyFill="1" applyBorder="1" applyAlignment="1">
      <alignment horizontal="right" vertical="center" wrapText="1"/>
    </xf>
    <xf numFmtId="177" fontId="84" fillId="95" borderId="1" xfId="1" applyNumberFormat="1" applyFont="1" applyFill="1" applyBorder="1" applyAlignment="1">
      <alignment horizontal="center" vertical="center"/>
    </xf>
    <xf numFmtId="177" fontId="84" fillId="90" borderId="20" xfId="1" applyNumberFormat="1" applyFont="1" applyFill="1" applyBorder="1" applyAlignment="1">
      <alignment horizontal="center" vertical="center"/>
    </xf>
    <xf numFmtId="177" fontId="84" fillId="94" borderId="20" xfId="1" applyNumberFormat="1" applyFont="1" applyFill="1" applyBorder="1" applyAlignment="1">
      <alignment horizontal="center" vertical="center"/>
    </xf>
    <xf numFmtId="177" fontId="84" fillId="99" borderId="20" xfId="1" applyNumberFormat="1" applyFont="1" applyFill="1" applyBorder="1" applyAlignment="1">
      <alignment horizontal="center" vertical="center"/>
    </xf>
    <xf numFmtId="176" fontId="125" fillId="200" borderId="81" xfId="1" applyNumberFormat="1" applyFont="1" applyFill="1" applyBorder="1" applyAlignment="1">
      <alignment horizontal="left" vertical="center" wrapText="1"/>
    </xf>
    <xf numFmtId="175" fontId="97" fillId="200" borderId="0" xfId="1" applyFont="1" applyFill="1" applyBorder="1" applyAlignment="1">
      <alignment horizontal="left" vertical="center" indent="2"/>
    </xf>
    <xf numFmtId="175" fontId="97" fillId="200" borderId="0" xfId="1" applyFont="1" applyFill="1" applyBorder="1" applyAlignment="1">
      <alignment vertical="center"/>
    </xf>
    <xf numFmtId="164" fontId="97" fillId="200" borderId="0" xfId="14" applyFont="1" applyFill="1" applyBorder="1" applyAlignment="1">
      <alignment horizontal="left" vertical="center" wrapText="1"/>
    </xf>
    <xf numFmtId="175" fontId="85" fillId="6" borderId="15" xfId="1" applyFont="1" applyFill="1" applyBorder="1" applyAlignment="1">
      <alignment horizontal="center"/>
    </xf>
    <xf numFmtId="164" fontId="90" fillId="6" borderId="1" xfId="14" applyFont="1" applyFill="1" applyBorder="1" applyAlignment="1">
      <alignment horizontal="center" vertical="center" wrapText="1"/>
    </xf>
    <xf numFmtId="175" fontId="90" fillId="6" borderId="1" xfId="1" applyFont="1" applyFill="1" applyBorder="1" applyAlignment="1">
      <alignment horizontal="center" vertical="center" wrapText="1"/>
    </xf>
    <xf numFmtId="175" fontId="84" fillId="6" borderId="1" xfId="1" applyFont="1" applyFill="1" applyBorder="1"/>
    <xf numFmtId="175" fontId="109" fillId="82" borderId="15" xfId="1" applyFont="1" applyFill="1" applyBorder="1" applyAlignment="1">
      <alignment horizontal="left" vertical="center" wrapText="1"/>
    </xf>
    <xf numFmtId="175" fontId="109" fillId="84" borderId="0" xfId="1" applyFont="1" applyFill="1" applyBorder="1" applyAlignment="1">
      <alignment horizontal="center" vertical="center"/>
    </xf>
    <xf numFmtId="175" fontId="84" fillId="84" borderId="1" xfId="1" applyFont="1" applyFill="1" applyBorder="1"/>
    <xf numFmtId="175" fontId="109" fillId="82" borderId="1" xfId="1" applyFont="1" applyFill="1" applyBorder="1" applyAlignment="1">
      <alignment horizontal="left" vertical="center" wrapText="1"/>
    </xf>
    <xf numFmtId="175" fontId="109" fillId="84" borderId="0" xfId="1" applyFont="1" applyFill="1" applyAlignment="1">
      <alignment horizontal="center" vertical="center"/>
    </xf>
    <xf numFmtId="0" fontId="126" fillId="82" borderId="0" xfId="0" applyFont="1" applyFill="1" applyAlignment="1">
      <alignment wrapText="1"/>
    </xf>
    <xf numFmtId="175" fontId="90" fillId="158" borderId="22" xfId="1" applyFont="1" applyFill="1" applyBorder="1" applyAlignment="1">
      <alignment horizontal="center" vertical="center" wrapText="1"/>
    </xf>
    <xf numFmtId="175" fontId="109" fillId="6" borderId="0" xfId="1" applyFont="1" applyFill="1"/>
    <xf numFmtId="175" fontId="86" fillId="92" borderId="1" xfId="1" applyFont="1" applyFill="1" applyBorder="1" applyAlignment="1">
      <alignment horizontal="center" vertical="center" wrapText="1"/>
    </xf>
    <xf numFmtId="175" fontId="90" fillId="158" borderId="18" xfId="1" applyFont="1" applyFill="1" applyBorder="1" applyAlignment="1">
      <alignment horizontal="center" vertical="center" wrapText="1"/>
    </xf>
    <xf numFmtId="175" fontId="86" fillId="92" borderId="0" xfId="1" applyFont="1" applyFill="1" applyBorder="1" applyAlignment="1">
      <alignment horizontal="center" vertical="center" wrapText="1"/>
    </xf>
    <xf numFmtId="175" fontId="84" fillId="0" borderId="0" xfId="1" applyFont="1" applyBorder="1" applyAlignment="1">
      <alignment horizontal="left" vertical="center" wrapText="1"/>
    </xf>
    <xf numFmtId="175" fontId="90" fillId="158" borderId="1" xfId="1" applyFont="1" applyFill="1" applyBorder="1" applyAlignment="1">
      <alignment horizontal="center" vertical="center" wrapText="1"/>
    </xf>
    <xf numFmtId="175" fontId="127" fillId="157" borderId="94" xfId="1" applyFont="1" applyFill="1" applyBorder="1" applyAlignment="1">
      <alignment horizontal="center" vertical="center" wrapText="1"/>
    </xf>
    <xf numFmtId="175" fontId="127" fillId="157" borderId="95" xfId="1" applyFont="1" applyFill="1" applyBorder="1" applyAlignment="1">
      <alignment horizontal="center" vertical="center" wrapText="1"/>
    </xf>
    <xf numFmtId="175" fontId="127" fillId="157" borderId="96" xfId="1" applyFont="1" applyFill="1" applyBorder="1" applyAlignment="1">
      <alignment horizontal="center" vertical="center" wrapText="1"/>
    </xf>
    <xf numFmtId="175" fontId="75" fillId="82" borderId="28" xfId="1" applyFont="1" applyFill="1" applyBorder="1" applyAlignment="1">
      <alignment horizontal="left" vertical="center" wrapText="1"/>
    </xf>
    <xf numFmtId="175" fontId="75" fillId="82" borderId="31" xfId="1" applyFont="1" applyFill="1" applyBorder="1" applyAlignment="1">
      <alignment horizontal="left" vertical="center" wrapText="1"/>
    </xf>
    <xf numFmtId="175" fontId="75" fillId="82" borderId="33" xfId="1" applyFont="1" applyFill="1" applyBorder="1" applyAlignment="1">
      <alignment horizontal="left" vertical="center" wrapText="1"/>
    </xf>
    <xf numFmtId="175" fontId="82" fillId="157" borderId="40" xfId="1" applyFont="1" applyFill="1" applyBorder="1" applyAlignment="1">
      <alignment horizontal="left" vertical="center" indent="2"/>
    </xf>
    <xf numFmtId="175" fontId="38" fillId="199" borderId="0" xfId="1" applyFont="1" applyFill="1" applyBorder="1" applyAlignment="1">
      <alignment vertical="center" wrapText="1"/>
    </xf>
    <xf numFmtId="175" fontId="18" fillId="209" borderId="31" xfId="1" applyFont="1" applyFill="1" applyBorder="1" applyAlignment="1">
      <alignment horizontal="left" vertical="center" wrapText="1"/>
    </xf>
    <xf numFmtId="175" fontId="18" fillId="209" borderId="35" xfId="1" applyFont="1" applyFill="1" applyBorder="1" applyAlignment="1">
      <alignment horizontal="left" vertical="center" wrapText="1"/>
    </xf>
    <xf numFmtId="175" fontId="18" fillId="6" borderId="0" xfId="1" applyFont="1" applyFill="1" applyBorder="1" applyAlignment="1">
      <alignment horizontal="center" wrapText="1"/>
    </xf>
    <xf numFmtId="175" fontId="84" fillId="82" borderId="28" xfId="1" applyFont="1" applyFill="1" applyBorder="1" applyAlignment="1">
      <alignment vertical="center" wrapText="1"/>
    </xf>
    <xf numFmtId="175" fontId="58" fillId="6" borderId="0" xfId="1" applyFont="1" applyFill="1" applyAlignment="1">
      <alignment horizontal="center" vertical="center" wrapText="1"/>
    </xf>
    <xf numFmtId="175" fontId="75" fillId="82" borderId="29" xfId="1" applyFont="1" applyFill="1" applyBorder="1" applyAlignment="1">
      <alignment vertical="center" wrapText="1"/>
    </xf>
    <xf numFmtId="175" fontId="124" fillId="92" borderId="75" xfId="1" applyFont="1" applyFill="1" applyBorder="1" applyAlignment="1">
      <alignment vertical="center" wrapText="1"/>
    </xf>
    <xf numFmtId="49" fontId="59" fillId="223" borderId="25" xfId="2" applyNumberFormat="1" applyFont="1" applyFill="1" applyBorder="1" applyAlignment="1">
      <alignment horizontal="center" vertical="center" wrapText="1"/>
    </xf>
    <xf numFmtId="49" fontId="37" fillId="223" borderId="28" xfId="2" applyNumberFormat="1" applyFont="1" applyFill="1" applyBorder="1" applyAlignment="1">
      <alignment horizontal="center" vertical="center" wrapText="1"/>
    </xf>
    <xf numFmtId="2" fontId="0" fillId="82" borderId="28" xfId="0" applyNumberFormat="1" applyFill="1" applyBorder="1" applyAlignment="1">
      <alignment horizontal="center" vertical="center"/>
    </xf>
    <xf numFmtId="0" fontId="35" fillId="82" borderId="33" xfId="0" applyFont="1" applyFill="1" applyBorder="1" applyAlignment="1">
      <alignment horizontal="center" vertical="center"/>
    </xf>
    <xf numFmtId="0" fontId="0" fillId="82" borderId="0" xfId="0" applyFill="1" applyProtection="1"/>
    <xf numFmtId="0" fontId="61" fillId="185" borderId="33" xfId="0" applyFont="1" applyFill="1" applyBorder="1" applyAlignment="1">
      <alignment horizontal="center" vertical="center"/>
    </xf>
    <xf numFmtId="0" fontId="51" fillId="187" borderId="33" xfId="0" applyFont="1" applyFill="1" applyBorder="1" applyAlignment="1">
      <alignment horizontal="center" vertical="center"/>
    </xf>
    <xf numFmtId="178" fontId="51" fillId="187" borderId="33" xfId="0" applyNumberFormat="1" applyFont="1" applyFill="1" applyBorder="1" applyAlignment="1">
      <alignment horizontal="center" vertical="center"/>
    </xf>
    <xf numFmtId="178" fontId="51" fillId="82" borderId="29" xfId="0" applyNumberFormat="1" applyFont="1" applyFill="1" applyBorder="1" applyAlignment="1">
      <alignment horizontal="center" vertical="center"/>
    </xf>
    <xf numFmtId="0" fontId="0" fillId="82" borderId="33" xfId="0" applyFill="1" applyBorder="1" applyAlignment="1">
      <alignment horizontal="center" vertical="center"/>
    </xf>
    <xf numFmtId="0" fontId="0" fillId="82" borderId="34" xfId="0" applyFill="1" applyBorder="1" applyAlignment="1">
      <alignment horizontal="center" vertical="center"/>
    </xf>
    <xf numFmtId="0" fontId="111" fillId="192" borderId="28" xfId="0" applyFont="1" applyFill="1" applyBorder="1" applyAlignment="1">
      <alignment horizontal="center" vertical="center"/>
    </xf>
    <xf numFmtId="0" fontId="0" fillId="209" borderId="28" xfId="0" applyFill="1" applyBorder="1" applyAlignment="1">
      <alignment horizontal="center" vertical="center"/>
    </xf>
    <xf numFmtId="0" fontId="0" fillId="0" borderId="28" xfId="0" applyBorder="1" applyAlignment="1">
      <alignment horizontal="center" vertical="center"/>
    </xf>
    <xf numFmtId="175" fontId="128" fillId="82" borderId="0" xfId="1" applyFont="1" applyFill="1" applyAlignment="1">
      <alignment horizontal="center" vertical="center"/>
    </xf>
    <xf numFmtId="175" fontId="18" fillId="166" borderId="28" xfId="1" applyFont="1" applyFill="1" applyBorder="1" applyAlignment="1">
      <alignment vertical="center" wrapText="1"/>
    </xf>
    <xf numFmtId="178" fontId="130" fillId="191" borderId="28" xfId="0" applyNumberFormat="1" applyFont="1" applyFill="1" applyBorder="1" applyAlignment="1">
      <alignment horizontal="center" vertical="center"/>
    </xf>
    <xf numFmtId="178" fontId="0" fillId="184" borderId="28" xfId="0" applyNumberFormat="1" applyFill="1" applyBorder="1" applyAlignment="1">
      <alignment horizontal="center" vertical="center"/>
    </xf>
    <xf numFmtId="175" fontId="114" fillId="53" borderId="25" xfId="1" applyFont="1" applyFill="1" applyBorder="1" applyAlignment="1">
      <alignment horizontal="center" vertical="center" wrapText="1"/>
    </xf>
    <xf numFmtId="175" fontId="18" fillId="49" borderId="17" xfId="1" applyFont="1" applyFill="1" applyBorder="1" applyAlignment="1">
      <alignment horizontal="center" vertical="center"/>
    </xf>
    <xf numFmtId="169" fontId="11" fillId="58" borderId="16" xfId="1" applyNumberFormat="1" applyFont="1" applyFill="1" applyBorder="1" applyAlignment="1">
      <alignment horizontal="center" vertical="center" wrapText="1"/>
    </xf>
    <xf numFmtId="175" fontId="75" fillId="84" borderId="0" xfId="1" applyFont="1" applyFill="1" applyAlignment="1">
      <alignment horizontal="center" vertical="center" wrapText="1"/>
    </xf>
    <xf numFmtId="175" fontId="32" fillId="158" borderId="22" xfId="1" applyFont="1" applyFill="1" applyBorder="1" applyAlignment="1">
      <alignment horizontal="center" vertical="center" wrapText="1"/>
    </xf>
    <xf numFmtId="175" fontId="32" fillId="158" borderId="18" xfId="1" applyFont="1" applyFill="1" applyBorder="1" applyAlignment="1">
      <alignment horizontal="center" vertical="center" wrapText="1"/>
    </xf>
    <xf numFmtId="175" fontId="32" fillId="161" borderId="18" xfId="1" applyFont="1" applyFill="1" applyBorder="1" applyAlignment="1">
      <alignment horizontal="center" vertical="center" wrapText="1"/>
    </xf>
    <xf numFmtId="175" fontId="32" fillId="225" borderId="1" xfId="1" applyFont="1" applyFill="1" applyBorder="1" applyAlignment="1">
      <alignment horizontal="center" vertical="center" wrapText="1"/>
    </xf>
    <xf numFmtId="175" fontId="111" fillId="91" borderId="18" xfId="1" applyFont="1" applyFill="1" applyBorder="1" applyAlignment="1">
      <alignment horizontal="center" vertical="center" wrapText="1"/>
    </xf>
    <xf numFmtId="168" fontId="59" fillId="89" borderId="1" xfId="1" applyNumberFormat="1" applyFont="1" applyFill="1" applyBorder="1" applyAlignment="1">
      <alignment horizontal="center" vertical="center" wrapText="1"/>
    </xf>
    <xf numFmtId="169" fontId="59" fillId="95" borderId="22" xfId="1" applyNumberFormat="1" applyFont="1" applyFill="1" applyBorder="1" applyAlignment="1">
      <alignment horizontal="center" vertical="center" wrapText="1"/>
    </xf>
    <xf numFmtId="169" fontId="59" fillId="96" borderId="18" xfId="1" applyNumberFormat="1" applyFont="1" applyFill="1" applyBorder="1" applyAlignment="1">
      <alignment horizontal="center" vertical="center" wrapText="1"/>
    </xf>
    <xf numFmtId="175" fontId="59" fillId="89" borderId="1" xfId="1" applyFont="1" applyFill="1" applyBorder="1" applyAlignment="1">
      <alignment horizontal="center" vertical="center" wrapText="1"/>
    </xf>
    <xf numFmtId="169" fontId="111" fillId="97" borderId="22" xfId="1" applyNumberFormat="1" applyFont="1" applyFill="1" applyBorder="1" applyAlignment="1">
      <alignment horizontal="center" vertical="center" wrapText="1"/>
    </xf>
    <xf numFmtId="171" fontId="111" fillId="90" borderId="18" xfId="1" applyNumberFormat="1" applyFont="1" applyFill="1" applyBorder="1" applyAlignment="1">
      <alignment horizontal="center" vertical="center" wrapText="1"/>
    </xf>
    <xf numFmtId="169" fontId="59" fillId="98" borderId="22" xfId="1" applyNumberFormat="1" applyFont="1" applyFill="1" applyBorder="1" applyAlignment="1">
      <alignment horizontal="center" vertical="center" wrapText="1"/>
    </xf>
    <xf numFmtId="171" fontId="59" fillId="94" borderId="22" xfId="1" applyNumberFormat="1" applyFont="1" applyFill="1" applyBorder="1" applyAlignment="1">
      <alignment horizontal="center" vertical="center" wrapText="1"/>
    </xf>
    <xf numFmtId="2" fontId="59" fillId="89" borderId="1" xfId="1" applyNumberFormat="1" applyFont="1" applyFill="1" applyBorder="1" applyAlignment="1">
      <alignment horizontal="center" vertical="center" wrapText="1"/>
    </xf>
    <xf numFmtId="169" fontId="59" fillId="93" borderId="22" xfId="1" applyNumberFormat="1" applyFont="1" applyFill="1" applyBorder="1" applyAlignment="1">
      <alignment horizontal="center" vertical="center" wrapText="1"/>
    </xf>
    <xf numFmtId="171" fontId="59" fillId="99" borderId="22" xfId="1" applyNumberFormat="1" applyFont="1" applyFill="1" applyBorder="1" applyAlignment="1">
      <alignment horizontal="center" vertical="center" wrapText="1"/>
    </xf>
    <xf numFmtId="175" fontId="35" fillId="84" borderId="17" xfId="1" applyFont="1" applyFill="1" applyBorder="1" applyAlignment="1">
      <alignment horizontal="center" vertical="center" wrapText="1"/>
    </xf>
    <xf numFmtId="175" fontId="35" fillId="84" borderId="18" xfId="1" applyFont="1" applyFill="1" applyBorder="1" applyAlignment="1">
      <alignment horizontal="center" vertical="center" wrapText="1"/>
    </xf>
    <xf numFmtId="169" fontId="35" fillId="99" borderId="1" xfId="1" applyNumberFormat="1" applyFont="1" applyFill="1" applyBorder="1" applyAlignment="1">
      <alignment horizontal="center" vertical="center" wrapText="1"/>
    </xf>
    <xf numFmtId="172" fontId="35" fillId="99" borderId="1" xfId="1" applyNumberFormat="1" applyFont="1" applyFill="1" applyBorder="1" applyAlignment="1">
      <alignment horizontal="center" vertical="center" wrapText="1"/>
    </xf>
    <xf numFmtId="175" fontId="35" fillId="84" borderId="0" xfId="1" applyFont="1" applyFill="1" applyAlignment="1">
      <alignment horizontal="center" vertical="center" wrapText="1"/>
    </xf>
    <xf numFmtId="175" fontId="55" fillId="120" borderId="57" xfId="1" applyFont="1" applyFill="1" applyBorder="1" applyAlignment="1">
      <alignment horizontal="center" vertical="center"/>
    </xf>
    <xf numFmtId="0" fontId="131" fillId="82" borderId="0" xfId="18" applyFill="1" applyBorder="1" applyAlignment="1">
      <alignment horizontal="left"/>
    </xf>
    <xf numFmtId="175" fontId="18" fillId="94" borderId="0" xfId="1" applyFont="1" applyFill="1" applyBorder="1" applyAlignment="1">
      <alignment horizontal="center"/>
    </xf>
    <xf numFmtId="175" fontId="90" fillId="219" borderId="121" xfId="1" applyFont="1" applyFill="1" applyBorder="1" applyAlignment="1">
      <alignment horizontal="center" vertical="center" wrapText="1"/>
    </xf>
    <xf numFmtId="175" fontId="84" fillId="221" borderId="122" xfId="1" applyFont="1" applyFill="1" applyBorder="1" applyAlignment="1">
      <alignment horizontal="center" vertical="center"/>
    </xf>
    <xf numFmtId="172" fontId="84" fillId="221" borderId="124" xfId="1" applyNumberFormat="1" applyFont="1" applyFill="1" applyBorder="1" applyAlignment="1">
      <alignment horizontal="center" vertical="center"/>
    </xf>
    <xf numFmtId="175" fontId="17" fillId="219" borderId="121" xfId="1" applyFont="1" applyFill="1" applyBorder="1" applyAlignment="1">
      <alignment horizontal="center" vertical="center" wrapText="1"/>
    </xf>
    <xf numFmtId="175" fontId="17" fillId="219" borderId="123" xfId="1" applyFont="1" applyFill="1" applyBorder="1" applyAlignment="1">
      <alignment horizontal="center" vertical="center" wrapText="1"/>
    </xf>
    <xf numFmtId="175" fontId="90" fillId="82" borderId="0" xfId="1" applyFont="1" applyFill="1" applyBorder="1" applyAlignment="1">
      <alignment vertical="center"/>
    </xf>
    <xf numFmtId="175" fontId="91" fillId="82" borderId="13" xfId="1" applyFont="1" applyFill="1" applyBorder="1" applyAlignment="1">
      <alignment horizontal="center" vertical="center" wrapText="1"/>
    </xf>
    <xf numFmtId="175" fontId="84" fillId="82" borderId="0" xfId="1" applyFont="1" applyFill="1" applyBorder="1" applyAlignment="1">
      <alignment horizontal="center" vertical="center"/>
    </xf>
    <xf numFmtId="175" fontId="84" fillId="82" borderId="0" xfId="1" applyFont="1" applyFill="1" applyAlignment="1">
      <alignment wrapText="1"/>
    </xf>
    <xf numFmtId="175" fontId="109" fillId="82" borderId="0" xfId="1" applyFont="1" applyFill="1" applyBorder="1" applyAlignment="1">
      <alignment horizontal="center" vertical="center" wrapText="1"/>
    </xf>
    <xf numFmtId="0" fontId="104" fillId="172" borderId="18" xfId="1" applyNumberFormat="1" applyFont="1" applyFill="1" applyBorder="1" applyAlignment="1">
      <alignment horizontal="center" vertical="center"/>
    </xf>
    <xf numFmtId="175" fontId="18" fillId="180" borderId="36" xfId="1" applyFont="1" applyFill="1" applyBorder="1" applyAlignment="1">
      <alignment horizontal="center" vertical="center" wrapText="1"/>
    </xf>
    <xf numFmtId="175" fontId="17" fillId="83" borderId="0" xfId="1" applyFont="1" applyFill="1" applyBorder="1" applyAlignment="1">
      <alignment vertical="center"/>
    </xf>
    <xf numFmtId="175" fontId="2" fillId="146" borderId="28" xfId="1" applyFill="1" applyBorder="1" applyAlignment="1">
      <alignment horizontal="center" vertical="center"/>
    </xf>
    <xf numFmtId="175" fontId="2" fillId="141" borderId="28" xfId="1" applyFill="1" applyBorder="1" applyAlignment="1">
      <alignment horizontal="center" vertical="center"/>
    </xf>
    <xf numFmtId="175" fontId="2" fillId="184" borderId="28" xfId="1" applyFill="1" applyBorder="1" applyAlignment="1">
      <alignment horizontal="center" vertical="center"/>
    </xf>
    <xf numFmtId="175" fontId="2" fillId="226" borderId="28" xfId="1" applyFill="1" applyBorder="1" applyAlignment="1">
      <alignment horizontal="center" vertical="center"/>
    </xf>
    <xf numFmtId="175" fontId="17" fillId="21" borderId="16" xfId="1" applyFont="1" applyFill="1" applyBorder="1" applyAlignment="1">
      <alignment horizontal="center" vertical="center" wrapText="1"/>
    </xf>
    <xf numFmtId="175" fontId="17" fillId="23" borderId="16" xfId="1" applyFont="1" applyFill="1" applyBorder="1" applyAlignment="1">
      <alignment horizontal="center" vertical="center" wrapText="1"/>
    </xf>
    <xf numFmtId="175" fontId="17" fillId="23" borderId="27" xfId="1" applyFont="1" applyFill="1" applyBorder="1" applyAlignment="1">
      <alignment horizontal="center" vertical="center" wrapText="1"/>
    </xf>
    <xf numFmtId="175" fontId="18" fillId="186" borderId="33" xfId="1" applyFont="1" applyFill="1" applyBorder="1" applyAlignment="1">
      <alignment horizontal="center" vertical="center" wrapText="1"/>
    </xf>
    <xf numFmtId="175" fontId="18" fillId="227" borderId="33" xfId="1" applyFont="1" applyFill="1" applyBorder="1" applyAlignment="1">
      <alignment horizontal="center" vertical="center"/>
    </xf>
    <xf numFmtId="175" fontId="17" fillId="29" borderId="25" xfId="1" applyFont="1" applyFill="1" applyBorder="1" applyAlignment="1">
      <alignment horizontal="center" vertical="center"/>
    </xf>
    <xf numFmtId="175" fontId="17" fillId="29" borderId="27" xfId="1" applyFont="1" applyFill="1" applyBorder="1" applyAlignment="1">
      <alignment horizontal="center" vertical="center"/>
    </xf>
    <xf numFmtId="175" fontId="17" fillId="29" borderId="33" xfId="1" applyFont="1" applyFill="1" applyBorder="1" applyAlignment="1">
      <alignment horizontal="center" vertical="center"/>
    </xf>
    <xf numFmtId="175" fontId="2" fillId="25" borderId="28" xfId="1" applyFill="1" applyBorder="1" applyAlignment="1">
      <alignment horizontal="center" vertical="center"/>
    </xf>
    <xf numFmtId="175" fontId="2" fillId="230" borderId="28" xfId="1" applyFill="1" applyBorder="1" applyAlignment="1">
      <alignment horizontal="center" vertical="center"/>
    </xf>
    <xf numFmtId="175" fontId="2" fillId="232" borderId="28" xfId="1" applyFill="1" applyBorder="1" applyAlignment="1">
      <alignment horizontal="center" vertical="center"/>
    </xf>
    <xf numFmtId="0" fontId="0" fillId="216" borderId="28" xfId="0" applyFill="1" applyBorder="1"/>
    <xf numFmtId="0" fontId="0" fillId="166" borderId="28" xfId="0" applyFill="1" applyBorder="1"/>
    <xf numFmtId="175" fontId="2" fillId="229" borderId="28" xfId="1" applyFill="1" applyBorder="1" applyAlignment="1">
      <alignment horizontal="center" vertical="center"/>
    </xf>
    <xf numFmtId="175" fontId="2" fillId="27" borderId="28" xfId="1" applyFill="1" applyBorder="1" applyAlignment="1">
      <alignment horizontal="center" vertical="center"/>
    </xf>
    <xf numFmtId="175" fontId="2" fillId="231" borderId="28" xfId="1" applyFill="1" applyBorder="1" applyAlignment="1">
      <alignment horizontal="center" vertical="center"/>
    </xf>
    <xf numFmtId="0" fontId="0" fillId="103" borderId="28" xfId="0" applyFill="1" applyBorder="1"/>
    <xf numFmtId="0" fontId="0" fillId="184" borderId="28" xfId="0" applyFill="1" applyBorder="1"/>
    <xf numFmtId="0" fontId="111" fillId="228" borderId="28" xfId="0" applyFont="1" applyFill="1" applyBorder="1" applyAlignment="1">
      <alignment horizontal="center" vertical="center" wrapText="1"/>
    </xf>
    <xf numFmtId="0" fontId="111" fillId="233" borderId="28" xfId="0" applyFont="1" applyFill="1" applyBorder="1" applyAlignment="1">
      <alignment horizontal="center" vertical="center" wrapText="1"/>
    </xf>
    <xf numFmtId="175" fontId="8" fillId="21" borderId="15" xfId="1" applyFont="1" applyFill="1" applyBorder="1" applyAlignment="1">
      <alignment horizontal="center" vertical="center" wrapText="1"/>
    </xf>
    <xf numFmtId="175" fontId="8" fillId="23" borderId="15" xfId="1" applyFont="1" applyFill="1" applyBorder="1" applyAlignment="1">
      <alignment horizontal="center" vertical="center" wrapText="1"/>
    </xf>
    <xf numFmtId="175" fontId="8" fillId="23" borderId="21" xfId="1" applyFont="1" applyFill="1" applyBorder="1" applyAlignment="1">
      <alignment horizontal="center" vertical="center" wrapText="1"/>
    </xf>
    <xf numFmtId="175" fontId="35" fillId="200" borderId="34" xfId="1" applyFont="1" applyFill="1" applyBorder="1" applyAlignment="1">
      <alignment horizontal="center" vertical="center" wrapText="1"/>
    </xf>
    <xf numFmtId="175" fontId="50" fillId="80" borderId="34" xfId="1" applyFont="1" applyFill="1" applyBorder="1" applyAlignment="1">
      <alignment horizontal="center" vertical="center" wrapText="1"/>
    </xf>
    <xf numFmtId="175" fontId="50" fillId="200" borderId="34" xfId="1" applyFont="1" applyFill="1" applyBorder="1" applyAlignment="1">
      <alignment horizontal="center" vertical="center" wrapText="1"/>
    </xf>
    <xf numFmtId="175" fontId="30" fillId="29" borderId="23" xfId="1" applyFont="1" applyFill="1" applyBorder="1" applyAlignment="1">
      <alignment horizontal="center" vertical="center" wrapText="1"/>
    </xf>
    <xf numFmtId="175" fontId="30" fillId="29" borderId="21" xfId="1" applyFont="1" applyFill="1" applyBorder="1" applyAlignment="1">
      <alignment horizontal="center" vertical="center" wrapText="1"/>
    </xf>
    <xf numFmtId="175" fontId="30" fillId="29" borderId="34" xfId="1" applyFont="1" applyFill="1" applyBorder="1" applyAlignment="1">
      <alignment horizontal="center" vertical="center" wrapText="1"/>
    </xf>
    <xf numFmtId="0" fontId="50" fillId="228" borderId="34" xfId="0" applyFont="1" applyFill="1" applyBorder="1" applyAlignment="1">
      <alignment horizontal="center" vertical="center" wrapText="1"/>
    </xf>
    <xf numFmtId="0" fontId="50" fillId="233" borderId="34" xfId="0" applyFont="1" applyFill="1" applyBorder="1" applyAlignment="1">
      <alignment horizontal="center" vertical="center" wrapText="1"/>
    </xf>
    <xf numFmtId="0" fontId="0" fillId="234" borderId="28" xfId="0" applyFill="1" applyBorder="1" applyAlignment="1">
      <alignment horizontal="center" vertical="center" wrapText="1"/>
    </xf>
    <xf numFmtId="0" fontId="50" fillId="102" borderId="34" xfId="0" applyFont="1" applyFill="1" applyBorder="1" applyAlignment="1">
      <alignment horizontal="center" vertical="center" wrapText="1"/>
    </xf>
    <xf numFmtId="0" fontId="111" fillId="102" borderId="28" xfId="0" applyFont="1" applyFill="1" applyBorder="1" applyAlignment="1">
      <alignment horizontal="center" vertical="center" wrapText="1"/>
    </xf>
    <xf numFmtId="175" fontId="0" fillId="103" borderId="28" xfId="0" applyNumberFormat="1" applyFill="1" applyBorder="1"/>
    <xf numFmtId="175" fontId="0" fillId="166" borderId="28" xfId="0" applyNumberFormat="1" applyFill="1" applyBorder="1"/>
    <xf numFmtId="175" fontId="0" fillId="184" borderId="28" xfId="0" applyNumberFormat="1" applyFill="1" applyBorder="1"/>
    <xf numFmtId="0" fontId="50" fillId="163" borderId="34" xfId="0" applyFont="1" applyFill="1" applyBorder="1" applyAlignment="1">
      <alignment horizontal="center" vertical="center" wrapText="1"/>
    </xf>
    <xf numFmtId="0" fontId="111" fillId="163" borderId="28" xfId="0" applyFont="1" applyFill="1" applyBorder="1" applyAlignment="1">
      <alignment horizontal="center" vertical="center" wrapText="1"/>
    </xf>
    <xf numFmtId="0" fontId="0" fillId="216" borderId="28" xfId="0" applyFill="1" applyBorder="1" applyAlignment="1">
      <alignment horizontal="center" vertical="center"/>
    </xf>
    <xf numFmtId="175" fontId="8" fillId="235" borderId="0" xfId="1" applyFont="1" applyFill="1" applyBorder="1" applyAlignment="1">
      <alignment horizontal="center" vertical="center" wrapText="1"/>
    </xf>
    <xf numFmtId="0" fontId="0" fillId="82" borderId="0" xfId="0" applyFill="1" applyAlignment="1">
      <alignment horizontal="center" vertical="center"/>
    </xf>
    <xf numFmtId="0" fontId="101" fillId="102" borderId="34" xfId="0" applyFont="1" applyFill="1" applyBorder="1" applyAlignment="1">
      <alignment horizontal="center" vertical="center" wrapText="1"/>
    </xf>
    <xf numFmtId="0" fontId="59" fillId="102" borderId="28" xfId="0" applyFont="1" applyFill="1" applyBorder="1" applyAlignment="1">
      <alignment horizontal="center" vertical="center" wrapText="1"/>
    </xf>
    <xf numFmtId="175" fontId="132" fillId="236" borderId="21" xfId="1" applyFont="1" applyFill="1" applyBorder="1" applyAlignment="1">
      <alignment horizontal="center" vertical="center" wrapText="1"/>
    </xf>
    <xf numFmtId="175" fontId="101" fillId="227" borderId="34" xfId="1" applyFont="1" applyFill="1" applyBorder="1" applyAlignment="1">
      <alignment horizontal="center" vertical="center" wrapText="1"/>
    </xf>
    <xf numFmtId="175" fontId="101" fillId="186" borderId="34" xfId="1" applyFont="1" applyFill="1" applyBorder="1" applyAlignment="1">
      <alignment horizontal="center" vertical="center" wrapText="1"/>
    </xf>
    <xf numFmtId="175" fontId="133" fillId="21" borderId="16" xfId="1" applyFont="1" applyFill="1" applyBorder="1" applyAlignment="1">
      <alignment horizontal="center" vertical="center" wrapText="1"/>
    </xf>
    <xf numFmtId="175" fontId="75" fillId="23" borderId="16" xfId="1" applyFont="1" applyFill="1" applyBorder="1" applyAlignment="1">
      <alignment horizontal="center" vertical="center" wrapText="1"/>
    </xf>
    <xf numFmtId="175" fontId="75" fillId="235" borderId="0" xfId="1" applyFont="1" applyFill="1" applyBorder="1" applyAlignment="1">
      <alignment horizontal="center" vertical="center" wrapText="1"/>
    </xf>
    <xf numFmtId="175" fontId="75" fillId="186" borderId="33" xfId="1" applyFont="1" applyFill="1" applyBorder="1" applyAlignment="1">
      <alignment horizontal="center" vertical="center" wrapText="1"/>
    </xf>
    <xf numFmtId="175" fontId="75" fillId="227" borderId="33" xfId="1" applyFont="1" applyFill="1" applyBorder="1" applyAlignment="1">
      <alignment horizontal="center" vertical="center"/>
    </xf>
    <xf numFmtId="175" fontId="75" fillId="236" borderId="27" xfId="1" applyFont="1" applyFill="1" applyBorder="1" applyAlignment="1">
      <alignment horizontal="center" vertical="center"/>
    </xf>
    <xf numFmtId="175" fontId="53" fillId="235" borderId="0" xfId="1" applyFont="1" applyFill="1" applyBorder="1" applyAlignment="1">
      <alignment horizontal="center" vertical="center" wrapText="1"/>
    </xf>
    <xf numFmtId="175" fontId="47" fillId="27" borderId="28" xfId="1" applyFont="1" applyFill="1" applyBorder="1" applyAlignment="1">
      <alignment horizontal="center" vertical="center"/>
    </xf>
    <xf numFmtId="175" fontId="47" fillId="230" borderId="28" xfId="1" applyFont="1" applyFill="1" applyBorder="1" applyAlignment="1">
      <alignment horizontal="center" vertical="center"/>
    </xf>
    <xf numFmtId="175" fontId="47" fillId="184" borderId="28" xfId="1" applyFont="1" applyFill="1" applyBorder="1" applyAlignment="1">
      <alignment horizontal="center" vertical="center"/>
    </xf>
    <xf numFmtId="175" fontId="47" fillId="146" borderId="28" xfId="1" applyFont="1" applyFill="1" applyBorder="1" applyAlignment="1">
      <alignment horizontal="center" vertical="center"/>
    </xf>
    <xf numFmtId="175" fontId="47" fillId="226" borderId="28" xfId="1" applyFont="1" applyFill="1" applyBorder="1" applyAlignment="1">
      <alignment horizontal="center" vertical="center"/>
    </xf>
    <xf numFmtId="175" fontId="47" fillId="141" borderId="28" xfId="1" applyFont="1" applyFill="1" applyBorder="1" applyAlignment="1">
      <alignment horizontal="center" vertical="center"/>
    </xf>
    <xf numFmtId="175" fontId="47" fillId="231" borderId="28" xfId="1" applyFont="1" applyFill="1" applyBorder="1" applyAlignment="1">
      <alignment horizontal="center" vertical="center"/>
    </xf>
    <xf numFmtId="175" fontId="47" fillId="232" borderId="28" xfId="1" applyFont="1" applyFill="1" applyBorder="1" applyAlignment="1">
      <alignment horizontal="center" vertical="center"/>
    </xf>
    <xf numFmtId="0" fontId="137" fillId="216" borderId="28" xfId="0" applyFont="1" applyFill="1" applyBorder="1" applyAlignment="1">
      <alignment horizontal="center" vertical="center"/>
    </xf>
    <xf numFmtId="0" fontId="137" fillId="103" borderId="28" xfId="0" applyFont="1" applyFill="1" applyBorder="1" applyAlignment="1">
      <alignment horizontal="center" vertical="center"/>
    </xf>
    <xf numFmtId="164" fontId="90" fillId="6" borderId="16" xfId="14" applyFont="1" applyFill="1" applyBorder="1" applyAlignment="1">
      <alignment horizontal="center" vertical="center" wrapText="1"/>
    </xf>
    <xf numFmtId="175" fontId="17" fillId="79" borderId="1" xfId="1" applyFont="1" applyFill="1" applyBorder="1" applyAlignment="1">
      <alignment horizontal="center" vertical="center" wrapText="1"/>
    </xf>
    <xf numFmtId="175" fontId="90" fillId="6" borderId="16" xfId="1" applyFont="1" applyFill="1" applyBorder="1" applyAlignment="1">
      <alignment horizontal="center" vertical="center" wrapText="1"/>
    </xf>
    <xf numFmtId="175" fontId="84" fillId="6" borderId="16" xfId="1" applyFont="1" applyFill="1" applyBorder="1"/>
    <xf numFmtId="175" fontId="11" fillId="60" borderId="1" xfId="1" applyFont="1" applyFill="1" applyBorder="1" applyAlignment="1">
      <alignment horizontal="center" vertical="center" wrapText="1"/>
    </xf>
    <xf numFmtId="0" fontId="0" fillId="191" borderId="0" xfId="0" applyFill="1" applyAlignment="1">
      <alignment horizontal="center"/>
    </xf>
    <xf numFmtId="175" fontId="47" fillId="230" borderId="31" xfId="1" applyFont="1" applyFill="1" applyBorder="1" applyAlignment="1">
      <alignment horizontal="center" vertical="center"/>
    </xf>
    <xf numFmtId="175" fontId="47" fillId="146" borderId="31" xfId="1" applyFont="1" applyFill="1" applyBorder="1" applyAlignment="1">
      <alignment horizontal="center" vertical="center"/>
    </xf>
    <xf numFmtId="175" fontId="47" fillId="141" borderId="31" xfId="1" applyFont="1" applyFill="1" applyBorder="1" applyAlignment="1">
      <alignment horizontal="center" vertical="center"/>
    </xf>
    <xf numFmtId="175" fontId="47" fillId="232" borderId="31" xfId="1" applyFont="1" applyFill="1" applyBorder="1" applyAlignment="1">
      <alignment horizontal="center" vertical="center"/>
    </xf>
    <xf numFmtId="0" fontId="137" fillId="216" borderId="31" xfId="0" applyFont="1" applyFill="1" applyBorder="1" applyAlignment="1">
      <alignment horizontal="center" vertical="center"/>
    </xf>
    <xf numFmtId="175" fontId="2" fillId="238" borderId="28" xfId="1" applyFill="1" applyBorder="1" applyAlignment="1">
      <alignment horizontal="center" vertical="center"/>
    </xf>
    <xf numFmtId="175" fontId="8" fillId="239" borderId="21" xfId="1" applyFont="1" applyFill="1" applyBorder="1" applyAlignment="1">
      <alignment horizontal="center" vertical="center" wrapText="1"/>
    </xf>
    <xf numFmtId="175" fontId="75" fillId="239" borderId="27" xfId="1" applyFont="1" applyFill="1" applyBorder="1" applyAlignment="1">
      <alignment horizontal="center" vertical="center" wrapText="1"/>
    </xf>
    <xf numFmtId="0" fontId="135" fillId="82" borderId="0" xfId="0" applyFont="1" applyFill="1" applyAlignment="1">
      <alignment horizontal="center" vertical="center"/>
    </xf>
    <xf numFmtId="0" fontId="137" fillId="237" borderId="125" xfId="0" applyFont="1" applyFill="1" applyBorder="1" applyAlignment="1">
      <alignment horizontal="center" vertical="center"/>
    </xf>
    <xf numFmtId="0" fontId="137" fillId="237" borderId="126" xfId="0" applyFont="1" applyFill="1" applyBorder="1" applyAlignment="1">
      <alignment horizontal="center" vertical="center"/>
    </xf>
    <xf numFmtId="0" fontId="137" fillId="82" borderId="127" xfId="0" applyFont="1" applyFill="1" applyBorder="1" applyAlignment="1">
      <alignment horizontal="center" vertical="center"/>
    </xf>
    <xf numFmtId="0" fontId="0" fillId="166" borderId="128" xfId="0" applyFill="1" applyBorder="1" applyAlignment="1">
      <alignment horizontal="center" vertical="center"/>
    </xf>
    <xf numFmtId="0" fontId="101" fillId="102" borderId="130" xfId="0" applyFont="1" applyFill="1" applyBorder="1" applyAlignment="1">
      <alignment horizontal="center" vertical="center" wrapText="1"/>
    </xf>
    <xf numFmtId="0" fontId="59" fillId="102" borderId="131" xfId="0" applyFont="1" applyFill="1" applyBorder="1" applyAlignment="1">
      <alignment horizontal="center" vertical="center" wrapText="1"/>
    </xf>
    <xf numFmtId="0" fontId="0" fillId="166" borderId="131" xfId="0" applyFill="1" applyBorder="1" applyAlignment="1">
      <alignment horizontal="center" vertical="center"/>
    </xf>
    <xf numFmtId="0" fontId="137" fillId="103" borderId="131" xfId="0" applyFont="1" applyFill="1" applyBorder="1" applyAlignment="1">
      <alignment horizontal="center" vertical="center"/>
    </xf>
    <xf numFmtId="0" fontId="137" fillId="216" borderId="131" xfId="0" applyFont="1" applyFill="1" applyBorder="1" applyAlignment="1">
      <alignment horizontal="center" vertical="center"/>
    </xf>
    <xf numFmtId="0" fontId="137" fillId="216" borderId="132" xfId="0" applyFont="1" applyFill="1" applyBorder="1" applyAlignment="1">
      <alignment horizontal="center" vertical="center"/>
    </xf>
    <xf numFmtId="175" fontId="2" fillId="90" borderId="29" xfId="1" applyFill="1" applyBorder="1" applyAlignment="1">
      <alignment horizontal="center" vertical="center"/>
    </xf>
    <xf numFmtId="175" fontId="47" fillId="90" borderId="29" xfId="1" applyFont="1" applyFill="1" applyBorder="1" applyAlignment="1">
      <alignment horizontal="center" vertical="center"/>
    </xf>
    <xf numFmtId="175" fontId="47" fillId="90" borderId="40" xfId="1" applyFont="1" applyFill="1" applyBorder="1" applyAlignment="1">
      <alignment horizontal="center" vertical="center"/>
    </xf>
    <xf numFmtId="175" fontId="8" fillId="23" borderId="134" xfId="1" applyFont="1" applyFill="1" applyBorder="1" applyAlignment="1">
      <alignment horizontal="center" vertical="center" wrapText="1"/>
    </xf>
    <xf numFmtId="175" fontId="75" fillId="23" borderId="135" xfId="1" applyFont="1" applyFill="1" applyBorder="1" applyAlignment="1">
      <alignment horizontal="center" vertical="center" wrapText="1"/>
    </xf>
    <xf numFmtId="175" fontId="2" fillId="230" borderId="128" xfId="1" applyFill="1" applyBorder="1" applyAlignment="1">
      <alignment horizontal="center" vertical="center"/>
    </xf>
    <xf numFmtId="175" fontId="47" fillId="27" borderId="128" xfId="1" applyFont="1" applyFill="1" applyBorder="1" applyAlignment="1">
      <alignment horizontal="center" vertical="center"/>
    </xf>
    <xf numFmtId="175" fontId="47" fillId="230" borderId="128" xfId="1" applyFont="1" applyFill="1" applyBorder="1" applyAlignment="1">
      <alignment horizontal="center" vertical="center"/>
    </xf>
    <xf numFmtId="175" fontId="47" fillId="230" borderId="129" xfId="1" applyFont="1" applyFill="1" applyBorder="1" applyAlignment="1">
      <alignment horizontal="center" vertical="center"/>
    </xf>
    <xf numFmtId="175" fontId="8" fillId="239" borderId="138" xfId="1" applyFont="1" applyFill="1" applyBorder="1" applyAlignment="1">
      <alignment horizontal="center" vertical="center" wrapText="1"/>
    </xf>
    <xf numFmtId="175" fontId="75" fillId="239" borderId="139" xfId="1" applyFont="1" applyFill="1" applyBorder="1" applyAlignment="1">
      <alignment horizontal="center" vertical="center" wrapText="1"/>
    </xf>
    <xf numFmtId="175" fontId="2" fillId="230" borderId="131" xfId="1" applyFill="1" applyBorder="1" applyAlignment="1">
      <alignment horizontal="center" vertical="center"/>
    </xf>
    <xf numFmtId="0" fontId="35" fillId="157" borderId="128" xfId="0" applyFont="1" applyFill="1" applyBorder="1" applyAlignment="1">
      <alignment horizontal="center" vertical="center" wrapText="1"/>
    </xf>
    <xf numFmtId="0" fontId="59" fillId="157" borderId="128" xfId="0" applyFont="1" applyFill="1" applyBorder="1" applyAlignment="1">
      <alignment horizontal="center" vertical="center" wrapText="1"/>
    </xf>
    <xf numFmtId="175" fontId="137" fillId="184" borderId="128" xfId="0" applyNumberFormat="1" applyFont="1" applyFill="1" applyBorder="1" applyAlignment="1">
      <alignment horizontal="center" vertical="center"/>
    </xf>
    <xf numFmtId="175" fontId="137" fillId="166" borderId="128" xfId="0" applyNumberFormat="1" applyFont="1" applyFill="1" applyBorder="1" applyAlignment="1">
      <alignment horizontal="center" vertical="center"/>
    </xf>
    <xf numFmtId="175" fontId="137" fillId="166" borderId="129" xfId="0" applyNumberFormat="1" applyFont="1" applyFill="1" applyBorder="1" applyAlignment="1">
      <alignment horizontal="center" vertical="center"/>
    </xf>
    <xf numFmtId="0" fontId="35" fillId="157" borderId="130" xfId="0" applyFont="1" applyFill="1" applyBorder="1" applyAlignment="1">
      <alignment horizontal="center" vertical="center" wrapText="1"/>
    </xf>
    <xf numFmtId="0" fontId="59" fillId="157" borderId="131" xfId="0" applyFont="1" applyFill="1" applyBorder="1" applyAlignment="1">
      <alignment horizontal="center" vertical="center" wrapText="1"/>
    </xf>
    <xf numFmtId="0" fontId="137" fillId="184" borderId="131" xfId="0" applyFont="1" applyFill="1" applyBorder="1" applyAlignment="1">
      <alignment horizontal="center" vertical="center"/>
    </xf>
    <xf numFmtId="0" fontId="137" fillId="166" borderId="131" xfId="0" applyFont="1" applyFill="1" applyBorder="1" applyAlignment="1">
      <alignment horizontal="center" vertical="center"/>
    </xf>
    <xf numFmtId="0" fontId="137" fillId="166" borderId="132" xfId="0" applyFont="1" applyFill="1" applyBorder="1" applyAlignment="1">
      <alignment horizontal="center" vertical="center"/>
    </xf>
    <xf numFmtId="0" fontId="101" fillId="102" borderId="128" xfId="0" applyFont="1" applyFill="1" applyBorder="1" applyAlignment="1">
      <alignment horizontal="center" vertical="center" wrapText="1"/>
    </xf>
    <xf numFmtId="0" fontId="59" fillId="102" borderId="128" xfId="0" applyFont="1" applyFill="1" applyBorder="1" applyAlignment="1">
      <alignment horizontal="center" vertical="center" wrapText="1"/>
    </xf>
    <xf numFmtId="0" fontId="0" fillId="216" borderId="128" xfId="0" applyFill="1" applyBorder="1" applyAlignment="1">
      <alignment horizontal="center" vertical="center"/>
    </xf>
    <xf numFmtId="175" fontId="137" fillId="103" borderId="128" xfId="0" applyNumberFormat="1" applyFont="1" applyFill="1" applyBorder="1" applyAlignment="1">
      <alignment horizontal="center" vertical="center"/>
    </xf>
    <xf numFmtId="0" fontId="137" fillId="216" borderId="128" xfId="0" applyFont="1" applyFill="1" applyBorder="1" applyAlignment="1">
      <alignment horizontal="center" vertical="center"/>
    </xf>
    <xf numFmtId="0" fontId="137" fillId="103" borderId="128" xfId="0" applyFont="1" applyFill="1" applyBorder="1" applyAlignment="1">
      <alignment horizontal="center" vertical="center"/>
    </xf>
    <xf numFmtId="0" fontId="137" fillId="216" borderId="129" xfId="0" applyFont="1" applyFill="1" applyBorder="1" applyAlignment="1">
      <alignment horizontal="center" vertical="center"/>
    </xf>
    <xf numFmtId="0" fontId="0" fillId="216" borderId="131" xfId="0" applyFill="1" applyBorder="1" applyAlignment="1">
      <alignment horizontal="center" vertical="center"/>
    </xf>
    <xf numFmtId="175" fontId="132" fillId="236" borderId="145" xfId="1" applyFont="1" applyFill="1" applyBorder="1" applyAlignment="1">
      <alignment horizontal="center" vertical="center" wrapText="1"/>
    </xf>
    <xf numFmtId="175" fontId="75" fillId="236" borderId="146" xfId="1" applyFont="1" applyFill="1" applyBorder="1" applyAlignment="1">
      <alignment horizontal="center" vertical="center"/>
    </xf>
    <xf numFmtId="175" fontId="2" fillId="232" borderId="128" xfId="1" applyFill="1" applyBorder="1" applyAlignment="1">
      <alignment horizontal="center" vertical="center"/>
    </xf>
    <xf numFmtId="175" fontId="47" fillId="231" borderId="128" xfId="1" applyFont="1" applyFill="1" applyBorder="1" applyAlignment="1">
      <alignment horizontal="center" vertical="center"/>
    </xf>
    <xf numFmtId="175" fontId="47" fillId="232" borderId="128" xfId="1" applyFont="1" applyFill="1" applyBorder="1" applyAlignment="1">
      <alignment horizontal="center" vertical="center"/>
    </xf>
    <xf numFmtId="175" fontId="47" fillId="232" borderId="129" xfId="1" applyFont="1" applyFill="1" applyBorder="1" applyAlignment="1">
      <alignment horizontal="center" vertical="center"/>
    </xf>
    <xf numFmtId="175" fontId="132" fillId="236" borderId="130" xfId="1" applyFont="1" applyFill="1" applyBorder="1" applyAlignment="1">
      <alignment horizontal="center" vertical="center" wrapText="1"/>
    </xf>
    <xf numFmtId="175" fontId="75" fillId="236" borderId="131" xfId="1" applyFont="1" applyFill="1" applyBorder="1" applyAlignment="1">
      <alignment horizontal="center" vertical="center"/>
    </xf>
    <xf numFmtId="175" fontId="2" fillId="232" borderId="131" xfId="1" applyFill="1" applyBorder="1" applyAlignment="1">
      <alignment horizontal="center" vertical="center"/>
    </xf>
    <xf numFmtId="175" fontId="47" fillId="231" borderId="131" xfId="1" applyFont="1" applyFill="1" applyBorder="1" applyAlignment="1">
      <alignment horizontal="center" vertical="center"/>
    </xf>
    <xf numFmtId="175" fontId="47" fillId="232" borderId="131" xfId="1" applyFont="1" applyFill="1" applyBorder="1" applyAlignment="1">
      <alignment horizontal="center" vertical="center"/>
    </xf>
    <xf numFmtId="175" fontId="47" fillId="232" borderId="132" xfId="1" applyFont="1" applyFill="1" applyBorder="1" applyAlignment="1">
      <alignment horizontal="center" vertical="center"/>
    </xf>
    <xf numFmtId="175" fontId="35" fillId="186" borderId="128" xfId="1" applyFont="1" applyFill="1" applyBorder="1" applyAlignment="1">
      <alignment horizontal="center" vertical="center" wrapText="1"/>
    </xf>
    <xf numFmtId="175" fontId="75" fillId="186" borderId="148" xfId="1" applyFont="1" applyFill="1" applyBorder="1" applyAlignment="1">
      <alignment horizontal="center" vertical="center" wrapText="1"/>
    </xf>
    <xf numFmtId="175" fontId="2" fillId="146" borderId="128" xfId="1" applyFill="1" applyBorder="1" applyAlignment="1">
      <alignment horizontal="center" vertical="center"/>
    </xf>
    <xf numFmtId="175" fontId="47" fillId="184" borderId="128" xfId="1" applyFont="1" applyFill="1" applyBorder="1" applyAlignment="1">
      <alignment horizontal="center" vertical="center"/>
    </xf>
    <xf numFmtId="175" fontId="47" fillId="146" borderId="128" xfId="1" applyFont="1" applyFill="1" applyBorder="1" applyAlignment="1">
      <alignment horizontal="center" vertical="center"/>
    </xf>
    <xf numFmtId="175" fontId="47" fillId="146" borderId="129" xfId="1" applyFont="1" applyFill="1" applyBorder="1" applyAlignment="1">
      <alignment horizontal="center" vertical="center"/>
    </xf>
    <xf numFmtId="175" fontId="101" fillId="227" borderId="130" xfId="1" applyFont="1" applyFill="1" applyBorder="1" applyAlignment="1">
      <alignment horizontal="center" vertical="center" wrapText="1"/>
    </xf>
    <xf numFmtId="175" fontId="75" fillId="227" borderId="131" xfId="1" applyFont="1" applyFill="1" applyBorder="1" applyAlignment="1">
      <alignment horizontal="center" vertical="center"/>
    </xf>
    <xf numFmtId="175" fontId="2" fillId="141" borderId="131" xfId="1" applyFill="1" applyBorder="1" applyAlignment="1">
      <alignment horizontal="center" vertical="center"/>
    </xf>
    <xf numFmtId="175" fontId="47" fillId="226" borderId="131" xfId="1" applyFont="1" applyFill="1" applyBorder="1" applyAlignment="1">
      <alignment horizontal="center" vertical="center"/>
    </xf>
    <xf numFmtId="175" fontId="47" fillId="141" borderId="131" xfId="1" applyFont="1" applyFill="1" applyBorder="1" applyAlignment="1">
      <alignment horizontal="center" vertical="center"/>
    </xf>
    <xf numFmtId="175" fontId="47" fillId="141" borderId="132" xfId="1" applyFont="1" applyFill="1" applyBorder="1" applyAlignment="1">
      <alignment horizontal="center" vertical="center"/>
    </xf>
    <xf numFmtId="0" fontId="136" fillId="82" borderId="33" xfId="0" applyFont="1" applyFill="1" applyBorder="1" applyAlignment="1">
      <alignment horizontal="center" vertical="center" wrapText="1"/>
    </xf>
    <xf numFmtId="175" fontId="25" fillId="21" borderId="24" xfId="1" applyFont="1" applyFill="1" applyBorder="1" applyAlignment="1">
      <alignment horizontal="center" vertical="center" wrapText="1"/>
    </xf>
    <xf numFmtId="175" fontId="134" fillId="25" borderId="33" xfId="1" applyFont="1" applyFill="1" applyBorder="1" applyAlignment="1">
      <alignment horizontal="center" vertical="center"/>
    </xf>
    <xf numFmtId="175" fontId="134" fillId="229" borderId="33" xfId="1" applyFont="1" applyFill="1" applyBorder="1" applyAlignment="1">
      <alignment horizontal="center" vertical="center"/>
    </xf>
    <xf numFmtId="175" fontId="134" fillId="25" borderId="80" xfId="1" applyFont="1" applyFill="1" applyBorder="1" applyAlignment="1">
      <alignment horizontal="center" vertical="center"/>
    </xf>
    <xf numFmtId="0" fontId="139" fillId="237" borderId="149" xfId="0" applyFont="1" applyFill="1" applyBorder="1" applyAlignment="1">
      <alignment horizontal="center" vertical="center" wrapText="1"/>
    </xf>
    <xf numFmtId="175" fontId="8" fillId="23" borderId="138" xfId="1" applyFont="1" applyFill="1" applyBorder="1" applyAlignment="1">
      <alignment horizontal="center" vertical="center" wrapText="1"/>
    </xf>
    <xf numFmtId="175" fontId="75" fillId="23" borderId="139" xfId="1" applyFont="1" applyFill="1" applyBorder="1" applyAlignment="1">
      <alignment horizontal="center" vertical="center" wrapText="1"/>
    </xf>
    <xf numFmtId="175" fontId="47" fillId="27" borderId="131" xfId="1" applyFont="1" applyFill="1" applyBorder="1" applyAlignment="1">
      <alignment horizontal="center" vertical="center"/>
    </xf>
    <xf numFmtId="175" fontId="47" fillId="230" borderId="131" xfId="1" applyFont="1" applyFill="1" applyBorder="1" applyAlignment="1">
      <alignment horizontal="center" vertical="center"/>
    </xf>
    <xf numFmtId="175" fontId="47" fillId="230" borderId="132" xfId="1" applyFont="1" applyFill="1" applyBorder="1" applyAlignment="1">
      <alignment horizontal="center" vertical="center"/>
    </xf>
    <xf numFmtId="0" fontId="136" fillId="82" borderId="38" xfId="0" applyFont="1" applyFill="1" applyBorder="1" applyAlignment="1">
      <alignment horizontal="center" vertical="center" wrapText="1"/>
    </xf>
    <xf numFmtId="175" fontId="25" fillId="161" borderId="24" xfId="1" applyFont="1" applyFill="1" applyBorder="1" applyAlignment="1">
      <alignment horizontal="center" vertical="center" wrapText="1"/>
    </xf>
    <xf numFmtId="175" fontId="133" fillId="161" borderId="24" xfId="1" applyFont="1" applyFill="1" applyBorder="1" applyAlignment="1">
      <alignment horizontal="center" vertical="center" wrapText="1"/>
    </xf>
    <xf numFmtId="175" fontId="134" fillId="240" borderId="29" xfId="1" applyFont="1" applyFill="1" applyBorder="1" applyAlignment="1">
      <alignment horizontal="center" vertical="center"/>
    </xf>
    <xf numFmtId="0" fontId="137" fillId="82" borderId="0" xfId="0" applyFont="1" applyFill="1" applyBorder="1" applyAlignment="1">
      <alignment horizontal="center" vertical="center"/>
    </xf>
    <xf numFmtId="0" fontId="139" fillId="82" borderId="127" xfId="0" applyFont="1" applyFill="1" applyBorder="1" applyAlignment="1">
      <alignment horizontal="center" vertical="center" wrapText="1"/>
    </xf>
    <xf numFmtId="0" fontId="137" fillId="237" borderId="150" xfId="0" applyFont="1" applyFill="1" applyBorder="1" applyAlignment="1">
      <alignment horizontal="center" vertical="center"/>
    </xf>
    <xf numFmtId="0" fontId="137" fillId="237" borderId="151" xfId="0" applyFont="1" applyFill="1" applyBorder="1" applyAlignment="1">
      <alignment horizontal="center" vertical="center"/>
    </xf>
    <xf numFmtId="175" fontId="134" fillId="240" borderId="0" xfId="1" applyFont="1" applyFill="1" applyBorder="1" applyAlignment="1">
      <alignment horizontal="center" vertical="center"/>
    </xf>
    <xf numFmtId="175" fontId="47" fillId="90" borderId="0" xfId="1" applyFont="1" applyFill="1" applyBorder="1" applyAlignment="1">
      <alignment horizontal="center" vertical="center"/>
    </xf>
    <xf numFmtId="175" fontId="47" fillId="90" borderId="35" xfId="1" applyFont="1" applyFill="1" applyBorder="1" applyAlignment="1">
      <alignment horizontal="center" vertical="center"/>
    </xf>
    <xf numFmtId="175" fontId="47" fillId="90" borderId="140" xfId="1" applyFont="1" applyFill="1" applyBorder="1" applyAlignment="1">
      <alignment horizontal="center" vertical="center"/>
    </xf>
    <xf numFmtId="175" fontId="47" fillId="82" borderId="0" xfId="1" applyFont="1" applyFill="1" applyBorder="1" applyAlignment="1">
      <alignment horizontal="center" vertical="center"/>
    </xf>
    <xf numFmtId="175" fontId="47" fillId="84" borderId="0" xfId="1" applyFont="1" applyFill="1" applyBorder="1" applyAlignment="1">
      <alignment horizontal="center" vertical="center"/>
    </xf>
    <xf numFmtId="175" fontId="47" fillId="96" borderId="0" xfId="1" applyFont="1" applyFill="1" applyBorder="1" applyAlignment="1">
      <alignment horizontal="center" vertical="center"/>
    </xf>
    <xf numFmtId="175" fontId="137" fillId="82" borderId="152" xfId="0" applyNumberFormat="1" applyFont="1" applyFill="1" applyBorder="1" applyAlignment="1">
      <alignment horizontal="center" vertical="center"/>
    </xf>
    <xf numFmtId="0" fontId="137" fillId="82" borderId="140" xfId="0" applyFont="1" applyFill="1" applyBorder="1" applyAlignment="1">
      <alignment horizontal="center" vertical="center"/>
    </xf>
    <xf numFmtId="175" fontId="47" fillId="90" borderId="152" xfId="1" applyFont="1" applyFill="1" applyBorder="1" applyAlignment="1">
      <alignment horizontal="center" vertical="center"/>
    </xf>
    <xf numFmtId="0" fontId="137" fillId="82" borderId="152" xfId="0" applyFont="1" applyFill="1" applyBorder="1" applyAlignment="1">
      <alignment horizontal="center" vertical="center"/>
    </xf>
    <xf numFmtId="0" fontId="137" fillId="82" borderId="153" xfId="0" applyFont="1" applyFill="1" applyBorder="1" applyAlignment="1">
      <alignment horizontal="center" vertical="center"/>
    </xf>
    <xf numFmtId="175" fontId="25" fillId="235" borderId="0" xfId="1" applyFont="1" applyFill="1" applyBorder="1" applyAlignment="1">
      <alignment horizontal="center" vertical="center" wrapText="1"/>
    </xf>
    <xf numFmtId="0" fontId="137" fillId="82" borderId="155" xfId="0" applyFont="1" applyFill="1" applyBorder="1" applyAlignment="1">
      <alignment horizontal="center" vertical="center"/>
    </xf>
    <xf numFmtId="0" fontId="137" fillId="82" borderId="154" xfId="0" applyFont="1" applyFill="1" applyBorder="1" applyAlignment="1">
      <alignment horizontal="center" vertical="center"/>
    </xf>
    <xf numFmtId="0" fontId="137" fillId="82" borderId="157" xfId="0" applyFont="1" applyFill="1" applyBorder="1" applyAlignment="1">
      <alignment horizontal="center" vertical="center"/>
    </xf>
    <xf numFmtId="0" fontId="0" fillId="82" borderId="154" xfId="0" applyFill="1" applyBorder="1" applyAlignment="1">
      <alignment horizontal="center" vertical="center"/>
    </xf>
    <xf numFmtId="0" fontId="0" fillId="82" borderId="0" xfId="0" applyFill="1" applyBorder="1" applyAlignment="1">
      <alignment horizontal="center" vertical="center"/>
    </xf>
    <xf numFmtId="0" fontId="137" fillId="82" borderId="156" xfId="0" applyFont="1" applyFill="1" applyBorder="1" applyAlignment="1">
      <alignment horizontal="center" vertical="center"/>
    </xf>
    <xf numFmtId="0" fontId="0" fillId="82" borderId="155" xfId="0" applyFill="1" applyBorder="1" applyAlignment="1">
      <alignment horizontal="center" vertical="center"/>
    </xf>
    <xf numFmtId="175" fontId="47" fillId="96" borderId="154" xfId="1" applyFont="1" applyFill="1" applyBorder="1" applyAlignment="1">
      <alignment horizontal="center" vertical="center"/>
    </xf>
    <xf numFmtId="175" fontId="47" fillId="96" borderId="155" xfId="1" applyFont="1" applyFill="1" applyBorder="1" applyAlignment="1">
      <alignment horizontal="center" vertical="center"/>
    </xf>
    <xf numFmtId="175" fontId="47" fillId="82" borderId="154" xfId="1" applyFont="1" applyFill="1" applyBorder="1" applyAlignment="1">
      <alignment horizontal="center" vertical="center"/>
    </xf>
    <xf numFmtId="175" fontId="47" fillId="84" borderId="155" xfId="1" applyFont="1" applyFill="1" applyBorder="1" applyAlignment="1">
      <alignment horizontal="center" vertical="center"/>
    </xf>
    <xf numFmtId="175" fontId="47" fillId="90" borderId="154" xfId="1" applyFont="1" applyFill="1" applyBorder="1" applyAlignment="1">
      <alignment horizontal="center" vertical="center"/>
    </xf>
    <xf numFmtId="175" fontId="47" fillId="90" borderId="155" xfId="1" applyFont="1" applyFill="1" applyBorder="1" applyAlignment="1">
      <alignment horizontal="center" vertical="center"/>
    </xf>
    <xf numFmtId="175" fontId="101" fillId="241" borderId="34" xfId="1" applyFont="1" applyFill="1" applyBorder="1" applyAlignment="1">
      <alignment horizontal="center" vertical="center" wrapText="1"/>
    </xf>
    <xf numFmtId="175" fontId="75" fillId="241" borderId="33" xfId="1" applyFont="1" applyFill="1" applyBorder="1" applyAlignment="1">
      <alignment horizontal="center" vertical="center" wrapText="1"/>
    </xf>
    <xf numFmtId="175" fontId="101" fillId="205" borderId="130" xfId="1" applyFont="1" applyFill="1" applyBorder="1" applyAlignment="1">
      <alignment horizontal="center" vertical="center" wrapText="1"/>
    </xf>
    <xf numFmtId="175" fontId="75" fillId="205" borderId="131" xfId="1" applyFont="1" applyFill="1" applyBorder="1" applyAlignment="1">
      <alignment horizontal="center" vertical="center"/>
    </xf>
    <xf numFmtId="175" fontId="47" fillId="234" borderId="28" xfId="1" applyFont="1" applyFill="1" applyBorder="1" applyAlignment="1">
      <alignment horizontal="center" vertical="center"/>
    </xf>
    <xf numFmtId="175" fontId="47" fillId="242" borderId="131" xfId="1" applyFont="1" applyFill="1" applyBorder="1" applyAlignment="1">
      <alignment horizontal="center" vertical="center"/>
    </xf>
    <xf numFmtId="175" fontId="47" fillId="195" borderId="28" xfId="1" applyFont="1" applyFill="1" applyBorder="1" applyAlignment="1">
      <alignment horizontal="center" vertical="center"/>
    </xf>
    <xf numFmtId="175" fontId="47" fillId="204" borderId="131" xfId="1" applyFont="1" applyFill="1" applyBorder="1" applyAlignment="1">
      <alignment horizontal="center" vertical="center"/>
    </xf>
    <xf numFmtId="175" fontId="17" fillId="220" borderId="117" xfId="1" applyFont="1" applyFill="1" applyBorder="1" applyAlignment="1">
      <alignment vertical="center"/>
    </xf>
    <xf numFmtId="175" fontId="90" fillId="220" borderId="118" xfId="1" applyFont="1" applyFill="1" applyBorder="1" applyAlignment="1">
      <alignment vertical="center"/>
    </xf>
    <xf numFmtId="175" fontId="90" fillId="220" borderId="119" xfId="1" applyFont="1" applyFill="1" applyBorder="1" applyAlignment="1">
      <alignment vertical="center"/>
    </xf>
    <xf numFmtId="175" fontId="90" fillId="220" borderId="120" xfId="1" applyFont="1" applyFill="1" applyBorder="1" applyAlignment="1">
      <alignment vertical="center"/>
    </xf>
    <xf numFmtId="175" fontId="111" fillId="243" borderId="25" xfId="1" applyFont="1" applyFill="1" applyBorder="1" applyAlignment="1">
      <alignment horizontal="center" vertical="center" wrapText="1"/>
    </xf>
    <xf numFmtId="175" fontId="85" fillId="244" borderId="67" xfId="1" applyFont="1" applyFill="1" applyBorder="1" applyAlignment="1">
      <alignment horizontal="center" vertical="center"/>
    </xf>
    <xf numFmtId="175" fontId="119" fillId="133" borderId="14" xfId="1" applyFont="1" applyFill="1" applyBorder="1" applyAlignment="1">
      <alignment horizontal="right" vertical="center"/>
    </xf>
    <xf numFmtId="175" fontId="102" fillId="6" borderId="0" xfId="1" applyFont="1" applyFill="1" applyAlignment="1">
      <alignment horizontal="center" vertical="center" wrapText="1"/>
    </xf>
    <xf numFmtId="175" fontId="84" fillId="7" borderId="0" xfId="1" applyFont="1" applyFill="1" applyBorder="1" applyAlignment="1">
      <alignment horizontal="center"/>
    </xf>
    <xf numFmtId="175" fontId="18" fillId="7" borderId="0" xfId="1" applyFont="1" applyFill="1" applyBorder="1" applyAlignment="1">
      <alignment horizontal="center"/>
    </xf>
    <xf numFmtId="175" fontId="38" fillId="7" borderId="0" xfId="1" applyFont="1" applyFill="1" applyBorder="1" applyAlignment="1">
      <alignment horizontal="left" vertical="center"/>
    </xf>
    <xf numFmtId="0" fontId="35" fillId="186" borderId="28" xfId="0" applyFont="1" applyFill="1" applyBorder="1" applyAlignment="1">
      <alignment horizontal="center" vertical="center"/>
    </xf>
    <xf numFmtId="0" fontId="0" fillId="185" borderId="28" xfId="0" applyFill="1" applyBorder="1" applyAlignment="1">
      <alignment horizontal="center" vertical="center"/>
    </xf>
    <xf numFmtId="0" fontId="0" fillId="182" borderId="0" xfId="0" applyFill="1"/>
    <xf numFmtId="0" fontId="36" fillId="182" borderId="0" xfId="0" applyFont="1" applyFill="1" applyAlignment="1">
      <alignment vertical="center"/>
    </xf>
    <xf numFmtId="0" fontId="64" fillId="146" borderId="28" xfId="0" applyFont="1" applyFill="1" applyBorder="1" applyAlignment="1">
      <alignment horizontal="center" vertical="center"/>
    </xf>
    <xf numFmtId="0" fontId="64" fillId="157" borderId="28" xfId="0" applyFont="1" applyFill="1" applyBorder="1" applyAlignment="1">
      <alignment horizontal="center" vertical="center"/>
    </xf>
    <xf numFmtId="0" fontId="44" fillId="157" borderId="28" xfId="0" applyFont="1" applyFill="1" applyBorder="1" applyAlignment="1">
      <alignment horizontal="center" vertical="center"/>
    </xf>
    <xf numFmtId="0" fontId="111" fillId="82" borderId="30" xfId="0" applyFont="1" applyFill="1" applyBorder="1" applyAlignment="1">
      <alignment vertical="center"/>
    </xf>
    <xf numFmtId="179" fontId="44" fillId="186" borderId="28" xfId="0" applyNumberFormat="1" applyFont="1" applyFill="1" applyBorder="1" applyAlignment="1">
      <alignment horizontal="center" vertical="center"/>
    </xf>
    <xf numFmtId="2" fontId="35" fillId="186" borderId="28" xfId="0" applyNumberFormat="1" applyFont="1" applyFill="1" applyBorder="1" applyAlignment="1">
      <alignment horizontal="center" vertical="center"/>
    </xf>
    <xf numFmtId="0" fontId="64" fillId="82" borderId="28" xfId="0" applyFont="1" applyFill="1" applyBorder="1" applyAlignment="1">
      <alignment horizontal="center" vertical="center"/>
    </xf>
    <xf numFmtId="175" fontId="84" fillId="93" borderId="0" xfId="1" applyFont="1" applyFill="1" applyBorder="1" applyAlignment="1">
      <alignment horizontal="left" vertical="center"/>
    </xf>
    <xf numFmtId="175" fontId="84" fillId="93" borderId="20" xfId="1" applyFont="1" applyFill="1" applyBorder="1" applyAlignment="1">
      <alignment horizontal="left" vertical="center"/>
    </xf>
    <xf numFmtId="175" fontId="84" fillId="93" borderId="0" xfId="1" applyFont="1" applyFill="1" applyBorder="1" applyAlignment="1">
      <alignment horizontal="center" vertical="center"/>
    </xf>
    <xf numFmtId="169" fontId="11" fillId="58" borderId="16" xfId="1" applyNumberFormat="1" applyFont="1" applyFill="1" applyBorder="1" applyAlignment="1">
      <alignment horizontal="center" vertical="center" wrapText="1"/>
    </xf>
    <xf numFmtId="175" fontId="20" fillId="173" borderId="24" xfId="1" applyFont="1" applyFill="1" applyBorder="1" applyAlignment="1">
      <alignment horizontal="center" vertical="center" wrapText="1"/>
    </xf>
    <xf numFmtId="175" fontId="11" fillId="22" borderId="18" xfId="1" applyFont="1" applyFill="1" applyBorder="1" applyAlignment="1">
      <alignment horizontal="center" vertical="center" wrapText="1"/>
    </xf>
    <xf numFmtId="175" fontId="11" fillId="37" borderId="1" xfId="1" applyFont="1" applyFill="1" applyBorder="1" applyAlignment="1">
      <alignment horizontal="center" vertical="center" wrapText="1"/>
    </xf>
    <xf numFmtId="175" fontId="11" fillId="22" borderId="17" xfId="1" applyFont="1" applyFill="1" applyBorder="1" applyAlignment="1">
      <alignment horizontal="center" vertical="center" wrapText="1"/>
    </xf>
    <xf numFmtId="175" fontId="2" fillId="6" borderId="13" xfId="1" applyFont="1" applyFill="1" applyBorder="1" applyAlignment="1">
      <alignment horizontal="center" vertical="center" wrapText="1"/>
    </xf>
    <xf numFmtId="175" fontId="11" fillId="60" borderId="1" xfId="1" applyFont="1" applyFill="1" applyBorder="1" applyAlignment="1">
      <alignment horizontal="center" vertical="center" wrapText="1"/>
    </xf>
    <xf numFmtId="0" fontId="0" fillId="234" borderId="28" xfId="0" applyFill="1" applyBorder="1" applyAlignment="1">
      <alignment horizontal="center" vertical="center" wrapText="1"/>
    </xf>
    <xf numFmtId="175" fontId="17" fillId="53" borderId="13" xfId="1" applyFont="1" applyFill="1" applyBorder="1" applyAlignment="1">
      <alignment horizontal="center" vertical="center" wrapText="1"/>
    </xf>
    <xf numFmtId="175" fontId="17" fillId="153" borderId="18" xfId="1" applyFont="1" applyFill="1" applyBorder="1" applyAlignment="1">
      <alignment horizontal="center" vertical="center" wrapText="1"/>
    </xf>
    <xf numFmtId="175" fontId="90" fillId="155" borderId="0" xfId="1" applyFont="1" applyFill="1" applyBorder="1" applyAlignment="1">
      <alignment horizontal="center" vertical="center" wrapText="1"/>
    </xf>
    <xf numFmtId="175" fontId="90" fillId="155" borderId="18" xfId="1" applyFont="1" applyFill="1" applyBorder="1" applyAlignment="1">
      <alignment horizontal="center" vertical="center" wrapText="1"/>
    </xf>
    <xf numFmtId="175" fontId="17" fillId="79" borderId="18" xfId="1" applyFont="1" applyFill="1" applyBorder="1" applyAlignment="1">
      <alignment horizontal="center" vertical="center" wrapText="1"/>
    </xf>
    <xf numFmtId="176" fontId="89" fillId="82" borderId="0" xfId="0" applyNumberFormat="1" applyFont="1" applyFill="1"/>
    <xf numFmtId="175" fontId="39" fillId="22" borderId="18" xfId="1" applyFont="1" applyFill="1" applyBorder="1" applyAlignment="1">
      <alignment horizontal="center" vertical="center" wrapText="1"/>
    </xf>
    <xf numFmtId="175" fontId="39" fillId="22" borderId="1" xfId="1" applyFont="1" applyFill="1" applyBorder="1" applyAlignment="1">
      <alignment horizontal="center" vertical="center" wrapText="1"/>
    </xf>
    <xf numFmtId="175" fontId="9" fillId="91" borderId="18" xfId="1" applyFont="1" applyFill="1" applyBorder="1" applyAlignment="1">
      <alignment horizontal="center" vertical="center" wrapText="1"/>
    </xf>
    <xf numFmtId="175" fontId="2" fillId="86" borderId="0" xfId="1" applyFill="1" applyAlignment="1">
      <alignment horizontal="center" vertical="center" wrapText="1"/>
    </xf>
    <xf numFmtId="175" fontId="20" fillId="158" borderId="1" xfId="1" applyFont="1" applyFill="1" applyBorder="1" applyAlignment="1">
      <alignment horizontal="center" vertical="center" wrapText="1"/>
    </xf>
    <xf numFmtId="175" fontId="2" fillId="225" borderId="0" xfId="1" applyFill="1" applyAlignment="1">
      <alignment horizontal="left" vertical="center" wrapText="1"/>
    </xf>
    <xf numFmtId="175" fontId="2" fillId="6" borderId="0" xfId="1" applyFill="1" applyAlignment="1" applyProtection="1">
      <alignment horizontal="center" vertical="center" wrapText="1"/>
      <protection hidden="1"/>
    </xf>
    <xf numFmtId="0" fontId="38" fillId="48" borderId="18" xfId="1" applyNumberFormat="1" applyFont="1" applyFill="1" applyBorder="1" applyAlignment="1">
      <alignment horizontal="center" vertical="center" wrapText="1"/>
    </xf>
    <xf numFmtId="0" fontId="0" fillId="0" borderId="1" xfId="0" applyBorder="1"/>
    <xf numFmtId="175" fontId="11" fillId="60" borderId="1" xfId="1" applyFont="1" applyFill="1" applyBorder="1" applyAlignment="1">
      <alignment horizontal="center" vertical="center" wrapText="1"/>
    </xf>
    <xf numFmtId="0" fontId="0" fillId="82" borderId="0" xfId="0" applyFont="1" applyFill="1" applyAlignment="1">
      <alignment wrapText="1"/>
    </xf>
    <xf numFmtId="175" fontId="2" fillId="84" borderId="0" xfId="1" applyFont="1" applyFill="1" applyAlignment="1">
      <alignment horizontal="center" vertical="center" wrapText="1"/>
    </xf>
    <xf numFmtId="49" fontId="37" fillId="246" borderId="18" xfId="2" applyNumberFormat="1" applyFont="1" applyFill="1" applyBorder="1" applyAlignment="1">
      <alignment horizontal="center" vertical="center" wrapText="1"/>
    </xf>
    <xf numFmtId="49" fontId="37" fillId="247" borderId="18" xfId="2" applyNumberFormat="1" applyFont="1" applyFill="1" applyBorder="1" applyAlignment="1">
      <alignment horizontal="center" vertical="center" wrapText="1"/>
    </xf>
    <xf numFmtId="175" fontId="37" fillId="248" borderId="18" xfId="1" applyFont="1" applyFill="1" applyBorder="1" applyAlignment="1">
      <alignment horizontal="center" vertical="center" wrapText="1"/>
    </xf>
    <xf numFmtId="175" fontId="37" fillId="249" borderId="18" xfId="1" applyFont="1" applyFill="1" applyBorder="1" applyAlignment="1">
      <alignment horizontal="center" vertical="center" wrapText="1"/>
    </xf>
    <xf numFmtId="49" fontId="12" fillId="246" borderId="18" xfId="2" applyNumberFormat="1" applyFont="1" applyFill="1" applyBorder="1" applyAlignment="1">
      <alignment horizontal="center" vertical="center" wrapText="1"/>
    </xf>
    <xf numFmtId="49" fontId="12" fillId="247" borderId="18" xfId="2" applyNumberFormat="1" applyFont="1" applyFill="1" applyBorder="1" applyAlignment="1">
      <alignment horizontal="center" vertical="center" wrapText="1"/>
    </xf>
    <xf numFmtId="175" fontId="9" fillId="48" borderId="18" xfId="1" quotePrefix="1" applyFont="1" applyFill="1" applyBorder="1" applyAlignment="1">
      <alignment horizontal="center" vertical="center" wrapText="1"/>
    </xf>
    <xf numFmtId="49" fontId="37" fillId="250" borderId="18" xfId="2" applyNumberFormat="1" applyFont="1" applyFill="1" applyBorder="1" applyAlignment="1">
      <alignment horizontal="center" vertical="center" wrapText="1"/>
    </xf>
    <xf numFmtId="49" fontId="12" fillId="250" borderId="18" xfId="2" applyNumberFormat="1" applyFont="1" applyFill="1" applyBorder="1" applyAlignment="1">
      <alignment horizontal="center" vertical="center" wrapText="1"/>
    </xf>
    <xf numFmtId="175" fontId="2" fillId="249" borderId="18" xfId="1" applyFont="1" applyFill="1" applyBorder="1" applyAlignment="1">
      <alignment horizontal="center" vertical="center" wrapText="1"/>
    </xf>
    <xf numFmtId="175" fontId="2" fillId="251" borderId="18" xfId="1" applyFont="1" applyFill="1" applyBorder="1" applyAlignment="1">
      <alignment horizontal="center" vertical="center" wrapText="1"/>
    </xf>
    <xf numFmtId="175" fontId="2" fillId="89" borderId="18" xfId="1" applyFont="1" applyFill="1" applyBorder="1" applyAlignment="1">
      <alignment horizontal="center" vertical="center" wrapText="1"/>
    </xf>
    <xf numFmtId="175" fontId="45" fillId="89" borderId="18" xfId="1" applyFont="1" applyFill="1" applyBorder="1" applyAlignment="1">
      <alignment horizontal="center" vertical="center" wrapText="1"/>
    </xf>
    <xf numFmtId="175" fontId="84" fillId="82" borderId="0" xfId="1" applyFont="1" applyFill="1" applyBorder="1" applyAlignment="1">
      <alignment horizontal="left" vertical="center" wrapText="1"/>
    </xf>
    <xf numFmtId="164" fontId="88" fillId="82" borderId="0" xfId="14" applyFont="1" applyFill="1" applyBorder="1" applyAlignment="1">
      <alignment horizontal="center" vertical="center"/>
    </xf>
    <xf numFmtId="0" fontId="126" fillId="82" borderId="0" xfId="0" applyFont="1" applyFill="1" applyBorder="1" applyAlignment="1">
      <alignment wrapText="1"/>
    </xf>
    <xf numFmtId="175" fontId="109" fillId="82" borderId="0" xfId="1" applyFont="1" applyFill="1" applyBorder="1" applyAlignment="1">
      <alignment horizontal="left" vertical="center" wrapText="1"/>
    </xf>
    <xf numFmtId="175" fontId="29" fillId="83" borderId="0" xfId="1" applyFont="1" applyFill="1" applyBorder="1" applyAlignment="1">
      <alignment horizontal="center" vertical="center" wrapText="1"/>
    </xf>
    <xf numFmtId="175" fontId="102" fillId="84" borderId="0" xfId="1" applyFont="1" applyFill="1" applyAlignment="1">
      <alignment horizontal="center" vertical="center" wrapText="1"/>
    </xf>
    <xf numFmtId="177" fontId="84" fillId="95" borderId="16" xfId="14" applyNumberFormat="1" applyFont="1" applyFill="1" applyBorder="1" applyAlignment="1">
      <alignment vertical="center"/>
    </xf>
    <xf numFmtId="177" fontId="84" fillId="90" borderId="16" xfId="14" applyNumberFormat="1" applyFont="1" applyFill="1" applyBorder="1" applyAlignment="1">
      <alignment vertical="center"/>
    </xf>
    <xf numFmtId="177" fontId="84" fillId="94" borderId="16" xfId="14" applyNumberFormat="1" applyFont="1" applyFill="1" applyBorder="1" applyAlignment="1">
      <alignment vertical="center"/>
    </xf>
    <xf numFmtId="175" fontId="11" fillId="60" borderId="1" xfId="1" applyFont="1" applyFill="1" applyBorder="1" applyAlignment="1">
      <alignment horizontal="center" vertical="center" wrapText="1"/>
    </xf>
    <xf numFmtId="175" fontId="26" fillId="82" borderId="0" xfId="1" applyFont="1" applyFill="1" applyBorder="1" applyAlignment="1">
      <alignment vertical="center"/>
    </xf>
    <xf numFmtId="175" fontId="2" fillId="5" borderId="0" xfId="1" applyFill="1" applyBorder="1" applyAlignment="1">
      <alignment horizontal="left" vertical="top" wrapText="1"/>
    </xf>
    <xf numFmtId="175" fontId="9" fillId="5" borderId="0" xfId="1" applyFont="1" applyFill="1" applyBorder="1" applyAlignment="1">
      <alignment horizontal="center" wrapText="1"/>
    </xf>
    <xf numFmtId="175" fontId="9" fillId="7" borderId="0" xfId="1" applyFont="1" applyFill="1" applyBorder="1" applyAlignment="1">
      <alignment horizontal="center" vertical="top" wrapText="1"/>
    </xf>
    <xf numFmtId="175" fontId="9" fillId="8" borderId="0" xfId="1" applyFont="1" applyFill="1" applyBorder="1" applyAlignment="1">
      <alignment horizontal="center" wrapText="1"/>
    </xf>
    <xf numFmtId="175" fontId="11" fillId="11" borderId="1" xfId="1" quotePrefix="1" applyFont="1" applyFill="1" applyBorder="1" applyAlignment="1">
      <alignment horizontal="center" vertical="center"/>
    </xf>
    <xf numFmtId="175" fontId="11" fillId="11" borderId="1" xfId="1" applyFont="1" applyFill="1" applyBorder="1" applyAlignment="1">
      <alignment horizontal="center" vertical="center"/>
    </xf>
    <xf numFmtId="175" fontId="11" fillId="4" borderId="1" xfId="1" applyFont="1" applyFill="1" applyBorder="1" applyAlignment="1">
      <alignment horizontal="center" vertical="center"/>
    </xf>
    <xf numFmtId="175" fontId="11" fillId="12" borderId="1" xfId="1" applyFont="1" applyFill="1" applyBorder="1" applyAlignment="1">
      <alignment horizontal="center" vertical="center"/>
    </xf>
    <xf numFmtId="175" fontId="9" fillId="0" borderId="10" xfId="1" quotePrefix="1" applyFont="1" applyFill="1" applyBorder="1" applyAlignment="1">
      <alignment horizontal="center"/>
    </xf>
    <xf numFmtId="175" fontId="9" fillId="0" borderId="10" xfId="1" applyFont="1" applyFill="1" applyBorder="1" applyAlignment="1">
      <alignment horizontal="center"/>
    </xf>
    <xf numFmtId="0" fontId="36" fillId="182" borderId="0" xfId="0" applyFont="1" applyFill="1" applyAlignment="1">
      <alignment horizontal="center" vertical="center"/>
    </xf>
    <xf numFmtId="0" fontId="0" fillId="191" borderId="0" xfId="0" applyFill="1" applyAlignment="1">
      <alignment horizontal="center"/>
    </xf>
    <xf numFmtId="0" fontId="0" fillId="82" borderId="80" xfId="0" applyFill="1" applyBorder="1" applyAlignment="1">
      <alignment horizontal="center"/>
    </xf>
    <xf numFmtId="0" fontId="0" fillId="82" borderId="81" xfId="0" applyFill="1" applyBorder="1" applyAlignment="1">
      <alignment horizontal="center"/>
    </xf>
    <xf numFmtId="0" fontId="111" fillId="192" borderId="33" xfId="0" applyFont="1" applyFill="1" applyBorder="1" applyAlignment="1">
      <alignment horizontal="center" vertical="center"/>
    </xf>
    <xf numFmtId="0" fontId="111" fillId="192" borderId="34" xfId="0" applyFont="1" applyFill="1" applyBorder="1" applyAlignment="1">
      <alignment horizontal="center" vertical="center"/>
    </xf>
    <xf numFmtId="0" fontId="111" fillId="200" borderId="31" xfId="0" applyFont="1" applyFill="1" applyBorder="1" applyAlignment="1">
      <alignment horizontal="center" vertical="center"/>
    </xf>
    <xf numFmtId="0" fontId="111" fillId="200" borderId="35" xfId="0" applyFont="1" applyFill="1" applyBorder="1" applyAlignment="1">
      <alignment horizontal="center" vertical="center"/>
    </xf>
    <xf numFmtId="178" fontId="35" fillId="102" borderId="33" xfId="0" applyNumberFormat="1" applyFont="1" applyFill="1" applyBorder="1" applyAlignment="1">
      <alignment horizontal="center" vertical="center"/>
    </xf>
    <xf numFmtId="178" fontId="35" fillId="102" borderId="34" xfId="0" applyNumberFormat="1" applyFont="1" applyFill="1" applyBorder="1" applyAlignment="1">
      <alignment horizontal="center" vertical="center"/>
    </xf>
    <xf numFmtId="175" fontId="135" fillId="155" borderId="13" xfId="1" applyFont="1" applyFill="1" applyBorder="1" applyAlignment="1">
      <alignment horizontal="center" vertical="center" wrapText="1"/>
    </xf>
    <xf numFmtId="175" fontId="135" fillId="155" borderId="23" xfId="1" applyFont="1" applyFill="1" applyBorder="1" applyAlignment="1">
      <alignment horizontal="center" vertical="center" wrapText="1"/>
    </xf>
    <xf numFmtId="175" fontId="90" fillId="150" borderId="0" xfId="1" applyFont="1" applyFill="1" applyAlignment="1">
      <alignment horizontal="center" vertical="center"/>
    </xf>
    <xf numFmtId="175" fontId="97" fillId="106" borderId="49" xfId="1" applyFont="1" applyFill="1" applyBorder="1" applyAlignment="1">
      <alignment horizontal="center" vertical="center"/>
    </xf>
    <xf numFmtId="175" fontId="97" fillId="106" borderId="0" xfId="1" applyFont="1" applyFill="1" applyBorder="1" applyAlignment="1">
      <alignment horizontal="center" vertical="center"/>
    </xf>
    <xf numFmtId="175" fontId="97" fillId="106" borderId="43" xfId="1" applyFont="1" applyFill="1" applyBorder="1" applyAlignment="1">
      <alignment horizontal="center" vertical="center"/>
    </xf>
    <xf numFmtId="175" fontId="119" fillId="131" borderId="0" xfId="1" applyFont="1" applyFill="1" applyBorder="1" applyAlignment="1">
      <alignment horizontal="center" vertical="center"/>
    </xf>
    <xf numFmtId="175" fontId="102" fillId="6" borderId="0" xfId="1" applyFont="1" applyFill="1" applyAlignment="1">
      <alignment horizontal="center" vertical="center" wrapText="1"/>
    </xf>
    <xf numFmtId="175" fontId="84" fillId="7" borderId="0" xfId="1" applyFont="1" applyFill="1" applyBorder="1" applyAlignment="1">
      <alignment horizontal="center"/>
    </xf>
    <xf numFmtId="175" fontId="90" fillId="53" borderId="22" xfId="1" applyFont="1" applyFill="1" applyBorder="1" applyAlignment="1">
      <alignment horizontal="center" vertical="center" wrapText="1"/>
    </xf>
    <xf numFmtId="175" fontId="90" fillId="53" borderId="18" xfId="1" applyFont="1" applyFill="1" applyBorder="1" applyAlignment="1">
      <alignment horizontal="center" vertical="center" wrapText="1"/>
    </xf>
    <xf numFmtId="175" fontId="84" fillId="139" borderId="17" xfId="1" applyFont="1" applyFill="1" applyBorder="1" applyAlignment="1">
      <alignment horizontal="center" vertical="center"/>
    </xf>
    <xf numFmtId="175" fontId="84" fillId="139" borderId="18" xfId="1" applyFont="1" applyFill="1" applyBorder="1" applyAlignment="1">
      <alignment horizontal="center" vertical="center"/>
    </xf>
    <xf numFmtId="175" fontId="96" fillId="53" borderId="0" xfId="1" applyFont="1" applyFill="1" applyBorder="1" applyAlignment="1">
      <alignment horizontal="center" vertical="center"/>
    </xf>
    <xf numFmtId="175" fontId="96" fillId="53" borderId="13" xfId="1" applyFont="1" applyFill="1" applyBorder="1" applyAlignment="1">
      <alignment horizontal="center" vertical="center"/>
    </xf>
    <xf numFmtId="175" fontId="94" fillId="157" borderId="14" xfId="1" applyFont="1" applyFill="1" applyBorder="1" applyAlignment="1">
      <alignment horizontal="center" vertical="center" wrapText="1"/>
    </xf>
    <xf numFmtId="175" fontId="94" fillId="157" borderId="0" xfId="1" applyFont="1" applyFill="1" applyBorder="1" applyAlignment="1">
      <alignment horizontal="center" vertical="center" wrapText="1"/>
    </xf>
    <xf numFmtId="175" fontId="17" fillId="53" borderId="22" xfId="1" applyFont="1" applyFill="1" applyBorder="1" applyAlignment="1">
      <alignment horizontal="center" vertical="center" wrapText="1"/>
    </xf>
    <xf numFmtId="175" fontId="30" fillId="149" borderId="77" xfId="1" applyFont="1" applyFill="1" applyBorder="1" applyAlignment="1">
      <alignment horizontal="center" vertical="center" wrapText="1"/>
    </xf>
    <xf numFmtId="175" fontId="91" fillId="149" borderId="78" xfId="1" applyFont="1" applyFill="1" applyBorder="1" applyAlignment="1">
      <alignment horizontal="center" vertical="center" wrapText="1"/>
    </xf>
    <xf numFmtId="175" fontId="91" fillId="149" borderId="79" xfId="1" applyFont="1" applyFill="1" applyBorder="1" applyAlignment="1">
      <alignment horizontal="center" vertical="center" wrapText="1"/>
    </xf>
    <xf numFmtId="175" fontId="18" fillId="93" borderId="20" xfId="1" applyFont="1" applyFill="1" applyBorder="1" applyAlignment="1">
      <alignment horizontal="left" vertical="center"/>
    </xf>
    <xf numFmtId="175" fontId="84" fillId="93" borderId="0" xfId="1" applyFont="1" applyFill="1" applyBorder="1" applyAlignment="1">
      <alignment horizontal="left" vertical="center"/>
    </xf>
    <xf numFmtId="175" fontId="84" fillId="93" borderId="20" xfId="1" applyFont="1" applyFill="1" applyBorder="1" applyAlignment="1">
      <alignment horizontal="left" vertical="center"/>
    </xf>
    <xf numFmtId="175" fontId="84" fillId="93" borderId="20" xfId="1" applyFont="1" applyFill="1" applyBorder="1" applyAlignment="1">
      <alignment horizontal="center" vertical="center"/>
    </xf>
    <xf numFmtId="175" fontId="84" fillId="93" borderId="0" xfId="1" applyFont="1" applyFill="1" applyBorder="1" applyAlignment="1">
      <alignment horizontal="center" vertical="center"/>
    </xf>
    <xf numFmtId="175" fontId="17" fillId="53" borderId="14" xfId="1" applyFont="1" applyFill="1" applyBorder="1" applyAlignment="1">
      <alignment horizontal="center" vertical="center" wrapText="1"/>
    </xf>
    <xf numFmtId="175" fontId="90" fillId="53" borderId="25" xfId="1" applyFont="1" applyFill="1" applyBorder="1" applyAlignment="1">
      <alignment horizontal="center" vertical="center" wrapText="1"/>
    </xf>
    <xf numFmtId="175" fontId="17" fillId="53" borderId="153" xfId="1" applyFont="1" applyFill="1" applyBorder="1" applyAlignment="1">
      <alignment horizontal="center" vertical="center" wrapText="1"/>
    </xf>
    <xf numFmtId="175" fontId="17" fillId="53" borderId="0" xfId="1" applyFont="1" applyFill="1" applyBorder="1" applyAlignment="1">
      <alignment horizontal="center" vertical="center" wrapText="1"/>
    </xf>
    <xf numFmtId="175" fontId="17" fillId="53" borderId="13" xfId="1" applyFont="1" applyFill="1" applyBorder="1" applyAlignment="1">
      <alignment horizontal="center" vertical="center" wrapText="1"/>
    </xf>
    <xf numFmtId="175" fontId="90" fillId="77" borderId="19" xfId="1" applyFont="1" applyFill="1" applyBorder="1" applyAlignment="1">
      <alignment horizontal="center" vertical="center"/>
    </xf>
    <xf numFmtId="175" fontId="90" fillId="77" borderId="23" xfId="1" applyFont="1" applyFill="1" applyBorder="1" applyAlignment="1">
      <alignment horizontal="center" vertical="center"/>
    </xf>
    <xf numFmtId="175" fontId="90" fillId="31" borderId="27" xfId="1" applyFont="1" applyFill="1" applyBorder="1" applyAlignment="1">
      <alignment horizontal="center" vertical="center"/>
    </xf>
    <xf numFmtId="175" fontId="90" fillId="31" borderId="21" xfId="1" applyFont="1" applyFill="1" applyBorder="1" applyAlignment="1">
      <alignment horizontal="center" vertical="center"/>
    </xf>
    <xf numFmtId="175" fontId="99" fillId="83" borderId="41" xfId="1" applyFont="1" applyFill="1" applyBorder="1" applyAlignment="1">
      <alignment horizontal="center" vertical="center"/>
    </xf>
    <xf numFmtId="175" fontId="99" fillId="83" borderId="50" xfId="1" applyFont="1" applyFill="1" applyBorder="1" applyAlignment="1">
      <alignment horizontal="center" vertical="center"/>
    </xf>
    <xf numFmtId="175" fontId="99" fillId="83" borderId="51" xfId="1" applyFont="1" applyFill="1" applyBorder="1" applyAlignment="1">
      <alignment horizontal="center" vertical="center"/>
    </xf>
    <xf numFmtId="164" fontId="90" fillId="57" borderId="14" xfId="14" applyFont="1" applyFill="1" applyBorder="1" applyAlignment="1">
      <alignment horizontal="center" vertical="center"/>
    </xf>
    <xf numFmtId="164" fontId="90" fillId="57" borderId="13" xfId="14" applyFont="1" applyFill="1" applyBorder="1" applyAlignment="1">
      <alignment horizontal="center" vertical="center"/>
    </xf>
    <xf numFmtId="175" fontId="90" fillId="44" borderId="14" xfId="1" applyFont="1" applyFill="1" applyBorder="1" applyAlignment="1">
      <alignment horizontal="center" vertical="center"/>
    </xf>
    <xf numFmtId="175" fontId="90" fillId="44" borderId="13" xfId="1" applyFont="1" applyFill="1" applyBorder="1" applyAlignment="1">
      <alignment horizontal="center" vertical="center"/>
    </xf>
    <xf numFmtId="175" fontId="90" fillId="78" borderId="14" xfId="1" applyFont="1" applyFill="1" applyBorder="1" applyAlignment="1">
      <alignment horizontal="center" vertical="center"/>
    </xf>
    <xf numFmtId="175" fontId="90" fillId="78" borderId="13" xfId="1" applyFont="1" applyFill="1" applyBorder="1" applyAlignment="1">
      <alignment horizontal="center" vertical="center"/>
    </xf>
    <xf numFmtId="175" fontId="119" fillId="32" borderId="14" xfId="1" applyFont="1" applyFill="1" applyBorder="1" applyAlignment="1">
      <alignment horizontal="center" vertical="center"/>
    </xf>
    <xf numFmtId="175" fontId="58" fillId="6" borderId="0" xfId="1" applyFont="1" applyFill="1" applyAlignment="1">
      <alignment horizontal="center" vertical="center" wrapText="1"/>
    </xf>
    <xf numFmtId="175" fontId="84" fillId="89" borderId="49" xfId="1" applyFont="1" applyFill="1" applyBorder="1" applyAlignment="1">
      <alignment horizontal="center" vertical="center" wrapText="1"/>
    </xf>
    <xf numFmtId="175" fontId="84" fillId="89" borderId="38" xfId="1" applyFont="1" applyFill="1" applyBorder="1" applyAlignment="1">
      <alignment horizontal="center" vertical="center" wrapText="1"/>
    </xf>
    <xf numFmtId="175" fontId="92" fillId="202" borderId="0" xfId="1" applyFont="1" applyFill="1" applyBorder="1" applyAlignment="1">
      <alignment horizontal="center" vertical="center" wrapText="1"/>
    </xf>
    <xf numFmtId="175" fontId="97" fillId="122" borderId="28" xfId="1" applyFont="1" applyFill="1" applyBorder="1" applyAlignment="1">
      <alignment horizontal="center" vertical="center" wrapText="1"/>
    </xf>
    <xf numFmtId="175" fontId="105" fillId="83" borderId="58" xfId="1" applyFont="1" applyFill="1" applyBorder="1" applyAlignment="1">
      <alignment horizontal="center" vertical="center"/>
    </xf>
    <xf numFmtId="175" fontId="91" fillId="29" borderId="0" xfId="1" applyFont="1" applyFill="1" applyBorder="1" applyAlignment="1">
      <alignment horizontal="center" vertical="center" wrapText="1"/>
    </xf>
    <xf numFmtId="175" fontId="91" fillId="55" borderId="0" xfId="1" applyFont="1" applyFill="1" applyBorder="1" applyAlignment="1">
      <alignment horizontal="center" vertical="center" wrapText="1"/>
    </xf>
    <xf numFmtId="175" fontId="91" fillId="129" borderId="0" xfId="1" applyFont="1" applyFill="1" applyBorder="1" applyAlignment="1">
      <alignment horizontal="center" vertical="center" wrapText="1"/>
    </xf>
    <xf numFmtId="175" fontId="116" fillId="117" borderId="0" xfId="1" applyFont="1" applyFill="1" applyBorder="1" applyAlignment="1">
      <alignment horizontal="center" vertical="center" textRotation="255" wrapText="1"/>
    </xf>
    <xf numFmtId="175" fontId="91" fillId="52" borderId="0" xfId="1" applyFont="1" applyFill="1" applyBorder="1" applyAlignment="1">
      <alignment horizontal="center" vertical="center" wrapText="1"/>
    </xf>
    <xf numFmtId="175" fontId="90" fillId="158" borderId="18" xfId="1" applyFont="1" applyFill="1" applyBorder="1" applyAlignment="1">
      <alignment horizontal="center" vertical="center" wrapText="1"/>
    </xf>
    <xf numFmtId="175" fontId="116" fillId="116" borderId="0" xfId="1" applyFont="1" applyFill="1" applyBorder="1" applyAlignment="1">
      <alignment horizontal="center" vertical="center" textRotation="255" wrapText="1"/>
    </xf>
    <xf numFmtId="175" fontId="91" fillId="46" borderId="14" xfId="1" applyFont="1" applyFill="1" applyBorder="1" applyAlignment="1">
      <alignment horizontal="center" vertical="center" wrapText="1"/>
    </xf>
    <xf numFmtId="175" fontId="91" fillId="46" borderId="0" xfId="1" applyFont="1" applyFill="1" applyBorder="1" applyAlignment="1">
      <alignment horizontal="center" vertical="center" wrapText="1"/>
    </xf>
    <xf numFmtId="175" fontId="123" fillId="94" borderId="0" xfId="1" applyFont="1" applyFill="1" applyBorder="1" applyAlignment="1">
      <alignment horizontal="center"/>
    </xf>
    <xf numFmtId="175" fontId="90" fillId="215" borderId="74" xfId="1" applyFont="1" applyFill="1" applyBorder="1" applyAlignment="1">
      <alignment horizontal="center" vertical="center" wrapText="1"/>
    </xf>
    <xf numFmtId="175" fontId="90" fillId="215" borderId="75" xfId="1" applyFont="1" applyFill="1" applyBorder="1" applyAlignment="1">
      <alignment horizontal="center" vertical="center" wrapText="1"/>
    </xf>
    <xf numFmtId="175" fontId="2" fillId="99" borderId="0" xfId="1" applyFont="1" applyFill="1" applyBorder="1" applyAlignment="1">
      <alignment horizontal="center" vertical="center" wrapText="1"/>
    </xf>
    <xf numFmtId="175" fontId="18" fillId="7" borderId="0" xfId="1" applyFont="1" applyFill="1" applyBorder="1" applyAlignment="1">
      <alignment horizontal="center" wrapText="1"/>
    </xf>
    <xf numFmtId="175" fontId="84" fillId="7" borderId="0" xfId="1" applyFont="1" applyFill="1" applyBorder="1" applyAlignment="1">
      <alignment horizontal="center" wrapText="1"/>
    </xf>
    <xf numFmtId="175" fontId="28" fillId="94" borderId="0" xfId="1" applyFont="1" applyFill="1" applyBorder="1" applyAlignment="1">
      <alignment horizontal="right" vertical="center"/>
    </xf>
    <xf numFmtId="175" fontId="84" fillId="104" borderId="82" xfId="1" applyFont="1" applyFill="1" applyBorder="1" applyAlignment="1">
      <alignment horizontal="center" vertical="center" wrapText="1"/>
    </xf>
    <xf numFmtId="175" fontId="84" fillId="104" borderId="83" xfId="1" applyFont="1" applyFill="1" applyBorder="1" applyAlignment="1">
      <alignment horizontal="center" vertical="center" wrapText="1"/>
    </xf>
    <xf numFmtId="175" fontId="91" fillId="112" borderId="20" xfId="1" applyFont="1" applyFill="1" applyBorder="1" applyAlignment="1">
      <alignment horizontal="center" vertical="center" wrapText="1"/>
    </xf>
    <xf numFmtId="175" fontId="91" fillId="45" borderId="0" xfId="1" applyFont="1" applyFill="1" applyBorder="1" applyAlignment="1">
      <alignment horizontal="center" vertical="center" wrapText="1"/>
    </xf>
    <xf numFmtId="175" fontId="91" fillId="31" borderId="0" xfId="1" applyFont="1" applyFill="1" applyBorder="1" applyAlignment="1">
      <alignment horizontal="center" vertical="center" wrapText="1"/>
    </xf>
    <xf numFmtId="175" fontId="17" fillId="220" borderId="117" xfId="1" applyFont="1" applyFill="1" applyBorder="1" applyAlignment="1">
      <alignment horizontal="center" vertical="center"/>
    </xf>
    <xf numFmtId="175" fontId="17" fillId="220" borderId="118" xfId="1" applyFont="1" applyFill="1" applyBorder="1" applyAlignment="1">
      <alignment horizontal="center" vertical="center"/>
    </xf>
    <xf numFmtId="175" fontId="17" fillId="220" borderId="119" xfId="1" applyFont="1" applyFill="1" applyBorder="1" applyAlignment="1">
      <alignment horizontal="center" vertical="center"/>
    </xf>
    <xf numFmtId="175" fontId="17" fillId="220" borderId="120" xfId="1" applyFont="1" applyFill="1" applyBorder="1" applyAlignment="1">
      <alignment horizontal="center" vertical="center"/>
    </xf>
    <xf numFmtId="175" fontId="17" fillId="31" borderId="27" xfId="1" applyFont="1" applyFill="1" applyBorder="1" applyAlignment="1">
      <alignment horizontal="center" vertical="center"/>
    </xf>
    <xf numFmtId="0" fontId="0" fillId="82" borderId="0" xfId="0" applyNumberFormat="1" applyFill="1" applyBorder="1" applyAlignment="1">
      <alignment horizontal="left"/>
    </xf>
    <xf numFmtId="164" fontId="67" fillId="208" borderId="14" xfId="14" applyFont="1" applyFill="1" applyBorder="1" applyAlignment="1">
      <alignment horizontal="center" vertical="center"/>
    </xf>
    <xf numFmtId="164" fontId="67" fillId="208" borderId="0" xfId="14" applyFont="1" applyFill="1" applyBorder="1" applyAlignment="1">
      <alignment horizontal="center" vertical="center"/>
    </xf>
    <xf numFmtId="164" fontId="57" fillId="207" borderId="14" xfId="14" applyFont="1" applyFill="1" applyBorder="1" applyAlignment="1">
      <alignment horizontal="center" vertical="center"/>
    </xf>
    <xf numFmtId="164" fontId="57" fillId="207" borderId="0" xfId="14" applyFont="1" applyFill="1" applyBorder="1" applyAlignment="1">
      <alignment horizontal="center" vertical="center"/>
    </xf>
    <xf numFmtId="175" fontId="17" fillId="44" borderId="14" xfId="1" applyFont="1" applyFill="1" applyBorder="1" applyAlignment="1">
      <alignment horizontal="center" vertical="center"/>
    </xf>
    <xf numFmtId="175" fontId="17" fillId="78" borderId="14" xfId="1" applyFont="1" applyFill="1" applyBorder="1" applyAlignment="1">
      <alignment horizontal="center" vertical="center" wrapText="1"/>
    </xf>
    <xf numFmtId="175" fontId="90" fillId="78" borderId="13" xfId="1" applyFont="1" applyFill="1" applyBorder="1" applyAlignment="1">
      <alignment horizontal="center" vertical="center" wrapText="1"/>
    </xf>
    <xf numFmtId="175" fontId="17" fillId="77" borderId="19" xfId="1" applyFont="1" applyFill="1" applyBorder="1" applyAlignment="1">
      <alignment horizontal="center" vertical="center" wrapText="1"/>
    </xf>
    <xf numFmtId="175" fontId="90" fillId="77" borderId="23" xfId="1" applyFont="1" applyFill="1" applyBorder="1" applyAlignment="1">
      <alignment horizontal="center" vertical="center" wrapText="1"/>
    </xf>
    <xf numFmtId="175" fontId="17" fillId="83" borderId="27" xfId="1" applyFont="1" applyFill="1" applyBorder="1" applyAlignment="1">
      <alignment horizontal="center" vertical="center"/>
    </xf>
    <xf numFmtId="175" fontId="17" fillId="83" borderId="20" xfId="1" applyFont="1" applyFill="1" applyBorder="1" applyAlignment="1">
      <alignment horizontal="center" vertical="center"/>
    </xf>
    <xf numFmtId="175" fontId="17" fillId="86" borderId="14" xfId="1" applyFont="1" applyFill="1" applyBorder="1" applyAlignment="1">
      <alignment horizontal="center" vertical="center"/>
    </xf>
    <xf numFmtId="175" fontId="17" fillId="86" borderId="0" xfId="1" applyFont="1" applyFill="1" applyBorder="1" applyAlignment="1">
      <alignment horizontal="center" vertical="center"/>
    </xf>
    <xf numFmtId="175" fontId="17" fillId="87" borderId="14" xfId="1" applyFont="1" applyFill="1" applyBorder="1" applyAlignment="1">
      <alignment horizontal="center" vertical="center"/>
    </xf>
    <xf numFmtId="175" fontId="17" fillId="87" borderId="0" xfId="1" applyFont="1" applyFill="1" applyBorder="1" applyAlignment="1">
      <alignment horizontal="center" vertical="center"/>
    </xf>
    <xf numFmtId="175" fontId="17" fillId="88" borderId="19" xfId="1" applyFont="1" applyFill="1" applyBorder="1" applyAlignment="1">
      <alignment horizontal="center" vertical="center"/>
    </xf>
    <xf numFmtId="175" fontId="20" fillId="33" borderId="33" xfId="1" applyFont="1" applyFill="1" applyBorder="1" applyAlignment="1">
      <alignment horizontal="center" vertical="center" textRotation="255" wrapText="1"/>
    </xf>
    <xf numFmtId="175" fontId="20" fillId="33" borderId="29" xfId="1" applyFont="1" applyFill="1" applyBorder="1" applyAlignment="1">
      <alignment horizontal="center" vertical="center" textRotation="255" wrapText="1"/>
    </xf>
    <xf numFmtId="175" fontId="20" fillId="33" borderId="34" xfId="1" applyFont="1" applyFill="1" applyBorder="1" applyAlignment="1">
      <alignment horizontal="center" vertical="center" textRotation="255" wrapText="1"/>
    </xf>
    <xf numFmtId="175" fontId="43" fillId="33" borderId="33" xfId="1" applyFont="1" applyFill="1" applyBorder="1" applyAlignment="1">
      <alignment horizontal="center" vertical="center" textRotation="255" wrapText="1"/>
    </xf>
    <xf numFmtId="175" fontId="43" fillId="33" borderId="29" xfId="1" applyFont="1" applyFill="1" applyBorder="1" applyAlignment="1">
      <alignment horizontal="center" vertical="center" textRotation="255" wrapText="1"/>
    </xf>
    <xf numFmtId="175" fontId="43" fillId="33" borderId="34" xfId="1" applyFont="1" applyFill="1" applyBorder="1" applyAlignment="1">
      <alignment horizontal="center" vertical="center" textRotation="255" wrapText="1"/>
    </xf>
    <xf numFmtId="175" fontId="11" fillId="33" borderId="31" xfId="1" applyFont="1" applyFill="1" applyBorder="1" applyAlignment="1">
      <alignment horizontal="center" vertical="center" wrapText="1"/>
    </xf>
    <xf numFmtId="175" fontId="11" fillId="33" borderId="35" xfId="1" applyFont="1" applyFill="1" applyBorder="1" applyAlignment="1">
      <alignment horizontal="center" vertical="center" wrapText="1"/>
    </xf>
    <xf numFmtId="175" fontId="11" fillId="33" borderId="30" xfId="1" applyFont="1" applyFill="1" applyBorder="1" applyAlignment="1">
      <alignment horizontal="center" vertical="center" wrapText="1"/>
    </xf>
    <xf numFmtId="169" fontId="11" fillId="58" borderId="16" xfId="1" applyNumberFormat="1" applyFont="1" applyFill="1" applyBorder="1" applyAlignment="1">
      <alignment horizontal="center" vertical="center" wrapText="1"/>
    </xf>
    <xf numFmtId="175" fontId="39" fillId="22" borderId="18" xfId="1" applyFont="1" applyFill="1" applyBorder="1" applyAlignment="1">
      <alignment horizontal="center" vertical="center" wrapText="1"/>
    </xf>
    <xf numFmtId="175" fontId="41" fillId="44" borderId="0" xfId="1" quotePrefix="1" applyFont="1" applyFill="1" applyBorder="1" applyAlignment="1">
      <alignment horizontal="center" vertical="center" textRotation="255" wrapText="1"/>
    </xf>
    <xf numFmtId="175" fontId="41" fillId="44" borderId="0" xfId="1" applyFont="1" applyFill="1" applyBorder="1" applyAlignment="1">
      <alignment horizontal="center" vertical="center" textRotation="255" wrapText="1"/>
    </xf>
    <xf numFmtId="175" fontId="41" fillId="44" borderId="19" xfId="1" applyFont="1" applyFill="1" applyBorder="1" applyAlignment="1">
      <alignment horizontal="center" vertical="center" textRotation="255" wrapText="1"/>
    </xf>
    <xf numFmtId="175" fontId="27" fillId="52" borderId="19" xfId="1" applyFont="1" applyFill="1" applyBorder="1" applyAlignment="1">
      <alignment horizontal="center" vertical="center" textRotation="255" wrapText="1"/>
    </xf>
    <xf numFmtId="175" fontId="27" fillId="52" borderId="0" xfId="1" applyFont="1" applyFill="1" applyBorder="1" applyAlignment="1">
      <alignment horizontal="center" vertical="center" textRotation="255" wrapText="1"/>
    </xf>
    <xf numFmtId="175" fontId="20" fillId="54" borderId="0" xfId="1" applyFont="1" applyFill="1" applyBorder="1" applyAlignment="1">
      <alignment horizontal="center" vertical="center" textRotation="255" wrapText="1"/>
    </xf>
    <xf numFmtId="175" fontId="20" fillId="54" borderId="19" xfId="1" applyFont="1" applyFill="1" applyBorder="1" applyAlignment="1">
      <alignment horizontal="center" vertical="center" textRotation="255" wrapText="1"/>
    </xf>
    <xf numFmtId="175" fontId="39" fillId="22" borderId="1" xfId="1" applyFont="1" applyFill="1" applyBorder="1" applyAlignment="1">
      <alignment horizontal="center" vertical="center" wrapText="1"/>
    </xf>
    <xf numFmtId="175" fontId="39" fillId="22" borderId="16" xfId="1" applyFont="1" applyFill="1" applyBorder="1" applyAlignment="1">
      <alignment horizontal="center" vertical="center" wrapText="1"/>
    </xf>
    <xf numFmtId="175" fontId="39" fillId="45" borderId="15" xfId="1" applyFont="1" applyFill="1" applyBorder="1" applyAlignment="1">
      <alignment horizontal="center" vertical="center" wrapText="1"/>
    </xf>
    <xf numFmtId="175" fontId="20" fillId="57" borderId="0" xfId="1" applyFont="1" applyFill="1" applyBorder="1" applyAlignment="1">
      <alignment horizontal="center" vertical="center" textRotation="255" wrapText="1"/>
    </xf>
    <xf numFmtId="175" fontId="20" fillId="57" borderId="19" xfId="1" applyFont="1" applyFill="1" applyBorder="1" applyAlignment="1">
      <alignment horizontal="center" vertical="center" textRotation="255" wrapText="1"/>
    </xf>
    <xf numFmtId="175" fontId="20" fillId="58" borderId="16" xfId="1" applyFont="1" applyFill="1" applyBorder="1" applyAlignment="1">
      <alignment horizontal="center" vertical="center" wrapText="1"/>
    </xf>
    <xf numFmtId="175" fontId="20" fillId="58" borderId="24" xfId="1" applyFont="1" applyFill="1" applyBorder="1" applyAlignment="1">
      <alignment horizontal="center" vertical="center" wrapText="1"/>
    </xf>
    <xf numFmtId="175" fontId="20" fillId="58" borderId="15" xfId="1" applyFont="1" applyFill="1" applyBorder="1" applyAlignment="1">
      <alignment horizontal="center" vertical="center" wrapText="1"/>
    </xf>
    <xf numFmtId="175" fontId="11" fillId="58" borderId="16" xfId="1" applyFont="1" applyFill="1" applyBorder="1" applyAlignment="1">
      <alignment horizontal="center" vertical="center" wrapText="1"/>
    </xf>
    <xf numFmtId="175" fontId="24" fillId="59" borderId="1" xfId="1" applyFont="1" applyFill="1" applyBorder="1" applyAlignment="1">
      <alignment horizontal="center" vertical="center" wrapText="1"/>
    </xf>
    <xf numFmtId="175" fontId="20" fillId="173" borderId="24" xfId="1" applyFont="1" applyFill="1" applyBorder="1" applyAlignment="1">
      <alignment horizontal="center" vertical="center" wrapText="1"/>
    </xf>
    <xf numFmtId="175" fontId="20" fillId="173" borderId="15" xfId="1" applyFont="1" applyFill="1" applyBorder="1" applyAlignment="1">
      <alignment horizontal="center" vertical="center" wrapText="1"/>
    </xf>
    <xf numFmtId="175" fontId="0" fillId="174" borderId="1" xfId="1" applyFont="1" applyFill="1" applyBorder="1" applyAlignment="1">
      <alignment horizontal="center" vertical="center" wrapText="1"/>
    </xf>
    <xf numFmtId="175" fontId="45" fillId="174" borderId="1" xfId="1" applyFont="1" applyFill="1" applyBorder="1" applyAlignment="1">
      <alignment horizontal="center" vertical="center" wrapText="1"/>
    </xf>
    <xf numFmtId="175" fontId="9" fillId="178" borderId="0" xfId="1" applyFont="1" applyFill="1" applyAlignment="1">
      <alignment horizontal="center" vertical="center" wrapText="1"/>
    </xf>
    <xf numFmtId="175" fontId="11" fillId="22" borderId="18" xfId="1" applyFont="1" applyFill="1" applyBorder="1" applyAlignment="1">
      <alignment horizontal="center" vertical="center" wrapText="1"/>
    </xf>
    <xf numFmtId="175" fontId="20" fillId="22" borderId="1" xfId="1" applyFont="1" applyFill="1" applyBorder="1" applyAlignment="1">
      <alignment horizontal="center" vertical="center" wrapText="1"/>
    </xf>
    <xf numFmtId="175" fontId="20" fillId="22" borderId="16" xfId="1" applyFont="1" applyFill="1" applyBorder="1" applyAlignment="1">
      <alignment horizontal="center" vertical="center" wrapText="1"/>
    </xf>
    <xf numFmtId="175" fontId="25" fillId="45" borderId="15" xfId="1" applyFont="1" applyFill="1" applyBorder="1" applyAlignment="1">
      <alignment horizontal="center" vertical="center" wrapText="1"/>
    </xf>
    <xf numFmtId="175" fontId="20" fillId="245" borderId="19" xfId="1" applyFont="1" applyFill="1" applyBorder="1" applyAlignment="1">
      <alignment horizontal="center" vertical="center" textRotation="255" wrapText="1"/>
    </xf>
    <xf numFmtId="169" fontId="11" fillId="58" borderId="17" xfId="1" applyNumberFormat="1" applyFont="1" applyFill="1" applyBorder="1" applyAlignment="1">
      <alignment horizontal="center" vertical="center" wrapText="1"/>
    </xf>
    <xf numFmtId="169" fontId="11" fillId="58" borderId="18" xfId="1" applyNumberFormat="1" applyFont="1" applyFill="1" applyBorder="1" applyAlignment="1">
      <alignment horizontal="center" vertical="center" wrapText="1"/>
    </xf>
    <xf numFmtId="175" fontId="24" fillId="59" borderId="17" xfId="1" applyFont="1" applyFill="1" applyBorder="1" applyAlignment="1">
      <alignment horizontal="center" vertical="center" wrapText="1"/>
    </xf>
    <xf numFmtId="175" fontId="24" fillId="59" borderId="18" xfId="1" applyFont="1" applyFill="1" applyBorder="1" applyAlignment="1">
      <alignment horizontal="center" vertical="center" wrapText="1"/>
    </xf>
    <xf numFmtId="175" fontId="11" fillId="58" borderId="17" xfId="1" applyFont="1" applyFill="1" applyBorder="1" applyAlignment="1">
      <alignment horizontal="center" vertical="center" wrapText="1"/>
    </xf>
    <xf numFmtId="175" fontId="11" fillId="58" borderId="18" xfId="1" applyFont="1" applyFill="1" applyBorder="1" applyAlignment="1">
      <alignment horizontal="center" vertical="center" wrapText="1"/>
    </xf>
    <xf numFmtId="175" fontId="44" fillId="59" borderId="1" xfId="1" applyFont="1" applyFill="1" applyBorder="1" applyAlignment="1">
      <alignment horizontal="center" vertical="center" wrapText="1"/>
    </xf>
    <xf numFmtId="175" fontId="11" fillId="22" borderId="1" xfId="1" applyFont="1" applyFill="1" applyBorder="1" applyAlignment="1">
      <alignment horizontal="center" vertical="center" wrapText="1"/>
    </xf>
    <xf numFmtId="175" fontId="21" fillId="44" borderId="0" xfId="1" quotePrefix="1" applyFont="1" applyFill="1" applyBorder="1" applyAlignment="1">
      <alignment horizontal="center" vertical="center" textRotation="255" wrapText="1"/>
    </xf>
    <xf numFmtId="175" fontId="21" fillId="44" borderId="0" xfId="1" applyFont="1" applyFill="1" applyBorder="1" applyAlignment="1">
      <alignment horizontal="center" vertical="center" textRotation="255" wrapText="1"/>
    </xf>
    <xf numFmtId="175" fontId="20" fillId="52" borderId="0" xfId="1" applyFont="1" applyFill="1" applyBorder="1" applyAlignment="1">
      <alignment horizontal="center" vertical="center" textRotation="255" wrapText="1"/>
    </xf>
    <xf numFmtId="175" fontId="20" fillId="52" borderId="19" xfId="1" applyFont="1" applyFill="1" applyBorder="1" applyAlignment="1">
      <alignment horizontal="center" vertical="center" textRotation="255" wrapText="1"/>
    </xf>
    <xf numFmtId="175" fontId="20" fillId="22" borderId="17" xfId="1" applyFont="1" applyFill="1" applyBorder="1" applyAlignment="1">
      <alignment horizontal="center" vertical="center" wrapText="1"/>
    </xf>
    <xf numFmtId="175" fontId="20" fillId="22" borderId="27" xfId="1" applyFont="1" applyFill="1" applyBorder="1" applyAlignment="1">
      <alignment horizontal="center" vertical="center" wrapText="1"/>
    </xf>
    <xf numFmtId="175" fontId="11" fillId="45" borderId="1" xfId="1" applyFont="1" applyFill="1" applyBorder="1" applyAlignment="1">
      <alignment horizontal="center" vertical="center" wrapText="1"/>
    </xf>
    <xf numFmtId="175" fontId="11" fillId="22" borderId="20" xfId="1" applyFont="1" applyFill="1" applyBorder="1" applyAlignment="1">
      <alignment horizontal="center" vertical="center" wrapText="1"/>
    </xf>
    <xf numFmtId="175" fontId="11" fillId="22" borderId="0" xfId="1" applyFont="1" applyFill="1" applyBorder="1" applyAlignment="1">
      <alignment horizontal="center" vertical="center" wrapText="1"/>
    </xf>
    <xf numFmtId="175" fontId="36" fillId="110" borderId="0" xfId="1" applyFont="1" applyFill="1" applyBorder="1" applyAlignment="1">
      <alignment horizontal="center" vertical="center" textRotation="255"/>
    </xf>
    <xf numFmtId="175" fontId="50" fillId="111" borderId="0" xfId="1" applyFont="1" applyFill="1" applyBorder="1" applyAlignment="1">
      <alignment horizontal="center" vertical="center" textRotation="255"/>
    </xf>
    <xf numFmtId="175" fontId="2" fillId="108" borderId="19" xfId="1" applyFill="1" applyBorder="1" applyAlignment="1">
      <alignment horizontal="center" vertical="center"/>
    </xf>
    <xf numFmtId="175" fontId="2" fillId="109" borderId="19" xfId="1" applyFill="1" applyBorder="1" applyAlignment="1">
      <alignment horizontal="center" vertical="center"/>
    </xf>
    <xf numFmtId="175" fontId="16" fillId="0" borderId="13" xfId="1" applyFont="1" applyFill="1" applyBorder="1" applyAlignment="1">
      <alignment horizontal="center" vertical="center"/>
    </xf>
    <xf numFmtId="175" fontId="11" fillId="37" borderId="1" xfId="1" applyFont="1" applyFill="1" applyBorder="1" applyAlignment="1">
      <alignment horizontal="center" vertical="center" wrapText="1"/>
    </xf>
    <xf numFmtId="175" fontId="2" fillId="62" borderId="1" xfId="1" applyFill="1" applyBorder="1" applyAlignment="1">
      <alignment horizontal="center" vertical="center"/>
    </xf>
    <xf numFmtId="0" fontId="0" fillId="6" borderId="16" xfId="0" applyFill="1" applyBorder="1"/>
    <xf numFmtId="175" fontId="11" fillId="37" borderId="17" xfId="1" applyFont="1" applyFill="1" applyBorder="1" applyAlignment="1">
      <alignment horizontal="center" vertical="center" wrapText="1"/>
    </xf>
    <xf numFmtId="175" fontId="11" fillId="29" borderId="1" xfId="1" applyFont="1" applyFill="1" applyBorder="1" applyAlignment="1">
      <alignment horizontal="center" vertical="center" wrapText="1"/>
    </xf>
    <xf numFmtId="175" fontId="2" fillId="62" borderId="1" xfId="1" applyFill="1" applyBorder="1" applyAlignment="1">
      <alignment horizontal="center" vertical="center" wrapText="1"/>
    </xf>
    <xf numFmtId="175" fontId="28" fillId="0" borderId="0" xfId="1" applyFont="1" applyFill="1" applyBorder="1" applyAlignment="1">
      <alignment horizontal="center"/>
    </xf>
    <xf numFmtId="175" fontId="9" fillId="63" borderId="3" xfId="1" applyFont="1" applyFill="1" applyBorder="1" applyAlignment="1">
      <alignment horizontal="center" vertical="center"/>
    </xf>
    <xf numFmtId="175" fontId="9" fillId="68" borderId="11" xfId="1" applyFont="1" applyFill="1" applyBorder="1" applyAlignment="1">
      <alignment horizontal="center" vertical="center"/>
    </xf>
    <xf numFmtId="175" fontId="9" fillId="69" borderId="3" xfId="1" applyFont="1" applyFill="1" applyBorder="1" applyAlignment="1">
      <alignment horizontal="center" vertical="center" wrapText="1"/>
    </xf>
    <xf numFmtId="175" fontId="9" fillId="28" borderId="11" xfId="1" applyFont="1" applyFill="1" applyBorder="1" applyAlignment="1">
      <alignment horizontal="center" vertical="center" wrapText="1"/>
    </xf>
    <xf numFmtId="175" fontId="2" fillId="72" borderId="0" xfId="1" applyFill="1" applyBorder="1" applyAlignment="1">
      <alignment horizontal="center" vertical="center" wrapText="1"/>
    </xf>
    <xf numFmtId="175" fontId="2" fillId="39" borderId="1" xfId="1" applyFill="1" applyBorder="1" applyAlignment="1">
      <alignment horizontal="center" vertical="center" wrapText="1"/>
    </xf>
    <xf numFmtId="175" fontId="2" fillId="0" borderId="20" xfId="1" applyFill="1" applyBorder="1" applyAlignment="1">
      <alignment horizontal="center" vertical="center" wrapText="1"/>
    </xf>
    <xf numFmtId="175" fontId="2" fillId="0" borderId="20" xfId="1" applyFill="1" applyBorder="1" applyAlignment="1">
      <alignment horizontal="right" vertical="center" wrapText="1"/>
    </xf>
    <xf numFmtId="175" fontId="26" fillId="0" borderId="0" xfId="1" applyFont="1" applyFill="1" applyBorder="1" applyAlignment="1">
      <alignment horizontal="center" vertical="center" wrapText="1"/>
    </xf>
    <xf numFmtId="175" fontId="11" fillId="22" borderId="17" xfId="1" applyFont="1" applyFill="1" applyBorder="1" applyAlignment="1">
      <alignment horizontal="center" vertical="center" wrapText="1"/>
    </xf>
    <xf numFmtId="175" fontId="49" fillId="57" borderId="28" xfId="1" applyFont="1" applyFill="1" applyBorder="1" applyAlignment="1">
      <alignment horizontal="center" vertical="center" wrapText="1"/>
    </xf>
    <xf numFmtId="175" fontId="49" fillId="44" borderId="28" xfId="1" quotePrefix="1" applyFont="1" applyFill="1" applyBorder="1" applyAlignment="1">
      <alignment horizontal="center" vertical="center" wrapText="1"/>
    </xf>
    <xf numFmtId="175" fontId="49" fillId="52" borderId="28" xfId="1" applyFont="1" applyFill="1" applyBorder="1" applyAlignment="1">
      <alignment horizontal="center" vertical="center" wrapText="1"/>
    </xf>
    <xf numFmtId="175" fontId="49" fillId="54" borderId="28" xfId="1" applyFont="1" applyFill="1" applyBorder="1" applyAlignment="1">
      <alignment horizontal="center" vertical="center" wrapText="1"/>
    </xf>
    <xf numFmtId="175" fontId="11" fillId="22" borderId="21" xfId="1" applyFont="1" applyFill="1" applyBorder="1" applyAlignment="1">
      <alignment horizontal="center" vertical="center" wrapText="1"/>
    </xf>
    <xf numFmtId="175" fontId="11" fillId="22" borderId="13" xfId="1" applyFont="1" applyFill="1" applyBorder="1" applyAlignment="1">
      <alignment horizontal="center" vertical="center" wrapText="1"/>
    </xf>
    <xf numFmtId="169" fontId="11" fillId="58" borderId="22" xfId="1" applyNumberFormat="1" applyFont="1" applyFill="1" applyBorder="1" applyAlignment="1">
      <alignment horizontal="center" vertical="center" wrapText="1"/>
    </xf>
    <xf numFmtId="175" fontId="30" fillId="44" borderId="0" xfId="1" quotePrefix="1" applyFont="1" applyFill="1" applyBorder="1" applyAlignment="1">
      <alignment horizontal="center" vertical="center" wrapText="1"/>
    </xf>
    <xf numFmtId="175" fontId="30" fillId="44" borderId="0" xfId="1" applyFont="1" applyFill="1" applyBorder="1" applyAlignment="1">
      <alignment horizontal="center" vertical="center" wrapText="1"/>
    </xf>
    <xf numFmtId="175" fontId="27" fillId="52" borderId="0" xfId="1" applyFont="1" applyFill="1" applyBorder="1" applyAlignment="1">
      <alignment horizontal="center" vertical="center" wrapText="1"/>
    </xf>
    <xf numFmtId="175" fontId="27" fillId="52" borderId="19" xfId="1" applyFont="1" applyFill="1" applyBorder="1" applyAlignment="1">
      <alignment horizontal="center" vertical="center" wrapText="1"/>
    </xf>
    <xf numFmtId="175" fontId="20" fillId="54" borderId="0" xfId="1" applyFont="1" applyFill="1" applyBorder="1" applyAlignment="1">
      <alignment horizontal="center" vertical="center" wrapText="1"/>
    </xf>
    <xf numFmtId="175" fontId="20" fillId="54" borderId="19" xfId="1" applyFont="1" applyFill="1" applyBorder="1" applyAlignment="1">
      <alignment horizontal="center" vertical="center" wrapText="1"/>
    </xf>
    <xf numFmtId="175" fontId="20" fillId="57" borderId="0" xfId="1" applyFont="1" applyFill="1" applyBorder="1" applyAlignment="1">
      <alignment horizontal="center" vertical="center" wrapText="1"/>
    </xf>
    <xf numFmtId="175" fontId="20" fillId="57" borderId="19" xfId="1" applyFont="1" applyFill="1" applyBorder="1" applyAlignment="1">
      <alignment horizontal="center" vertical="center" wrapText="1"/>
    </xf>
    <xf numFmtId="175" fontId="41" fillId="44" borderId="0" xfId="1" quotePrefix="1" applyFont="1" applyFill="1" applyBorder="1" applyAlignment="1">
      <alignment horizontal="center" vertical="center" wrapText="1"/>
    </xf>
    <xf numFmtId="175" fontId="41" fillId="44" borderId="0" xfId="1" applyFont="1" applyFill="1" applyBorder="1" applyAlignment="1">
      <alignment horizontal="center" vertical="center" wrapText="1"/>
    </xf>
    <xf numFmtId="175" fontId="27" fillId="54" borderId="0" xfId="1" applyFont="1" applyFill="1" applyBorder="1" applyAlignment="1">
      <alignment horizontal="center" vertical="center" wrapText="1"/>
    </xf>
    <xf numFmtId="175" fontId="27" fillId="54" borderId="19" xfId="1" applyFont="1" applyFill="1" applyBorder="1" applyAlignment="1">
      <alignment horizontal="center" vertical="center" wrapText="1"/>
    </xf>
    <xf numFmtId="175" fontId="27" fillId="57" borderId="0" xfId="1" applyFont="1" applyFill="1" applyBorder="1" applyAlignment="1">
      <alignment horizontal="center" vertical="center" wrapText="1"/>
    </xf>
    <xf numFmtId="175" fontId="27" fillId="57" borderId="19" xfId="1" applyFont="1" applyFill="1" applyBorder="1" applyAlignment="1">
      <alignment horizontal="center" vertical="center" wrapText="1"/>
    </xf>
    <xf numFmtId="169" fontId="32" fillId="130" borderId="16" xfId="1" applyNumberFormat="1" applyFont="1" applyFill="1" applyBorder="1" applyAlignment="1">
      <alignment horizontal="center" vertical="center" wrapText="1"/>
    </xf>
    <xf numFmtId="175" fontId="32" fillId="158" borderId="21" xfId="1" applyFont="1" applyFill="1" applyBorder="1" applyAlignment="1">
      <alignment horizontal="center" vertical="center" wrapText="1"/>
    </xf>
    <xf numFmtId="175" fontId="32" fillId="158" borderId="13" xfId="1" applyFont="1" applyFill="1" applyBorder="1" applyAlignment="1">
      <alignment horizontal="center" vertical="center" wrapText="1"/>
    </xf>
    <xf numFmtId="175" fontId="32" fillId="158" borderId="18" xfId="1" applyFont="1" applyFill="1" applyBorder="1" applyAlignment="1">
      <alignment horizontal="center" vertical="center" wrapText="1"/>
    </xf>
    <xf numFmtId="175" fontId="2" fillId="6" borderId="21" xfId="1" applyFont="1" applyFill="1" applyBorder="1" applyAlignment="1">
      <alignment horizontal="center" vertical="center" wrapText="1"/>
    </xf>
    <xf numFmtId="175" fontId="2" fillId="6" borderId="13" xfId="1" applyFont="1" applyFill="1" applyBorder="1" applyAlignment="1">
      <alignment horizontal="center" vertical="center" wrapText="1"/>
    </xf>
    <xf numFmtId="9" fontId="2" fillId="32" borderId="17" xfId="16" applyFont="1" applyFill="1" applyBorder="1" applyAlignment="1">
      <alignment horizontal="center" vertical="center" wrapText="1"/>
    </xf>
    <xf numFmtId="9" fontId="2" fillId="32" borderId="18" xfId="16" applyFont="1" applyFill="1" applyBorder="1" applyAlignment="1">
      <alignment horizontal="center" vertical="center" wrapText="1"/>
    </xf>
    <xf numFmtId="175" fontId="20" fillId="58" borderId="20" xfId="1" applyFont="1" applyFill="1" applyBorder="1" applyAlignment="1">
      <alignment horizontal="center" vertical="center" wrapText="1"/>
    </xf>
    <xf numFmtId="175" fontId="20" fillId="58" borderId="19" xfId="1" applyFont="1" applyFill="1" applyBorder="1" applyAlignment="1">
      <alignment horizontal="center" vertical="center" wrapText="1"/>
    </xf>
    <xf numFmtId="175" fontId="11" fillId="58" borderId="27" xfId="1" applyFont="1" applyFill="1" applyBorder="1" applyAlignment="1">
      <alignment horizontal="center" vertical="center" wrapText="1"/>
    </xf>
    <xf numFmtId="175" fontId="11" fillId="58" borderId="25" xfId="1" applyFont="1" applyFill="1" applyBorder="1" applyAlignment="1">
      <alignment horizontal="center" vertical="center" wrapText="1"/>
    </xf>
    <xf numFmtId="175" fontId="24" fillId="59" borderId="71" xfId="1" applyFont="1" applyFill="1" applyBorder="1" applyAlignment="1">
      <alignment horizontal="center" vertical="center" wrapText="1"/>
    </xf>
    <xf numFmtId="175" fontId="24" fillId="59" borderId="72" xfId="1" applyFont="1" applyFill="1" applyBorder="1" applyAlignment="1">
      <alignment horizontal="center" vertical="center" wrapText="1"/>
    </xf>
    <xf numFmtId="175" fontId="24" fillId="59" borderId="20" xfId="1" applyFont="1" applyFill="1" applyBorder="1" applyAlignment="1">
      <alignment horizontal="center" vertical="center" wrapText="1"/>
    </xf>
    <xf numFmtId="175" fontId="24" fillId="59" borderId="19" xfId="1" applyFont="1" applyFill="1" applyBorder="1" applyAlignment="1">
      <alignment horizontal="center" vertical="center" wrapText="1"/>
    </xf>
    <xf numFmtId="175" fontId="24" fillId="59" borderId="69" xfId="1" applyFont="1" applyFill="1" applyBorder="1" applyAlignment="1">
      <alignment horizontal="center" vertical="center" wrapText="1"/>
    </xf>
    <xf numFmtId="175" fontId="24" fillId="59" borderId="70" xfId="1" applyFont="1" applyFill="1" applyBorder="1" applyAlignment="1">
      <alignment horizontal="center" vertical="center" wrapText="1"/>
    </xf>
    <xf numFmtId="175" fontId="53" fillId="44" borderId="0" xfId="1" quotePrefix="1" applyFont="1" applyFill="1" applyBorder="1" applyAlignment="1">
      <alignment horizontal="center" vertical="center" wrapText="1"/>
    </xf>
    <xf numFmtId="175" fontId="53" fillId="44" borderId="0" xfId="1" applyFont="1" applyFill="1" applyBorder="1" applyAlignment="1">
      <alignment horizontal="center" vertical="center" wrapText="1"/>
    </xf>
    <xf numFmtId="175" fontId="20" fillId="58" borderId="0" xfId="1" applyFont="1" applyFill="1" applyBorder="1" applyAlignment="1">
      <alignment horizontal="center" vertical="center" wrapText="1"/>
    </xf>
    <xf numFmtId="0" fontId="83" fillId="82" borderId="0" xfId="0" applyFont="1" applyFill="1" applyAlignment="1">
      <alignment horizontal="right" vertical="center" wrapText="1"/>
    </xf>
    <xf numFmtId="175" fontId="11" fillId="45" borderId="16" xfId="1" applyFont="1" applyFill="1" applyBorder="1" applyAlignment="1">
      <alignment horizontal="center" vertical="center"/>
    </xf>
    <xf numFmtId="175" fontId="11" fillId="45" borderId="24" xfId="1" applyFont="1" applyFill="1" applyBorder="1" applyAlignment="1">
      <alignment horizontal="center" vertical="center"/>
    </xf>
    <xf numFmtId="175" fontId="11" fillId="45" borderId="15" xfId="1" applyFont="1" applyFill="1" applyBorder="1" applyAlignment="1">
      <alignment horizontal="center" vertical="center"/>
    </xf>
    <xf numFmtId="175" fontId="2" fillId="8" borderId="1" xfId="1" applyFont="1" applyFill="1" applyBorder="1" applyAlignment="1">
      <alignment horizontal="center" vertical="center" wrapText="1"/>
    </xf>
    <xf numFmtId="175" fontId="11" fillId="4" borderId="17" xfId="1" applyFont="1" applyFill="1" applyBorder="1" applyAlignment="1">
      <alignment horizontal="center" vertical="center" wrapText="1"/>
    </xf>
    <xf numFmtId="175" fontId="2" fillId="8" borderId="15" xfId="1" applyFont="1" applyFill="1" applyBorder="1" applyAlignment="1">
      <alignment horizontal="center" vertical="center" wrapText="1"/>
    </xf>
    <xf numFmtId="175" fontId="11" fillId="77" borderId="1" xfId="1" applyFont="1" applyFill="1" applyBorder="1" applyAlignment="1">
      <alignment horizontal="center" vertical="center" wrapText="1"/>
    </xf>
    <xf numFmtId="175" fontId="11" fillId="55" borderId="1" xfId="1" applyFont="1" applyFill="1" applyBorder="1" applyAlignment="1">
      <alignment horizontal="center" vertical="center" wrapText="1"/>
    </xf>
    <xf numFmtId="175" fontId="11" fillId="76" borderId="1" xfId="1" applyFont="1" applyFill="1" applyBorder="1" applyAlignment="1">
      <alignment horizontal="center" vertical="center" wrapText="1"/>
    </xf>
    <xf numFmtId="0" fontId="0" fillId="8" borderId="1" xfId="0" applyFill="1" applyBorder="1"/>
    <xf numFmtId="175" fontId="11" fillId="74" borderId="15" xfId="1" applyFont="1" applyFill="1" applyBorder="1" applyAlignment="1">
      <alignment horizontal="center" vertical="center" wrapText="1"/>
    </xf>
    <xf numFmtId="175" fontId="11" fillId="23" borderId="1" xfId="1" applyFont="1" applyFill="1" applyBorder="1" applyAlignment="1">
      <alignment horizontal="center" vertical="center" wrapText="1"/>
    </xf>
    <xf numFmtId="175" fontId="11" fillId="73" borderId="16" xfId="1" applyFont="1" applyFill="1" applyBorder="1" applyAlignment="1">
      <alignment horizontal="center" vertical="center" wrapText="1"/>
    </xf>
    <xf numFmtId="175" fontId="11" fillId="44" borderId="1" xfId="1" applyFont="1" applyFill="1" applyBorder="1" applyAlignment="1">
      <alignment horizontal="center" vertical="center" wrapText="1"/>
    </xf>
    <xf numFmtId="175" fontId="2" fillId="8" borderId="16" xfId="1" applyFont="1" applyFill="1" applyBorder="1" applyAlignment="1">
      <alignment horizontal="center" vertical="center" wrapText="1"/>
    </xf>
    <xf numFmtId="175" fontId="11" fillId="75" borderId="16" xfId="1" applyFont="1" applyFill="1" applyBorder="1" applyAlignment="1">
      <alignment horizontal="center" vertical="center" wrapText="1"/>
    </xf>
    <xf numFmtId="175" fontId="11" fillId="75" borderId="15" xfId="1" applyFont="1" applyFill="1" applyBorder="1" applyAlignment="1">
      <alignment horizontal="center" vertical="center" wrapText="1"/>
    </xf>
    <xf numFmtId="175" fontId="44" fillId="162" borderId="20" xfId="1" applyFont="1" applyFill="1" applyBorder="1" applyAlignment="1">
      <alignment horizontal="center" vertical="center" wrapText="1"/>
    </xf>
    <xf numFmtId="175" fontId="44" fillId="162" borderId="21" xfId="1" applyFont="1" applyFill="1" applyBorder="1" applyAlignment="1">
      <alignment horizontal="center" vertical="center" wrapText="1"/>
    </xf>
    <xf numFmtId="175" fontId="9" fillId="0" borderId="13" xfId="1" applyFont="1" applyFill="1" applyBorder="1" applyAlignment="1">
      <alignment horizontal="center" vertical="center" wrapText="1"/>
    </xf>
    <xf numFmtId="175" fontId="11" fillId="60" borderId="1" xfId="1" applyFont="1" applyFill="1" applyBorder="1" applyAlignment="1">
      <alignment horizontal="center" vertical="center" wrapText="1"/>
    </xf>
    <xf numFmtId="175" fontId="11" fillId="76" borderId="16" xfId="1" applyFont="1" applyFill="1" applyBorder="1" applyAlignment="1">
      <alignment horizontal="center" vertical="center" wrapText="1"/>
    </xf>
    <xf numFmtId="175" fontId="11" fillId="76" borderId="24" xfId="1" applyFont="1" applyFill="1" applyBorder="1" applyAlignment="1">
      <alignment horizontal="center" vertical="center" wrapText="1"/>
    </xf>
    <xf numFmtId="175" fontId="11" fillId="76" borderId="15" xfId="1" applyFont="1" applyFill="1" applyBorder="1" applyAlignment="1">
      <alignment horizontal="center" vertical="center" wrapText="1"/>
    </xf>
    <xf numFmtId="175" fontId="9" fillId="0" borderId="20" xfId="1" applyFont="1" applyBorder="1" applyAlignment="1">
      <alignment horizontal="center"/>
    </xf>
    <xf numFmtId="175" fontId="9" fillId="0" borderId="21" xfId="1" applyFont="1" applyBorder="1" applyAlignment="1">
      <alignment horizontal="center"/>
    </xf>
    <xf numFmtId="175" fontId="2" fillId="8" borderId="24" xfId="1" applyFont="1" applyFill="1" applyBorder="1" applyAlignment="1">
      <alignment horizontal="center" vertical="center" wrapText="1"/>
    </xf>
    <xf numFmtId="175" fontId="11" fillId="73" borderId="24" xfId="1" applyFont="1" applyFill="1" applyBorder="1" applyAlignment="1">
      <alignment horizontal="center" vertical="center" wrapText="1"/>
    </xf>
    <xf numFmtId="175" fontId="11" fillId="23" borderId="16" xfId="1" applyFont="1" applyFill="1" applyBorder="1" applyAlignment="1">
      <alignment horizontal="center" vertical="center" wrapText="1"/>
    </xf>
    <xf numFmtId="175" fontId="11" fillId="23" borderId="24" xfId="1" applyFont="1" applyFill="1" applyBorder="1" applyAlignment="1">
      <alignment horizontal="center" vertical="center" wrapText="1"/>
    </xf>
    <xf numFmtId="175" fontId="11" fillId="23" borderId="15" xfId="1" applyFont="1" applyFill="1" applyBorder="1" applyAlignment="1">
      <alignment horizontal="center" vertical="center" wrapText="1"/>
    </xf>
    <xf numFmtId="175" fontId="9" fillId="0" borderId="24" xfId="1" applyFont="1" applyFill="1" applyBorder="1" applyAlignment="1">
      <alignment horizontal="center" vertical="center" wrapText="1"/>
    </xf>
    <xf numFmtId="175" fontId="9" fillId="0" borderId="15" xfId="1" applyFont="1" applyFill="1" applyBorder="1" applyAlignment="1">
      <alignment horizontal="center" vertical="center" wrapText="1"/>
    </xf>
    <xf numFmtId="175" fontId="11" fillId="60" borderId="16" xfId="1" applyFont="1" applyFill="1" applyBorder="1" applyAlignment="1">
      <alignment horizontal="center" vertical="center" wrapText="1"/>
    </xf>
    <xf numFmtId="175" fontId="11" fillId="60" borderId="24" xfId="1" applyFont="1" applyFill="1" applyBorder="1" applyAlignment="1">
      <alignment horizontal="center" vertical="center" wrapText="1"/>
    </xf>
    <xf numFmtId="175" fontId="11" fillId="60" borderId="15" xfId="1" applyFont="1" applyFill="1" applyBorder="1" applyAlignment="1">
      <alignment horizontal="center" vertical="center" wrapText="1"/>
    </xf>
    <xf numFmtId="175" fontId="11" fillId="4" borderId="16" xfId="1" applyFont="1" applyFill="1" applyBorder="1" applyAlignment="1">
      <alignment horizontal="center" vertical="center" wrapText="1"/>
    </xf>
    <xf numFmtId="175" fontId="11" fillId="4" borderId="24" xfId="1" applyFont="1" applyFill="1" applyBorder="1" applyAlignment="1">
      <alignment horizontal="center" vertical="center" wrapText="1"/>
    </xf>
    <xf numFmtId="175" fontId="11" fillId="4" borderId="15" xfId="1" applyFont="1" applyFill="1" applyBorder="1" applyAlignment="1">
      <alignment horizontal="center" vertical="center" wrapText="1"/>
    </xf>
    <xf numFmtId="0" fontId="0" fillId="8" borderId="16" xfId="0" applyFill="1" applyBorder="1"/>
    <xf numFmtId="0" fontId="0" fillId="8" borderId="24" xfId="0" applyFill="1" applyBorder="1"/>
    <xf numFmtId="0" fontId="0" fillId="8" borderId="15" xfId="0" applyFill="1" applyBorder="1"/>
    <xf numFmtId="175" fontId="11" fillId="74" borderId="24" xfId="1" applyFont="1" applyFill="1" applyBorder="1" applyAlignment="1">
      <alignment horizontal="center" vertical="center" wrapText="1"/>
    </xf>
    <xf numFmtId="175" fontId="11" fillId="44" borderId="16" xfId="1" applyFont="1" applyFill="1" applyBorder="1" applyAlignment="1">
      <alignment horizontal="center" vertical="center" wrapText="1"/>
    </xf>
    <xf numFmtId="175" fontId="11" fillId="44" borderId="15" xfId="1" applyFont="1" applyFill="1" applyBorder="1" applyAlignment="1">
      <alignment horizontal="center" vertical="center" wrapText="1"/>
    </xf>
    <xf numFmtId="175" fontId="11" fillId="29" borderId="16" xfId="1" applyFont="1" applyFill="1" applyBorder="1" applyAlignment="1">
      <alignment horizontal="center" vertical="center" wrapText="1"/>
    </xf>
    <xf numFmtId="175" fontId="11" fillId="29" borderId="24" xfId="1" applyFont="1" applyFill="1" applyBorder="1" applyAlignment="1">
      <alignment horizontal="center" vertical="center" wrapText="1"/>
    </xf>
    <xf numFmtId="175" fontId="11" fillId="29" borderId="15" xfId="1" applyFont="1" applyFill="1" applyBorder="1" applyAlignment="1">
      <alignment horizontal="center" vertical="center" wrapText="1"/>
    </xf>
    <xf numFmtId="175" fontId="11" fillId="55" borderId="16" xfId="1" applyFont="1" applyFill="1" applyBorder="1" applyAlignment="1">
      <alignment horizontal="center" vertical="center" wrapText="1"/>
    </xf>
    <xf numFmtId="175" fontId="11" fillId="55" borderId="24" xfId="1" applyFont="1" applyFill="1" applyBorder="1" applyAlignment="1">
      <alignment horizontal="center" vertical="center" wrapText="1"/>
    </xf>
    <xf numFmtId="175" fontId="11" fillId="55" borderId="15" xfId="1" applyFont="1" applyFill="1" applyBorder="1" applyAlignment="1">
      <alignment horizontal="center" vertical="center" wrapText="1"/>
    </xf>
    <xf numFmtId="175" fontId="11" fillId="77" borderId="16" xfId="1" applyFont="1" applyFill="1" applyBorder="1" applyAlignment="1">
      <alignment horizontal="center" vertical="center" wrapText="1"/>
    </xf>
    <xf numFmtId="175" fontId="11" fillId="77" borderId="24" xfId="1" applyFont="1" applyFill="1" applyBorder="1" applyAlignment="1">
      <alignment horizontal="center" vertical="center" wrapText="1"/>
    </xf>
    <xf numFmtId="175" fontId="11" fillId="77" borderId="15" xfId="1" applyFont="1" applyFill="1" applyBorder="1" applyAlignment="1">
      <alignment horizontal="center" vertical="center" wrapText="1"/>
    </xf>
    <xf numFmtId="175" fontId="11" fillId="224" borderId="16" xfId="1" applyFont="1" applyFill="1" applyBorder="1" applyAlignment="1">
      <alignment horizontal="center" vertical="center" wrapText="1"/>
    </xf>
    <xf numFmtId="175" fontId="11" fillId="224" borderId="15" xfId="1" applyFont="1" applyFill="1" applyBorder="1" applyAlignment="1">
      <alignment horizontal="center" vertical="center" wrapText="1"/>
    </xf>
    <xf numFmtId="0" fontId="130" fillId="82" borderId="127" xfId="0" applyFont="1" applyFill="1" applyBorder="1" applyAlignment="1">
      <alignment horizontal="center" vertical="center" wrapText="1"/>
    </xf>
    <xf numFmtId="0" fontId="130" fillId="82" borderId="156" xfId="0" applyFont="1" applyFill="1" applyBorder="1" applyAlignment="1">
      <alignment horizontal="center" vertical="center" wrapText="1"/>
    </xf>
    <xf numFmtId="0" fontId="0" fillId="82" borderId="154" xfId="0" applyFill="1" applyBorder="1" applyAlignment="1">
      <alignment horizontal="center" vertical="center" wrapText="1"/>
    </xf>
    <xf numFmtId="0" fontId="0" fillId="82" borderId="0" xfId="0" applyFill="1" applyBorder="1" applyAlignment="1">
      <alignment horizontal="center" vertical="center" wrapText="1"/>
    </xf>
    <xf numFmtId="0" fontId="0" fillId="82" borderId="155" xfId="0" applyFill="1" applyBorder="1" applyAlignment="1">
      <alignment horizontal="center" vertical="center" wrapText="1"/>
    </xf>
    <xf numFmtId="175" fontId="134" fillId="240" borderId="158" xfId="1" applyFont="1" applyFill="1" applyBorder="1" applyAlignment="1">
      <alignment horizontal="center" vertical="center"/>
    </xf>
    <xf numFmtId="175" fontId="134" fillId="240" borderId="155" xfId="1" applyFont="1" applyFill="1" applyBorder="1" applyAlignment="1">
      <alignment horizontal="center" vertical="center"/>
    </xf>
    <xf numFmtId="0" fontId="133" fillId="200" borderId="143" xfId="0" applyFont="1" applyFill="1" applyBorder="1" applyAlignment="1">
      <alignment horizontal="center" vertical="center" wrapText="1"/>
    </xf>
    <xf numFmtId="0" fontId="133" fillId="200" borderId="144" xfId="0" applyFont="1" applyFill="1" applyBorder="1" applyAlignment="1">
      <alignment horizontal="center" vertical="center" wrapText="1"/>
    </xf>
    <xf numFmtId="0" fontId="133" fillId="200" borderId="147" xfId="0" applyFont="1" applyFill="1" applyBorder="1" applyAlignment="1">
      <alignment horizontal="center" vertical="center" wrapText="1"/>
    </xf>
    <xf numFmtId="0" fontId="136" fillId="233" borderId="141" xfId="0" applyFont="1" applyFill="1" applyBorder="1" applyAlignment="1">
      <alignment horizontal="center" vertical="center" wrapText="1"/>
    </xf>
    <xf numFmtId="0" fontId="136" fillId="233" borderId="142" xfId="0" applyFont="1" applyFill="1" applyBorder="1" applyAlignment="1">
      <alignment horizontal="center" vertical="center" wrapText="1"/>
    </xf>
    <xf numFmtId="0" fontId="133" fillId="190" borderId="141" xfId="0" applyFont="1" applyFill="1" applyBorder="1" applyAlignment="1">
      <alignment horizontal="center" vertical="center" wrapText="1"/>
    </xf>
    <xf numFmtId="0" fontId="133" fillId="190" borderId="142" xfId="0" applyFont="1" applyFill="1" applyBorder="1" applyAlignment="1">
      <alignment horizontal="center" vertical="center" wrapText="1"/>
    </xf>
    <xf numFmtId="0" fontId="133" fillId="200" borderId="142" xfId="0" applyFont="1" applyFill="1" applyBorder="1" applyAlignment="1">
      <alignment horizontal="center" vertical="center" wrapText="1"/>
    </xf>
    <xf numFmtId="0" fontId="133" fillId="110" borderId="143" xfId="0" applyFont="1" applyFill="1" applyBorder="1" applyAlignment="1">
      <alignment horizontal="center" vertical="center" wrapText="1"/>
    </xf>
    <xf numFmtId="0" fontId="133" fillId="110" borderId="144" xfId="0" applyFont="1" applyFill="1" applyBorder="1" applyAlignment="1">
      <alignment horizontal="center" vertical="center" wrapText="1"/>
    </xf>
    <xf numFmtId="0" fontId="133" fillId="110" borderId="147" xfId="0" applyFont="1" applyFill="1" applyBorder="1" applyAlignment="1">
      <alignment horizontal="center" vertical="center" wrapText="1"/>
    </xf>
    <xf numFmtId="0" fontId="133" fillId="218" borderId="143" xfId="0" applyFont="1" applyFill="1" applyBorder="1" applyAlignment="1">
      <alignment horizontal="center" vertical="center" wrapText="1"/>
    </xf>
    <xf numFmtId="0" fontId="133" fillId="218" borderId="144" xfId="0" applyFont="1" applyFill="1" applyBorder="1" applyAlignment="1">
      <alignment horizontal="center" vertical="center" wrapText="1"/>
    </xf>
    <xf numFmtId="0" fontId="133" fillId="218" borderId="142" xfId="0" applyFont="1" applyFill="1" applyBorder="1" applyAlignment="1">
      <alignment horizontal="center" vertical="center" wrapText="1"/>
    </xf>
    <xf numFmtId="175" fontId="47" fillId="90" borderId="31" xfId="1" applyFont="1" applyFill="1" applyBorder="1" applyAlignment="1">
      <alignment horizontal="center" vertical="center"/>
    </xf>
    <xf numFmtId="175" fontId="47" fillId="90" borderId="35" xfId="1" applyFont="1" applyFill="1" applyBorder="1" applyAlignment="1">
      <alignment horizontal="center" vertical="center"/>
    </xf>
    <xf numFmtId="175" fontId="47" fillId="90" borderId="132" xfId="1" applyFont="1" applyFill="1" applyBorder="1" applyAlignment="1">
      <alignment horizontal="center" vertical="center"/>
    </xf>
    <xf numFmtId="175" fontId="47" fillId="90" borderId="140" xfId="1" applyFont="1" applyFill="1" applyBorder="1" applyAlignment="1">
      <alignment horizontal="center" vertical="center"/>
    </xf>
    <xf numFmtId="175" fontId="130" fillId="235" borderId="154" xfId="1" applyFont="1" applyFill="1" applyBorder="1" applyAlignment="1">
      <alignment horizontal="center" vertical="center" wrapText="1"/>
    </xf>
    <xf numFmtId="175" fontId="130" fillId="235" borderId="0" xfId="1" applyFont="1" applyFill="1" applyBorder="1" applyAlignment="1">
      <alignment horizontal="center" vertical="center" wrapText="1"/>
    </xf>
    <xf numFmtId="175" fontId="130" fillId="235" borderId="155" xfId="1" applyFont="1" applyFill="1" applyBorder="1" applyAlignment="1">
      <alignment horizontal="center" vertical="center" wrapText="1"/>
    </xf>
    <xf numFmtId="0" fontId="140" fillId="190" borderId="133" xfId="0" applyFont="1" applyFill="1" applyBorder="1" applyAlignment="1">
      <alignment horizontal="center" vertical="center" wrapText="1"/>
    </xf>
    <xf numFmtId="0" fontId="140" fillId="190" borderId="136" xfId="0" applyFont="1" applyFill="1" applyBorder="1" applyAlignment="1">
      <alignment horizontal="center" vertical="center" wrapText="1"/>
    </xf>
    <xf numFmtId="0" fontId="140" fillId="190" borderId="137" xfId="0" applyFont="1" applyFill="1" applyBorder="1" applyAlignment="1">
      <alignment horizontal="center" vertical="center" wrapText="1"/>
    </xf>
    <xf numFmtId="0" fontId="0" fillId="82" borderId="154" xfId="0" applyFill="1" applyBorder="1" applyAlignment="1">
      <alignment horizontal="center" vertical="center"/>
    </xf>
    <xf numFmtId="0" fontId="0" fillId="82" borderId="155" xfId="0" applyFill="1" applyBorder="1" applyAlignment="1">
      <alignment horizontal="center" vertical="center"/>
    </xf>
    <xf numFmtId="0" fontId="0" fillId="234" borderId="28" xfId="0" applyFill="1" applyBorder="1" applyAlignment="1">
      <alignment horizontal="center" vertical="center" wrapText="1"/>
    </xf>
    <xf numFmtId="0" fontId="0" fillId="234" borderId="31" xfId="0" applyFill="1" applyBorder="1" applyAlignment="1">
      <alignment horizontal="center" vertical="center" wrapText="1"/>
    </xf>
    <xf numFmtId="0" fontId="0" fillId="234" borderId="35" xfId="0" applyFill="1" applyBorder="1" applyAlignment="1">
      <alignment horizontal="center" vertical="center" wrapText="1"/>
    </xf>
    <xf numFmtId="0" fontId="0" fillId="234" borderId="30" xfId="0" applyFill="1" applyBorder="1" applyAlignment="1">
      <alignment horizontal="center" vertical="center" wrapText="1"/>
    </xf>
    <xf numFmtId="0" fontId="0" fillId="0" borderId="0" xfId="0" applyAlignment="1">
      <alignment horizontal="center" vertical="center"/>
    </xf>
  </cellXfs>
  <cellStyles count="19">
    <cellStyle name="Excel Built-in Normal" xfId="1" xr:uid="{00000000-0005-0000-0000-000000000000}"/>
    <cellStyle name="Excel Built-in Normal 1" xfId="2" xr:uid="{00000000-0005-0000-0000-000001000000}"/>
    <cellStyle name="Heading" xfId="3" xr:uid="{00000000-0005-0000-0000-000002000000}"/>
    <cellStyle name="Heading 1" xfId="4" xr:uid="{00000000-0005-0000-0000-000003000000}"/>
    <cellStyle name="Heading1" xfId="5" xr:uid="{00000000-0005-0000-0000-000004000000}"/>
    <cellStyle name="Heading1 1" xfId="6" xr:uid="{00000000-0005-0000-0000-000005000000}"/>
    <cellStyle name="Lien hypertexte" xfId="18" builtinId="8"/>
    <cellStyle name="Milliers" xfId="15" builtinId="3"/>
    <cellStyle name="Monétaire" xfId="14" builtinId="4"/>
    <cellStyle name="Normal" xfId="0" builtinId="0" customBuiltin="1"/>
    <cellStyle name="Normal 2" xfId="7" xr:uid="{00000000-0005-0000-0000-00000A000000}"/>
    <cellStyle name="Normal 3" xfId="17" xr:uid="{00000000-0005-0000-0000-00000B000000}"/>
    <cellStyle name="Pourcentage" xfId="16" builtinId="5"/>
    <cellStyle name="Result" xfId="8" xr:uid="{00000000-0005-0000-0000-00000D000000}"/>
    <cellStyle name="Result 1" xfId="9" xr:uid="{00000000-0005-0000-0000-00000E000000}"/>
    <cellStyle name="Result2" xfId="10" xr:uid="{00000000-0005-0000-0000-00000F000000}"/>
    <cellStyle name="Result2 1" xfId="11" xr:uid="{00000000-0005-0000-0000-000010000000}"/>
    <cellStyle name="Sans nom1" xfId="12" xr:uid="{00000000-0005-0000-0000-000011000000}"/>
    <cellStyle name="SASKIT" xfId="13" xr:uid="{00000000-0005-0000-0000-000012000000}"/>
  </cellStyles>
  <dxfs count="18">
    <dxf>
      <font>
        <b val="0"/>
        <i val="0"/>
        <strike val="0"/>
        <condense val="0"/>
        <extend val="0"/>
        <outline val="0"/>
        <shadow val="0"/>
        <u val="none"/>
        <vertAlign val="baseline"/>
        <sz val="11"/>
        <color rgb="FF000000"/>
        <name val="Arial"/>
        <family val="2"/>
        <scheme val="none"/>
      </font>
      <fill>
        <patternFill patternType="solid">
          <fgColor rgb="FFCCFFCC"/>
          <bgColor rgb="FFCCFFCC"/>
        </patternFill>
      </fill>
      <alignment horizontal="center" vertical="center" textRotation="0" wrapText="1" indent="0" justifyLastLine="0" shrinkToFit="0" readingOrder="0"/>
      <border diagonalUp="0" diagonalDown="0">
        <left style="thin">
          <color rgb="FFFFFFFF"/>
        </left>
        <right style="thin">
          <color rgb="FFFFFFFF"/>
        </right>
        <top style="thin">
          <color rgb="FFFFFFFF"/>
        </top>
        <bottom style="thin">
          <color rgb="FFFFFFFF"/>
        </bottom>
        <vertical/>
        <horizontal/>
      </border>
    </dxf>
    <dxf>
      <fill>
        <patternFill patternType="solid">
          <fgColor rgb="FFCCFFFF"/>
          <bgColor rgb="FFCCFFFF"/>
        </patternFill>
      </fill>
      <alignment horizontal="center" vertical="center" textRotation="0" wrapText="1" indent="0" justifyLastLine="0" shrinkToFit="0" readingOrder="0"/>
      <border diagonalUp="0" diagonalDown="0">
        <left style="thin">
          <color rgb="FFFFFFFF"/>
        </left>
        <right style="thin">
          <color rgb="FFFFFFFF"/>
        </right>
        <top style="thin">
          <color rgb="FFFFFFFF"/>
        </top>
        <bottom style="thin">
          <color rgb="FFFFFFFF"/>
        </bottom>
        <vertical/>
        <horizontal/>
      </border>
    </dxf>
    <dxf>
      <numFmt numFmtId="167" formatCode="[$-40C]0.00"/>
      <fill>
        <patternFill patternType="solid">
          <fgColor rgb="FFCFE7F5"/>
          <bgColor rgb="FFCFE7F5"/>
        </patternFill>
      </fill>
      <alignment horizontal="center" vertical="center" textRotation="0" wrapText="1" indent="0" justifyLastLine="0" shrinkToFit="0" readingOrder="0"/>
      <border diagonalUp="0" diagonalDown="0">
        <left style="thin">
          <color rgb="FFFFFFFF"/>
        </left>
        <right style="thin">
          <color rgb="FFFFFFFF"/>
        </right>
        <top style="thin">
          <color rgb="FFFFFFFF"/>
        </top>
        <bottom style="thin">
          <color rgb="FFFFFFFF"/>
        </bottom>
        <vertical/>
        <horizontal/>
      </border>
    </dxf>
    <dxf>
      <fill>
        <patternFill patternType="solid">
          <fgColor rgb="FFDDDDDD"/>
          <bgColor rgb="FFDDDDDD"/>
        </patternFill>
      </fill>
      <alignment horizontal="center" vertical="center" textRotation="0" wrapText="1" indent="0" justifyLastLine="0" shrinkToFit="0" readingOrder="0"/>
      <border diagonalUp="0" diagonalDown="0">
        <left style="thin">
          <color rgb="FFFFFFFF"/>
        </left>
        <right style="thin">
          <color rgb="FFFFFFFF"/>
        </right>
        <top style="thin">
          <color rgb="FFFFFFFF"/>
        </top>
        <bottom style="thin">
          <color rgb="FFFFFFFF"/>
        </bottom>
        <vertical/>
        <horizontal/>
      </border>
    </dxf>
    <dxf>
      <fill>
        <patternFill patternType="solid">
          <fgColor rgb="FFDDDDDD"/>
          <bgColor rgb="FFDDDDDD"/>
        </patternFill>
      </fill>
      <alignment horizontal="center" vertical="center" textRotation="0" wrapText="1" indent="0" justifyLastLine="0" shrinkToFit="0" readingOrder="0"/>
      <border diagonalUp="0" diagonalDown="0">
        <left style="thin">
          <color rgb="FFFFFFFF"/>
        </left>
        <right style="thin">
          <color rgb="FFFFFFFF"/>
        </right>
        <top style="thin">
          <color rgb="FFFFFFFF"/>
        </top>
        <bottom style="thin">
          <color rgb="FFFFFFFF"/>
        </bottom>
        <vertical/>
        <horizontal/>
      </border>
    </dxf>
    <dxf>
      <border outline="0">
        <bottom style="thin">
          <color rgb="FFFFFFFF"/>
        </bottom>
      </border>
    </dxf>
    <dxf>
      <fill>
        <patternFill patternType="solid">
          <fgColor rgb="FFDDDDDD"/>
          <bgColor rgb="FFDDDDDD"/>
        </patternFill>
      </fill>
      <alignment horizontal="center" vertical="center" textRotation="0" wrapText="1" indent="0" justifyLastLine="0" shrinkToFit="0" readingOrder="0"/>
      <border diagonalUp="0" diagonalDown="0">
        <left style="thin">
          <color rgb="FFFFFFFF"/>
        </left>
        <right style="thin">
          <color rgb="FFFFFFFF"/>
        </right>
        <top style="thin">
          <color rgb="FFFFFFFF"/>
        </top>
        <bottom style="thin">
          <color rgb="FFFFFFFF"/>
        </bottom>
        <vertical/>
        <horizontal/>
      </border>
    </dxf>
    <dxf>
      <fill>
        <patternFill patternType="solid">
          <fgColor rgb="FFDDDDDD"/>
          <bgColor rgb="FFDDDDDD"/>
        </patternFill>
      </fill>
      <alignment horizontal="center" vertical="center" textRotation="0" wrapText="1" indent="0" justifyLastLine="0" shrinkToFit="0" readingOrder="0"/>
      <border diagonalUp="0" diagonalDown="0">
        <left style="thin">
          <color rgb="FFFFFFFF"/>
        </left>
        <right style="thin">
          <color rgb="FFFFFFFF"/>
        </right>
        <top style="thin">
          <color rgb="FFFFFFFF"/>
        </top>
        <bottom style="thin">
          <color rgb="FFFFFFFF"/>
        </bottom>
        <vertical/>
        <horizontal/>
      </border>
    </dxf>
    <dxf>
      <alignment horizontal="center" vertical="center" textRotation="0" wrapText="1" indent="0" justifyLastLine="0" shrinkToFit="0" readingOrder="0"/>
    </dxf>
    <dxf>
      <alignment horizontal="center" vertical="center" textRotation="0" wrapText="1" indent="0" justifyLastLine="0" shrinkToFit="0" readingOrder="0"/>
    </dxf>
    <dxf>
      <numFmt numFmtId="167" formatCode="[$-40C]0.00"/>
      <fill>
        <patternFill patternType="solid">
          <fgColor rgb="FFFFFFFF"/>
          <bgColor rgb="FFFFFFFF"/>
        </patternFill>
      </fill>
      <alignment horizontal="center" vertical="center" textRotation="0" wrapText="1" indent="0" justifyLastLine="0" shrinkToFit="0" readingOrder="0"/>
    </dxf>
    <dxf>
      <numFmt numFmtId="167" formatCode="[$-40C]0.00"/>
      <fill>
        <patternFill patternType="solid">
          <fgColor rgb="FFFFFFFF"/>
          <bgColor rgb="FFFFFFFF"/>
        </patternFill>
      </fill>
      <alignment horizontal="center" vertical="center" textRotation="0" wrapText="1" indent="0" justifyLastLine="0" shrinkToFit="0" readingOrder="0"/>
    </dxf>
    <dxf>
      <numFmt numFmtId="0" formatCode="General"/>
      <fill>
        <patternFill patternType="solid">
          <fgColor rgb="FFFBE5D6"/>
          <bgColor rgb="FFFBE5D6"/>
        </patternFill>
      </fill>
      <alignment horizontal="center" vertical="center" textRotation="0" wrapText="1" indent="0" justifyLastLine="0" shrinkToFit="0" readingOrder="0"/>
    </dxf>
    <dxf>
      <numFmt numFmtId="0" formatCode="General"/>
      <border diagonalUp="0" diagonalDown="0">
        <left style="thin">
          <color theme="0"/>
        </left>
        <right/>
        <top style="thin">
          <color theme="0"/>
        </top>
        <bottom style="thin">
          <color theme="0"/>
        </bottom>
        <vertical style="thin">
          <color theme="0"/>
        </vertical>
        <horizontal style="thin">
          <color theme="0"/>
        </horizontal>
      </border>
    </dxf>
    <dxf>
      <border diagonalUp="0" diagonalDown="0">
        <left style="thin">
          <color theme="0"/>
        </left>
        <right style="thin">
          <color theme="0"/>
        </right>
        <top style="thin">
          <color theme="0"/>
        </top>
        <bottom style="thin">
          <color theme="0"/>
        </bottom>
        <vertical style="thin">
          <color theme="0"/>
        </vertical>
        <horizontal style="thin">
          <color theme="0"/>
        </horizontal>
      </border>
    </dxf>
    <dxf>
      <border diagonalUp="0" diagonalDown="0" outline="0">
        <left style="thin">
          <color theme="0"/>
        </left>
        <right style="thin">
          <color theme="0"/>
        </right>
        <top style="thin">
          <color theme="0"/>
        </top>
        <bottom style="thin">
          <color theme="0"/>
        </bottom>
      </border>
    </dxf>
    <dxf>
      <alignment horizontal="right" vertical="center" textRotation="0" wrapText="1" indent="0" justifyLastLine="0" shrinkToFit="0" readingOrder="0"/>
      <border diagonalUp="0" diagonalDown="0" outline="0">
        <left/>
        <right style="thin">
          <color theme="0"/>
        </right>
        <top style="thin">
          <color theme="0"/>
        </top>
        <bottom style="thin">
          <color theme="0"/>
        </bottom>
      </border>
    </dxf>
    <dxf>
      <border diagonalUp="0" diagonalDown="0">
        <left style="thin">
          <color theme="0"/>
        </left>
        <right style="thin">
          <color theme="0"/>
        </right>
        <top/>
        <bottom/>
        <vertical style="thin">
          <color theme="0"/>
        </vertical>
        <horizontal style="thin">
          <color theme="0"/>
        </horizontal>
      </border>
    </dxf>
  </dxfs>
  <tableStyles count="1" defaultTableStyle="TableStyleMedium2" defaultPivotStyle="PivotStyleLight16">
    <tableStyle name="Style de tableau 1" pivot="0" count="0" xr9:uid="{00000000-0011-0000-FFFF-FFFF00000000}"/>
  </tableStyles>
  <colors>
    <mruColors>
      <color rgb="FFECBE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externalLink" Target="externalLinks/externalLink2.xml"/><Relationship Id="rId68" Type="http://schemas.microsoft.com/office/2007/relationships/slicerCache" Target="slicerCaches/slicerCache4.xml"/><Relationship Id="rId76"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microsoft.com/office/2007/relationships/slicerCache" Target="slicerCaches/slicerCache2.xml"/><Relationship Id="rId7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microsoft.com/office/2007/relationships/slicerCache" Target="slicerCaches/slicerCache1.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3.xml"/><Relationship Id="rId69" Type="http://schemas.microsoft.com/office/2007/relationships/slicerCache" Target="slicerCaches/slicerCache5.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07/relationships/slicerCache" Target="slicerCaches/slicerCache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1.xml"/><Relationship Id="rId70" Type="http://schemas.openxmlformats.org/officeDocument/2006/relationships/theme" Target="theme/theme1.xml"/><Relationship Id="rId75"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Répartition des matières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explosion val="3"/>
            <c:spPr>
              <a:solidFill>
                <a:schemeClr val="accent1"/>
              </a:solidFill>
              <a:ln w="19050">
                <a:solidFill>
                  <a:schemeClr val="lt1"/>
                </a:solidFill>
              </a:ln>
              <a:effectLst/>
            </c:spPr>
            <c:extLst>
              <c:ext xmlns:c16="http://schemas.microsoft.com/office/drawing/2014/chart" uri="{C3380CC4-5D6E-409C-BE32-E72D297353CC}">
                <c16:uniqueId val="{00000001-99C6-44E4-B1FE-5A041A81BE9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05-40AA-A3A8-091470876E7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05-40AA-A3A8-091470876E7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Simulation!$AY$17:$AY$19</c:f>
              <c:strCache>
                <c:ptCount val="3"/>
                <c:pt idx="0">
                  <c:v> SASKIT </c:v>
                </c:pt>
                <c:pt idx="1">
                  <c:v>Autres</c:v>
                </c:pt>
                <c:pt idx="2">
                  <c:v>Marge</c:v>
                </c:pt>
              </c:strCache>
            </c:strRef>
          </c:cat>
          <c:val>
            <c:numRef>
              <c:f>Simulation!$AZ$17:$AZ$19</c:f>
              <c:numCache>
                <c:formatCode>#\ ##0.00\ "€"</c:formatCode>
                <c:ptCount val="3"/>
                <c:pt idx="0">
                  <c:v>1880.79</c:v>
                </c:pt>
                <c:pt idx="1">
                  <c:v>3086.9378860000006</c:v>
                </c:pt>
                <c:pt idx="2">
                  <c:v>1490.3183658000007</c:v>
                </c:pt>
              </c:numCache>
            </c:numRef>
          </c:val>
          <c:extLst>
            <c:ext xmlns:c16="http://schemas.microsoft.com/office/drawing/2014/chart" uri="{C3380CC4-5D6E-409C-BE32-E72D297353CC}">
              <c16:uniqueId val="{00000000-99C6-44E4-B1FE-5A041A81BE9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Répartition</a:t>
            </a:r>
            <a:r>
              <a:rPr lang="fr-FR" baseline="0"/>
              <a:t> de la main d'oeuvre</a:t>
            </a:r>
            <a:endParaRPr lang="fr-FR"/>
          </a:p>
        </c:rich>
      </c:tx>
      <c:overlay val="0"/>
      <c:spPr>
        <a:noFill/>
        <a:ln>
          <a:noFill/>
        </a:ln>
        <a:effectLst/>
      </c:spPr>
    </c:title>
    <c:autoTitleDeleted val="0"/>
    <c:plotArea>
      <c:layout/>
      <c:pieChart>
        <c:varyColors val="1"/>
        <c:ser>
          <c:idx val="1"/>
          <c:order val="0"/>
          <c:dPt>
            <c:idx val="0"/>
            <c:bubble3D val="0"/>
            <c:extLst>
              <c:ext xmlns:c16="http://schemas.microsoft.com/office/drawing/2014/chart" uri="{C3380CC4-5D6E-409C-BE32-E72D297353CC}">
                <c16:uniqueId val="{0000000F-006B-48EE-82EF-429A8D0DF6D9}"/>
              </c:ext>
            </c:extLst>
          </c:dPt>
          <c:dPt>
            <c:idx val="1"/>
            <c:bubble3D val="0"/>
            <c:extLst>
              <c:ext xmlns:c16="http://schemas.microsoft.com/office/drawing/2014/chart" uri="{C3380CC4-5D6E-409C-BE32-E72D297353CC}">
                <c16:uniqueId val="{00000010-006B-48EE-82EF-429A8D0DF6D9}"/>
              </c:ext>
            </c:extLst>
          </c:dPt>
          <c:dPt>
            <c:idx val="2"/>
            <c:bubble3D val="0"/>
            <c:extLst>
              <c:ext xmlns:c16="http://schemas.microsoft.com/office/drawing/2014/chart" uri="{C3380CC4-5D6E-409C-BE32-E72D297353CC}">
                <c16:uniqueId val="{00000011-006B-48EE-82EF-429A8D0DF6D9}"/>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Simulation!$AX$22:$AX$24</c:f>
              <c:strCache>
                <c:ptCount val="3"/>
                <c:pt idx="0">
                  <c:v>MO Atelier</c:v>
                </c:pt>
                <c:pt idx="1">
                  <c:v>MO Chantier</c:v>
                </c:pt>
                <c:pt idx="2">
                  <c:v>MINIPELLE</c:v>
                </c:pt>
              </c:strCache>
            </c:strRef>
          </c:cat>
          <c:val>
            <c:numRef>
              <c:f>Simulation!$AZ$22:$AZ$24</c:f>
              <c:numCache>
                <c:formatCode>#\ ##0.00\ "€"</c:formatCode>
                <c:ptCount val="3"/>
                <c:pt idx="0">
                  <c:v>665.78700000000003</c:v>
                </c:pt>
                <c:pt idx="1">
                  <c:v>1359.5225</c:v>
                </c:pt>
                <c:pt idx="2">
                  <c:v>1214.95</c:v>
                </c:pt>
              </c:numCache>
            </c:numRef>
          </c:val>
          <c:extLst>
            <c:ext xmlns:c16="http://schemas.microsoft.com/office/drawing/2014/chart" uri="{C3380CC4-5D6E-409C-BE32-E72D297353CC}">
              <c16:uniqueId val="{0000000E-006B-48EE-82EF-429A8D0DF6D9}"/>
            </c:ext>
          </c:extLst>
        </c:ser>
        <c:ser>
          <c:idx val="0"/>
          <c:order val="1"/>
          <c:dPt>
            <c:idx val="0"/>
            <c:bubble3D val="0"/>
            <c:explosion val="3"/>
            <c:spPr>
              <a:solidFill>
                <a:schemeClr val="accent1"/>
              </a:solidFill>
              <a:ln w="19050">
                <a:solidFill>
                  <a:schemeClr val="lt1"/>
                </a:solidFill>
              </a:ln>
              <a:effectLst/>
            </c:spPr>
            <c:extLst>
              <c:ext xmlns:c16="http://schemas.microsoft.com/office/drawing/2014/chart" uri="{C3380CC4-5D6E-409C-BE32-E72D297353CC}">
                <c16:uniqueId val="{00000008-006B-48EE-82EF-429A8D0DF6D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A-006B-48EE-82EF-429A8D0DF6D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C-006B-48EE-82EF-429A8D0DF6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Simulation!$AX$22:$AX$24</c:f>
              <c:strCache>
                <c:ptCount val="3"/>
                <c:pt idx="0">
                  <c:v>MO Atelier</c:v>
                </c:pt>
                <c:pt idx="1">
                  <c:v>MO Chantier</c:v>
                </c:pt>
                <c:pt idx="2">
                  <c:v>MINIPELLE</c:v>
                </c:pt>
              </c:strCache>
            </c:strRef>
          </c:cat>
          <c:val>
            <c:numRef>
              <c:f>Simulation!$AZ$22:$AZ$24</c:f>
              <c:numCache>
                <c:formatCode>#\ ##0.00\ "€"</c:formatCode>
                <c:ptCount val="3"/>
                <c:pt idx="0">
                  <c:v>665.78700000000003</c:v>
                </c:pt>
                <c:pt idx="1">
                  <c:v>1359.5225</c:v>
                </c:pt>
                <c:pt idx="2">
                  <c:v>1214.95</c:v>
                </c:pt>
              </c:numCache>
            </c:numRef>
          </c:val>
          <c:extLst>
            <c:ext xmlns:c16="http://schemas.microsoft.com/office/drawing/2014/chart" uri="{C3380CC4-5D6E-409C-BE32-E72D297353CC}">
              <c16:uniqueId val="{0000000D-006B-48EE-82EF-429A8D0DF6D9}"/>
            </c:ext>
          </c:extLst>
        </c:ser>
        <c:dLbls>
          <c:showLegendKey val="0"/>
          <c:showVal val="0"/>
          <c:showCatName val="0"/>
          <c:showSerName val="0"/>
          <c:showPercent val="0"/>
          <c:showBubbleSize val="0"/>
          <c:showLeaderLines val="1"/>
        </c:dLbls>
        <c:firstSliceAng val="0"/>
      </c:pieChart>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Répartition des charges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explosion val="3"/>
            <c:spPr>
              <a:solidFill>
                <a:schemeClr val="accent1"/>
              </a:solidFill>
              <a:ln w="19050">
                <a:solidFill>
                  <a:schemeClr val="lt1"/>
                </a:solidFill>
              </a:ln>
              <a:effectLst/>
            </c:spPr>
            <c:extLst>
              <c:ext xmlns:c16="http://schemas.microsoft.com/office/drawing/2014/chart" uri="{C3380CC4-5D6E-409C-BE32-E72D297353CC}">
                <c16:uniqueId val="{00000001-99C6-44E4-B1FE-5A041A81BE9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44F-4745-846F-6AA5BFF20ED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44F-4745-846F-6AA5BFF20ED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5B9-4A77-9792-C64C66C6212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Simulation!$AX$6:$AX$9</c:f>
              <c:strCache>
                <c:ptCount val="4"/>
                <c:pt idx="0">
                  <c:v>SASKIT</c:v>
                </c:pt>
                <c:pt idx="1">
                  <c:v>AQUATIRIS (redevances)</c:v>
                </c:pt>
                <c:pt idx="2">
                  <c:v>Matériaux</c:v>
                </c:pt>
                <c:pt idx="3">
                  <c:v>Main d'œuvre</c:v>
                </c:pt>
              </c:strCache>
            </c:strRef>
          </c:cat>
          <c:val>
            <c:numRef>
              <c:f>Simulation!$AZ$6:$AZ$9</c:f>
              <c:numCache>
                <c:formatCode>#\ ##0.00\ "€"</c:formatCode>
                <c:ptCount val="4"/>
                <c:pt idx="0">
                  <c:v>1880.79</c:v>
                </c:pt>
                <c:pt idx="1">
                  <c:v>750</c:v>
                </c:pt>
                <c:pt idx="2">
                  <c:v>3086.9378860000006</c:v>
                </c:pt>
                <c:pt idx="3">
                  <c:v>3240.2595000000001</c:v>
                </c:pt>
              </c:numCache>
            </c:numRef>
          </c:val>
          <c:extLst>
            <c:ext xmlns:c16="http://schemas.microsoft.com/office/drawing/2014/chart" uri="{C3380CC4-5D6E-409C-BE32-E72D297353CC}">
              <c16:uniqueId val="{00000000-99C6-44E4-B1FE-5A041A81BE9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Répartition</a:t>
            </a:r>
            <a:r>
              <a:rPr lang="fr-FR" baseline="0"/>
              <a:t> des temps</a:t>
            </a:r>
            <a:endParaRPr lang="fr-FR"/>
          </a:p>
        </c:rich>
      </c:tx>
      <c:overlay val="0"/>
      <c:spPr>
        <a:noFill/>
        <a:ln>
          <a:noFill/>
        </a:ln>
        <a:effectLst/>
      </c:spPr>
    </c:title>
    <c:autoTitleDeleted val="0"/>
    <c:plotArea>
      <c:layout/>
      <c:pieChart>
        <c:varyColors val="1"/>
        <c:ser>
          <c:idx val="1"/>
          <c:order val="0"/>
          <c:dPt>
            <c:idx val="0"/>
            <c:bubble3D val="0"/>
            <c:extLst>
              <c:ext xmlns:c16="http://schemas.microsoft.com/office/drawing/2014/chart" uri="{C3380CC4-5D6E-409C-BE32-E72D297353CC}">
                <c16:uniqueId val="{00000000-9807-42E8-A48A-7ABA562898C8}"/>
              </c:ext>
            </c:extLst>
          </c:dPt>
          <c:dPt>
            <c:idx val="1"/>
            <c:bubble3D val="0"/>
            <c:extLst>
              <c:ext xmlns:c16="http://schemas.microsoft.com/office/drawing/2014/chart" uri="{C3380CC4-5D6E-409C-BE32-E72D297353CC}">
                <c16:uniqueId val="{00000001-9807-42E8-A48A-7ABA562898C8}"/>
              </c:ext>
            </c:extLst>
          </c:dPt>
          <c:dPt>
            <c:idx val="2"/>
            <c:bubble3D val="0"/>
            <c:extLst>
              <c:ext xmlns:c16="http://schemas.microsoft.com/office/drawing/2014/chart" uri="{C3380CC4-5D6E-409C-BE32-E72D297353CC}">
                <c16:uniqueId val="{00000002-9807-42E8-A48A-7ABA562898C8}"/>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Simulation!$BE$7:$BE$9</c:f>
              <c:strCache>
                <c:ptCount val="3"/>
                <c:pt idx="0">
                  <c:v>Atelier</c:v>
                </c:pt>
                <c:pt idx="1">
                  <c:v>Chantier</c:v>
                </c:pt>
                <c:pt idx="2">
                  <c:v>Minipelle</c:v>
                </c:pt>
              </c:strCache>
            </c:strRef>
          </c:cat>
          <c:val>
            <c:numRef>
              <c:f>Simulation!$BF$7:$BF$9</c:f>
              <c:numCache>
                <c:formatCode>0.00</c:formatCode>
                <c:ptCount val="3"/>
                <c:pt idx="0">
                  <c:v>14.795266666666667</c:v>
                </c:pt>
                <c:pt idx="1">
                  <c:v>30.211611111111111</c:v>
                </c:pt>
                <c:pt idx="2">
                  <c:v>15.186875000000001</c:v>
                </c:pt>
              </c:numCache>
            </c:numRef>
          </c:val>
          <c:extLst>
            <c:ext xmlns:c16="http://schemas.microsoft.com/office/drawing/2014/chart" uri="{C3380CC4-5D6E-409C-BE32-E72D297353CC}">
              <c16:uniqueId val="{00000003-9807-42E8-A48A-7ABA562898C8}"/>
            </c:ext>
          </c:extLst>
        </c:ser>
        <c:dLbls>
          <c:showLegendKey val="0"/>
          <c:showVal val="0"/>
          <c:showCatName val="0"/>
          <c:showSerName val="0"/>
          <c:showPercent val="0"/>
          <c:showBubbleSize val="0"/>
          <c:showLeaderLines val="1"/>
        </c:dLbls>
        <c:firstSliceAng val="0"/>
      </c:pieChart>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spPr>
            <a:ln w="28575" cap="rnd">
              <a:solidFill>
                <a:schemeClr val="accent1"/>
              </a:solidFill>
              <a:round/>
            </a:ln>
            <a:effectLst/>
          </c:spPr>
          <c:marker>
            <c:symbol val="none"/>
          </c:marker>
          <c:val>
            <c:numRef>
              <c:f>'Tableau de prix'!$G$91:$X$91</c:f>
              <c:numCache>
                <c:formatCode>0</c:formatCode>
                <c:ptCount val="18"/>
                <c:pt idx="0">
                  <c:v>2656.2445625199998</c:v>
                </c:pt>
                <c:pt idx="1">
                  <c:v>3316.5706210000008</c:v>
                </c:pt>
                <c:pt idx="2">
                  <c:v>4024.3169082000004</c:v>
                </c:pt>
                <c:pt idx="3">
                  <c:v>4597.1336518000007</c:v>
                </c:pt>
                <c:pt idx="4">
                  <c:v>5273.3435953999997</c:v>
                </c:pt>
                <c:pt idx="5">
                  <c:v>5863.8891389999999</c:v>
                </c:pt>
                <c:pt idx="6">
                  <c:v>6463.4502826000007</c:v>
                </c:pt>
                <c:pt idx="7">
                  <c:v>6969.7974262000007</c:v>
                </c:pt>
                <c:pt idx="8">
                  <c:v>7535.2697698000002</c:v>
                </c:pt>
                <c:pt idx="9">
                  <c:v>8776.1220570000005</c:v>
                </c:pt>
                <c:pt idx="10">
                  <c:v>8972.766744200002</c:v>
                </c:pt>
                <c:pt idx="11">
                  <c:v>9993.4994877999998</c:v>
                </c:pt>
                <c:pt idx="12">
                  <c:v>9950.5871442000007</c:v>
                </c:pt>
                <c:pt idx="13">
                  <c:v>11018.732231400001</c:v>
                </c:pt>
                <c:pt idx="14">
                  <c:v>12260.586575000001</c:v>
                </c:pt>
                <c:pt idx="15">
                  <c:v>12390.077718600003</c:v>
                </c:pt>
                <c:pt idx="16">
                  <c:v>13408.832005800001</c:v>
                </c:pt>
                <c:pt idx="17">
                  <c:v>13330.465318600003</c:v>
                </c:pt>
              </c:numCache>
            </c:numRef>
          </c:val>
          <c:smooth val="0"/>
          <c:extLst>
            <c:ext xmlns:c16="http://schemas.microsoft.com/office/drawing/2014/chart" uri="{C3380CC4-5D6E-409C-BE32-E72D297353CC}">
              <c16:uniqueId val="{00000000-A439-4543-8782-13A405BD3507}"/>
            </c:ext>
          </c:extLst>
        </c:ser>
        <c:ser>
          <c:idx val="1"/>
          <c:order val="1"/>
          <c:spPr>
            <a:ln w="28575" cap="rnd">
              <a:solidFill>
                <a:schemeClr val="accent2"/>
              </a:solidFill>
              <a:round/>
            </a:ln>
            <a:effectLst/>
          </c:spPr>
          <c:marker>
            <c:symbol val="none"/>
          </c:marker>
          <c:val>
            <c:numRef>
              <c:f>'Tableau de prix'!$G$92:$X$92</c:f>
              <c:numCache>
                <c:formatCode>0</c:formatCode>
                <c:ptCount val="18"/>
                <c:pt idx="0">
                  <c:v>2997.0015685999997</c:v>
                </c:pt>
                <c:pt idx="1">
                  <c:v>3804.4752050000006</c:v>
                </c:pt>
                <c:pt idx="2">
                  <c:v>4679.8888810000008</c:v>
                </c:pt>
                <c:pt idx="3">
                  <c:v>5340.8479790000001</c:v>
                </c:pt>
                <c:pt idx="4">
                  <c:v>6078.2002769999999</c:v>
                </c:pt>
                <c:pt idx="5">
                  <c:v>6752.388175</c:v>
                </c:pt>
                <c:pt idx="6">
                  <c:v>7426.5916730000008</c:v>
                </c:pt>
                <c:pt idx="7">
                  <c:v>8016.772511000001</c:v>
                </c:pt>
                <c:pt idx="8">
                  <c:v>8675.0785489999998</c:v>
                </c:pt>
                <c:pt idx="9">
                  <c:v>10025.636224999998</c:v>
                </c:pt>
                <c:pt idx="10">
                  <c:v>10399.330980999999</c:v>
                </c:pt>
                <c:pt idx="11">
                  <c:v>11499.206079</c:v>
                </c:pt>
                <c:pt idx="12">
                  <c:v>11358.768701000001</c:v>
                </c:pt>
                <c:pt idx="13">
                  <c:v>12599.081177000002</c:v>
                </c:pt>
                <c:pt idx="14">
                  <c:v>13915.577875000003</c:v>
                </c:pt>
                <c:pt idx="15">
                  <c:v>14133.594053000004</c:v>
                </c:pt>
                <c:pt idx="16">
                  <c:v>15315.515729000002</c:v>
                </c:pt>
                <c:pt idx="17">
                  <c:v>15051.098973000004</c:v>
                </c:pt>
              </c:numCache>
            </c:numRef>
          </c:val>
          <c:smooth val="0"/>
          <c:extLst>
            <c:ext xmlns:c16="http://schemas.microsoft.com/office/drawing/2014/chart" uri="{C3380CC4-5D6E-409C-BE32-E72D297353CC}">
              <c16:uniqueId val="{00000001-A439-4543-8782-13A405BD3507}"/>
            </c:ext>
          </c:extLst>
        </c:ser>
        <c:ser>
          <c:idx val="2"/>
          <c:order val="2"/>
          <c:spPr>
            <a:ln w="28575" cap="rnd">
              <a:solidFill>
                <a:schemeClr val="accent3"/>
              </a:solidFill>
              <a:round/>
            </a:ln>
            <a:effectLst/>
          </c:spPr>
          <c:marker>
            <c:symbol val="none"/>
          </c:marker>
          <c:val>
            <c:numRef>
              <c:f>'Tableau de prix'!$G$93:$X$93</c:f>
              <c:numCache>
                <c:formatCode>0</c:formatCode>
                <c:ptCount val="18"/>
                <c:pt idx="0">
                  <c:v>2226.3746335999999</c:v>
                </c:pt>
                <c:pt idx="1">
                  <c:v>2846.6823800000002</c:v>
                </c:pt>
                <c:pt idx="2">
                  <c:v>3517.9638760000003</c:v>
                </c:pt>
                <c:pt idx="3">
                  <c:v>4072.5482240000001</c:v>
                </c:pt>
                <c:pt idx="4">
                  <c:v>4703.5257719999991</c:v>
                </c:pt>
                <c:pt idx="5">
                  <c:v>5271.3389200000001</c:v>
                </c:pt>
                <c:pt idx="6">
                  <c:v>5839.167668000001</c:v>
                </c:pt>
                <c:pt idx="7">
                  <c:v>6327.282416</c:v>
                </c:pt>
                <c:pt idx="8">
                  <c:v>6883.5223640000004</c:v>
                </c:pt>
                <c:pt idx="9">
                  <c:v>8029.9478599999993</c:v>
                </c:pt>
                <c:pt idx="10">
                  <c:v>8208.1277559999999</c:v>
                </c:pt>
                <c:pt idx="11">
                  <c:v>9201.6281039999994</c:v>
                </c:pt>
                <c:pt idx="12">
                  <c:v>9158.9481560000004</c:v>
                </c:pt>
                <c:pt idx="13">
                  <c:v>10195.128452000001</c:v>
                </c:pt>
                <c:pt idx="14">
                  <c:v>11405.250400000001</c:v>
                </c:pt>
                <c:pt idx="15">
                  <c:v>11525.509148000001</c:v>
                </c:pt>
                <c:pt idx="16">
                  <c:v>12503.298644</c:v>
                </c:pt>
                <c:pt idx="17">
                  <c:v>12434.396748000003</c:v>
                </c:pt>
              </c:numCache>
            </c:numRef>
          </c:val>
          <c:smooth val="0"/>
          <c:extLst>
            <c:ext xmlns:c16="http://schemas.microsoft.com/office/drawing/2014/chart" uri="{C3380CC4-5D6E-409C-BE32-E72D297353CC}">
              <c16:uniqueId val="{00000002-A439-4543-8782-13A405BD3507}"/>
            </c:ext>
          </c:extLst>
        </c:ser>
        <c:ser>
          <c:idx val="3"/>
          <c:order val="3"/>
          <c:spPr>
            <a:ln w="28575" cap="rnd">
              <a:solidFill>
                <a:schemeClr val="accent4"/>
              </a:solidFill>
              <a:round/>
            </a:ln>
            <a:effectLst/>
          </c:spPr>
          <c:marker>
            <c:symbol val="none"/>
          </c:marker>
          <c:val>
            <c:numRef>
              <c:f>'Tableau de prix'!$G$94:$X$94</c:f>
              <c:numCache>
                <c:formatCode>0</c:formatCode>
                <c:ptCount val="18"/>
                <c:pt idx="0">
                  <c:v>2677.6786000000002</c:v>
                </c:pt>
                <c:pt idx="1">
                  <c:v>3141.6955000000007</c:v>
                </c:pt>
                <c:pt idx="2">
                  <c:v>3975.4035000000003</c:v>
                </c:pt>
                <c:pt idx="3">
                  <c:v>4741.7011000000002</c:v>
                </c:pt>
                <c:pt idx="4">
                  <c:v>5584.3918999999987</c:v>
                </c:pt>
                <c:pt idx="5">
                  <c:v>6363.9182999999994</c:v>
                </c:pt>
                <c:pt idx="6">
                  <c:v>7143.4603000000006</c:v>
                </c:pt>
                <c:pt idx="7">
                  <c:v>7843.2883000000002</c:v>
                </c:pt>
                <c:pt idx="8">
                  <c:v>8611.2415000000001</c:v>
                </c:pt>
                <c:pt idx="9">
                  <c:v>10145.093499999999</c:v>
                </c:pt>
                <c:pt idx="10">
                  <c:v>10260.6999</c:v>
                </c:pt>
                <c:pt idx="11">
                  <c:v>11690.913499999999</c:v>
                </c:pt>
                <c:pt idx="12">
                  <c:v>11733.5203</c:v>
                </c:pt>
                <c:pt idx="13">
                  <c:v>13157.127100000002</c:v>
                </c:pt>
                <c:pt idx="14">
                  <c:v>14803.962300000001</c:v>
                </c:pt>
                <c:pt idx="15">
                  <c:v>14910.934300000001</c:v>
                </c:pt>
                <c:pt idx="16">
                  <c:v>16276.150300000001</c:v>
                </c:pt>
                <c:pt idx="17">
                  <c:v>16341.821900000003</c:v>
                </c:pt>
              </c:numCache>
            </c:numRef>
          </c:val>
          <c:smooth val="0"/>
          <c:extLst>
            <c:ext xmlns:c16="http://schemas.microsoft.com/office/drawing/2014/chart" uri="{C3380CC4-5D6E-409C-BE32-E72D297353CC}">
              <c16:uniqueId val="{00000003-A439-4543-8782-13A405BD3507}"/>
            </c:ext>
          </c:extLst>
        </c:ser>
        <c:ser>
          <c:idx val="4"/>
          <c:order val="4"/>
          <c:spPr>
            <a:ln w="28575" cap="rnd">
              <a:solidFill>
                <a:schemeClr val="accent5"/>
              </a:solidFill>
              <a:round/>
            </a:ln>
            <a:effectLst/>
          </c:spPr>
          <c:marker>
            <c:symbol val="none"/>
          </c:marker>
          <c:val>
            <c:numRef>
              <c:f>'Tableau de prix'!$G$95:$X$95</c:f>
              <c:numCache>
                <c:formatCode>0</c:formatCode>
                <c:ptCount val="18"/>
                <c:pt idx="0">
                  <c:v>1852.2471700000001</c:v>
                </c:pt>
                <c:pt idx="1">
                  <c:v>2412.3736833333337</c:v>
                </c:pt>
                <c:pt idx="2">
                  <c:v>3013.193666666667</c:v>
                </c:pt>
                <c:pt idx="3">
                  <c:v>3545.0324000000001</c:v>
                </c:pt>
                <c:pt idx="4">
                  <c:v>4153.2643333333326</c:v>
                </c:pt>
                <c:pt idx="5">
                  <c:v>4698.3318666666664</c:v>
                </c:pt>
                <c:pt idx="6">
                  <c:v>5243.4150000000009</c:v>
                </c:pt>
                <c:pt idx="7">
                  <c:v>5707.5556333333334</c:v>
                </c:pt>
                <c:pt idx="8">
                  <c:v>6239.8214666666663</c:v>
                </c:pt>
                <c:pt idx="9">
                  <c:v>7337.7854499999994</c:v>
                </c:pt>
                <c:pt idx="10">
                  <c:v>7421.0468333333338</c:v>
                </c:pt>
                <c:pt idx="11">
                  <c:v>8413.801566666667</c:v>
                </c:pt>
                <c:pt idx="12">
                  <c:v>8419.3508000000002</c:v>
                </c:pt>
                <c:pt idx="13">
                  <c:v>9407.0695833333339</c:v>
                </c:pt>
                <c:pt idx="14">
                  <c:v>10616.445916666667</c:v>
                </c:pt>
                <c:pt idx="15">
                  <c:v>10689.502050000003</c:v>
                </c:pt>
                <c:pt idx="16">
                  <c:v>11618.830033333334</c:v>
                </c:pt>
                <c:pt idx="17">
                  <c:v>11645.873216666669</c:v>
                </c:pt>
              </c:numCache>
            </c:numRef>
          </c:val>
          <c:smooth val="0"/>
          <c:extLst>
            <c:ext xmlns:c16="http://schemas.microsoft.com/office/drawing/2014/chart" uri="{C3380CC4-5D6E-409C-BE32-E72D297353CC}">
              <c16:uniqueId val="{00000004-A439-4543-8782-13A405BD3507}"/>
            </c:ext>
          </c:extLst>
        </c:ser>
        <c:ser>
          <c:idx val="5"/>
          <c:order val="5"/>
          <c:spPr>
            <a:ln w="28575" cap="rnd">
              <a:solidFill>
                <a:schemeClr val="accent6"/>
              </a:solidFill>
              <a:round/>
            </a:ln>
            <a:effectLst/>
          </c:spPr>
          <c:marker>
            <c:symbol val="none"/>
          </c:marker>
          <c:val>
            <c:numRef>
              <c:f>'Tableau de prix'!$G$96:$X$96</c:f>
              <c:numCache>
                <c:formatCode>0</c:formatCode>
                <c:ptCount val="18"/>
                <c:pt idx="0">
                  <c:v>2233.1669887600001</c:v>
                </c:pt>
                <c:pt idx="1">
                  <c:v>2842.7714330000008</c:v>
                </c:pt>
                <c:pt idx="2">
                  <c:v>3501.5458466000005</c:v>
                </c:pt>
                <c:pt idx="3">
                  <c:v>4058.8179934</c:v>
                </c:pt>
                <c:pt idx="4">
                  <c:v>4701.4833401999995</c:v>
                </c:pt>
                <c:pt idx="5">
                  <c:v>5267.4842869999993</c:v>
                </c:pt>
                <c:pt idx="6">
                  <c:v>5842.5008338000007</c:v>
                </c:pt>
                <c:pt idx="7">
                  <c:v>6335.3620406000009</c:v>
                </c:pt>
                <c:pt idx="8">
                  <c:v>6900.8484473999997</c:v>
                </c:pt>
                <c:pt idx="9">
                  <c:v>7934.324360999999</c:v>
                </c:pt>
                <c:pt idx="10">
                  <c:v>8073.6644946000015</c:v>
                </c:pt>
                <c:pt idx="11">
                  <c:v>9071.8776413999985</c:v>
                </c:pt>
                <c:pt idx="12">
                  <c:v>9059.8675746000008</c:v>
                </c:pt>
                <c:pt idx="13">
                  <c:v>10092.590788200001</c:v>
                </c:pt>
                <c:pt idx="14">
                  <c:v>11320.925535</c:v>
                </c:pt>
                <c:pt idx="15">
                  <c:v>11428.514401800003</c:v>
                </c:pt>
                <c:pt idx="16">
                  <c:v>12407.3468154</c:v>
                </c:pt>
                <c:pt idx="17">
                  <c:v>12377.284681800003</c:v>
                </c:pt>
              </c:numCache>
            </c:numRef>
          </c:val>
          <c:smooth val="0"/>
          <c:extLst>
            <c:ext xmlns:c16="http://schemas.microsoft.com/office/drawing/2014/chart" uri="{C3380CC4-5D6E-409C-BE32-E72D297353CC}">
              <c16:uniqueId val="{00000005-A439-4543-8782-13A405BD3507}"/>
            </c:ext>
          </c:extLst>
        </c:ser>
        <c:ser>
          <c:idx val="6"/>
          <c:order val="6"/>
          <c:spPr>
            <a:ln w="28575" cap="rnd">
              <a:solidFill>
                <a:schemeClr val="accent1">
                  <a:lumMod val="60000"/>
                </a:schemeClr>
              </a:solidFill>
              <a:round/>
            </a:ln>
            <a:effectLst/>
          </c:spPr>
          <c:marker>
            <c:symbol val="none"/>
          </c:marker>
          <c:val>
            <c:numRef>
              <c:f>'Tableau de prix'!$G$97:$X$97</c:f>
              <c:numCache>
                <c:formatCode>0</c:formatCode>
                <c:ptCount val="18"/>
                <c:pt idx="0">
                  <c:v>2038.5513449999999</c:v>
                </c:pt>
                <c:pt idx="1">
                  <c:v>2629.5446500000007</c:v>
                </c:pt>
                <c:pt idx="2">
                  <c:v>3265.8101000000001</c:v>
                </c:pt>
                <c:pt idx="3">
                  <c:v>3813.8864249999997</c:v>
                </c:pt>
                <c:pt idx="4">
                  <c:v>4438.3559499999992</c:v>
                </c:pt>
                <c:pt idx="5">
                  <c:v>4999.661075</c:v>
                </c:pt>
                <c:pt idx="6">
                  <c:v>5560.9818000000014</c:v>
                </c:pt>
                <c:pt idx="7">
                  <c:v>6042.5885250000001</c:v>
                </c:pt>
                <c:pt idx="8">
                  <c:v>6592.3204499999993</c:v>
                </c:pt>
                <c:pt idx="9">
                  <c:v>7725.7298999999994</c:v>
                </c:pt>
                <c:pt idx="10">
                  <c:v>7846.8937500000011</c:v>
                </c:pt>
                <c:pt idx="11">
                  <c:v>8855.8860750000003</c:v>
                </c:pt>
                <c:pt idx="12">
                  <c:v>8841.7141499999998</c:v>
                </c:pt>
                <c:pt idx="13">
                  <c:v>9864.8784000000014</c:v>
                </c:pt>
                <c:pt idx="14">
                  <c:v>11090.492325000001</c:v>
                </c:pt>
                <c:pt idx="15">
                  <c:v>11182.243050000003</c:v>
                </c:pt>
                <c:pt idx="16">
                  <c:v>12147.016500000002</c:v>
                </c:pt>
                <c:pt idx="17">
                  <c:v>12135.130650000003</c:v>
                </c:pt>
              </c:numCache>
            </c:numRef>
          </c:val>
          <c:smooth val="0"/>
          <c:extLst>
            <c:ext xmlns:c16="http://schemas.microsoft.com/office/drawing/2014/chart" uri="{C3380CC4-5D6E-409C-BE32-E72D297353CC}">
              <c16:uniqueId val="{00000006-A439-4543-8782-13A405BD3507}"/>
            </c:ext>
          </c:extLst>
        </c:ser>
        <c:ser>
          <c:idx val="7"/>
          <c:order val="7"/>
          <c:spPr>
            <a:ln w="28575" cap="rnd">
              <a:solidFill>
                <a:schemeClr val="accent2">
                  <a:lumMod val="60000"/>
                </a:schemeClr>
              </a:solidFill>
              <a:round/>
            </a:ln>
            <a:effectLst/>
          </c:spPr>
          <c:marker>
            <c:symbol val="none"/>
          </c:marker>
          <c:val>
            <c:numRef>
              <c:f>'Tableau de prix'!$G$98:$X$98</c:f>
              <c:numCache>
                <c:formatCode>0</c:formatCode>
                <c:ptCount val="18"/>
                <c:pt idx="0">
                  <c:v>2064.209985</c:v>
                </c:pt>
                <c:pt idx="1">
                  <c:v>2663.3054500000003</c:v>
                </c:pt>
                <c:pt idx="2">
                  <c:v>3299.5709000000002</c:v>
                </c:pt>
                <c:pt idx="3">
                  <c:v>3857.7749249999997</c:v>
                </c:pt>
                <c:pt idx="4">
                  <c:v>4492.3721499999992</c:v>
                </c:pt>
                <c:pt idx="5">
                  <c:v>5063.8049749999991</c:v>
                </c:pt>
                <c:pt idx="6">
                  <c:v>5635.2534000000014</c:v>
                </c:pt>
                <c:pt idx="7">
                  <c:v>6116.8601250000002</c:v>
                </c:pt>
                <c:pt idx="8">
                  <c:v>6666.5920499999993</c:v>
                </c:pt>
                <c:pt idx="9">
                  <c:v>7800.0014999999994</c:v>
                </c:pt>
                <c:pt idx="10">
                  <c:v>7900.9099500000011</c:v>
                </c:pt>
                <c:pt idx="11">
                  <c:v>8920.0299749999995</c:v>
                </c:pt>
                <c:pt idx="12">
                  <c:v>8915.9857499999998</c:v>
                </c:pt>
                <c:pt idx="13">
                  <c:v>9939.1500000000015</c:v>
                </c:pt>
                <c:pt idx="14">
                  <c:v>11174.891625</c:v>
                </c:pt>
                <c:pt idx="15">
                  <c:v>11256.514650000003</c:v>
                </c:pt>
                <c:pt idx="16">
                  <c:v>12221.288100000002</c:v>
                </c:pt>
                <c:pt idx="17">
                  <c:v>12229.657650000003</c:v>
                </c:pt>
              </c:numCache>
            </c:numRef>
          </c:val>
          <c:smooth val="0"/>
          <c:extLst>
            <c:ext xmlns:c16="http://schemas.microsoft.com/office/drawing/2014/chart" uri="{C3380CC4-5D6E-409C-BE32-E72D297353CC}">
              <c16:uniqueId val="{00000007-A439-4543-8782-13A405BD3507}"/>
            </c:ext>
          </c:extLst>
        </c:ser>
        <c:ser>
          <c:idx val="8"/>
          <c:order val="8"/>
          <c:spPr>
            <a:ln w="28575" cap="rnd">
              <a:solidFill>
                <a:schemeClr val="accent3">
                  <a:lumMod val="60000"/>
                </a:schemeClr>
              </a:solidFill>
              <a:round/>
            </a:ln>
            <a:effectLst/>
          </c:spPr>
          <c:marker>
            <c:symbol val="none"/>
          </c:marker>
          <c:val>
            <c:numRef>
              <c:f>'Tableau de prix'!$G$99:$X$99</c:f>
              <c:numCache>
                <c:formatCode>0</c:formatCode>
                <c:ptCount val="18"/>
                <c:pt idx="0">
                  <c:v>2156.9909895999999</c:v>
                </c:pt>
                <c:pt idx="1">
                  <c:v>2863.9094633333339</c:v>
                </c:pt>
                <c:pt idx="2">
                  <c:v>3573.6566560000001</c:v>
                </c:pt>
                <c:pt idx="3">
                  <c:v>4159.7238523333335</c:v>
                </c:pt>
                <c:pt idx="4">
                  <c:v>4802.6842486666665</c:v>
                </c:pt>
                <c:pt idx="5">
                  <c:v>5421.4802449999997</c:v>
                </c:pt>
                <c:pt idx="6">
                  <c:v>6020.7918413333337</c:v>
                </c:pt>
                <c:pt idx="7">
                  <c:v>6540.3894376666667</c:v>
                </c:pt>
                <c:pt idx="8">
                  <c:v>7128.1122340000002</c:v>
                </c:pt>
                <c:pt idx="9">
                  <c:v>8317.4184266666671</c:v>
                </c:pt>
                <c:pt idx="10">
                  <c:v>8411.4790193333338</c:v>
                </c:pt>
                <c:pt idx="11">
                  <c:v>9559.0472156666674</c:v>
                </c:pt>
                <c:pt idx="12">
                  <c:v>9519.1344193333334</c:v>
                </c:pt>
                <c:pt idx="13">
                  <c:v>10628.030412000002</c:v>
                </c:pt>
                <c:pt idx="14">
                  <c:v>11913.635208333333</c:v>
                </c:pt>
                <c:pt idx="15">
                  <c:v>12021.376804666668</c:v>
                </c:pt>
                <c:pt idx="16">
                  <c:v>13062.131997333334</c:v>
                </c:pt>
                <c:pt idx="17">
                  <c:v>13018.264404666668</c:v>
                </c:pt>
              </c:numCache>
            </c:numRef>
          </c:val>
          <c:smooth val="0"/>
          <c:extLst>
            <c:ext xmlns:c16="http://schemas.microsoft.com/office/drawing/2014/chart" uri="{C3380CC4-5D6E-409C-BE32-E72D297353CC}">
              <c16:uniqueId val="{00000008-A439-4543-8782-13A405BD3507}"/>
            </c:ext>
          </c:extLst>
        </c:ser>
        <c:dLbls>
          <c:showLegendKey val="0"/>
          <c:showVal val="0"/>
          <c:showCatName val="0"/>
          <c:showSerName val="0"/>
          <c:showPercent val="0"/>
          <c:showBubbleSize val="0"/>
        </c:dLbls>
        <c:smooth val="0"/>
        <c:axId val="325394232"/>
        <c:axId val="325392920"/>
      </c:lineChart>
      <c:catAx>
        <c:axId val="325394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5392920"/>
        <c:crosses val="autoZero"/>
        <c:auto val="1"/>
        <c:lblAlgn val="ctr"/>
        <c:lblOffset val="100"/>
        <c:noMultiLvlLbl val="0"/>
      </c:catAx>
      <c:valAx>
        <c:axId val="3253929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5394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Drop" dropLines="27" dropStyle="combo" dx="26" fmlaLink="$A$11" fmlaRange="Simulation!$B$88:$B$105" noThreeD="1" sel="4" val="0"/>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B$11" lockText="1" noThreeD="1"/>
</file>

<file path=xl/ctrlProps/ctrlProp6.xml><?xml version="1.0" encoding="utf-8"?>
<formControlPr xmlns="http://schemas.microsoft.com/office/spreadsheetml/2009/9/main" objectType="Radio" checked="Checked" firstButton="1" fmlaLink="$B$12"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Drop" dropLines="5" dropStyle="combo" dx="26" fmlaLink="$B$20" fmlaRange="$C$88:$C$92" noThreeD="1" sel="1" val="0"/>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CheckBox" fmlaLink="$A$20"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Radio" firstButton="1" fmlaLink="$A$12"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Q$101" lockText="1" noThreeD="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54.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oneCellAnchor>
    <xdr:from>
      <xdr:col>4</xdr:col>
      <xdr:colOff>221236</xdr:colOff>
      <xdr:row>12</xdr:row>
      <xdr:rowOff>8653</xdr:rowOff>
    </xdr:from>
    <xdr:ext cx="2731995" cy="3313891"/>
    <xdr:sp macro="" textlink="">
      <xdr:nvSpPr>
        <xdr:cNvPr id="81" name="Rectangle : coins arrondis 28">
          <a:extLst>
            <a:ext uri="{FF2B5EF4-FFF2-40B4-BE49-F238E27FC236}">
              <a16:creationId xmlns:a16="http://schemas.microsoft.com/office/drawing/2014/main" id="{00000000-0008-0000-0000-000051000000}"/>
            </a:ext>
          </a:extLst>
        </xdr:cNvPr>
        <xdr:cNvSpPr/>
      </xdr:nvSpPr>
      <xdr:spPr>
        <a:xfrm>
          <a:off x="3998579" y="2806282"/>
          <a:ext cx="2731995" cy="331389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8CBAD"/>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1" i="0" u="none" strike="noStrike" kern="1200" spc="0">
              <a:solidFill>
                <a:sysClr val="windowText" lastClr="000000"/>
              </a:solidFill>
              <a:latin typeface="Calibri"/>
            </a:rPr>
            <a:t>PARTIE VARIABLE</a:t>
          </a:r>
        </a:p>
      </xdr:txBody>
    </xdr:sp>
    <xdr:clientData/>
  </xdr:oneCellAnchor>
  <xdr:oneCellAnchor>
    <xdr:from>
      <xdr:col>4</xdr:col>
      <xdr:colOff>304126</xdr:colOff>
      <xdr:row>14</xdr:row>
      <xdr:rowOff>60603</xdr:rowOff>
    </xdr:from>
    <xdr:ext cx="2556893" cy="2744869"/>
    <xdr:sp macro="" textlink="">
      <xdr:nvSpPr>
        <xdr:cNvPr id="82" name="Rectangle : coins arrondis 33">
          <a:extLst>
            <a:ext uri="{FF2B5EF4-FFF2-40B4-BE49-F238E27FC236}">
              <a16:creationId xmlns:a16="http://schemas.microsoft.com/office/drawing/2014/main" id="{00000000-0008-0000-0000-000052000000}"/>
            </a:ext>
          </a:extLst>
        </xdr:cNvPr>
        <xdr:cNvSpPr/>
      </xdr:nvSpPr>
      <xdr:spPr>
        <a:xfrm>
          <a:off x="4081469" y="3206574"/>
          <a:ext cx="2556893" cy="274486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tx2">
            <a:lumMod val="75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400" b="1" i="0" u="none" strike="noStrike" kern="1200" spc="0">
              <a:solidFill>
                <a:srgbClr val="FFFFFF"/>
              </a:solidFill>
              <a:latin typeface="Calibri"/>
            </a:rPr>
            <a:t>SYSTEMES CONSTRUCTIFS</a:t>
          </a:r>
        </a:p>
      </xdr:txBody>
    </xdr:sp>
    <xdr:clientData/>
  </xdr:oneCellAnchor>
  <xdr:oneCellAnchor>
    <xdr:from>
      <xdr:col>7</xdr:col>
      <xdr:colOff>791696</xdr:colOff>
      <xdr:row>2</xdr:row>
      <xdr:rowOff>145996</xdr:rowOff>
    </xdr:from>
    <xdr:ext cx="1606363" cy="2967317"/>
    <xdr:sp macro="" textlink="">
      <xdr:nvSpPr>
        <xdr:cNvPr id="77" name="Rectangle : coins arrondis 8">
          <a:extLst>
            <a:ext uri="{FF2B5EF4-FFF2-40B4-BE49-F238E27FC236}">
              <a16:creationId xmlns:a16="http://schemas.microsoft.com/office/drawing/2014/main" id="{00000000-0008-0000-0000-00004D000000}"/>
            </a:ext>
          </a:extLst>
        </xdr:cNvPr>
        <xdr:cNvSpPr/>
      </xdr:nvSpPr>
      <xdr:spPr>
        <a:xfrm>
          <a:off x="7148953" y="581425"/>
          <a:ext cx="1606363" cy="296731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8CBAD"/>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1" i="0" u="none" strike="noStrike" kern="1200" spc="0">
              <a:solidFill>
                <a:sysClr val="windowText" lastClr="000000"/>
              </a:solidFill>
              <a:latin typeface="Calibri"/>
            </a:rPr>
            <a:t>ANNEXES</a:t>
          </a:r>
        </a:p>
      </xdr:txBody>
    </xdr:sp>
    <xdr:clientData/>
  </xdr:oneCellAnchor>
  <xdr:oneCellAnchor>
    <xdr:from>
      <xdr:col>5</xdr:col>
      <xdr:colOff>68829</xdr:colOff>
      <xdr:row>4</xdr:row>
      <xdr:rowOff>107577</xdr:rowOff>
    </xdr:from>
    <xdr:ext cx="1365523" cy="1550894"/>
    <xdr:sp macro="" textlink="">
      <xdr:nvSpPr>
        <xdr:cNvPr id="3" name="Rectangle : coins arrondis 27">
          <a:extLst>
            <a:ext uri="{FF2B5EF4-FFF2-40B4-BE49-F238E27FC236}">
              <a16:creationId xmlns:a16="http://schemas.microsoft.com/office/drawing/2014/main" id="{00000000-0008-0000-0000-000003000000}"/>
            </a:ext>
          </a:extLst>
        </xdr:cNvPr>
        <xdr:cNvSpPr/>
      </xdr:nvSpPr>
      <xdr:spPr>
        <a:xfrm>
          <a:off x="5375935" y="1156448"/>
          <a:ext cx="1365523" cy="155089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8CBAD"/>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1" i="0" u="none" strike="noStrike" kern="1200" spc="0">
              <a:solidFill>
                <a:sysClr val="windowText" lastClr="000000"/>
              </a:solidFill>
              <a:latin typeface="Calibri"/>
            </a:rPr>
            <a:t>TRONC COMMUN</a:t>
          </a:r>
        </a:p>
      </xdr:txBody>
    </xdr:sp>
    <xdr:clientData/>
  </xdr:oneCellAnchor>
  <xdr:oneCellAnchor>
    <xdr:from>
      <xdr:col>12</xdr:col>
      <xdr:colOff>0</xdr:colOff>
      <xdr:row>16</xdr:row>
      <xdr:rowOff>120960</xdr:rowOff>
    </xdr:from>
    <xdr:ext cx="1415519" cy="316800"/>
    <xdr:sp macro="" textlink="">
      <xdr:nvSpPr>
        <xdr:cNvPr id="16" name="Rectangle : coins arrondis 1">
          <a:extLst>
            <a:ext uri="{FF2B5EF4-FFF2-40B4-BE49-F238E27FC236}">
              <a16:creationId xmlns:a16="http://schemas.microsoft.com/office/drawing/2014/main" id="{00000000-0008-0000-0000-000010000000}"/>
            </a:ext>
          </a:extLst>
        </xdr:cNvPr>
        <xdr:cNvSpPr/>
      </xdr:nvSpPr>
      <xdr:spPr>
        <a:xfrm>
          <a:off x="11982960" y="3635685"/>
          <a:ext cx="1415519" cy="31680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80808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100" b="1" i="0" u="none" strike="noStrike" kern="1200" spc="0">
              <a:solidFill>
                <a:srgbClr val="FFFFFF"/>
              </a:solidFill>
              <a:latin typeface="Calibri"/>
            </a:rPr>
            <a:t>FILIERES POSSIBLES</a:t>
          </a:r>
        </a:p>
      </xdr:txBody>
    </xdr:sp>
    <xdr:clientData/>
  </xdr:oneCellAnchor>
  <xdr:oneCellAnchor>
    <xdr:from>
      <xdr:col>12</xdr:col>
      <xdr:colOff>0</xdr:colOff>
      <xdr:row>10</xdr:row>
      <xdr:rowOff>143640</xdr:rowOff>
    </xdr:from>
    <xdr:ext cx="1652725" cy="476846"/>
    <xdr:sp macro="[0]!Simulation" textlink="">
      <xdr:nvSpPr>
        <xdr:cNvPr id="8" name="Rectangle : coins arrondis 2">
          <a:extLst>
            <a:ext uri="{FF2B5EF4-FFF2-40B4-BE49-F238E27FC236}">
              <a16:creationId xmlns:a16="http://schemas.microsoft.com/office/drawing/2014/main" id="{00000000-0008-0000-0000-000008000000}"/>
            </a:ext>
          </a:extLst>
        </xdr:cNvPr>
        <xdr:cNvSpPr/>
      </xdr:nvSpPr>
      <xdr:spPr>
        <a:xfrm>
          <a:off x="13271589" y="2527611"/>
          <a:ext cx="1652725" cy="476846"/>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00B05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400" b="1" i="0" u="none" strike="noStrike" kern="1200" spc="0">
              <a:solidFill>
                <a:srgbClr val="FFFFFF"/>
              </a:solidFill>
              <a:latin typeface="Calibri"/>
            </a:rPr>
            <a:t>Fiche de simulation  </a:t>
          </a:r>
        </a:p>
      </xdr:txBody>
    </xdr:sp>
    <xdr:clientData/>
  </xdr:oneCellAnchor>
  <xdr:oneCellAnchor>
    <xdr:from>
      <xdr:col>12</xdr:col>
      <xdr:colOff>0</xdr:colOff>
      <xdr:row>14</xdr:row>
      <xdr:rowOff>93566</xdr:rowOff>
    </xdr:from>
    <xdr:ext cx="1369800" cy="306720"/>
    <xdr:sp macro="" textlink="">
      <xdr:nvSpPr>
        <xdr:cNvPr id="12" name="Rectangle : coins arrondis 3">
          <a:extLst>
            <a:ext uri="{FF2B5EF4-FFF2-40B4-BE49-F238E27FC236}">
              <a16:creationId xmlns:a16="http://schemas.microsoft.com/office/drawing/2014/main" id="{00000000-0008-0000-0000-00000C000000}"/>
            </a:ext>
          </a:extLst>
        </xdr:cNvPr>
        <xdr:cNvSpPr/>
      </xdr:nvSpPr>
      <xdr:spPr>
        <a:xfrm>
          <a:off x="13381834" y="3174223"/>
          <a:ext cx="1369800" cy="30672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80808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100" b="1" i="0" u="none" strike="noStrike" kern="1200" spc="0">
              <a:solidFill>
                <a:srgbClr val="FFFFFF"/>
              </a:solidFill>
              <a:latin typeface="Calibri"/>
            </a:rPr>
            <a:t>Méthode de calcul</a:t>
          </a:r>
        </a:p>
      </xdr:txBody>
    </xdr:sp>
    <xdr:clientData/>
  </xdr:oneCellAnchor>
  <xdr:oneCellAnchor>
    <xdr:from>
      <xdr:col>9</xdr:col>
      <xdr:colOff>274546</xdr:colOff>
      <xdr:row>12</xdr:row>
      <xdr:rowOff>142664</xdr:rowOff>
    </xdr:from>
    <xdr:ext cx="1604682" cy="3015713"/>
    <xdr:sp macro="[0]!BILAN" textlink="">
      <xdr:nvSpPr>
        <xdr:cNvPr id="15" name="Rectangle : coins arrondis 5">
          <a:extLst>
            <a:ext uri="{FF2B5EF4-FFF2-40B4-BE49-F238E27FC236}">
              <a16:creationId xmlns:a16="http://schemas.microsoft.com/office/drawing/2014/main" id="{00000000-0008-0000-0000-00000F000000}"/>
            </a:ext>
          </a:extLst>
        </xdr:cNvPr>
        <xdr:cNvSpPr/>
      </xdr:nvSpPr>
      <xdr:spPr>
        <a:xfrm>
          <a:off x="11895046" y="2914439"/>
          <a:ext cx="1604682" cy="3015713"/>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C55A11"/>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400" b="1" i="0" u="none" strike="noStrike" kern="1200" spc="0">
              <a:solidFill>
                <a:srgbClr val="FFFFFF"/>
              </a:solidFill>
              <a:latin typeface="Calibri"/>
            </a:rPr>
            <a:t>Bilan des coûts</a:t>
          </a:r>
        </a:p>
        <a:p>
          <a:pPr lvl="0" algn="l" rtl="0" hangingPunct="0">
            <a:buNone/>
            <a:tabLst/>
          </a:pPr>
          <a:endParaRPr lang="fr-FR" sz="1400" b="1" i="0" u="none" strike="noStrike" kern="1200" spc="0">
            <a:solidFill>
              <a:srgbClr val="FFFFFF"/>
            </a:solidFill>
            <a:latin typeface="Calibri"/>
          </a:endParaRPr>
        </a:p>
        <a:p>
          <a:pPr lvl="0" algn="l" rtl="0" hangingPunct="0">
            <a:buNone/>
            <a:tabLst/>
          </a:pPr>
          <a:r>
            <a:rPr lang="fr-FR" sz="1400" b="1" i="0" u="none" strike="noStrike" kern="1200" spc="0">
              <a:solidFill>
                <a:srgbClr val="FFFFFF"/>
              </a:solidFill>
              <a:latin typeface="Calibri"/>
            </a:rPr>
            <a:t>Tableau de prix</a:t>
          </a:r>
        </a:p>
        <a:p>
          <a:pPr lvl="0" algn="l" rtl="0" hangingPunct="0">
            <a:buNone/>
            <a:tabLst/>
          </a:pPr>
          <a:r>
            <a:rPr lang="fr-FR" sz="1050" b="1" i="0" u="none" strike="noStrike" kern="1200" spc="0">
              <a:solidFill>
                <a:srgbClr val="FFFFFF"/>
              </a:solidFill>
              <a:latin typeface="Calibri"/>
            </a:rPr>
            <a:t>Prix au ml</a:t>
          </a:r>
        </a:p>
        <a:p>
          <a:pPr lvl="0" algn="l" rtl="0" hangingPunct="0">
            <a:buNone/>
            <a:tabLst/>
          </a:pPr>
          <a:r>
            <a:rPr lang="fr-FR" sz="1050" b="1" i="0" u="none" strike="noStrike" kern="1200" spc="0">
              <a:solidFill>
                <a:srgbClr val="FFFFFF"/>
              </a:solidFill>
              <a:latin typeface="Calibri"/>
            </a:rPr>
            <a:t>Prix/EH</a:t>
          </a:r>
        </a:p>
        <a:p>
          <a:pPr lvl="0" algn="l" rtl="0" hangingPunct="0">
            <a:buNone/>
            <a:tabLst/>
          </a:pPr>
          <a:endParaRPr lang="fr-FR" sz="1050" b="1" i="0" u="none" strike="noStrike" kern="1200" spc="0">
            <a:solidFill>
              <a:srgbClr val="FFFFFF"/>
            </a:solidFill>
            <a:latin typeface="Calibri"/>
          </a:endParaRPr>
        </a:p>
      </xdr:txBody>
    </xdr:sp>
    <xdr:clientData/>
  </xdr:oneCellAnchor>
  <xdr:oneCellAnchor>
    <xdr:from>
      <xdr:col>5</xdr:col>
      <xdr:colOff>200329</xdr:colOff>
      <xdr:row>4</xdr:row>
      <xdr:rowOff>427278</xdr:rowOff>
    </xdr:from>
    <xdr:ext cx="1099553" cy="352652"/>
    <xdr:sp macro="[0]!Feuil1.TCBACS" textlink="">
      <xdr:nvSpPr>
        <xdr:cNvPr id="4" name="Rectangle : coins arrondis 12">
          <a:extLst>
            <a:ext uri="{FF2B5EF4-FFF2-40B4-BE49-F238E27FC236}">
              <a16:creationId xmlns:a16="http://schemas.microsoft.com/office/drawing/2014/main" id="{00000000-0008-0000-0000-000004000000}"/>
            </a:ext>
          </a:extLst>
        </xdr:cNvPr>
        <xdr:cNvSpPr/>
      </xdr:nvSpPr>
      <xdr:spPr>
        <a:xfrm>
          <a:off x="5507435" y="1476149"/>
          <a:ext cx="1099553" cy="352652"/>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4472C4"/>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1" i="0" u="none" strike="noStrike" kern="1200" spc="0">
              <a:solidFill>
                <a:srgbClr val="FFFFFF"/>
              </a:solidFill>
              <a:latin typeface="Calibri"/>
            </a:rPr>
            <a:t>Filières BAC</a:t>
          </a:r>
        </a:p>
      </xdr:txBody>
    </xdr:sp>
    <xdr:clientData/>
  </xdr:oneCellAnchor>
  <xdr:oneCellAnchor>
    <xdr:from>
      <xdr:col>5</xdr:col>
      <xdr:colOff>205405</xdr:colOff>
      <xdr:row>6</xdr:row>
      <xdr:rowOff>163178</xdr:rowOff>
    </xdr:from>
    <xdr:ext cx="1148478" cy="739588"/>
    <xdr:sp macro="" textlink="">
      <xdr:nvSpPr>
        <xdr:cNvPr id="6" name="Rectangle : coins arrondis 13">
          <a:extLst>
            <a:ext uri="{FF2B5EF4-FFF2-40B4-BE49-F238E27FC236}">
              <a16:creationId xmlns:a16="http://schemas.microsoft.com/office/drawing/2014/main" id="{00000000-0008-0000-0000-000006000000}"/>
            </a:ext>
          </a:extLst>
        </xdr:cNvPr>
        <xdr:cNvSpPr/>
      </xdr:nvSpPr>
      <xdr:spPr>
        <a:xfrm>
          <a:off x="4877191" y="1932107"/>
          <a:ext cx="1148478" cy="73958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4472C4"/>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1" i="0" u="none" strike="noStrike" kern="1200" spc="0">
              <a:solidFill>
                <a:srgbClr val="FFFFFF"/>
              </a:solidFill>
              <a:latin typeface="Calibri"/>
            </a:rPr>
            <a:t>Filières FV-FH</a:t>
          </a:r>
        </a:p>
      </xdr:txBody>
    </xdr:sp>
    <xdr:clientData/>
  </xdr:oneCellAnchor>
  <xdr:oneCellAnchor>
    <xdr:from>
      <xdr:col>0</xdr:col>
      <xdr:colOff>217440</xdr:colOff>
      <xdr:row>6</xdr:row>
      <xdr:rowOff>105480</xdr:rowOff>
    </xdr:from>
    <xdr:ext cx="1778040" cy="2804760"/>
    <xdr:sp macro="" textlink="">
      <xdr:nvSpPr>
        <xdr:cNvPr id="5" name="Rectangle : coins arrondis 35">
          <a:extLst>
            <a:ext uri="{FF2B5EF4-FFF2-40B4-BE49-F238E27FC236}">
              <a16:creationId xmlns:a16="http://schemas.microsoft.com/office/drawing/2014/main" id="{00000000-0008-0000-0000-000005000000}"/>
            </a:ext>
          </a:extLst>
        </xdr:cNvPr>
        <xdr:cNvSpPr/>
      </xdr:nvSpPr>
      <xdr:spPr>
        <a:xfrm>
          <a:off x="217440" y="1810455"/>
          <a:ext cx="1778040" cy="280476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8CBAD"/>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1" i="0" u="none" strike="noStrike" kern="1200" spc="0">
              <a:solidFill>
                <a:srgbClr val="FFFFFF"/>
              </a:solidFill>
              <a:latin typeface="Calibri"/>
            </a:rPr>
            <a:t>MAIN D'OEUVRE</a:t>
          </a:r>
        </a:p>
      </xdr:txBody>
    </xdr:sp>
    <xdr:clientData/>
  </xdr:oneCellAnchor>
  <xdr:oneCellAnchor>
    <xdr:from>
      <xdr:col>0</xdr:col>
      <xdr:colOff>385200</xdr:colOff>
      <xdr:row>13</xdr:row>
      <xdr:rowOff>105840</xdr:rowOff>
    </xdr:from>
    <xdr:ext cx="1229399" cy="570960"/>
    <xdr:sp macro="[0]!Feuil1.ATELIER" textlink="">
      <xdr:nvSpPr>
        <xdr:cNvPr id="10" name="Rectangle : coins arrondis 16">
          <a:extLst>
            <a:ext uri="{FF2B5EF4-FFF2-40B4-BE49-F238E27FC236}">
              <a16:creationId xmlns:a16="http://schemas.microsoft.com/office/drawing/2014/main" id="{00000000-0008-0000-0000-00000A000000}"/>
            </a:ext>
          </a:extLst>
        </xdr:cNvPr>
        <xdr:cNvSpPr/>
      </xdr:nvSpPr>
      <xdr:spPr>
        <a:xfrm>
          <a:off x="385200" y="3077640"/>
          <a:ext cx="1229399" cy="57096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333F4F"/>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1" i="0" u="none" strike="noStrike" kern="1200" spc="0">
              <a:solidFill>
                <a:srgbClr val="FFFFFF"/>
              </a:solidFill>
              <a:latin typeface="Calibri"/>
            </a:rPr>
            <a:t>TRAVAIL EN ATELIER</a:t>
          </a:r>
        </a:p>
        <a:p>
          <a:pPr lvl="0" algn="ctr" rtl="0" hangingPunct="0">
            <a:buNone/>
            <a:tabLst/>
          </a:pPr>
          <a:endParaRPr lang="fr-FR" sz="1100" b="0" i="0" u="none" strike="noStrike" kern="1200" spc="0">
            <a:solidFill>
              <a:srgbClr val="FFFFFF"/>
            </a:solidFill>
            <a:latin typeface="Calibri"/>
          </a:endParaRPr>
        </a:p>
      </xdr:txBody>
    </xdr:sp>
    <xdr:clientData/>
  </xdr:oneCellAnchor>
  <xdr:oneCellAnchor>
    <xdr:from>
      <xdr:col>0</xdr:col>
      <xdr:colOff>560880</xdr:colOff>
      <xdr:row>8</xdr:row>
      <xdr:rowOff>161640</xdr:rowOff>
    </xdr:from>
    <xdr:ext cx="1229399" cy="646560"/>
    <xdr:sp macro="[0]!Feuil1.CHANTIER" textlink="">
      <xdr:nvSpPr>
        <xdr:cNvPr id="7" name="Rectangle : coins arrondis 21">
          <a:extLst>
            <a:ext uri="{FF2B5EF4-FFF2-40B4-BE49-F238E27FC236}">
              <a16:creationId xmlns:a16="http://schemas.microsoft.com/office/drawing/2014/main" id="{00000000-0008-0000-0000-000007000000}"/>
            </a:ext>
          </a:extLst>
        </xdr:cNvPr>
        <xdr:cNvSpPr/>
      </xdr:nvSpPr>
      <xdr:spPr>
        <a:xfrm>
          <a:off x="560880" y="2228565"/>
          <a:ext cx="1229399" cy="64656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333F4F"/>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1" i="0" u="none" strike="noStrike" kern="1200" spc="0">
              <a:solidFill>
                <a:srgbClr val="FFFFFF"/>
              </a:solidFill>
              <a:latin typeface="Calibri"/>
            </a:rPr>
            <a:t>TRAVAIL SUR CHANTIER</a:t>
          </a:r>
        </a:p>
      </xdr:txBody>
    </xdr:sp>
    <xdr:clientData/>
  </xdr:oneCellAnchor>
  <xdr:oneCellAnchor>
    <xdr:from>
      <xdr:col>7</xdr:col>
      <xdr:colOff>572061</xdr:colOff>
      <xdr:row>17</xdr:row>
      <xdr:rowOff>10087</xdr:rowOff>
    </xdr:from>
    <xdr:ext cx="1929094" cy="2168338"/>
    <xdr:sp macro="" textlink="">
      <xdr:nvSpPr>
        <xdr:cNvPr id="19" name="Rectangle : coins arrondis 8">
          <a:extLst>
            <a:ext uri="{FF2B5EF4-FFF2-40B4-BE49-F238E27FC236}">
              <a16:creationId xmlns:a16="http://schemas.microsoft.com/office/drawing/2014/main" id="{00000000-0008-0000-0000-000013000000}"/>
            </a:ext>
          </a:extLst>
        </xdr:cNvPr>
        <xdr:cNvSpPr/>
      </xdr:nvSpPr>
      <xdr:spPr>
        <a:xfrm>
          <a:off x="7546602" y="3694581"/>
          <a:ext cx="1929094" cy="216833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8CBAD"/>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1" i="0" u="none" strike="noStrike" kern="1200" spc="0">
              <a:solidFill>
                <a:sysClr val="windowText" lastClr="000000"/>
              </a:solidFill>
              <a:latin typeface="Calibri"/>
            </a:rPr>
            <a:t>OPTIONS</a:t>
          </a:r>
        </a:p>
      </xdr:txBody>
    </xdr:sp>
    <xdr:clientData/>
  </xdr:oneCellAnchor>
  <xdr:oneCellAnchor>
    <xdr:from>
      <xdr:col>7</xdr:col>
      <xdr:colOff>795594</xdr:colOff>
      <xdr:row>21</xdr:row>
      <xdr:rowOff>56189</xdr:rowOff>
    </xdr:from>
    <xdr:ext cx="1525489" cy="325421"/>
    <xdr:sp macro="[0]!Feuil1.Bordures" textlink="">
      <xdr:nvSpPr>
        <xdr:cNvPr id="24" name="Rectangle : coins arrondis 30">
          <a:extLst>
            <a:ext uri="{FF2B5EF4-FFF2-40B4-BE49-F238E27FC236}">
              <a16:creationId xmlns:a16="http://schemas.microsoft.com/office/drawing/2014/main" id="{00000000-0008-0000-0000-000018000000}"/>
            </a:ext>
          </a:extLst>
        </xdr:cNvPr>
        <xdr:cNvSpPr/>
      </xdr:nvSpPr>
      <xdr:spPr>
        <a:xfrm>
          <a:off x="7770135" y="4457860"/>
          <a:ext cx="1525489" cy="32542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bg2">
            <a:lumMod val="25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0" i="0" u="none" strike="noStrike" kern="1200" spc="0">
              <a:solidFill>
                <a:srgbClr val="FFFFFF"/>
              </a:solidFill>
              <a:latin typeface="Calibri"/>
            </a:rPr>
            <a:t>Bordures</a:t>
          </a:r>
        </a:p>
      </xdr:txBody>
    </xdr:sp>
    <xdr:clientData/>
  </xdr:oneCellAnchor>
  <xdr:oneCellAnchor>
    <xdr:from>
      <xdr:col>7</xdr:col>
      <xdr:colOff>791671</xdr:colOff>
      <xdr:row>21</xdr:row>
      <xdr:rowOff>451558</xdr:rowOff>
    </xdr:from>
    <xdr:ext cx="1521224" cy="369349"/>
    <xdr:sp macro="[0]!Feuil1.Bandes_de_propreté" textlink="">
      <xdr:nvSpPr>
        <xdr:cNvPr id="25" name="Rectangle : coins arrondis 31">
          <a:extLst>
            <a:ext uri="{FF2B5EF4-FFF2-40B4-BE49-F238E27FC236}">
              <a16:creationId xmlns:a16="http://schemas.microsoft.com/office/drawing/2014/main" id="{00000000-0008-0000-0000-000019000000}"/>
            </a:ext>
          </a:extLst>
        </xdr:cNvPr>
        <xdr:cNvSpPr/>
      </xdr:nvSpPr>
      <xdr:spPr>
        <a:xfrm>
          <a:off x="7766212" y="4853229"/>
          <a:ext cx="1521224" cy="36934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bg2">
            <a:lumMod val="2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0" i="0" u="none" strike="noStrike" kern="1200" spc="0">
              <a:solidFill>
                <a:srgbClr val="FFFFFF"/>
              </a:solidFill>
              <a:latin typeface="Calibri"/>
            </a:rPr>
            <a:t>Bandes de propreté</a:t>
          </a:r>
        </a:p>
      </xdr:txBody>
    </xdr:sp>
    <xdr:clientData/>
  </xdr:oneCellAnchor>
  <xdr:oneCellAnchor>
    <xdr:from>
      <xdr:col>7</xdr:col>
      <xdr:colOff>813174</xdr:colOff>
      <xdr:row>21</xdr:row>
      <xdr:rowOff>875740</xdr:rowOff>
    </xdr:from>
    <xdr:ext cx="1468439" cy="307601"/>
    <xdr:sp macro="[0]!Feuil1.Finitions" textlink="">
      <xdr:nvSpPr>
        <xdr:cNvPr id="26" name="Rectangle : coins arrondis 32">
          <a:extLst>
            <a:ext uri="{FF2B5EF4-FFF2-40B4-BE49-F238E27FC236}">
              <a16:creationId xmlns:a16="http://schemas.microsoft.com/office/drawing/2014/main" id="{00000000-0008-0000-0000-00001A000000}"/>
            </a:ext>
          </a:extLst>
        </xdr:cNvPr>
        <xdr:cNvSpPr/>
      </xdr:nvSpPr>
      <xdr:spPr>
        <a:xfrm>
          <a:off x="7787715" y="5277411"/>
          <a:ext cx="1468439" cy="30760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bg2">
            <a:lumMod val="25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0" i="0" u="none" strike="noStrike" kern="1200" spc="0">
              <a:solidFill>
                <a:srgbClr val="FFFFFF"/>
              </a:solidFill>
              <a:latin typeface="Calibri"/>
            </a:rPr>
            <a:t>Finitions</a:t>
          </a:r>
        </a:p>
      </xdr:txBody>
    </xdr:sp>
    <xdr:clientData/>
  </xdr:oneCellAnchor>
  <xdr:oneCellAnchor>
    <xdr:from>
      <xdr:col>7</xdr:col>
      <xdr:colOff>954741</xdr:colOff>
      <xdr:row>13</xdr:row>
      <xdr:rowOff>84361</xdr:rowOff>
    </xdr:from>
    <xdr:ext cx="1246095" cy="354910"/>
    <xdr:sp macro="[0]!collecte_exutoire" textlink="">
      <xdr:nvSpPr>
        <xdr:cNvPr id="22" name="Rectangle : coins arrondis 36">
          <a:extLst>
            <a:ext uri="{FF2B5EF4-FFF2-40B4-BE49-F238E27FC236}">
              <a16:creationId xmlns:a16="http://schemas.microsoft.com/office/drawing/2014/main" id="{00000000-0008-0000-0000-000016000000}"/>
            </a:ext>
          </a:extLst>
        </xdr:cNvPr>
        <xdr:cNvSpPr/>
      </xdr:nvSpPr>
      <xdr:spPr>
        <a:xfrm>
          <a:off x="7311998" y="3056161"/>
          <a:ext cx="1246095" cy="35491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0" i="0" u="none" strike="noStrike" kern="1200" spc="0">
              <a:solidFill>
                <a:srgbClr val="FFFFFF"/>
              </a:solidFill>
              <a:latin typeface="Calibri"/>
            </a:rPr>
            <a:t>Collecte/Exutoire</a:t>
          </a:r>
        </a:p>
      </xdr:txBody>
    </xdr:sp>
    <xdr:clientData/>
  </xdr:oneCellAnchor>
  <xdr:oneCellAnchor>
    <xdr:from>
      <xdr:col>0</xdr:col>
      <xdr:colOff>164160</xdr:colOff>
      <xdr:row>21</xdr:row>
      <xdr:rowOff>708004</xdr:rowOff>
    </xdr:from>
    <xdr:ext cx="1808639" cy="1611614"/>
    <xdr:sp macro="" textlink="">
      <xdr:nvSpPr>
        <xdr:cNvPr id="21" name="Rectangle : coins arrondis 42">
          <a:extLst>
            <a:ext uri="{FF2B5EF4-FFF2-40B4-BE49-F238E27FC236}">
              <a16:creationId xmlns:a16="http://schemas.microsoft.com/office/drawing/2014/main" id="{00000000-0008-0000-0000-000015000000}"/>
            </a:ext>
          </a:extLst>
        </xdr:cNvPr>
        <xdr:cNvSpPr/>
      </xdr:nvSpPr>
      <xdr:spPr>
        <a:xfrm>
          <a:off x="164160" y="5100710"/>
          <a:ext cx="1808639" cy="161161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8CBAD"/>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1" i="0" u="none" strike="noStrike" kern="1200" spc="0">
              <a:solidFill>
                <a:srgbClr val="FFFFFF"/>
              </a:solidFill>
              <a:latin typeface="Calibri"/>
            </a:rPr>
            <a:t>MATERIAUX</a:t>
          </a:r>
        </a:p>
      </xdr:txBody>
    </xdr:sp>
    <xdr:clientData/>
  </xdr:oneCellAnchor>
  <xdr:oneCellAnchor>
    <xdr:from>
      <xdr:col>0</xdr:col>
      <xdr:colOff>309240</xdr:colOff>
      <xdr:row>21</xdr:row>
      <xdr:rowOff>1077628</xdr:rowOff>
    </xdr:from>
    <xdr:ext cx="1595760" cy="1051489"/>
    <xdr:sp macro="[0]!Feuil1.MATIERES" textlink="">
      <xdr:nvSpPr>
        <xdr:cNvPr id="23" name="Rectangle : coins arrondis 7">
          <a:extLst>
            <a:ext uri="{FF2B5EF4-FFF2-40B4-BE49-F238E27FC236}">
              <a16:creationId xmlns:a16="http://schemas.microsoft.com/office/drawing/2014/main" id="{00000000-0008-0000-0000-000017000000}"/>
            </a:ext>
          </a:extLst>
        </xdr:cNvPr>
        <xdr:cNvSpPr/>
      </xdr:nvSpPr>
      <xdr:spPr>
        <a:xfrm>
          <a:off x="309240" y="5470334"/>
          <a:ext cx="1595760" cy="105148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548235"/>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1" i="0" u="none" strike="noStrike" kern="1200" spc="0">
              <a:solidFill>
                <a:srgbClr val="FFFFFF"/>
              </a:solidFill>
              <a:latin typeface="Calibri"/>
            </a:rPr>
            <a:t>MATIERES </a:t>
          </a:r>
        </a:p>
        <a:p>
          <a:pPr lvl="0" algn="ctr" rtl="0" hangingPunct="0">
            <a:buNone/>
            <a:tabLst/>
          </a:pPr>
          <a:endParaRPr lang="fr-FR" sz="1100" b="1" i="0" u="none" strike="noStrike" kern="1200" spc="0">
            <a:solidFill>
              <a:srgbClr val="FFFFFF"/>
            </a:solidFill>
            <a:latin typeface="Calibri"/>
          </a:endParaRPr>
        </a:p>
        <a:p>
          <a:pPr lvl="0" algn="ctr" rtl="0" hangingPunct="0">
            <a:buNone/>
            <a:tabLst/>
          </a:pPr>
          <a:r>
            <a:rPr lang="fr-FR" sz="1100" b="1" i="0" u="none" strike="noStrike" kern="1200" spc="0">
              <a:solidFill>
                <a:srgbClr val="FFFFFF"/>
              </a:solidFill>
              <a:latin typeface="Calibri"/>
            </a:rPr>
            <a:t> Prix-Fournisseurs</a:t>
          </a:r>
        </a:p>
        <a:p>
          <a:pPr lvl="0" algn="ctr" rtl="0" hangingPunct="0">
            <a:buNone/>
            <a:tabLst/>
          </a:pPr>
          <a:endParaRPr lang="fr-FR" sz="1100" b="1" i="0" u="none" strike="noStrike" kern="1200" spc="0">
            <a:solidFill>
              <a:srgbClr val="FFFFFF"/>
            </a:solidFill>
            <a:latin typeface="Calibri"/>
          </a:endParaRPr>
        </a:p>
        <a:p>
          <a:pPr lvl="0" algn="ctr" rtl="0" hangingPunct="0">
            <a:buNone/>
            <a:tabLst/>
          </a:pPr>
          <a:r>
            <a:rPr lang="fr-FR" sz="1100" b="1" i="0" u="none" strike="noStrike" kern="1200" spc="0">
              <a:solidFill>
                <a:srgbClr val="FFFFFF"/>
              </a:solidFill>
              <a:latin typeface="Calibri"/>
            </a:rPr>
            <a:t>PRODUITS SASKIT</a:t>
          </a:r>
          <a:endParaRPr lang="fr-FR" sz="1100" b="0" i="0" u="none" strike="noStrike" kern="1200" spc="0">
            <a:solidFill>
              <a:srgbClr val="FFFFFF"/>
            </a:solidFill>
            <a:latin typeface="Calibri"/>
          </a:endParaRPr>
        </a:p>
        <a:p>
          <a:pPr lvl="0" algn="l" rtl="0" hangingPunct="0">
            <a:buNone/>
            <a:tabLst/>
          </a:pPr>
          <a:endParaRPr lang="fr-FR" sz="1100" b="0" i="0" u="none" strike="noStrike" kern="1200" spc="0">
            <a:solidFill>
              <a:srgbClr val="FFFFFF"/>
            </a:solidFill>
            <a:latin typeface="Calibri"/>
          </a:endParaRPr>
        </a:p>
      </xdr:txBody>
    </xdr:sp>
    <xdr:clientData/>
  </xdr:oneCellAnchor>
  <xdr:oneCellAnchor>
    <xdr:from>
      <xdr:col>0</xdr:col>
      <xdr:colOff>583200</xdr:colOff>
      <xdr:row>17</xdr:row>
      <xdr:rowOff>113040</xdr:rowOff>
    </xdr:from>
    <xdr:ext cx="1229399" cy="633960"/>
    <xdr:sp macro="[0]!Feuil1.MINIPELLE" textlink="">
      <xdr:nvSpPr>
        <xdr:cNvPr id="17" name="Rectangle : coins arrondis 44">
          <a:extLst>
            <a:ext uri="{FF2B5EF4-FFF2-40B4-BE49-F238E27FC236}">
              <a16:creationId xmlns:a16="http://schemas.microsoft.com/office/drawing/2014/main" id="{00000000-0008-0000-0000-000011000000}"/>
            </a:ext>
          </a:extLst>
        </xdr:cNvPr>
        <xdr:cNvSpPr/>
      </xdr:nvSpPr>
      <xdr:spPr>
        <a:xfrm>
          <a:off x="583200" y="3808740"/>
          <a:ext cx="1229399" cy="63396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333F4F"/>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1" i="0" u="none" strike="noStrike" kern="1200" spc="0">
              <a:solidFill>
                <a:srgbClr val="FFFFFF"/>
              </a:solidFill>
              <a:latin typeface="Calibri"/>
            </a:rPr>
            <a:t>MINIPELLE</a:t>
          </a:r>
        </a:p>
      </xdr:txBody>
    </xdr:sp>
    <xdr:clientData/>
  </xdr:oneCellAnchor>
  <xdr:oneCellAnchor>
    <xdr:from>
      <xdr:col>7</xdr:col>
      <xdr:colOff>947697</xdr:colOff>
      <xdr:row>3</xdr:row>
      <xdr:rowOff>323260</xdr:rowOff>
    </xdr:from>
    <xdr:ext cx="1281952" cy="312274"/>
    <xdr:sp macro="[0]!Feuil1.ALIM_BAC_gravitaire" textlink="">
      <xdr:nvSpPr>
        <xdr:cNvPr id="18" name="Rectangle : coins arrondis 46">
          <a:extLst>
            <a:ext uri="{FF2B5EF4-FFF2-40B4-BE49-F238E27FC236}">
              <a16:creationId xmlns:a16="http://schemas.microsoft.com/office/drawing/2014/main" id="{00000000-0008-0000-0000-000012000000}"/>
            </a:ext>
          </a:extLst>
        </xdr:cNvPr>
        <xdr:cNvSpPr/>
      </xdr:nvSpPr>
      <xdr:spPr>
        <a:xfrm>
          <a:off x="7304954" y="932860"/>
          <a:ext cx="1281952" cy="31227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0" i="0" u="none" strike="noStrike" kern="1200" spc="0">
              <a:solidFill>
                <a:srgbClr val="FFFFFF"/>
              </a:solidFill>
              <a:latin typeface="Calibri"/>
            </a:rPr>
            <a:t>ALIM GRAV BAC</a:t>
          </a:r>
        </a:p>
      </xdr:txBody>
    </xdr:sp>
    <xdr:clientData/>
  </xdr:oneCellAnchor>
  <xdr:oneCellAnchor>
    <xdr:from>
      <xdr:col>2</xdr:col>
      <xdr:colOff>159720</xdr:colOff>
      <xdr:row>18</xdr:row>
      <xdr:rowOff>85724</xdr:rowOff>
    </xdr:from>
    <xdr:ext cx="1116630" cy="384915"/>
    <xdr:sp macro="" textlink="">
      <xdr:nvSpPr>
        <xdr:cNvPr id="13" name="Forme libre : forme 12">
          <a:extLst>
            <a:ext uri="{FF2B5EF4-FFF2-40B4-BE49-F238E27FC236}">
              <a16:creationId xmlns:a16="http://schemas.microsoft.com/office/drawing/2014/main" id="{00000000-0008-0000-0000-00000D000000}"/>
            </a:ext>
          </a:extLst>
        </xdr:cNvPr>
        <xdr:cNvSpPr/>
      </xdr:nvSpPr>
      <xdr:spPr>
        <a:xfrm>
          <a:off x="2436195" y="3886199"/>
          <a:ext cx="1116630" cy="384915"/>
        </a:xfrm>
        <a:custGeom>
          <a:avLst>
            <a:gd name="f0" fmla="val 16200"/>
            <a:gd name="f1" fmla="val 5400"/>
          </a:avLst>
          <a:gdLst>
            <a:gd name="f2" fmla="val w"/>
            <a:gd name="f3" fmla="val h"/>
            <a:gd name="f4" fmla="val 0"/>
            <a:gd name="f5" fmla="val 21600"/>
            <a:gd name="f6" fmla="val 10800"/>
            <a:gd name="f7" fmla="*/ f2 1 21600"/>
            <a:gd name="f8" fmla="*/ f3 1 21600"/>
            <a:gd name="f9" fmla="pin 0 f0 21600"/>
            <a:gd name="f10" fmla="pin 0 f1 10800"/>
            <a:gd name="f11" fmla="val f10"/>
            <a:gd name="f12" fmla="val f9"/>
            <a:gd name="f13" fmla="+- 21600 0 f10"/>
            <a:gd name="f14" fmla="*/ f9 f7 1"/>
            <a:gd name="f15" fmla="*/ f10 f8 1"/>
            <a:gd name="f16" fmla="*/ 0 f7 1"/>
            <a:gd name="f17" fmla="+- 21600 0 f12"/>
            <a:gd name="f18" fmla="*/ f13 f8 1"/>
            <a:gd name="f19" fmla="*/ f11 f8 1"/>
            <a:gd name="f20" fmla="*/ f17 f11 1"/>
            <a:gd name="f21" fmla="*/ f20 1 10800"/>
            <a:gd name="f22" fmla="+- f12 f21 0"/>
            <a:gd name="f23" fmla="*/ f22 f7 1"/>
          </a:gdLst>
          <a:ahLst>
            <a:ahXY gdRefX="f0" minX="f4" maxX="f5" gdRefY="f1" minY="f4" maxY="f6">
              <a:pos x="f14" y="f15"/>
            </a:ahXY>
          </a:ahLst>
          <a:cxnLst>
            <a:cxn ang="3cd4">
              <a:pos x="hc" y="t"/>
            </a:cxn>
            <a:cxn ang="0">
              <a:pos x="r" y="vc"/>
            </a:cxn>
            <a:cxn ang="cd4">
              <a:pos x="hc" y="b"/>
            </a:cxn>
            <a:cxn ang="cd2">
              <a:pos x="l" y="vc"/>
            </a:cxn>
          </a:cxnLst>
          <a:rect l="f16" t="f19" r="f23" b="f18"/>
          <a:pathLst>
            <a:path w="21600" h="21600">
              <a:moveTo>
                <a:pt x="f4" y="f11"/>
              </a:moveTo>
              <a:lnTo>
                <a:pt x="f12" y="f11"/>
              </a:lnTo>
              <a:lnTo>
                <a:pt x="f12" y="f4"/>
              </a:lnTo>
              <a:lnTo>
                <a:pt x="f5" y="f6"/>
              </a:lnTo>
              <a:lnTo>
                <a:pt x="f12" y="f5"/>
              </a:lnTo>
              <a:lnTo>
                <a:pt x="f12" y="f13"/>
              </a:lnTo>
              <a:lnTo>
                <a:pt x="f4" y="f13"/>
              </a:lnTo>
              <a:close/>
            </a:path>
          </a:pathLst>
        </a:custGeom>
        <a:solidFill>
          <a:schemeClr val="accent1"/>
        </a:solidFill>
        <a:ln w="25400">
          <a:solidFill>
            <a:schemeClr val="accent1">
              <a:shade val="50000"/>
            </a:schemeClr>
          </a:solidFill>
          <a:prstDash val="solid"/>
        </a:ln>
      </xdr:spPr>
      <xdr:txBody>
        <a:bodyPr vert="horz" wrap="none" lIns="0" tIns="0" rIns="0" bIns="0" anchor="ctr" anchorCtr="0" compatLnSpc="0">
          <a:noAutofit/>
        </a:bodyPr>
        <a:lstStyle/>
        <a:p>
          <a:pPr lvl="0" rtl="0" hangingPunct="0">
            <a:buNone/>
            <a:tabLst/>
          </a:pPr>
          <a:endParaRPr lang="fr-FR" sz="1200" kern="1200"/>
        </a:p>
      </xdr:txBody>
    </xdr:sp>
    <xdr:clientData/>
  </xdr:oneCellAnchor>
  <xdr:oneCellAnchor>
    <xdr:from>
      <xdr:col>8</xdr:col>
      <xdr:colOff>284760</xdr:colOff>
      <xdr:row>19</xdr:row>
      <xdr:rowOff>19050</xdr:rowOff>
    </xdr:from>
    <xdr:ext cx="972540" cy="353910"/>
    <xdr:sp macro="" textlink="">
      <xdr:nvSpPr>
        <xdr:cNvPr id="14" name="Forme libre : forme 13">
          <a:extLst>
            <a:ext uri="{FF2B5EF4-FFF2-40B4-BE49-F238E27FC236}">
              <a16:creationId xmlns:a16="http://schemas.microsoft.com/office/drawing/2014/main" id="{00000000-0008-0000-0000-00000E000000}"/>
            </a:ext>
          </a:extLst>
        </xdr:cNvPr>
        <xdr:cNvSpPr/>
      </xdr:nvSpPr>
      <xdr:spPr>
        <a:xfrm>
          <a:off x="9362085" y="3990975"/>
          <a:ext cx="972540" cy="353910"/>
        </a:xfrm>
        <a:custGeom>
          <a:avLst>
            <a:gd name="f0" fmla="val 16200"/>
            <a:gd name="f1" fmla="val 5400"/>
          </a:avLst>
          <a:gdLst>
            <a:gd name="f2" fmla="val w"/>
            <a:gd name="f3" fmla="val h"/>
            <a:gd name="f4" fmla="val 0"/>
            <a:gd name="f5" fmla="val 21600"/>
            <a:gd name="f6" fmla="val 10800"/>
            <a:gd name="f7" fmla="*/ f2 1 21600"/>
            <a:gd name="f8" fmla="*/ f3 1 21600"/>
            <a:gd name="f9" fmla="pin 0 f0 21600"/>
            <a:gd name="f10" fmla="pin 0 f1 10800"/>
            <a:gd name="f11" fmla="val f10"/>
            <a:gd name="f12" fmla="val f9"/>
            <a:gd name="f13" fmla="+- 21600 0 f10"/>
            <a:gd name="f14" fmla="*/ f9 f7 1"/>
            <a:gd name="f15" fmla="*/ f10 f8 1"/>
            <a:gd name="f16" fmla="*/ 0 f7 1"/>
            <a:gd name="f17" fmla="+- 21600 0 f12"/>
            <a:gd name="f18" fmla="*/ f13 f8 1"/>
            <a:gd name="f19" fmla="*/ f11 f8 1"/>
            <a:gd name="f20" fmla="*/ f17 f11 1"/>
            <a:gd name="f21" fmla="*/ f20 1 10800"/>
            <a:gd name="f22" fmla="+- f12 f21 0"/>
            <a:gd name="f23" fmla="*/ f22 f7 1"/>
          </a:gdLst>
          <a:ahLst>
            <a:ahXY gdRefX="f0" minX="f4" maxX="f5" gdRefY="f1" minY="f4" maxY="f6">
              <a:pos x="f14" y="f15"/>
            </a:ahXY>
          </a:ahLst>
          <a:cxnLst>
            <a:cxn ang="3cd4">
              <a:pos x="hc" y="t"/>
            </a:cxn>
            <a:cxn ang="0">
              <a:pos x="r" y="vc"/>
            </a:cxn>
            <a:cxn ang="cd4">
              <a:pos x="hc" y="b"/>
            </a:cxn>
            <a:cxn ang="cd2">
              <a:pos x="l" y="vc"/>
            </a:cxn>
          </a:cxnLst>
          <a:rect l="f16" t="f19" r="f23" b="f18"/>
          <a:pathLst>
            <a:path w="21600" h="21600">
              <a:moveTo>
                <a:pt x="f4" y="f11"/>
              </a:moveTo>
              <a:lnTo>
                <a:pt x="f12" y="f11"/>
              </a:lnTo>
              <a:lnTo>
                <a:pt x="f12" y="f4"/>
              </a:lnTo>
              <a:lnTo>
                <a:pt x="f5" y="f6"/>
              </a:lnTo>
              <a:lnTo>
                <a:pt x="f12" y="f5"/>
              </a:lnTo>
              <a:lnTo>
                <a:pt x="f12" y="f13"/>
              </a:lnTo>
              <a:lnTo>
                <a:pt x="f4" y="f13"/>
              </a:lnTo>
              <a:close/>
            </a:path>
          </a:pathLst>
        </a:custGeom>
        <a:solidFill>
          <a:schemeClr val="accent1"/>
        </a:solidFill>
        <a:ln w="25400">
          <a:solidFill>
            <a:schemeClr val="accent1">
              <a:shade val="50000"/>
            </a:schemeClr>
          </a:solidFill>
          <a:prstDash val="solid"/>
        </a:ln>
      </xdr:spPr>
      <xdr:txBody>
        <a:bodyPr vert="horz" wrap="none" lIns="0" tIns="0" rIns="0" bIns="0" anchor="ctr" anchorCtr="0" compatLnSpc="0">
          <a:noAutofit/>
        </a:bodyPr>
        <a:lstStyle/>
        <a:p>
          <a:pPr lvl="0" rtl="0" hangingPunct="0">
            <a:buNone/>
            <a:tabLst/>
          </a:pPr>
          <a:endParaRPr lang="fr-FR" sz="1200" kern="1200"/>
        </a:p>
      </xdr:txBody>
    </xdr:sp>
    <xdr:clientData/>
  </xdr:oneCellAnchor>
  <xdr:twoCellAnchor>
    <xdr:from>
      <xdr:col>4</xdr:col>
      <xdr:colOff>350235</xdr:colOff>
      <xdr:row>17</xdr:row>
      <xdr:rowOff>76319</xdr:rowOff>
    </xdr:from>
    <xdr:to>
      <xdr:col>4</xdr:col>
      <xdr:colOff>786847</xdr:colOff>
      <xdr:row>19</xdr:row>
      <xdr:rowOff>16566</xdr:rowOff>
    </xdr:to>
    <xdr:sp macro="[0]!Feuil1.FV1" textlink="">
      <xdr:nvSpPr>
        <xdr:cNvPr id="27" name="Rectangle : coins arrondis 26">
          <a:extLst>
            <a:ext uri="{FF2B5EF4-FFF2-40B4-BE49-F238E27FC236}">
              <a16:creationId xmlns:a16="http://schemas.microsoft.com/office/drawing/2014/main" id="{00000000-0008-0000-0000-00001B000000}"/>
            </a:ext>
          </a:extLst>
        </xdr:cNvPr>
        <xdr:cNvSpPr/>
      </xdr:nvSpPr>
      <xdr:spPr>
        <a:xfrm>
          <a:off x="4731735" y="3795210"/>
          <a:ext cx="436612" cy="30468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FV1</a:t>
          </a:r>
        </a:p>
      </xdr:txBody>
    </xdr:sp>
    <xdr:clientData/>
  </xdr:twoCellAnchor>
  <xdr:twoCellAnchor>
    <xdr:from>
      <xdr:col>4</xdr:col>
      <xdr:colOff>825658</xdr:colOff>
      <xdr:row>17</xdr:row>
      <xdr:rowOff>79632</xdr:rowOff>
    </xdr:from>
    <xdr:to>
      <xdr:col>5</xdr:col>
      <xdr:colOff>334618</xdr:colOff>
      <xdr:row>19</xdr:row>
      <xdr:rowOff>19879</xdr:rowOff>
    </xdr:to>
    <xdr:sp macro="[0]!Feuil1.FV2" textlink="">
      <xdr:nvSpPr>
        <xdr:cNvPr id="28" name="Rectangle : coins arrondis 27">
          <a:extLst>
            <a:ext uri="{FF2B5EF4-FFF2-40B4-BE49-F238E27FC236}">
              <a16:creationId xmlns:a16="http://schemas.microsoft.com/office/drawing/2014/main" id="{00000000-0008-0000-0000-00001C000000}"/>
            </a:ext>
          </a:extLst>
        </xdr:cNvPr>
        <xdr:cNvSpPr/>
      </xdr:nvSpPr>
      <xdr:spPr>
        <a:xfrm>
          <a:off x="5207158" y="3798523"/>
          <a:ext cx="436612" cy="30468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FV2</a:t>
          </a:r>
        </a:p>
      </xdr:txBody>
    </xdr:sp>
    <xdr:clientData/>
  </xdr:twoCellAnchor>
  <xdr:twoCellAnchor>
    <xdr:from>
      <xdr:col>5</xdr:col>
      <xdr:colOff>378397</xdr:colOff>
      <xdr:row>17</xdr:row>
      <xdr:rowOff>87914</xdr:rowOff>
    </xdr:from>
    <xdr:to>
      <xdr:col>5</xdr:col>
      <xdr:colOff>815009</xdr:colOff>
      <xdr:row>19</xdr:row>
      <xdr:rowOff>28161</xdr:rowOff>
    </xdr:to>
    <xdr:sp macro="[0]!Feuil1.FV3" textlink="">
      <xdr:nvSpPr>
        <xdr:cNvPr id="29" name="Rectangle : coins arrondis 28">
          <a:extLst>
            <a:ext uri="{FF2B5EF4-FFF2-40B4-BE49-F238E27FC236}">
              <a16:creationId xmlns:a16="http://schemas.microsoft.com/office/drawing/2014/main" id="{00000000-0008-0000-0000-00001D000000}"/>
            </a:ext>
          </a:extLst>
        </xdr:cNvPr>
        <xdr:cNvSpPr/>
      </xdr:nvSpPr>
      <xdr:spPr>
        <a:xfrm>
          <a:off x="5687549" y="3806805"/>
          <a:ext cx="436612" cy="30468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FV3</a:t>
          </a:r>
        </a:p>
      </xdr:txBody>
    </xdr:sp>
    <xdr:clientData/>
  </xdr:twoCellAnchor>
  <xdr:twoCellAnchor>
    <xdr:from>
      <xdr:col>6</xdr:col>
      <xdr:colOff>42123</xdr:colOff>
      <xdr:row>17</xdr:row>
      <xdr:rowOff>82945</xdr:rowOff>
    </xdr:from>
    <xdr:to>
      <xdr:col>6</xdr:col>
      <xdr:colOff>478735</xdr:colOff>
      <xdr:row>19</xdr:row>
      <xdr:rowOff>23192</xdr:rowOff>
    </xdr:to>
    <xdr:sp macro="[0]!Feuil1.FV4" textlink="">
      <xdr:nvSpPr>
        <xdr:cNvPr id="30" name="Rectangle : coins arrondis 29">
          <a:extLst>
            <a:ext uri="{FF2B5EF4-FFF2-40B4-BE49-F238E27FC236}">
              <a16:creationId xmlns:a16="http://schemas.microsoft.com/office/drawing/2014/main" id="{00000000-0008-0000-0000-00001E000000}"/>
            </a:ext>
          </a:extLst>
        </xdr:cNvPr>
        <xdr:cNvSpPr/>
      </xdr:nvSpPr>
      <xdr:spPr>
        <a:xfrm>
          <a:off x="6179536" y="3801836"/>
          <a:ext cx="436612" cy="30468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FV4</a:t>
          </a:r>
        </a:p>
      </xdr:txBody>
    </xdr:sp>
    <xdr:clientData/>
  </xdr:twoCellAnchor>
  <xdr:twoCellAnchor>
    <xdr:from>
      <xdr:col>6</xdr:col>
      <xdr:colOff>525828</xdr:colOff>
      <xdr:row>17</xdr:row>
      <xdr:rowOff>94541</xdr:rowOff>
    </xdr:from>
    <xdr:to>
      <xdr:col>7</xdr:col>
      <xdr:colOff>140805</xdr:colOff>
      <xdr:row>19</xdr:row>
      <xdr:rowOff>34788</xdr:rowOff>
    </xdr:to>
    <xdr:sp macro="[0]!Feuil1.FV5" textlink="">
      <xdr:nvSpPr>
        <xdr:cNvPr id="32" name="Rectangle : coins arrondis 31">
          <a:extLst>
            <a:ext uri="{FF2B5EF4-FFF2-40B4-BE49-F238E27FC236}">
              <a16:creationId xmlns:a16="http://schemas.microsoft.com/office/drawing/2014/main" id="{00000000-0008-0000-0000-000020000000}"/>
            </a:ext>
          </a:extLst>
        </xdr:cNvPr>
        <xdr:cNvSpPr/>
      </xdr:nvSpPr>
      <xdr:spPr>
        <a:xfrm>
          <a:off x="6663241" y="3813432"/>
          <a:ext cx="443238" cy="30468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FV5</a:t>
          </a:r>
        </a:p>
      </xdr:txBody>
    </xdr:sp>
    <xdr:clientData/>
  </xdr:twoCellAnchor>
  <xdr:twoCellAnchor>
    <xdr:from>
      <xdr:col>4</xdr:col>
      <xdr:colOff>353548</xdr:colOff>
      <xdr:row>19</xdr:row>
      <xdr:rowOff>71349</xdr:rowOff>
    </xdr:from>
    <xdr:to>
      <xdr:col>4</xdr:col>
      <xdr:colOff>790160</xdr:colOff>
      <xdr:row>21</xdr:row>
      <xdr:rowOff>11596</xdr:rowOff>
    </xdr:to>
    <xdr:sp macro="[0]!Feuil1.FV6" textlink="">
      <xdr:nvSpPr>
        <xdr:cNvPr id="33" name="Rectangle : coins arrondis 32">
          <a:extLst>
            <a:ext uri="{FF2B5EF4-FFF2-40B4-BE49-F238E27FC236}">
              <a16:creationId xmlns:a16="http://schemas.microsoft.com/office/drawing/2014/main" id="{00000000-0008-0000-0000-000021000000}"/>
            </a:ext>
          </a:extLst>
        </xdr:cNvPr>
        <xdr:cNvSpPr/>
      </xdr:nvSpPr>
      <xdr:spPr>
        <a:xfrm>
          <a:off x="4735048" y="4154675"/>
          <a:ext cx="436612" cy="30468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FV6</a:t>
          </a:r>
        </a:p>
      </xdr:txBody>
    </xdr:sp>
    <xdr:clientData/>
  </xdr:twoCellAnchor>
  <xdr:twoCellAnchor>
    <xdr:from>
      <xdr:col>4</xdr:col>
      <xdr:colOff>828971</xdr:colOff>
      <xdr:row>19</xdr:row>
      <xdr:rowOff>74662</xdr:rowOff>
    </xdr:from>
    <xdr:to>
      <xdr:col>5</xdr:col>
      <xdr:colOff>337931</xdr:colOff>
      <xdr:row>21</xdr:row>
      <xdr:rowOff>14909</xdr:rowOff>
    </xdr:to>
    <xdr:sp macro="[0]!Feuil1.FV7" textlink="">
      <xdr:nvSpPr>
        <xdr:cNvPr id="34" name="Rectangle : coins arrondis 33">
          <a:extLst>
            <a:ext uri="{FF2B5EF4-FFF2-40B4-BE49-F238E27FC236}">
              <a16:creationId xmlns:a16="http://schemas.microsoft.com/office/drawing/2014/main" id="{00000000-0008-0000-0000-000022000000}"/>
            </a:ext>
          </a:extLst>
        </xdr:cNvPr>
        <xdr:cNvSpPr/>
      </xdr:nvSpPr>
      <xdr:spPr>
        <a:xfrm>
          <a:off x="5210471" y="4157988"/>
          <a:ext cx="436612" cy="30468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FV7</a:t>
          </a:r>
        </a:p>
      </xdr:txBody>
    </xdr:sp>
    <xdr:clientData/>
  </xdr:twoCellAnchor>
  <xdr:twoCellAnchor>
    <xdr:from>
      <xdr:col>5</xdr:col>
      <xdr:colOff>381710</xdr:colOff>
      <xdr:row>19</xdr:row>
      <xdr:rowOff>82944</xdr:rowOff>
    </xdr:from>
    <xdr:to>
      <xdr:col>5</xdr:col>
      <xdr:colOff>818322</xdr:colOff>
      <xdr:row>21</xdr:row>
      <xdr:rowOff>23191</xdr:rowOff>
    </xdr:to>
    <xdr:sp macro="[0]!Feuil1.FV8" textlink="">
      <xdr:nvSpPr>
        <xdr:cNvPr id="35" name="Rectangle : coins arrondis 34">
          <a:extLst>
            <a:ext uri="{FF2B5EF4-FFF2-40B4-BE49-F238E27FC236}">
              <a16:creationId xmlns:a16="http://schemas.microsoft.com/office/drawing/2014/main" id="{00000000-0008-0000-0000-000023000000}"/>
            </a:ext>
          </a:extLst>
        </xdr:cNvPr>
        <xdr:cNvSpPr/>
      </xdr:nvSpPr>
      <xdr:spPr>
        <a:xfrm>
          <a:off x="5690862" y="4166270"/>
          <a:ext cx="436612" cy="30468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FV8</a:t>
          </a:r>
        </a:p>
      </xdr:txBody>
    </xdr:sp>
    <xdr:clientData/>
  </xdr:twoCellAnchor>
  <xdr:twoCellAnchor>
    <xdr:from>
      <xdr:col>6</xdr:col>
      <xdr:colOff>45436</xdr:colOff>
      <xdr:row>19</xdr:row>
      <xdr:rowOff>77975</xdr:rowOff>
    </xdr:from>
    <xdr:to>
      <xdr:col>6</xdr:col>
      <xdr:colOff>482048</xdr:colOff>
      <xdr:row>21</xdr:row>
      <xdr:rowOff>18222</xdr:rowOff>
    </xdr:to>
    <xdr:sp macro="[0]!Feuil1.FV9" textlink="">
      <xdr:nvSpPr>
        <xdr:cNvPr id="36" name="Rectangle : coins arrondis 35">
          <a:extLst>
            <a:ext uri="{FF2B5EF4-FFF2-40B4-BE49-F238E27FC236}">
              <a16:creationId xmlns:a16="http://schemas.microsoft.com/office/drawing/2014/main" id="{00000000-0008-0000-0000-000024000000}"/>
            </a:ext>
          </a:extLst>
        </xdr:cNvPr>
        <xdr:cNvSpPr/>
      </xdr:nvSpPr>
      <xdr:spPr>
        <a:xfrm>
          <a:off x="6182849" y="4161301"/>
          <a:ext cx="436612" cy="30468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FV9</a:t>
          </a:r>
        </a:p>
      </xdr:txBody>
    </xdr:sp>
    <xdr:clientData/>
  </xdr:twoCellAnchor>
  <xdr:twoCellAnchor>
    <xdr:from>
      <xdr:col>6</xdr:col>
      <xdr:colOff>529140</xdr:colOff>
      <xdr:row>19</xdr:row>
      <xdr:rowOff>89571</xdr:rowOff>
    </xdr:from>
    <xdr:to>
      <xdr:col>7</xdr:col>
      <xdr:colOff>207064</xdr:colOff>
      <xdr:row>21</xdr:row>
      <xdr:rowOff>24848</xdr:rowOff>
    </xdr:to>
    <xdr:sp macro="[0]!Feuil1.FV10" textlink="">
      <xdr:nvSpPr>
        <xdr:cNvPr id="37" name="Rectangle : coins arrondis 36">
          <a:extLst>
            <a:ext uri="{FF2B5EF4-FFF2-40B4-BE49-F238E27FC236}">
              <a16:creationId xmlns:a16="http://schemas.microsoft.com/office/drawing/2014/main" id="{00000000-0008-0000-0000-000025000000}"/>
            </a:ext>
          </a:extLst>
        </xdr:cNvPr>
        <xdr:cNvSpPr/>
      </xdr:nvSpPr>
      <xdr:spPr>
        <a:xfrm>
          <a:off x="6666553" y="4172897"/>
          <a:ext cx="506185" cy="29971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FV10</a:t>
          </a:r>
        </a:p>
      </xdr:txBody>
    </xdr:sp>
    <xdr:clientData/>
  </xdr:twoCellAnchor>
  <xdr:twoCellAnchor>
    <xdr:from>
      <xdr:col>4</xdr:col>
      <xdr:colOff>398372</xdr:colOff>
      <xdr:row>21</xdr:row>
      <xdr:rowOff>235150</xdr:rowOff>
    </xdr:from>
    <xdr:to>
      <xdr:col>4</xdr:col>
      <xdr:colOff>840442</xdr:colOff>
      <xdr:row>21</xdr:row>
      <xdr:rowOff>533986</xdr:rowOff>
    </xdr:to>
    <xdr:sp macro="[0]!Feuil1.FH1" textlink="">
      <xdr:nvSpPr>
        <xdr:cNvPr id="38" name="Rectangle : coins arrondis 37">
          <a:extLst>
            <a:ext uri="{FF2B5EF4-FFF2-40B4-BE49-F238E27FC236}">
              <a16:creationId xmlns:a16="http://schemas.microsoft.com/office/drawing/2014/main" id="{00000000-0008-0000-0000-000026000000}"/>
            </a:ext>
          </a:extLst>
        </xdr:cNvPr>
        <xdr:cNvSpPr/>
      </xdr:nvSpPr>
      <xdr:spPr>
        <a:xfrm>
          <a:off x="4782113" y="4681644"/>
          <a:ext cx="442070" cy="298836"/>
        </a:xfrm>
        <a:prstGeom prst="roundRect">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FH1</a:t>
          </a:r>
        </a:p>
      </xdr:txBody>
    </xdr:sp>
    <xdr:clientData/>
  </xdr:twoCellAnchor>
  <xdr:twoCellAnchor>
    <xdr:from>
      <xdr:col>4</xdr:col>
      <xdr:colOff>903126</xdr:colOff>
      <xdr:row>21</xdr:row>
      <xdr:rowOff>238463</xdr:rowOff>
    </xdr:from>
    <xdr:to>
      <xdr:col>5</xdr:col>
      <xdr:colOff>416373</xdr:colOff>
      <xdr:row>21</xdr:row>
      <xdr:rowOff>537299</xdr:rowOff>
    </xdr:to>
    <xdr:sp macro="[0]!Feuil1.FH2" textlink="">
      <xdr:nvSpPr>
        <xdr:cNvPr id="39" name="Rectangle : coins arrondis 38">
          <a:extLst>
            <a:ext uri="{FF2B5EF4-FFF2-40B4-BE49-F238E27FC236}">
              <a16:creationId xmlns:a16="http://schemas.microsoft.com/office/drawing/2014/main" id="{00000000-0008-0000-0000-000027000000}"/>
            </a:ext>
          </a:extLst>
        </xdr:cNvPr>
        <xdr:cNvSpPr/>
      </xdr:nvSpPr>
      <xdr:spPr>
        <a:xfrm>
          <a:off x="5286867" y="4684957"/>
          <a:ext cx="436612" cy="298836"/>
        </a:xfrm>
        <a:prstGeom prst="roundRect">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FH2</a:t>
          </a:r>
        </a:p>
      </xdr:txBody>
    </xdr:sp>
    <xdr:clientData/>
  </xdr:twoCellAnchor>
  <xdr:twoCellAnchor>
    <xdr:from>
      <xdr:col>5</xdr:col>
      <xdr:colOff>460152</xdr:colOff>
      <xdr:row>21</xdr:row>
      <xdr:rowOff>246745</xdr:rowOff>
    </xdr:from>
    <xdr:to>
      <xdr:col>6</xdr:col>
      <xdr:colOff>68503</xdr:colOff>
      <xdr:row>21</xdr:row>
      <xdr:rowOff>545581</xdr:rowOff>
    </xdr:to>
    <xdr:sp macro="[0]!Feuil1.FH3" textlink="">
      <xdr:nvSpPr>
        <xdr:cNvPr id="40" name="Rectangle : coins arrondis 39">
          <a:extLst>
            <a:ext uri="{FF2B5EF4-FFF2-40B4-BE49-F238E27FC236}">
              <a16:creationId xmlns:a16="http://schemas.microsoft.com/office/drawing/2014/main" id="{00000000-0008-0000-0000-000028000000}"/>
            </a:ext>
          </a:extLst>
        </xdr:cNvPr>
        <xdr:cNvSpPr/>
      </xdr:nvSpPr>
      <xdr:spPr>
        <a:xfrm>
          <a:off x="5767258" y="4693239"/>
          <a:ext cx="442069" cy="298836"/>
        </a:xfrm>
        <a:prstGeom prst="roundRect">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FH3</a:t>
          </a:r>
        </a:p>
      </xdr:txBody>
    </xdr:sp>
    <xdr:clientData/>
  </xdr:twoCellAnchor>
  <xdr:twoCellAnchor>
    <xdr:from>
      <xdr:col>6</xdr:col>
      <xdr:colOff>123878</xdr:colOff>
      <xdr:row>21</xdr:row>
      <xdr:rowOff>241776</xdr:rowOff>
    </xdr:from>
    <xdr:to>
      <xdr:col>6</xdr:col>
      <xdr:colOff>560490</xdr:colOff>
      <xdr:row>21</xdr:row>
      <xdr:rowOff>540612</xdr:rowOff>
    </xdr:to>
    <xdr:sp macro="[0]!Feuil1.FH4" textlink="">
      <xdr:nvSpPr>
        <xdr:cNvPr id="41" name="Rectangle : coins arrondis 40">
          <a:extLst>
            <a:ext uri="{FF2B5EF4-FFF2-40B4-BE49-F238E27FC236}">
              <a16:creationId xmlns:a16="http://schemas.microsoft.com/office/drawing/2014/main" id="{00000000-0008-0000-0000-000029000000}"/>
            </a:ext>
          </a:extLst>
        </xdr:cNvPr>
        <xdr:cNvSpPr/>
      </xdr:nvSpPr>
      <xdr:spPr>
        <a:xfrm>
          <a:off x="6264702" y="4688270"/>
          <a:ext cx="436612" cy="298836"/>
        </a:xfrm>
        <a:prstGeom prst="roundRect">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FH4</a:t>
          </a:r>
        </a:p>
      </xdr:txBody>
    </xdr:sp>
    <xdr:clientData/>
  </xdr:twoCellAnchor>
  <xdr:twoCellAnchor>
    <xdr:from>
      <xdr:col>4</xdr:col>
      <xdr:colOff>365312</xdr:colOff>
      <xdr:row>21</xdr:row>
      <xdr:rowOff>588769</xdr:rowOff>
    </xdr:from>
    <xdr:to>
      <xdr:col>4</xdr:col>
      <xdr:colOff>867628</xdr:colOff>
      <xdr:row>21</xdr:row>
      <xdr:rowOff>887604</xdr:rowOff>
    </xdr:to>
    <xdr:sp macro="[0]!Feuil1.FH5" textlink="">
      <xdr:nvSpPr>
        <xdr:cNvPr id="43" name="Rectangle : coins arrondis 42">
          <a:extLst>
            <a:ext uri="{FF2B5EF4-FFF2-40B4-BE49-F238E27FC236}">
              <a16:creationId xmlns:a16="http://schemas.microsoft.com/office/drawing/2014/main" id="{00000000-0008-0000-0000-00002B000000}"/>
            </a:ext>
          </a:extLst>
        </xdr:cNvPr>
        <xdr:cNvSpPr/>
      </xdr:nvSpPr>
      <xdr:spPr>
        <a:xfrm>
          <a:off x="4749053" y="5035263"/>
          <a:ext cx="502316" cy="298835"/>
        </a:xfrm>
        <a:prstGeom prst="roundRect">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FH5</a:t>
          </a:r>
        </a:p>
      </xdr:txBody>
    </xdr:sp>
    <xdr:clientData/>
  </xdr:twoCellAnchor>
  <xdr:twoCellAnchor>
    <xdr:from>
      <xdr:col>4</xdr:col>
      <xdr:colOff>906439</xdr:colOff>
      <xdr:row>21</xdr:row>
      <xdr:rowOff>592082</xdr:rowOff>
    </xdr:from>
    <xdr:to>
      <xdr:col>5</xdr:col>
      <xdr:colOff>419686</xdr:colOff>
      <xdr:row>21</xdr:row>
      <xdr:rowOff>890917</xdr:rowOff>
    </xdr:to>
    <xdr:sp macro="[0]!Feuil1.FH6" textlink="">
      <xdr:nvSpPr>
        <xdr:cNvPr id="44" name="Rectangle : coins arrondis 43">
          <a:extLst>
            <a:ext uri="{FF2B5EF4-FFF2-40B4-BE49-F238E27FC236}">
              <a16:creationId xmlns:a16="http://schemas.microsoft.com/office/drawing/2014/main" id="{00000000-0008-0000-0000-00002C000000}"/>
            </a:ext>
          </a:extLst>
        </xdr:cNvPr>
        <xdr:cNvSpPr/>
      </xdr:nvSpPr>
      <xdr:spPr>
        <a:xfrm>
          <a:off x="5290180" y="5038576"/>
          <a:ext cx="436612" cy="298835"/>
        </a:xfrm>
        <a:prstGeom prst="roundRect">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FV6</a:t>
          </a:r>
        </a:p>
      </xdr:txBody>
    </xdr:sp>
    <xdr:clientData/>
  </xdr:twoCellAnchor>
  <xdr:twoCellAnchor>
    <xdr:from>
      <xdr:col>5</xdr:col>
      <xdr:colOff>463465</xdr:colOff>
      <xdr:row>21</xdr:row>
      <xdr:rowOff>600364</xdr:rowOff>
    </xdr:from>
    <xdr:to>
      <xdr:col>6</xdr:col>
      <xdr:colOff>70841</xdr:colOff>
      <xdr:row>21</xdr:row>
      <xdr:rowOff>899199</xdr:rowOff>
    </xdr:to>
    <xdr:sp macro="[0]!Feuil1.FH7" textlink="">
      <xdr:nvSpPr>
        <xdr:cNvPr id="45" name="Rectangle : coins arrondis 44">
          <a:extLst>
            <a:ext uri="{FF2B5EF4-FFF2-40B4-BE49-F238E27FC236}">
              <a16:creationId xmlns:a16="http://schemas.microsoft.com/office/drawing/2014/main" id="{00000000-0008-0000-0000-00002D000000}"/>
            </a:ext>
          </a:extLst>
        </xdr:cNvPr>
        <xdr:cNvSpPr/>
      </xdr:nvSpPr>
      <xdr:spPr>
        <a:xfrm>
          <a:off x="5770571" y="5046858"/>
          <a:ext cx="441094" cy="298835"/>
        </a:xfrm>
        <a:prstGeom prst="roundRect">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FH7</a:t>
          </a:r>
        </a:p>
      </xdr:txBody>
    </xdr:sp>
    <xdr:clientData/>
  </xdr:twoCellAnchor>
  <xdr:twoCellAnchor>
    <xdr:from>
      <xdr:col>6</xdr:col>
      <xdr:colOff>127191</xdr:colOff>
      <xdr:row>21</xdr:row>
      <xdr:rowOff>595395</xdr:rowOff>
    </xdr:from>
    <xdr:to>
      <xdr:col>6</xdr:col>
      <xdr:colOff>563803</xdr:colOff>
      <xdr:row>21</xdr:row>
      <xdr:rowOff>894230</xdr:rowOff>
    </xdr:to>
    <xdr:sp macro="[0]!Feuil1.FH8" textlink="">
      <xdr:nvSpPr>
        <xdr:cNvPr id="46" name="Rectangle : coins arrondis 45">
          <a:extLst>
            <a:ext uri="{FF2B5EF4-FFF2-40B4-BE49-F238E27FC236}">
              <a16:creationId xmlns:a16="http://schemas.microsoft.com/office/drawing/2014/main" id="{00000000-0008-0000-0000-00002E000000}"/>
            </a:ext>
          </a:extLst>
        </xdr:cNvPr>
        <xdr:cNvSpPr/>
      </xdr:nvSpPr>
      <xdr:spPr>
        <a:xfrm>
          <a:off x="6268015" y="5041889"/>
          <a:ext cx="436612" cy="298835"/>
        </a:xfrm>
        <a:prstGeom prst="roundRect">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FH8</a:t>
          </a:r>
        </a:p>
      </xdr:txBody>
    </xdr:sp>
    <xdr:clientData/>
  </xdr:twoCellAnchor>
  <xdr:twoCellAnchor>
    <xdr:from>
      <xdr:col>4</xdr:col>
      <xdr:colOff>679174</xdr:colOff>
      <xdr:row>21</xdr:row>
      <xdr:rowOff>1132986</xdr:rowOff>
    </xdr:from>
    <xdr:to>
      <xdr:col>5</xdr:col>
      <xdr:colOff>262996</xdr:colOff>
      <xdr:row>21</xdr:row>
      <xdr:rowOff>1431822</xdr:rowOff>
    </xdr:to>
    <xdr:sp macro="[0]!Feuil1.FVB1" textlink="">
      <xdr:nvSpPr>
        <xdr:cNvPr id="48" name="Rectangle : coins arrondis 47">
          <a:extLst>
            <a:ext uri="{FF2B5EF4-FFF2-40B4-BE49-F238E27FC236}">
              <a16:creationId xmlns:a16="http://schemas.microsoft.com/office/drawing/2014/main" id="{00000000-0008-0000-0000-000030000000}"/>
            </a:ext>
          </a:extLst>
        </xdr:cNvPr>
        <xdr:cNvSpPr/>
      </xdr:nvSpPr>
      <xdr:spPr>
        <a:xfrm>
          <a:off x="5060674" y="5580747"/>
          <a:ext cx="511474" cy="298836"/>
        </a:xfrm>
        <a:prstGeom prst="round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FVB1</a:t>
          </a:r>
        </a:p>
      </xdr:txBody>
    </xdr:sp>
    <xdr:clientData/>
  </xdr:twoCellAnchor>
  <xdr:twoCellAnchor>
    <xdr:from>
      <xdr:col>5</xdr:col>
      <xdr:colOff>397566</xdr:colOff>
      <xdr:row>21</xdr:row>
      <xdr:rowOff>1136298</xdr:rowOff>
    </xdr:from>
    <xdr:to>
      <xdr:col>6</xdr:col>
      <xdr:colOff>91109</xdr:colOff>
      <xdr:row>21</xdr:row>
      <xdr:rowOff>1435134</xdr:rowOff>
    </xdr:to>
    <xdr:sp macro="[0]!Feuil1.FVB2" textlink="">
      <xdr:nvSpPr>
        <xdr:cNvPr id="49" name="Rectangle : coins arrondis 48">
          <a:extLst>
            <a:ext uri="{FF2B5EF4-FFF2-40B4-BE49-F238E27FC236}">
              <a16:creationId xmlns:a16="http://schemas.microsoft.com/office/drawing/2014/main" id="{00000000-0008-0000-0000-000031000000}"/>
            </a:ext>
          </a:extLst>
        </xdr:cNvPr>
        <xdr:cNvSpPr/>
      </xdr:nvSpPr>
      <xdr:spPr>
        <a:xfrm>
          <a:off x="5706718" y="5584059"/>
          <a:ext cx="521804" cy="298836"/>
        </a:xfrm>
        <a:prstGeom prst="round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FVB2</a:t>
          </a:r>
        </a:p>
      </xdr:txBody>
    </xdr:sp>
    <xdr:clientData/>
  </xdr:twoCellAnchor>
  <xdr:twoCellAnchor>
    <xdr:from>
      <xdr:col>6</xdr:col>
      <xdr:colOff>252110</xdr:colOff>
      <xdr:row>21</xdr:row>
      <xdr:rowOff>1136298</xdr:rowOff>
    </xdr:from>
    <xdr:to>
      <xdr:col>6</xdr:col>
      <xdr:colOff>786847</xdr:colOff>
      <xdr:row>21</xdr:row>
      <xdr:rowOff>1435134</xdr:rowOff>
    </xdr:to>
    <xdr:sp macro="[0]!Feuil1.FVB3" textlink="">
      <xdr:nvSpPr>
        <xdr:cNvPr id="50" name="Rectangle : coins arrondis 49">
          <a:extLst>
            <a:ext uri="{FF2B5EF4-FFF2-40B4-BE49-F238E27FC236}">
              <a16:creationId xmlns:a16="http://schemas.microsoft.com/office/drawing/2014/main" id="{00000000-0008-0000-0000-000032000000}"/>
            </a:ext>
          </a:extLst>
        </xdr:cNvPr>
        <xdr:cNvSpPr/>
      </xdr:nvSpPr>
      <xdr:spPr>
        <a:xfrm>
          <a:off x="6389523" y="5584059"/>
          <a:ext cx="534737" cy="298836"/>
        </a:xfrm>
        <a:prstGeom prst="round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FVB3</a:t>
          </a:r>
        </a:p>
      </xdr:txBody>
    </xdr:sp>
    <xdr:clientData/>
  </xdr:twoCellAnchor>
  <xdr:oneCellAnchor>
    <xdr:from>
      <xdr:col>7</xdr:col>
      <xdr:colOff>748561</xdr:colOff>
      <xdr:row>19</xdr:row>
      <xdr:rowOff>53546</xdr:rowOff>
    </xdr:from>
    <xdr:ext cx="1609157" cy="283911"/>
    <xdr:sp macro="[0]!Feuil1.Habillage" textlink="">
      <xdr:nvSpPr>
        <xdr:cNvPr id="60" name="Rectangle : coins arrondis 36">
          <a:extLst>
            <a:ext uri="{FF2B5EF4-FFF2-40B4-BE49-F238E27FC236}">
              <a16:creationId xmlns:a16="http://schemas.microsoft.com/office/drawing/2014/main" id="{00000000-0008-0000-0000-00003C000000}"/>
            </a:ext>
          </a:extLst>
        </xdr:cNvPr>
        <xdr:cNvSpPr/>
      </xdr:nvSpPr>
      <xdr:spPr>
        <a:xfrm>
          <a:off x="7105818" y="4070375"/>
          <a:ext cx="1609157" cy="28391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7030A0"/>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0" i="0" u="none" strike="noStrike" kern="1200" spc="0">
              <a:solidFill>
                <a:srgbClr val="FFFFFF"/>
              </a:solidFill>
              <a:latin typeface="Calibri"/>
            </a:rPr>
            <a:t>Habillage</a:t>
          </a:r>
        </a:p>
      </xdr:txBody>
    </xdr:sp>
    <xdr:clientData/>
  </xdr:oneCellAnchor>
  <xdr:twoCellAnchor>
    <xdr:from>
      <xdr:col>5</xdr:col>
      <xdr:colOff>298298</xdr:colOff>
      <xdr:row>8</xdr:row>
      <xdr:rowOff>122214</xdr:rowOff>
    </xdr:from>
    <xdr:to>
      <xdr:col>5</xdr:col>
      <xdr:colOff>721657</xdr:colOff>
      <xdr:row>10</xdr:row>
      <xdr:rowOff>118781</xdr:rowOff>
    </xdr:to>
    <xdr:sp macro="[0]!Feuil1.TCFV" textlink="">
      <xdr:nvSpPr>
        <xdr:cNvPr id="71" name="Rectangle : coins arrondis 70">
          <a:extLst>
            <a:ext uri="{FF2B5EF4-FFF2-40B4-BE49-F238E27FC236}">
              <a16:creationId xmlns:a16="http://schemas.microsoft.com/office/drawing/2014/main" id="{00000000-0008-0000-0000-000047000000}"/>
            </a:ext>
          </a:extLst>
        </xdr:cNvPr>
        <xdr:cNvSpPr/>
      </xdr:nvSpPr>
      <xdr:spPr>
        <a:xfrm>
          <a:off x="5605404" y="2193061"/>
          <a:ext cx="423359" cy="355155"/>
        </a:xfrm>
        <a:prstGeom prst="roundRect">
          <a:avLst/>
        </a:prstGeom>
        <a:solidFill>
          <a:schemeClr val="accent5">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solidFill>
                <a:sysClr val="windowText" lastClr="000000"/>
              </a:solidFill>
            </a:rPr>
            <a:t>FV</a:t>
          </a:r>
        </a:p>
      </xdr:txBody>
    </xdr:sp>
    <xdr:clientData/>
  </xdr:twoCellAnchor>
  <xdr:twoCellAnchor>
    <xdr:from>
      <xdr:col>5</xdr:col>
      <xdr:colOff>779479</xdr:colOff>
      <xdr:row>8</xdr:row>
      <xdr:rowOff>130508</xdr:rowOff>
    </xdr:from>
    <xdr:to>
      <xdr:col>6</xdr:col>
      <xdr:colOff>666750</xdr:colOff>
      <xdr:row>11</xdr:row>
      <xdr:rowOff>63500</xdr:rowOff>
    </xdr:to>
    <xdr:sp macro="[0]!Feuil1.TCFH" textlink="">
      <xdr:nvSpPr>
        <xdr:cNvPr id="72" name="Rectangle : coins arrondis 71">
          <a:extLst>
            <a:ext uri="{FF2B5EF4-FFF2-40B4-BE49-F238E27FC236}">
              <a16:creationId xmlns:a16="http://schemas.microsoft.com/office/drawing/2014/main" id="{00000000-0008-0000-0000-000048000000}"/>
            </a:ext>
          </a:extLst>
        </xdr:cNvPr>
        <xdr:cNvSpPr/>
      </xdr:nvSpPr>
      <xdr:spPr>
        <a:xfrm>
          <a:off x="5446729" y="2236591"/>
          <a:ext cx="702188" cy="472742"/>
        </a:xfrm>
        <a:prstGeom prst="roundRect">
          <a:avLst/>
        </a:prstGeom>
        <a:solidFill>
          <a:schemeClr val="accent5">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solidFill>
                <a:sysClr val="windowText" lastClr="000000"/>
              </a:solidFill>
            </a:rPr>
            <a:t>FV+FH</a:t>
          </a:r>
        </a:p>
      </xdr:txBody>
    </xdr:sp>
    <xdr:clientData/>
  </xdr:twoCellAnchor>
  <xdr:oneCellAnchor>
    <xdr:from>
      <xdr:col>9</xdr:col>
      <xdr:colOff>350184</xdr:colOff>
      <xdr:row>20</xdr:row>
      <xdr:rowOff>16809</xdr:rowOff>
    </xdr:from>
    <xdr:ext cx="1369800" cy="306720"/>
    <xdr:sp macro="[0]!Feuil1.BILANMATIERES" textlink="">
      <xdr:nvSpPr>
        <xdr:cNvPr id="73" name="Rectangle : coins arrondis 3">
          <a:extLst>
            <a:ext uri="{FF2B5EF4-FFF2-40B4-BE49-F238E27FC236}">
              <a16:creationId xmlns:a16="http://schemas.microsoft.com/office/drawing/2014/main" id="{00000000-0008-0000-0000-000049000000}"/>
            </a:ext>
          </a:extLst>
        </xdr:cNvPr>
        <xdr:cNvSpPr/>
      </xdr:nvSpPr>
      <xdr:spPr>
        <a:xfrm>
          <a:off x="11970684" y="4160184"/>
          <a:ext cx="1369800" cy="30672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80808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1" i="0" u="none" strike="noStrike" kern="1200" spc="0">
              <a:solidFill>
                <a:srgbClr val="FFFFFF"/>
              </a:solidFill>
              <a:latin typeface="Calibri"/>
            </a:rPr>
            <a:t>BILAN MATIERES</a:t>
          </a:r>
        </a:p>
      </xdr:txBody>
    </xdr:sp>
    <xdr:clientData/>
  </xdr:oneCellAnchor>
  <xdr:oneCellAnchor>
    <xdr:from>
      <xdr:col>9</xdr:col>
      <xdr:colOff>334496</xdr:colOff>
      <xdr:row>21</xdr:row>
      <xdr:rowOff>255494</xdr:rowOff>
    </xdr:from>
    <xdr:ext cx="1369800" cy="306720"/>
    <xdr:sp macro="[0]!Feuil1.BILANATELIER" textlink="">
      <xdr:nvSpPr>
        <xdr:cNvPr id="74" name="Rectangle : coins arrondis 3">
          <a:extLst>
            <a:ext uri="{FF2B5EF4-FFF2-40B4-BE49-F238E27FC236}">
              <a16:creationId xmlns:a16="http://schemas.microsoft.com/office/drawing/2014/main" id="{00000000-0008-0000-0000-00004A000000}"/>
            </a:ext>
          </a:extLst>
        </xdr:cNvPr>
        <xdr:cNvSpPr/>
      </xdr:nvSpPr>
      <xdr:spPr>
        <a:xfrm>
          <a:off x="11954996" y="4570319"/>
          <a:ext cx="1369800" cy="30672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80808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1" i="0" u="none" strike="noStrike" kern="1200" spc="0">
              <a:solidFill>
                <a:srgbClr val="FFFFFF"/>
              </a:solidFill>
              <a:latin typeface="Calibri"/>
            </a:rPr>
            <a:t>BILAN MOA</a:t>
          </a:r>
        </a:p>
      </xdr:txBody>
    </xdr:sp>
    <xdr:clientData/>
  </xdr:oneCellAnchor>
  <xdr:oneCellAnchor>
    <xdr:from>
      <xdr:col>9</xdr:col>
      <xdr:colOff>374837</xdr:colOff>
      <xdr:row>21</xdr:row>
      <xdr:rowOff>643217</xdr:rowOff>
    </xdr:from>
    <xdr:ext cx="1369800" cy="306720"/>
    <xdr:sp macro="[0]!Feuil1.BILANCHANTIER" textlink="">
      <xdr:nvSpPr>
        <xdr:cNvPr id="75" name="Rectangle : coins arrondis 3">
          <a:extLst>
            <a:ext uri="{FF2B5EF4-FFF2-40B4-BE49-F238E27FC236}">
              <a16:creationId xmlns:a16="http://schemas.microsoft.com/office/drawing/2014/main" id="{00000000-0008-0000-0000-00004B000000}"/>
            </a:ext>
          </a:extLst>
        </xdr:cNvPr>
        <xdr:cNvSpPr/>
      </xdr:nvSpPr>
      <xdr:spPr>
        <a:xfrm>
          <a:off x="11995337" y="4958042"/>
          <a:ext cx="1369800" cy="30672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80808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1" i="0" u="none" strike="noStrike" kern="1200" spc="0">
              <a:solidFill>
                <a:srgbClr val="FFFFFF"/>
              </a:solidFill>
              <a:latin typeface="Calibri"/>
            </a:rPr>
            <a:t>BILAN MOC</a:t>
          </a:r>
        </a:p>
      </xdr:txBody>
    </xdr:sp>
    <xdr:clientData/>
  </xdr:oneCellAnchor>
  <xdr:oneCellAnchor>
    <xdr:from>
      <xdr:col>9</xdr:col>
      <xdr:colOff>381560</xdr:colOff>
      <xdr:row>21</xdr:row>
      <xdr:rowOff>1042148</xdr:rowOff>
    </xdr:from>
    <xdr:ext cx="1369800" cy="306720"/>
    <xdr:sp macro="[0]!BILAN_MP" textlink="">
      <xdr:nvSpPr>
        <xdr:cNvPr id="76" name="Rectangle : coins arrondis 3">
          <a:extLst>
            <a:ext uri="{FF2B5EF4-FFF2-40B4-BE49-F238E27FC236}">
              <a16:creationId xmlns:a16="http://schemas.microsoft.com/office/drawing/2014/main" id="{00000000-0008-0000-0000-00004C000000}"/>
            </a:ext>
          </a:extLst>
        </xdr:cNvPr>
        <xdr:cNvSpPr/>
      </xdr:nvSpPr>
      <xdr:spPr>
        <a:xfrm>
          <a:off x="12002060" y="5356973"/>
          <a:ext cx="1369800" cy="30672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80808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1" i="0" u="none" strike="noStrike" kern="1200" spc="0">
              <a:solidFill>
                <a:srgbClr val="FFFFFF"/>
              </a:solidFill>
              <a:latin typeface="Calibri"/>
            </a:rPr>
            <a:t>BILAN MP</a:t>
          </a:r>
        </a:p>
      </xdr:txBody>
    </xdr:sp>
    <xdr:clientData/>
  </xdr:oneCellAnchor>
  <xdr:oneCellAnchor>
    <xdr:from>
      <xdr:col>7</xdr:col>
      <xdr:colOff>947697</xdr:colOff>
      <xdr:row>4</xdr:row>
      <xdr:rowOff>208641</xdr:rowOff>
    </xdr:from>
    <xdr:ext cx="1281952" cy="312274"/>
    <xdr:sp macro="[0]!Feuil1.ALIM_FVFH_gravitaire" textlink="">
      <xdr:nvSpPr>
        <xdr:cNvPr id="83" name="Rectangle : coins arrondis 46">
          <a:extLst>
            <a:ext uri="{FF2B5EF4-FFF2-40B4-BE49-F238E27FC236}">
              <a16:creationId xmlns:a16="http://schemas.microsoft.com/office/drawing/2014/main" id="{00000000-0008-0000-0000-000053000000}"/>
            </a:ext>
          </a:extLst>
        </xdr:cNvPr>
        <xdr:cNvSpPr/>
      </xdr:nvSpPr>
      <xdr:spPr>
        <a:xfrm>
          <a:off x="7304954" y="1308098"/>
          <a:ext cx="1281952" cy="31227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0" i="0" u="none" strike="noStrike" kern="1200" spc="0">
              <a:solidFill>
                <a:srgbClr val="FFFFFF"/>
              </a:solidFill>
              <a:latin typeface="Calibri"/>
            </a:rPr>
            <a:t>ALIM GRAV FV-FH</a:t>
          </a:r>
        </a:p>
      </xdr:txBody>
    </xdr:sp>
    <xdr:clientData/>
  </xdr:oneCellAnchor>
  <xdr:oneCellAnchor>
    <xdr:from>
      <xdr:col>7</xdr:col>
      <xdr:colOff>943215</xdr:colOff>
      <xdr:row>5</xdr:row>
      <xdr:rowOff>86977</xdr:rowOff>
    </xdr:from>
    <xdr:ext cx="1290917" cy="372784"/>
    <xdr:sp macro="[0]!Feuil1.ALIM_BAC_relevage" textlink="">
      <xdr:nvSpPr>
        <xdr:cNvPr id="84" name="Rectangle : coins arrondis 46">
          <a:extLst>
            <a:ext uri="{FF2B5EF4-FFF2-40B4-BE49-F238E27FC236}">
              <a16:creationId xmlns:a16="http://schemas.microsoft.com/office/drawing/2014/main" id="{00000000-0008-0000-0000-000054000000}"/>
            </a:ext>
          </a:extLst>
        </xdr:cNvPr>
        <xdr:cNvSpPr/>
      </xdr:nvSpPr>
      <xdr:spPr>
        <a:xfrm>
          <a:off x="7300472" y="1665406"/>
          <a:ext cx="1290917" cy="37278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0" i="0" u="none" strike="noStrike" kern="1200" spc="0">
              <a:solidFill>
                <a:srgbClr val="FFFFFF"/>
              </a:solidFill>
              <a:latin typeface="Calibri"/>
            </a:rPr>
            <a:t>ALIM RELEVAGE BAC</a:t>
          </a:r>
        </a:p>
      </xdr:txBody>
    </xdr:sp>
    <xdr:clientData/>
  </xdr:oneCellAnchor>
  <xdr:oneCellAnchor>
    <xdr:from>
      <xdr:col>7</xdr:col>
      <xdr:colOff>997004</xdr:colOff>
      <xdr:row>7</xdr:row>
      <xdr:rowOff>149730</xdr:rowOff>
    </xdr:from>
    <xdr:ext cx="1183339" cy="489325"/>
    <xdr:sp macro="[0]!Feuil1.ALIM_FVFH_relevage" textlink="">
      <xdr:nvSpPr>
        <xdr:cNvPr id="85" name="Rectangle : coins arrondis 46">
          <a:extLst>
            <a:ext uri="{FF2B5EF4-FFF2-40B4-BE49-F238E27FC236}">
              <a16:creationId xmlns:a16="http://schemas.microsoft.com/office/drawing/2014/main" id="{00000000-0008-0000-0000-000055000000}"/>
            </a:ext>
          </a:extLst>
        </xdr:cNvPr>
        <xdr:cNvSpPr/>
      </xdr:nvSpPr>
      <xdr:spPr>
        <a:xfrm>
          <a:off x="7354261" y="2076501"/>
          <a:ext cx="1183339" cy="48932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0" i="0" u="none" strike="noStrike" kern="1200" spc="0">
              <a:solidFill>
                <a:srgbClr val="FFFFFF"/>
              </a:solidFill>
              <a:latin typeface="Calibri"/>
            </a:rPr>
            <a:t>ALIM RELEVAGE FV-FH</a:t>
          </a:r>
        </a:p>
      </xdr:txBody>
    </xdr:sp>
    <xdr:clientData/>
  </xdr:oneCellAnchor>
  <xdr:twoCellAnchor>
    <xdr:from>
      <xdr:col>6</xdr:col>
      <xdr:colOff>589944</xdr:colOff>
      <xdr:row>21</xdr:row>
      <xdr:rowOff>435296</xdr:rowOff>
    </xdr:from>
    <xdr:to>
      <xdr:col>7</xdr:col>
      <xdr:colOff>238124</xdr:colOff>
      <xdr:row>21</xdr:row>
      <xdr:rowOff>742950</xdr:rowOff>
    </xdr:to>
    <xdr:sp macro="[0]!Feuil1.FH9" textlink="">
      <xdr:nvSpPr>
        <xdr:cNvPr id="57" name="Rectangle : coins arrondis 56">
          <a:extLst>
            <a:ext uri="{FF2B5EF4-FFF2-40B4-BE49-F238E27FC236}">
              <a16:creationId xmlns:a16="http://schemas.microsoft.com/office/drawing/2014/main" id="{00000000-0008-0000-0000-000039000000}"/>
            </a:ext>
          </a:extLst>
        </xdr:cNvPr>
        <xdr:cNvSpPr/>
      </xdr:nvSpPr>
      <xdr:spPr>
        <a:xfrm>
          <a:off x="6104919" y="4750121"/>
          <a:ext cx="476855" cy="307654"/>
        </a:xfrm>
        <a:prstGeom prst="roundRect">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FH9</a:t>
          </a:r>
        </a:p>
      </xdr:txBody>
    </xdr:sp>
    <xdr:clientData/>
  </xdr:twoCellAnchor>
  <xdr:twoCellAnchor>
    <xdr:from>
      <xdr:col>8</xdr:col>
      <xdr:colOff>519953</xdr:colOff>
      <xdr:row>21</xdr:row>
      <xdr:rowOff>2133598</xdr:rowOff>
    </xdr:from>
    <xdr:to>
      <xdr:col>10</xdr:col>
      <xdr:colOff>591671</xdr:colOff>
      <xdr:row>21</xdr:row>
      <xdr:rowOff>2994211</xdr:rowOff>
    </xdr:to>
    <xdr:sp macro="" textlink="">
      <xdr:nvSpPr>
        <xdr:cNvPr id="2" name="Légende : encadrée 1">
          <a:extLst>
            <a:ext uri="{FF2B5EF4-FFF2-40B4-BE49-F238E27FC236}">
              <a16:creationId xmlns:a16="http://schemas.microsoft.com/office/drawing/2014/main" id="{00000000-0008-0000-0000-000002000000}"/>
            </a:ext>
          </a:extLst>
        </xdr:cNvPr>
        <xdr:cNvSpPr/>
      </xdr:nvSpPr>
      <xdr:spPr>
        <a:xfrm>
          <a:off x="10228729" y="6535269"/>
          <a:ext cx="2886636" cy="860613"/>
        </a:xfrm>
        <a:prstGeom prst="borderCallout1">
          <a:avLst>
            <a:gd name="adj1" fmla="val 1308"/>
            <a:gd name="adj2" fmla="val 314"/>
            <a:gd name="adj3" fmla="val -116569"/>
            <a:gd name="adj4" fmla="val -3457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Une simulation pour chaque dimensionnement</a:t>
          </a:r>
          <a:r>
            <a:rPr lang="fr-FR" sz="1100" baseline="0"/>
            <a:t> est envisageable par la suite pour faire une analyse des coûts et rendre indépendant des variables</a:t>
          </a:r>
          <a:endParaRPr lang="fr-FR" sz="1100"/>
        </a:p>
      </xdr:txBody>
    </xdr:sp>
    <xdr:clientData/>
  </xdr:twoCellAnchor>
  <xdr:twoCellAnchor>
    <xdr:from>
      <xdr:col>9</xdr:col>
      <xdr:colOff>584611</xdr:colOff>
      <xdr:row>12</xdr:row>
      <xdr:rowOff>26372</xdr:rowOff>
    </xdr:from>
    <xdr:to>
      <xdr:col>14</xdr:col>
      <xdr:colOff>19868</xdr:colOff>
      <xdr:row>23</xdr:row>
      <xdr:rowOff>24989</xdr:rowOff>
    </xdr:to>
    <xdr:cxnSp macro="">
      <xdr:nvCxnSpPr>
        <xdr:cNvPr id="11" name="Connecteur : en arc 10">
          <a:extLst>
            <a:ext uri="{FF2B5EF4-FFF2-40B4-BE49-F238E27FC236}">
              <a16:creationId xmlns:a16="http://schemas.microsoft.com/office/drawing/2014/main" id="{00000000-0008-0000-0000-00000B000000}"/>
            </a:ext>
          </a:extLst>
        </xdr:cNvPr>
        <xdr:cNvCxnSpPr>
          <a:stCxn id="8" idx="1"/>
        </xdr:cNvCxnSpPr>
      </xdr:nvCxnSpPr>
      <xdr:spPr>
        <a:xfrm flipH="1">
          <a:off x="11007682" y="2843051"/>
          <a:ext cx="3816757" cy="4924402"/>
        </a:xfrm>
        <a:prstGeom prst="curvedConnector4">
          <a:avLst>
            <a:gd name="adj1" fmla="val -5989"/>
            <a:gd name="adj2" fmla="val 100224"/>
          </a:avLst>
        </a:prstGeom>
        <a:ln w="762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909260</xdr:colOff>
      <xdr:row>21</xdr:row>
      <xdr:rowOff>3128246</xdr:rowOff>
    </xdr:from>
    <xdr:ext cx="1652725" cy="476846"/>
    <xdr:sp macro="[0]!Feuil1.Simulation" textlink="">
      <xdr:nvSpPr>
        <xdr:cNvPr id="69" name="Rectangle : coins arrondis 2">
          <a:extLst>
            <a:ext uri="{FF2B5EF4-FFF2-40B4-BE49-F238E27FC236}">
              <a16:creationId xmlns:a16="http://schemas.microsoft.com/office/drawing/2014/main" id="{00000000-0008-0000-0000-000045000000}"/>
            </a:ext>
          </a:extLst>
        </xdr:cNvPr>
        <xdr:cNvSpPr/>
      </xdr:nvSpPr>
      <xdr:spPr>
        <a:xfrm>
          <a:off x="10618036" y="7529917"/>
          <a:ext cx="1652725" cy="476846"/>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5">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400" b="1" i="0" u="none" strike="noStrike" kern="1200" spc="0">
              <a:solidFill>
                <a:srgbClr val="FFFFFF"/>
              </a:solidFill>
              <a:latin typeface="Calibri"/>
            </a:rPr>
            <a:t>Variables</a:t>
          </a:r>
        </a:p>
      </xdr:txBody>
    </xdr:sp>
    <xdr:clientData/>
  </xdr:oneCellAnchor>
  <xdr:twoCellAnchor>
    <xdr:from>
      <xdr:col>7</xdr:col>
      <xdr:colOff>1536608</xdr:colOff>
      <xdr:row>21</xdr:row>
      <xdr:rowOff>1461248</xdr:rowOff>
    </xdr:from>
    <xdr:to>
      <xdr:col>8</xdr:col>
      <xdr:colOff>875981</xdr:colOff>
      <xdr:row>23</xdr:row>
      <xdr:rowOff>32439</xdr:rowOff>
    </xdr:to>
    <xdr:cxnSp macro="">
      <xdr:nvCxnSpPr>
        <xdr:cNvPr id="70" name="Connecteur : en arc 69">
          <a:extLst>
            <a:ext uri="{FF2B5EF4-FFF2-40B4-BE49-F238E27FC236}">
              <a16:creationId xmlns:a16="http://schemas.microsoft.com/office/drawing/2014/main" id="{00000000-0008-0000-0000-000046000000}"/>
            </a:ext>
          </a:extLst>
        </xdr:cNvPr>
        <xdr:cNvCxnSpPr>
          <a:endCxn id="19" idx="2"/>
        </xdr:cNvCxnSpPr>
      </xdr:nvCxnSpPr>
      <xdr:spPr>
        <a:xfrm rot="10800000">
          <a:off x="8511149" y="5862919"/>
          <a:ext cx="2073608" cy="1915026"/>
        </a:xfrm>
        <a:prstGeom prst="curvedConnector2">
          <a:avLst/>
        </a:prstGeom>
        <a:ln w="762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555253</xdr:colOff>
      <xdr:row>12</xdr:row>
      <xdr:rowOff>39163</xdr:rowOff>
    </xdr:from>
    <xdr:to>
      <xdr:col>12</xdr:col>
      <xdr:colOff>0</xdr:colOff>
      <xdr:row>21</xdr:row>
      <xdr:rowOff>107471</xdr:rowOff>
    </xdr:to>
    <xdr:cxnSp macro="">
      <xdr:nvCxnSpPr>
        <xdr:cNvPr id="78" name="Connecteur : en arc 77">
          <a:extLst>
            <a:ext uri="{FF2B5EF4-FFF2-40B4-BE49-F238E27FC236}">
              <a16:creationId xmlns:a16="http://schemas.microsoft.com/office/drawing/2014/main" id="{00000000-0008-0000-0000-00004E000000}"/>
            </a:ext>
          </a:extLst>
        </xdr:cNvPr>
        <xdr:cNvCxnSpPr>
          <a:stCxn id="15" idx="1"/>
          <a:endCxn id="8" idx="3"/>
        </xdr:cNvCxnSpPr>
      </xdr:nvCxnSpPr>
      <xdr:spPr>
        <a:xfrm flipV="1">
          <a:off x="13499728" y="2810938"/>
          <a:ext cx="1146182" cy="1611358"/>
        </a:xfrm>
        <a:prstGeom prst="curvedConnector3">
          <a:avLst>
            <a:gd name="adj1" fmla="val 50000"/>
          </a:avLst>
        </a:prstGeom>
        <a:ln w="76200">
          <a:solidFill>
            <a:schemeClr val="accent2">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1103940</xdr:colOff>
      <xdr:row>11</xdr:row>
      <xdr:rowOff>11418</xdr:rowOff>
    </xdr:from>
    <xdr:ext cx="1013011" cy="312274"/>
    <xdr:sp macro="[0]!Distribution" textlink="">
      <xdr:nvSpPr>
        <xdr:cNvPr id="79" name="Rectangle : coins arrondis 46">
          <a:extLst>
            <a:ext uri="{FF2B5EF4-FFF2-40B4-BE49-F238E27FC236}">
              <a16:creationId xmlns:a16="http://schemas.microsoft.com/office/drawing/2014/main" id="{00000000-0008-0000-0000-00004F000000}"/>
            </a:ext>
          </a:extLst>
        </xdr:cNvPr>
        <xdr:cNvSpPr/>
      </xdr:nvSpPr>
      <xdr:spPr>
        <a:xfrm>
          <a:off x="7461197" y="2634875"/>
          <a:ext cx="1013011" cy="31227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0" i="0" u="none" strike="noStrike" kern="1200" spc="0">
              <a:solidFill>
                <a:srgbClr val="FFFFFF"/>
              </a:solidFill>
              <a:latin typeface="Calibri"/>
            </a:rPr>
            <a:t>Distribution</a:t>
          </a:r>
        </a:p>
      </xdr:txBody>
    </xdr:sp>
    <xdr:clientData/>
  </xdr:oneCellAnchor>
  <xdr:oneCellAnchor>
    <xdr:from>
      <xdr:col>5</xdr:col>
      <xdr:colOff>179294</xdr:colOff>
      <xdr:row>3</xdr:row>
      <xdr:rowOff>66431</xdr:rowOff>
    </xdr:from>
    <xdr:ext cx="1246095" cy="354910"/>
    <xdr:sp macro="[0]!ZI" textlink="">
      <xdr:nvSpPr>
        <xdr:cNvPr id="64" name="Rectangle : coins arrondis 36">
          <a:extLst>
            <a:ext uri="{FF2B5EF4-FFF2-40B4-BE49-F238E27FC236}">
              <a16:creationId xmlns:a16="http://schemas.microsoft.com/office/drawing/2014/main" id="{00000000-0008-0000-0000-000040000000}"/>
            </a:ext>
          </a:extLst>
        </xdr:cNvPr>
        <xdr:cNvSpPr/>
      </xdr:nvSpPr>
      <xdr:spPr>
        <a:xfrm>
          <a:off x="5486400" y="676031"/>
          <a:ext cx="1246095" cy="35491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0" i="0" u="none" strike="noStrike" kern="1200" spc="0">
              <a:solidFill>
                <a:srgbClr val="FFFFFF"/>
              </a:solidFill>
              <a:latin typeface="Calibri"/>
            </a:rPr>
            <a:t>Zones d'infiltration</a:t>
          </a:r>
        </a:p>
      </xdr:txBody>
    </xdr:sp>
    <xdr:clientData/>
  </xdr:oneCellAnchor>
  <xdr:oneCellAnchor>
    <xdr:from>
      <xdr:col>12</xdr:col>
      <xdr:colOff>0</xdr:colOff>
      <xdr:row>19</xdr:row>
      <xdr:rowOff>21448</xdr:rowOff>
    </xdr:from>
    <xdr:ext cx="1369800" cy="306720"/>
    <xdr:sp macro="[0]!outils" textlink="">
      <xdr:nvSpPr>
        <xdr:cNvPr id="65" name="Rectangle : coins arrondis 3">
          <a:extLst>
            <a:ext uri="{FF2B5EF4-FFF2-40B4-BE49-F238E27FC236}">
              <a16:creationId xmlns:a16="http://schemas.microsoft.com/office/drawing/2014/main" id="{00000000-0008-0000-0000-000041000000}"/>
            </a:ext>
          </a:extLst>
        </xdr:cNvPr>
        <xdr:cNvSpPr/>
      </xdr:nvSpPr>
      <xdr:spPr>
        <a:xfrm>
          <a:off x="13591384" y="3993373"/>
          <a:ext cx="1369800" cy="30672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80808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100" b="1" i="0" u="none" strike="noStrike" kern="1200" spc="0">
              <a:solidFill>
                <a:srgbClr val="FFFFFF"/>
              </a:solidFill>
              <a:latin typeface="Calibri"/>
            </a:rPr>
            <a:t>Outils de calculs</a:t>
          </a:r>
        </a:p>
      </xdr:txBody>
    </xdr:sp>
    <xdr:clientData/>
  </xdr:oneCellAnchor>
  <xdr:oneCellAnchor>
    <xdr:from>
      <xdr:col>12</xdr:col>
      <xdr:colOff>0</xdr:colOff>
      <xdr:row>21</xdr:row>
      <xdr:rowOff>161601</xdr:rowOff>
    </xdr:from>
    <xdr:ext cx="1561532" cy="350027"/>
    <xdr:sp macro="[0]!estimatifQ" textlink="">
      <xdr:nvSpPr>
        <xdr:cNvPr id="66" name="Rectangle : coins arrondis 3">
          <a:extLst>
            <a:ext uri="{FF2B5EF4-FFF2-40B4-BE49-F238E27FC236}">
              <a16:creationId xmlns:a16="http://schemas.microsoft.com/office/drawing/2014/main" id="{00000000-0008-0000-0000-000042000000}"/>
            </a:ext>
          </a:extLst>
        </xdr:cNvPr>
        <xdr:cNvSpPr/>
      </xdr:nvSpPr>
      <xdr:spPr>
        <a:xfrm>
          <a:off x="13580497" y="4526772"/>
          <a:ext cx="1561532" cy="35002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40000"/>
            <a:lumOff val="60000"/>
          </a:schemeClr>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200" b="1" i="0" u="none" strike="noStrike" kern="1200" spc="0">
              <a:solidFill>
                <a:schemeClr val="tx1"/>
              </a:solidFill>
              <a:latin typeface="Calibri"/>
            </a:rPr>
            <a:t>Estimatif quantitatif</a:t>
          </a:r>
        </a:p>
      </xdr:txBody>
    </xdr:sp>
    <xdr:clientData/>
  </xdr:oneCellAnchor>
  <xdr:oneCellAnchor>
    <xdr:from>
      <xdr:col>5</xdr:col>
      <xdr:colOff>83127</xdr:colOff>
      <xdr:row>21</xdr:row>
      <xdr:rowOff>1957577</xdr:rowOff>
    </xdr:from>
    <xdr:ext cx="1614055" cy="466968"/>
    <xdr:sp macro="[0]!PS1acceuil" textlink="">
      <xdr:nvSpPr>
        <xdr:cNvPr id="67" name="Rectangle : coins arrondis 36">
          <a:extLst>
            <a:ext uri="{FF2B5EF4-FFF2-40B4-BE49-F238E27FC236}">
              <a16:creationId xmlns:a16="http://schemas.microsoft.com/office/drawing/2014/main" id="{00000000-0008-0000-0000-000043000000}"/>
            </a:ext>
          </a:extLst>
        </xdr:cNvPr>
        <xdr:cNvSpPr/>
      </xdr:nvSpPr>
      <xdr:spPr>
        <a:xfrm>
          <a:off x="4759036" y="6298668"/>
          <a:ext cx="1614055" cy="46696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0" i="0" u="none" strike="noStrike" kern="1200" spc="0">
              <a:solidFill>
                <a:srgbClr val="FFFFFF"/>
              </a:solidFill>
              <a:latin typeface="Calibri"/>
            </a:rPr>
            <a:t>Protection sanitaire caillobetis</a:t>
          </a:r>
          <a:r>
            <a:rPr lang="fr-FR" sz="1100" b="0" i="0" u="none" strike="noStrike" kern="1200" spc="0" baseline="0">
              <a:solidFill>
                <a:srgbClr val="FFFFFF"/>
              </a:solidFill>
              <a:latin typeface="Calibri"/>
            </a:rPr>
            <a:t> piétons</a:t>
          </a:r>
          <a:endParaRPr lang="fr-FR" sz="1100" b="0" i="0" u="none" strike="noStrike" kern="1200" spc="0">
            <a:solidFill>
              <a:srgbClr val="FFFFFF"/>
            </a:solidFill>
            <a:latin typeface="Calibri"/>
          </a:endParaRPr>
        </a:p>
      </xdr:txBody>
    </xdr:sp>
    <xdr:clientData/>
  </xdr:oneCellAnchor>
  <xdr:twoCellAnchor>
    <xdr:from>
      <xdr:col>7</xdr:col>
      <xdr:colOff>510946</xdr:colOff>
      <xdr:row>27</xdr:row>
      <xdr:rowOff>162559</xdr:rowOff>
    </xdr:from>
    <xdr:to>
      <xdr:col>8</xdr:col>
      <xdr:colOff>178012</xdr:colOff>
      <xdr:row>33</xdr:row>
      <xdr:rowOff>0</xdr:rowOff>
    </xdr:to>
    <xdr:sp macro="[0]!cacherfeuilles" textlink="">
      <xdr:nvSpPr>
        <xdr:cNvPr id="20" name="Signe de multiplication 19">
          <a:extLst>
            <a:ext uri="{FF2B5EF4-FFF2-40B4-BE49-F238E27FC236}">
              <a16:creationId xmlns:a16="http://schemas.microsoft.com/office/drawing/2014/main" id="{00000000-0008-0000-0000-000014000000}"/>
            </a:ext>
          </a:extLst>
        </xdr:cNvPr>
        <xdr:cNvSpPr/>
      </xdr:nvSpPr>
      <xdr:spPr>
        <a:xfrm>
          <a:off x="6808029" y="8523392"/>
          <a:ext cx="2386983" cy="1692351"/>
        </a:xfrm>
        <a:prstGeom prst="mathMultiply">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VEROUILLAGE</a:t>
          </a:r>
          <a:r>
            <a:rPr lang="fr-FR" sz="1100" baseline="0"/>
            <a:t> DES ONGLETS CONFIDENTIELS</a:t>
          </a:r>
          <a:endParaRPr lang="fr-FR" sz="1100"/>
        </a:p>
      </xdr:txBody>
    </xdr:sp>
    <xdr:clientData/>
  </xdr:twoCellAnchor>
  <mc:AlternateContent xmlns:mc="http://schemas.openxmlformats.org/markup-compatibility/2006">
    <mc:Choice xmlns:a14="http://schemas.microsoft.com/office/drawing/2010/main" Requires="a14">
      <xdr:twoCellAnchor>
        <xdr:from>
          <xdr:col>4</xdr:col>
          <xdr:colOff>828675</xdr:colOff>
          <xdr:row>30</xdr:row>
          <xdr:rowOff>114300</xdr:rowOff>
        </xdr:from>
        <xdr:to>
          <xdr:col>7</xdr:col>
          <xdr:colOff>647700</xdr:colOff>
          <xdr:row>33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100" b="0" i="0" u="none" strike="noStrike" baseline="0">
                  <a:solidFill>
                    <a:srgbClr val="000000"/>
                  </a:solidFill>
                  <a:latin typeface="Arial"/>
                  <a:cs typeface="Arial"/>
                </a:rPr>
                <a:t>DEVEROUILLER LES ONGLETS (protégé par un mot de passe)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599400</xdr:colOff>
      <xdr:row>216</xdr:row>
      <xdr:rowOff>25560</xdr:rowOff>
    </xdr:from>
    <xdr:ext cx="1115640" cy="754559"/>
    <xdr:sp macro="" textlink="">
      <xdr:nvSpPr>
        <xdr:cNvPr id="2" name="Rectangle : coins arrondis 1">
          <a:extLst>
            <a:ext uri="{FF2B5EF4-FFF2-40B4-BE49-F238E27FC236}">
              <a16:creationId xmlns:a16="http://schemas.microsoft.com/office/drawing/2014/main" id="{00000000-0008-0000-0100-000002000000}"/>
            </a:ext>
          </a:extLst>
        </xdr:cNvPr>
        <xdr:cNvSpPr/>
      </xdr:nvSpPr>
      <xdr:spPr>
        <a:xfrm>
          <a:off x="4666575" y="39620985"/>
          <a:ext cx="1115640" cy="75455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0</xdr:col>
      <xdr:colOff>124691</xdr:colOff>
      <xdr:row>1</xdr:row>
      <xdr:rowOff>90055</xdr:rowOff>
    </xdr:from>
    <xdr:ext cx="762786" cy="555767"/>
    <xdr:sp macro="[0]!Acceuil" textlink="">
      <xdr:nvSpPr>
        <xdr:cNvPr id="4" name="Rectangle : coins arrondis 1">
          <a:extLst>
            <a:ext uri="{FF2B5EF4-FFF2-40B4-BE49-F238E27FC236}">
              <a16:creationId xmlns:a16="http://schemas.microsoft.com/office/drawing/2014/main" id="{00000000-0008-0000-0200-000004000000}"/>
            </a:ext>
          </a:extLst>
        </xdr:cNvPr>
        <xdr:cNvSpPr/>
      </xdr:nvSpPr>
      <xdr:spPr>
        <a:xfrm>
          <a:off x="124691" y="554182"/>
          <a:ext cx="762786" cy="55576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1" i="0" u="none" strike="noStrike" kern="1200" spc="0">
              <a:solidFill>
                <a:srgbClr val="FFFFFF"/>
              </a:solidFill>
              <a:latin typeface="Calibri"/>
            </a:rPr>
            <a:t>Retour à l'acceuil</a:t>
          </a:r>
        </a:p>
      </xdr:txBody>
    </xdr:sp>
    <xdr:clientData/>
  </xdr:oneCellAnchor>
  <xdr:twoCellAnchor>
    <xdr:from>
      <xdr:col>7</xdr:col>
      <xdr:colOff>367146</xdr:colOff>
      <xdr:row>3</xdr:row>
      <xdr:rowOff>122382</xdr:rowOff>
    </xdr:from>
    <xdr:to>
      <xdr:col>8</xdr:col>
      <xdr:colOff>952501</xdr:colOff>
      <xdr:row>5</xdr:row>
      <xdr:rowOff>248227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6682510" y="965200"/>
          <a:ext cx="1399309" cy="645391"/>
        </a:xfrm>
        <a:prstGeom prst="rect">
          <a:avLst/>
        </a:prstGeom>
        <a:solidFill>
          <a:schemeClr val="accent4">
            <a:lumMod val="20000"/>
            <a:lumOff val="80000"/>
          </a:schemeClr>
        </a:solidFill>
        <a:ln w="28575"/>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fr-FR" sz="1100"/>
            <a:t>Habillage terre végétale --&gt; valeur négative</a:t>
          </a:r>
        </a:p>
      </xdr:txBody>
    </xdr:sp>
    <xdr:clientData/>
  </xdr:twoCellAnchor>
  <xdr:twoCellAnchor>
    <xdr:from>
      <xdr:col>6</xdr:col>
      <xdr:colOff>681182</xdr:colOff>
      <xdr:row>4</xdr:row>
      <xdr:rowOff>104487</xdr:rowOff>
    </xdr:from>
    <xdr:to>
      <xdr:col>7</xdr:col>
      <xdr:colOff>367146</xdr:colOff>
      <xdr:row>5</xdr:row>
      <xdr:rowOff>132772</xdr:rowOff>
    </xdr:to>
    <xdr:cxnSp macro="">
      <xdr:nvCxnSpPr>
        <xdr:cNvPr id="5" name="Connecteur : en angle 4">
          <a:extLst>
            <a:ext uri="{FF2B5EF4-FFF2-40B4-BE49-F238E27FC236}">
              <a16:creationId xmlns:a16="http://schemas.microsoft.com/office/drawing/2014/main" id="{00000000-0008-0000-0200-000005000000}"/>
            </a:ext>
          </a:extLst>
        </xdr:cNvPr>
        <xdr:cNvCxnSpPr>
          <a:stCxn id="2" idx="1"/>
        </xdr:cNvCxnSpPr>
      </xdr:nvCxnSpPr>
      <xdr:spPr>
        <a:xfrm rot="10800000" flipV="1">
          <a:off x="6223000" y="1287896"/>
          <a:ext cx="459510" cy="207240"/>
        </a:xfrm>
        <a:prstGeom prst="bentConnector3">
          <a:avLst>
            <a:gd name="adj1" fmla="val 50000"/>
          </a:avLst>
        </a:prstGeom>
        <a:ln w="190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630381</xdr:colOff>
      <xdr:row>10</xdr:row>
      <xdr:rowOff>0</xdr:rowOff>
    </xdr:from>
    <xdr:to>
      <xdr:col>9</xdr:col>
      <xdr:colOff>8659</xdr:colOff>
      <xdr:row>20</xdr:row>
      <xdr:rowOff>25978</xdr:rowOff>
    </xdr:to>
    <xdr:sp macro="" textlink="">
      <xdr:nvSpPr>
        <xdr:cNvPr id="9" name="ZoneTexte 8">
          <a:extLst>
            <a:ext uri="{FF2B5EF4-FFF2-40B4-BE49-F238E27FC236}">
              <a16:creationId xmlns:a16="http://schemas.microsoft.com/office/drawing/2014/main" id="{00000000-0008-0000-0200-000009000000}"/>
            </a:ext>
          </a:extLst>
        </xdr:cNvPr>
        <xdr:cNvSpPr txBox="1"/>
      </xdr:nvSpPr>
      <xdr:spPr>
        <a:xfrm>
          <a:off x="6925540" y="2736273"/>
          <a:ext cx="1482437" cy="1030432"/>
        </a:xfrm>
        <a:prstGeom prst="rect">
          <a:avLst/>
        </a:prstGeom>
        <a:solidFill>
          <a:schemeClr val="accent4">
            <a:lumMod val="20000"/>
            <a:lumOff val="80000"/>
          </a:schemeClr>
        </a:solidFill>
        <a:ln w="28575"/>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fr-FR" sz="1100"/>
            <a:t>Excédent de terre</a:t>
          </a:r>
          <a:r>
            <a:rPr lang="fr-FR" sz="1100" baseline="0"/>
            <a:t> a évacuer ou a étaler (avec coefficient d'excavation soit +30%)</a:t>
          </a:r>
        </a:p>
        <a:p>
          <a:endParaRPr lang="fr-FR" sz="1100"/>
        </a:p>
      </xdr:txBody>
    </xdr:sp>
    <xdr:clientData/>
  </xdr:twoCellAnchor>
  <xdr:twoCellAnchor>
    <xdr:from>
      <xdr:col>6</xdr:col>
      <xdr:colOff>692729</xdr:colOff>
      <xdr:row>19</xdr:row>
      <xdr:rowOff>138546</xdr:rowOff>
    </xdr:from>
    <xdr:to>
      <xdr:col>8</xdr:col>
      <xdr:colOff>531668</xdr:colOff>
      <xdr:row>20</xdr:row>
      <xdr:rowOff>25978</xdr:rowOff>
    </xdr:to>
    <xdr:cxnSp macro="">
      <xdr:nvCxnSpPr>
        <xdr:cNvPr id="10" name="Connecteur : en angle 9">
          <a:extLst>
            <a:ext uri="{FF2B5EF4-FFF2-40B4-BE49-F238E27FC236}">
              <a16:creationId xmlns:a16="http://schemas.microsoft.com/office/drawing/2014/main" id="{00000000-0008-0000-0200-00000A000000}"/>
            </a:ext>
          </a:extLst>
        </xdr:cNvPr>
        <xdr:cNvCxnSpPr>
          <a:stCxn id="9" idx="2"/>
        </xdr:cNvCxnSpPr>
      </xdr:nvCxnSpPr>
      <xdr:spPr>
        <a:xfrm rot="5400000" flipH="1">
          <a:off x="6872721" y="2972668"/>
          <a:ext cx="138545" cy="1449530"/>
        </a:xfrm>
        <a:prstGeom prst="bentConnector4">
          <a:avLst>
            <a:gd name="adj1" fmla="val -165001"/>
            <a:gd name="adj2" fmla="val 75568"/>
          </a:avLst>
        </a:prstGeom>
        <a:ln w="28575">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17</xdr:col>
      <xdr:colOff>123535</xdr:colOff>
      <xdr:row>0</xdr:row>
      <xdr:rowOff>15009</xdr:rowOff>
    </xdr:from>
    <xdr:ext cx="762786" cy="555767"/>
    <xdr:sp macro="[0]!Acceuil" textlink="">
      <xdr:nvSpPr>
        <xdr:cNvPr id="13" name="Rectangle : coins arrondis 1">
          <a:extLst>
            <a:ext uri="{FF2B5EF4-FFF2-40B4-BE49-F238E27FC236}">
              <a16:creationId xmlns:a16="http://schemas.microsoft.com/office/drawing/2014/main" id="{00000000-0008-0000-0200-00000D000000}"/>
            </a:ext>
          </a:extLst>
        </xdr:cNvPr>
        <xdr:cNvSpPr/>
      </xdr:nvSpPr>
      <xdr:spPr>
        <a:xfrm>
          <a:off x="21003490" y="15009"/>
          <a:ext cx="762786" cy="55576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1" i="0" u="none" strike="noStrike" kern="1200" spc="0">
              <a:solidFill>
                <a:srgbClr val="FFFFFF"/>
              </a:solidFill>
              <a:latin typeface="Calibri"/>
            </a:rPr>
            <a:t>Retour à l'acceuil</a:t>
          </a:r>
        </a:p>
      </xdr:txBody>
    </xdr:sp>
    <xdr:clientData/>
  </xdr:oneCellAnchor>
  <xdr:oneCellAnchor>
    <xdr:from>
      <xdr:col>17</xdr:col>
      <xdr:colOff>235527</xdr:colOff>
      <xdr:row>3</xdr:row>
      <xdr:rowOff>235527</xdr:rowOff>
    </xdr:from>
    <xdr:ext cx="1652725" cy="476846"/>
    <xdr:sp macro="[0]!Simulation" textlink="">
      <xdr:nvSpPr>
        <xdr:cNvPr id="14" name="Rectangle : coins arrondis 2">
          <a:extLst>
            <a:ext uri="{FF2B5EF4-FFF2-40B4-BE49-F238E27FC236}">
              <a16:creationId xmlns:a16="http://schemas.microsoft.com/office/drawing/2014/main" id="{00000000-0008-0000-0200-00000E000000}"/>
            </a:ext>
          </a:extLst>
        </xdr:cNvPr>
        <xdr:cNvSpPr/>
      </xdr:nvSpPr>
      <xdr:spPr>
        <a:xfrm>
          <a:off x="16632382" y="1080654"/>
          <a:ext cx="1652725" cy="476846"/>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00B05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400" b="1" i="0" u="none" strike="noStrike" kern="1200" spc="0">
              <a:solidFill>
                <a:srgbClr val="FFFFFF"/>
              </a:solidFill>
              <a:latin typeface="Calibri"/>
            </a:rPr>
            <a:t>Fiche de simulation  </a:t>
          </a:r>
        </a:p>
      </xdr:txBody>
    </xdr:sp>
    <xdr:clientData/>
  </xdr:oneCellAnchor>
  <xdr:oneCellAnchor>
    <xdr:from>
      <xdr:col>1</xdr:col>
      <xdr:colOff>214746</xdr:colOff>
      <xdr:row>1</xdr:row>
      <xdr:rowOff>48491</xdr:rowOff>
    </xdr:from>
    <xdr:ext cx="2528454" cy="277091"/>
    <xdr:sp macro="[0]!Simulation" textlink="">
      <xdr:nvSpPr>
        <xdr:cNvPr id="15" name="Rectangle : coins arrondis 2">
          <a:extLst>
            <a:ext uri="{FF2B5EF4-FFF2-40B4-BE49-F238E27FC236}">
              <a16:creationId xmlns:a16="http://schemas.microsoft.com/office/drawing/2014/main" id="{00000000-0008-0000-0200-00000F000000}"/>
            </a:ext>
          </a:extLst>
        </xdr:cNvPr>
        <xdr:cNvSpPr/>
      </xdr:nvSpPr>
      <xdr:spPr>
        <a:xfrm>
          <a:off x="1295401" y="512618"/>
          <a:ext cx="2528454" cy="27709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00B05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400" b="1" i="0" u="none" strike="noStrike" kern="1200" spc="0">
              <a:solidFill>
                <a:srgbClr val="FFFFFF"/>
              </a:solidFill>
              <a:latin typeface="Calibri"/>
            </a:rPr>
            <a:t>Fiche de simulation  </a:t>
          </a:r>
        </a:p>
      </xdr:txBody>
    </xdr:sp>
    <xdr:clientData/>
  </xdr:oneCellAnchor>
  <xdr:oneCellAnchor>
    <xdr:from>
      <xdr:col>17</xdr:col>
      <xdr:colOff>256309</xdr:colOff>
      <xdr:row>6</xdr:row>
      <xdr:rowOff>96981</xdr:rowOff>
    </xdr:from>
    <xdr:ext cx="1561532" cy="350027"/>
    <xdr:sp macro="[0]!estimatifQ" textlink="">
      <xdr:nvSpPr>
        <xdr:cNvPr id="16" name="Rectangle : coins arrondis 3">
          <a:extLst>
            <a:ext uri="{FF2B5EF4-FFF2-40B4-BE49-F238E27FC236}">
              <a16:creationId xmlns:a16="http://schemas.microsoft.com/office/drawing/2014/main" id="{00000000-0008-0000-0200-000010000000}"/>
            </a:ext>
          </a:extLst>
        </xdr:cNvPr>
        <xdr:cNvSpPr/>
      </xdr:nvSpPr>
      <xdr:spPr>
        <a:xfrm>
          <a:off x="16653164" y="1711036"/>
          <a:ext cx="1561532" cy="35002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40000"/>
            <a:lumOff val="60000"/>
          </a:schemeClr>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200" b="1" i="0" u="none" strike="noStrike" kern="1200" spc="0">
              <a:solidFill>
                <a:schemeClr val="tx1"/>
              </a:solidFill>
              <a:latin typeface="Calibri"/>
            </a:rPr>
            <a:t>Estimatif quantitatif</a:t>
          </a:r>
        </a:p>
      </xdr:txBody>
    </xdr:sp>
    <xdr:clientData/>
  </xdr:oneCellAnchor>
  <xdr:oneCellAnchor>
    <xdr:from>
      <xdr:col>23</xdr:col>
      <xdr:colOff>2540000</xdr:colOff>
      <xdr:row>0</xdr:row>
      <xdr:rowOff>0</xdr:rowOff>
    </xdr:from>
    <xdr:ext cx="762786" cy="555767"/>
    <xdr:sp macro="[0]!Acceuil" textlink="">
      <xdr:nvSpPr>
        <xdr:cNvPr id="17" name="Rectangle : coins arrondis 1">
          <a:extLst>
            <a:ext uri="{FF2B5EF4-FFF2-40B4-BE49-F238E27FC236}">
              <a16:creationId xmlns:a16="http://schemas.microsoft.com/office/drawing/2014/main" id="{00000000-0008-0000-0200-000011000000}"/>
            </a:ext>
          </a:extLst>
        </xdr:cNvPr>
        <xdr:cNvSpPr/>
      </xdr:nvSpPr>
      <xdr:spPr>
        <a:xfrm>
          <a:off x="32621682" y="0"/>
          <a:ext cx="762786" cy="55576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1" i="0" u="none" strike="noStrike" kern="1200" spc="0">
              <a:solidFill>
                <a:srgbClr val="FFFFFF"/>
              </a:solidFill>
              <a:latin typeface="Calibri"/>
            </a:rPr>
            <a:t>Retour à l'acceuil</a:t>
          </a:r>
        </a:p>
      </xdr:txBody>
    </xdr:sp>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257175</xdr:colOff>
          <xdr:row>4</xdr:row>
          <xdr:rowOff>104775</xdr:rowOff>
        </xdr:from>
        <xdr:to>
          <xdr:col>11</xdr:col>
          <xdr:colOff>485775</xdr:colOff>
          <xdr:row>5</xdr:row>
          <xdr:rowOff>219075</xdr:rowOff>
        </xdr:to>
        <xdr:sp macro="" textlink="">
          <xdr:nvSpPr>
            <xdr:cNvPr id="42022" name="Case à cocher 38" hidden="1">
              <a:extLst>
                <a:ext uri="{63B3BB69-23CF-44E3-9099-C40C66FF867C}">
                  <a14:compatExt spid="_x0000_s42022"/>
                </a:ext>
                <a:ext uri="{FF2B5EF4-FFF2-40B4-BE49-F238E27FC236}">
                  <a16:creationId xmlns:a16="http://schemas.microsoft.com/office/drawing/2014/main" id="{00000000-0008-0000-0300-00002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790575</xdr:colOff>
          <xdr:row>5</xdr:row>
          <xdr:rowOff>257175</xdr:rowOff>
        </xdr:from>
        <xdr:to>
          <xdr:col>12</xdr:col>
          <xdr:colOff>485775</xdr:colOff>
          <xdr:row>6</xdr:row>
          <xdr:rowOff>104775</xdr:rowOff>
        </xdr:to>
        <xdr:sp macro="" textlink="">
          <xdr:nvSpPr>
            <xdr:cNvPr id="42025" name="ECFV" hidden="1">
              <a:extLst>
                <a:ext uri="{63B3BB69-23CF-44E3-9099-C40C66FF867C}">
                  <a14:compatExt spid="_x0000_s42025"/>
                </a:ext>
                <a:ext uri="{FF2B5EF4-FFF2-40B4-BE49-F238E27FC236}">
                  <a16:creationId xmlns:a16="http://schemas.microsoft.com/office/drawing/2014/main" id="{00000000-0008-0000-0300-00002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Relevage eaux claires après FV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790575</xdr:colOff>
          <xdr:row>6</xdr:row>
          <xdr:rowOff>219075</xdr:rowOff>
        </xdr:from>
        <xdr:to>
          <xdr:col>11</xdr:col>
          <xdr:colOff>762000</xdr:colOff>
          <xdr:row>7</xdr:row>
          <xdr:rowOff>85725</xdr:rowOff>
        </xdr:to>
        <xdr:sp macro="" textlink="">
          <xdr:nvSpPr>
            <xdr:cNvPr id="42026" name="ECFH" hidden="1">
              <a:extLst>
                <a:ext uri="{63B3BB69-23CF-44E3-9099-C40C66FF867C}">
                  <a14:compatExt spid="_x0000_s42026"/>
                </a:ext>
                <a:ext uri="{FF2B5EF4-FFF2-40B4-BE49-F238E27FC236}">
                  <a16:creationId xmlns:a16="http://schemas.microsoft.com/office/drawing/2014/main" id="{00000000-0008-0000-0300-00002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Relevage eaux claires après FH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790575</xdr:colOff>
          <xdr:row>7</xdr:row>
          <xdr:rowOff>180975</xdr:rowOff>
        </xdr:from>
        <xdr:to>
          <xdr:col>12</xdr:col>
          <xdr:colOff>28575</xdr:colOff>
          <xdr:row>8</xdr:row>
          <xdr:rowOff>85725</xdr:rowOff>
        </xdr:to>
        <xdr:sp macro="" textlink="">
          <xdr:nvSpPr>
            <xdr:cNvPr id="42027" name="ECZI" hidden="1">
              <a:extLst>
                <a:ext uri="{63B3BB69-23CF-44E3-9099-C40C66FF867C}">
                  <a14:compatExt spid="_x0000_s42027"/>
                </a:ext>
                <a:ext uri="{FF2B5EF4-FFF2-40B4-BE49-F238E27FC236}">
                  <a16:creationId xmlns:a16="http://schemas.microsoft.com/office/drawing/2014/main" id="{00000000-0008-0000-0300-00002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Relevage eaux claires après ZI/ZRV</a:t>
              </a:r>
            </a:p>
          </xdr:txBody>
        </xdr:sp>
        <xdr:clientData/>
      </xdr:twoCellAnchor>
    </mc:Choice>
    <mc:Fallback/>
  </mc:AlternateContent>
  <xdr:twoCellAnchor>
    <xdr:from>
      <xdr:col>9</xdr:col>
      <xdr:colOff>551038</xdr:colOff>
      <xdr:row>4</xdr:row>
      <xdr:rowOff>131784</xdr:rowOff>
    </xdr:from>
    <xdr:to>
      <xdr:col>11</xdr:col>
      <xdr:colOff>479516</xdr:colOff>
      <xdr:row>5</xdr:row>
      <xdr:rowOff>144484</xdr:rowOff>
    </xdr:to>
    <xdr:sp macro="" textlink="">
      <xdr:nvSpPr>
        <xdr:cNvPr id="204" name="ECall2">
          <a:extLst>
            <a:ext uri="{FF2B5EF4-FFF2-40B4-BE49-F238E27FC236}">
              <a16:creationId xmlns:a16="http://schemas.microsoft.com/office/drawing/2014/main" id="{00000000-0008-0000-0300-0000CC000000}"/>
            </a:ext>
          </a:extLst>
        </xdr:cNvPr>
        <xdr:cNvSpPr/>
      </xdr:nvSpPr>
      <xdr:spPr>
        <a:xfrm>
          <a:off x="7466188" y="1027134"/>
          <a:ext cx="1690603" cy="3175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fr-FR" sz="1100" b="1">
              <a:solidFill>
                <a:sysClr val="windowText" lastClr="000000"/>
              </a:solidFill>
            </a:rPr>
            <a:t>Poste eaux claires aval </a:t>
          </a:r>
        </a:p>
      </xdr:txBody>
    </xdr:sp>
    <xdr:clientData/>
  </xdr:twoCellAnchor>
  <xdr:twoCellAnchor>
    <xdr:from>
      <xdr:col>9</xdr:col>
      <xdr:colOff>693937</xdr:colOff>
      <xdr:row>5</xdr:row>
      <xdr:rowOff>187189</xdr:rowOff>
    </xdr:from>
    <xdr:to>
      <xdr:col>12</xdr:col>
      <xdr:colOff>120584</xdr:colOff>
      <xdr:row>8</xdr:row>
      <xdr:rowOff>194259</xdr:rowOff>
    </xdr:to>
    <xdr:sp macro="" textlink="">
      <xdr:nvSpPr>
        <xdr:cNvPr id="205" name="ECall">
          <a:extLst>
            <a:ext uri="{FF2B5EF4-FFF2-40B4-BE49-F238E27FC236}">
              <a16:creationId xmlns:a16="http://schemas.microsoft.com/office/drawing/2014/main" id="{00000000-0008-0000-0300-0000CD000000}"/>
            </a:ext>
          </a:extLst>
        </xdr:cNvPr>
        <xdr:cNvSpPr/>
      </xdr:nvSpPr>
      <xdr:spPr>
        <a:xfrm>
          <a:off x="7654061" y="1389107"/>
          <a:ext cx="2011162" cy="1067585"/>
        </a:xfrm>
        <a:prstGeom prst="roundRect">
          <a:avLst/>
        </a:prstGeom>
        <a:solidFill>
          <a:schemeClr val="accent5">
            <a:lumMod val="40000"/>
            <a:lumOff val="60000"/>
          </a:schemeClr>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oneCell">
        <xdr:from>
          <xdr:col>9</xdr:col>
          <xdr:colOff>342900</xdr:colOff>
          <xdr:row>4</xdr:row>
          <xdr:rowOff>180975</xdr:rowOff>
        </xdr:from>
        <xdr:to>
          <xdr:col>13</xdr:col>
          <xdr:colOff>0</xdr:colOff>
          <xdr:row>9</xdr:row>
          <xdr:rowOff>104775</xdr:rowOff>
        </xdr:to>
        <xdr:sp macro="" textlink="">
          <xdr:nvSpPr>
            <xdr:cNvPr id="42023" name="Group Box 1" hidden="1">
              <a:extLst>
                <a:ext uri="{63B3BB69-23CF-44E3-9099-C40C66FF867C}">
                  <a14:compatExt spid="_x0000_s42023"/>
                </a:ext>
                <a:ext uri="{FF2B5EF4-FFF2-40B4-BE49-F238E27FC236}">
                  <a16:creationId xmlns:a16="http://schemas.microsoft.com/office/drawing/2014/main" id="{00000000-0008-0000-0300-000027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FR" sz="800" b="0" i="0" u="none" strike="noStrike" baseline="0">
                  <a:solidFill>
                    <a:srgbClr val="000000"/>
                  </a:solidFill>
                  <a:latin typeface="Segoe UI"/>
                  <a:cs typeface="Segoe UI"/>
                </a:rPr>
                <a:t>Zone de groupe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800100</xdr:colOff>
          <xdr:row>5</xdr:row>
          <xdr:rowOff>142875</xdr:rowOff>
        </xdr:from>
        <xdr:to>
          <xdr:col>9</xdr:col>
          <xdr:colOff>152400</xdr:colOff>
          <xdr:row>7</xdr:row>
          <xdr:rowOff>257175</xdr:rowOff>
        </xdr:to>
        <xdr:sp macro="" textlink="">
          <xdr:nvSpPr>
            <xdr:cNvPr id="41998" name="Zone de groupe 14" hidden="1">
              <a:extLst>
                <a:ext uri="{63B3BB69-23CF-44E3-9099-C40C66FF867C}">
                  <a14:compatExt spid="_x0000_s41998"/>
                </a:ext>
                <a:ext uri="{FF2B5EF4-FFF2-40B4-BE49-F238E27FC236}">
                  <a16:creationId xmlns:a16="http://schemas.microsoft.com/office/drawing/2014/main" id="{00000000-0008-0000-0300-00000E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647700</xdr:colOff>
          <xdr:row>5</xdr:row>
          <xdr:rowOff>66675</xdr:rowOff>
        </xdr:from>
        <xdr:to>
          <xdr:col>6</xdr:col>
          <xdr:colOff>190500</xdr:colOff>
          <xdr:row>7</xdr:row>
          <xdr:rowOff>85725</xdr:rowOff>
        </xdr:to>
        <xdr:sp macro="" textlink="">
          <xdr:nvSpPr>
            <xdr:cNvPr id="41997" name="Zone de groupe 13" hidden="1">
              <a:extLst>
                <a:ext uri="{63B3BB69-23CF-44E3-9099-C40C66FF867C}">
                  <a14:compatExt spid="_x0000_s41997"/>
                </a:ext>
                <a:ext uri="{FF2B5EF4-FFF2-40B4-BE49-F238E27FC236}">
                  <a16:creationId xmlns:a16="http://schemas.microsoft.com/office/drawing/2014/main" id="{00000000-0008-0000-0300-00000D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7</xdr:col>
      <xdr:colOff>129061</xdr:colOff>
      <xdr:row>28</xdr:row>
      <xdr:rowOff>18888</xdr:rowOff>
    </xdr:from>
    <xdr:ext cx="4843578" cy="1826613"/>
    <xdr:sp macro="" textlink="">
      <xdr:nvSpPr>
        <xdr:cNvPr id="10" name="FVALL">
          <a:extLst>
            <a:ext uri="{FF2B5EF4-FFF2-40B4-BE49-F238E27FC236}">
              <a16:creationId xmlns:a16="http://schemas.microsoft.com/office/drawing/2014/main" id="{00000000-0008-0000-0300-00000A000000}"/>
            </a:ext>
          </a:extLst>
        </xdr:cNvPr>
        <xdr:cNvSpPr/>
      </xdr:nvSpPr>
      <xdr:spPr>
        <a:xfrm>
          <a:off x="5400216" y="8267342"/>
          <a:ext cx="4843578" cy="1826613"/>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548235"/>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endParaRPr lang="fr-FR" sz="1000" b="1" kern="1200">
            <a:solidFill>
              <a:schemeClr val="bg1"/>
            </a:solidFill>
          </a:endParaRPr>
        </a:p>
      </xdr:txBody>
    </xdr:sp>
    <xdr:clientData/>
  </xdr:oneCellAnchor>
  <xdr:oneCellAnchor>
    <xdr:from>
      <xdr:col>7</xdr:col>
      <xdr:colOff>224987</xdr:colOff>
      <xdr:row>28</xdr:row>
      <xdr:rowOff>167720</xdr:rowOff>
    </xdr:from>
    <xdr:ext cx="1857518" cy="1536374"/>
    <xdr:sp macro="" textlink="">
      <xdr:nvSpPr>
        <xdr:cNvPr id="7" name="FVEPDMHS">
          <a:extLst>
            <a:ext uri="{FF2B5EF4-FFF2-40B4-BE49-F238E27FC236}">
              <a16:creationId xmlns:a16="http://schemas.microsoft.com/office/drawing/2014/main" id="{00000000-0008-0000-0300-000007000000}"/>
            </a:ext>
          </a:extLst>
        </xdr:cNvPr>
        <xdr:cNvSpPr/>
      </xdr:nvSpPr>
      <xdr:spPr>
        <a:xfrm>
          <a:off x="5496142" y="8416174"/>
          <a:ext cx="1857518" cy="153637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lumOff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050" b="1" i="0" u="none" strike="noStrike" kern="1200" spc="0">
              <a:solidFill>
                <a:srgbClr val="000000"/>
              </a:solidFill>
              <a:latin typeface="Calibri"/>
            </a:rPr>
            <a:t>Hors-sol</a:t>
          </a:r>
        </a:p>
      </xdr:txBody>
    </xdr:sp>
    <xdr:clientData/>
  </xdr:oneCellAnchor>
  <xdr:oneCellAnchor>
    <xdr:from>
      <xdr:col>11</xdr:col>
      <xdr:colOff>546123</xdr:colOff>
      <xdr:row>28</xdr:row>
      <xdr:rowOff>164968</xdr:rowOff>
    </xdr:from>
    <xdr:ext cx="922887" cy="1504283"/>
    <xdr:sp macro="" textlink="">
      <xdr:nvSpPr>
        <xdr:cNvPr id="14" name="FVEPDME">
          <a:extLst>
            <a:ext uri="{FF2B5EF4-FFF2-40B4-BE49-F238E27FC236}">
              <a16:creationId xmlns:a16="http://schemas.microsoft.com/office/drawing/2014/main" id="{00000000-0008-0000-0300-00000E000000}"/>
            </a:ext>
          </a:extLst>
        </xdr:cNvPr>
        <xdr:cNvSpPr/>
      </xdr:nvSpPr>
      <xdr:spPr>
        <a:xfrm>
          <a:off x="9273772" y="8413422"/>
          <a:ext cx="922887" cy="1504283"/>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lumOff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050" b="1" i="0" u="none" strike="noStrike" kern="1200" spc="0">
              <a:solidFill>
                <a:srgbClr val="000000"/>
              </a:solidFill>
              <a:latin typeface="Calibri"/>
            </a:rPr>
            <a:t>Enterré</a:t>
          </a:r>
        </a:p>
      </xdr:txBody>
    </xdr:sp>
    <xdr:clientData/>
  </xdr:oneCellAnchor>
  <xdr:oneCellAnchor>
    <xdr:from>
      <xdr:col>24</xdr:col>
      <xdr:colOff>108016</xdr:colOff>
      <xdr:row>1</xdr:row>
      <xdr:rowOff>5047</xdr:rowOff>
    </xdr:from>
    <xdr:ext cx="913556" cy="476114"/>
    <xdr:sp macro="[0]!retourdiag" textlink="">
      <xdr:nvSpPr>
        <xdr:cNvPr id="68" name="Rectangle : coins arrondis 1">
          <a:extLst>
            <a:ext uri="{FF2B5EF4-FFF2-40B4-BE49-F238E27FC236}">
              <a16:creationId xmlns:a16="http://schemas.microsoft.com/office/drawing/2014/main" id="{00000000-0008-0000-0300-000044000000}"/>
            </a:ext>
          </a:extLst>
        </xdr:cNvPr>
        <xdr:cNvSpPr/>
      </xdr:nvSpPr>
      <xdr:spPr>
        <a:xfrm>
          <a:off x="18274253" y="191619"/>
          <a:ext cx="913556" cy="47611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548235"/>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1" i="0" u="none" strike="noStrike" kern="1200" spc="0">
              <a:solidFill>
                <a:srgbClr val="FFFFFF"/>
              </a:solidFill>
              <a:latin typeface="Calibri"/>
            </a:rPr>
            <a:t>Retour au diagramme</a:t>
          </a:r>
        </a:p>
      </xdr:txBody>
    </xdr:sp>
    <xdr:clientData/>
  </xdr:oneCellAnchor>
  <xdr:oneCellAnchor>
    <xdr:from>
      <xdr:col>10</xdr:col>
      <xdr:colOff>636445</xdr:colOff>
      <xdr:row>66</xdr:row>
      <xdr:rowOff>157114</xdr:rowOff>
    </xdr:from>
    <xdr:ext cx="1853802" cy="1084082"/>
    <xdr:sp macro="" textlink="">
      <xdr:nvSpPr>
        <xdr:cNvPr id="65" name="Rectangle : coins arrondis 6">
          <a:extLst>
            <a:ext uri="{FF2B5EF4-FFF2-40B4-BE49-F238E27FC236}">
              <a16:creationId xmlns:a16="http://schemas.microsoft.com/office/drawing/2014/main" id="{00000000-0008-0000-0300-000041000000}"/>
            </a:ext>
          </a:extLst>
        </xdr:cNvPr>
        <xdr:cNvSpPr/>
      </xdr:nvSpPr>
      <xdr:spPr>
        <a:xfrm>
          <a:off x="8107187" y="17023238"/>
          <a:ext cx="1853802" cy="1084082"/>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ctr" compatLnSpc="0">
          <a:noAutofit/>
        </a:bodyPr>
        <a:lstStyle/>
        <a:p>
          <a:pPr lvl="0" algn="l" rtl="0" hangingPunct="0">
            <a:buNone/>
            <a:tabLst/>
          </a:pPr>
          <a:r>
            <a:rPr lang="fr-FR" sz="1400" b="1" i="0" u="none" strike="noStrike" kern="1200" spc="0">
              <a:solidFill>
                <a:srgbClr val="FFFFFF"/>
              </a:solidFill>
              <a:latin typeface="Calibri"/>
            </a:rPr>
            <a:t>ZRV</a:t>
          </a:r>
        </a:p>
      </xdr:txBody>
    </xdr:sp>
    <xdr:clientData/>
  </xdr:oneCellAnchor>
  <xdr:oneCellAnchor>
    <xdr:from>
      <xdr:col>8</xdr:col>
      <xdr:colOff>211985</xdr:colOff>
      <xdr:row>66</xdr:row>
      <xdr:rowOff>143895</xdr:rowOff>
    </xdr:from>
    <xdr:ext cx="2050448" cy="1254415"/>
    <xdr:sp macro="" textlink="">
      <xdr:nvSpPr>
        <xdr:cNvPr id="64" name="ZI">
          <a:extLst>
            <a:ext uri="{FF2B5EF4-FFF2-40B4-BE49-F238E27FC236}">
              <a16:creationId xmlns:a16="http://schemas.microsoft.com/office/drawing/2014/main" id="{00000000-0008-0000-0300-000040000000}"/>
            </a:ext>
          </a:extLst>
        </xdr:cNvPr>
        <xdr:cNvSpPr/>
      </xdr:nvSpPr>
      <xdr:spPr>
        <a:xfrm>
          <a:off x="5970191" y="17010019"/>
          <a:ext cx="2050448" cy="125441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4">
            <a:lumMod val="50000"/>
          </a:schemeClr>
        </a:solidFill>
        <a:ln w="12600">
          <a:solidFill>
            <a:srgbClr val="325490"/>
          </a:solidFill>
          <a:prstDash val="solid"/>
          <a:miter/>
        </a:ln>
      </xdr:spPr>
      <xdr:txBody>
        <a:bodyPr vert="horz" wrap="square" lIns="90000" tIns="45000" rIns="90000" bIns="45000" anchor="ctr" compatLnSpc="0">
          <a:noAutofit/>
        </a:bodyPr>
        <a:lstStyle/>
        <a:p>
          <a:pPr lvl="0" algn="l" rtl="0" hangingPunct="0">
            <a:buNone/>
            <a:tabLst/>
          </a:pPr>
          <a:r>
            <a:rPr lang="fr-FR" sz="1600" b="1" i="0" u="none" strike="noStrike" kern="1200" spc="0">
              <a:solidFill>
                <a:srgbClr val="FFFFFF"/>
              </a:solidFill>
              <a:latin typeface="Calibri"/>
            </a:rPr>
            <a:t>ZI </a:t>
          </a:r>
        </a:p>
      </xdr:txBody>
    </xdr:sp>
    <xdr:clientData/>
  </xdr:oneCellAnchor>
  <xdr:oneCellAnchor>
    <xdr:from>
      <xdr:col>7</xdr:col>
      <xdr:colOff>335987</xdr:colOff>
      <xdr:row>30</xdr:row>
      <xdr:rowOff>48345</xdr:rowOff>
    </xdr:from>
    <xdr:ext cx="823343" cy="494264"/>
    <xdr:sp macro="[0]!SCFV1" textlink="">
      <xdr:nvSpPr>
        <xdr:cNvPr id="27" name="FV1HS">
          <a:extLst>
            <a:ext uri="{FF2B5EF4-FFF2-40B4-BE49-F238E27FC236}">
              <a16:creationId xmlns:a16="http://schemas.microsoft.com/office/drawing/2014/main" id="{00000000-0008-0000-0300-00001B000000}"/>
            </a:ext>
          </a:extLst>
        </xdr:cNvPr>
        <xdr:cNvSpPr/>
      </xdr:nvSpPr>
      <xdr:spPr>
        <a:xfrm>
          <a:off x="5237925" y="8548180"/>
          <a:ext cx="823343" cy="49426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Coffrage Bastaings bois</a:t>
          </a:r>
        </a:p>
      </xdr:txBody>
    </xdr:sp>
    <xdr:clientData/>
  </xdr:oneCellAnchor>
  <xdr:oneCellAnchor>
    <xdr:from>
      <xdr:col>8</xdr:col>
      <xdr:colOff>369059</xdr:colOff>
      <xdr:row>30</xdr:row>
      <xdr:rowOff>30851</xdr:rowOff>
    </xdr:from>
    <xdr:ext cx="748351" cy="517021"/>
    <xdr:sp macro="[0]!SCFV2" textlink="">
      <xdr:nvSpPr>
        <xdr:cNvPr id="12" name="FV2HS">
          <a:extLst>
            <a:ext uri="{FF2B5EF4-FFF2-40B4-BE49-F238E27FC236}">
              <a16:creationId xmlns:a16="http://schemas.microsoft.com/office/drawing/2014/main" id="{00000000-0008-0000-0300-00000C000000}"/>
            </a:ext>
          </a:extLst>
        </xdr:cNvPr>
        <xdr:cNvSpPr/>
      </xdr:nvSpPr>
      <xdr:spPr>
        <a:xfrm>
          <a:off x="6127265" y="8530686"/>
          <a:ext cx="748351" cy="51702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Coffrage Traverses bois</a:t>
          </a:r>
        </a:p>
      </xdr:txBody>
    </xdr:sp>
    <xdr:clientData/>
  </xdr:oneCellAnchor>
  <xdr:oneCellAnchor>
    <xdr:from>
      <xdr:col>8</xdr:col>
      <xdr:colOff>344648</xdr:colOff>
      <xdr:row>33</xdr:row>
      <xdr:rowOff>96018</xdr:rowOff>
    </xdr:from>
    <xdr:ext cx="651419" cy="524181"/>
    <xdr:sp macro="[0]!SCFV3" textlink="">
      <xdr:nvSpPr>
        <xdr:cNvPr id="28" name="FV3HS">
          <a:extLst>
            <a:ext uri="{FF2B5EF4-FFF2-40B4-BE49-F238E27FC236}">
              <a16:creationId xmlns:a16="http://schemas.microsoft.com/office/drawing/2014/main" id="{00000000-0008-0000-0300-00001C000000}"/>
            </a:ext>
          </a:extLst>
        </xdr:cNvPr>
        <xdr:cNvSpPr/>
      </xdr:nvSpPr>
      <xdr:spPr>
        <a:xfrm>
          <a:off x="6102854" y="9161461"/>
          <a:ext cx="651419" cy="52418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Coffrage Plaques béton </a:t>
          </a:r>
        </a:p>
      </xdr:txBody>
    </xdr:sp>
    <xdr:clientData/>
  </xdr:oneCellAnchor>
  <xdr:oneCellAnchor>
    <xdr:from>
      <xdr:col>3</xdr:col>
      <xdr:colOff>711199</xdr:colOff>
      <xdr:row>29</xdr:row>
      <xdr:rowOff>58290</xdr:rowOff>
    </xdr:from>
    <xdr:ext cx="840220" cy="361961"/>
    <xdr:sp macro="[0]!SCFVB1" textlink="">
      <xdr:nvSpPr>
        <xdr:cNvPr id="6" name="FVB E" hidden="1">
          <a:extLst>
            <a:ext uri="{FF2B5EF4-FFF2-40B4-BE49-F238E27FC236}">
              <a16:creationId xmlns:a16="http://schemas.microsoft.com/office/drawing/2014/main" id="{00000000-0008-0000-0300-000006000000}"/>
            </a:ext>
          </a:extLst>
        </xdr:cNvPr>
        <xdr:cNvSpPr/>
      </xdr:nvSpPr>
      <xdr:spPr>
        <a:xfrm>
          <a:off x="2766594" y="8470369"/>
          <a:ext cx="840220" cy="36196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7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Enterré</a:t>
          </a:r>
        </a:p>
      </xdr:txBody>
    </xdr:sp>
    <xdr:clientData/>
  </xdr:oneCellAnchor>
  <xdr:oneCellAnchor>
    <xdr:from>
      <xdr:col>3</xdr:col>
      <xdr:colOff>476531</xdr:colOff>
      <xdr:row>32</xdr:row>
      <xdr:rowOff>31264</xdr:rowOff>
    </xdr:from>
    <xdr:ext cx="1290507" cy="451904"/>
    <xdr:sp macro="[0]!SCFVB2" textlink="">
      <xdr:nvSpPr>
        <xdr:cNvPr id="19" name="FVB SE" hidden="1">
          <a:extLst>
            <a:ext uri="{FF2B5EF4-FFF2-40B4-BE49-F238E27FC236}">
              <a16:creationId xmlns:a16="http://schemas.microsoft.com/office/drawing/2014/main" id="{00000000-0008-0000-0300-000013000000}"/>
            </a:ext>
          </a:extLst>
        </xdr:cNvPr>
        <xdr:cNvSpPr/>
      </xdr:nvSpPr>
      <xdr:spPr>
        <a:xfrm>
          <a:off x="2531926" y="9044922"/>
          <a:ext cx="1290507" cy="45190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7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Semi- Enterré</a:t>
          </a:r>
          <a:br>
            <a:rPr lang="fr-FR" sz="900" b="1" i="0" u="none" strike="noStrike" kern="1200" spc="0">
              <a:solidFill>
                <a:srgbClr val="FFFFFF"/>
              </a:solidFill>
              <a:latin typeface="Calibri"/>
            </a:rPr>
          </a:br>
          <a:r>
            <a:rPr lang="fr-FR" sz="900" b="1" i="0" u="none" strike="noStrike" kern="1200" spc="0">
              <a:solidFill>
                <a:srgbClr val="FFFFFF"/>
              </a:solidFill>
              <a:latin typeface="Calibri"/>
            </a:rPr>
            <a:t>(ou enterré avec  pente &gt;10%))</a:t>
          </a:r>
        </a:p>
      </xdr:txBody>
    </xdr:sp>
    <xdr:clientData/>
  </xdr:oneCellAnchor>
  <xdr:oneCellAnchor>
    <xdr:from>
      <xdr:col>4</xdr:col>
      <xdr:colOff>55794</xdr:colOff>
      <xdr:row>34</xdr:row>
      <xdr:rowOff>326360</xdr:rowOff>
    </xdr:from>
    <xdr:ext cx="687188" cy="354041"/>
    <xdr:sp macro="[0]!SCFVB3" textlink="">
      <xdr:nvSpPr>
        <xdr:cNvPr id="32" name="FVB HS" hidden="1">
          <a:extLst>
            <a:ext uri="{FF2B5EF4-FFF2-40B4-BE49-F238E27FC236}">
              <a16:creationId xmlns:a16="http://schemas.microsoft.com/office/drawing/2014/main" id="{00000000-0008-0000-0300-000020000000}"/>
            </a:ext>
          </a:extLst>
        </xdr:cNvPr>
        <xdr:cNvSpPr/>
      </xdr:nvSpPr>
      <xdr:spPr>
        <a:xfrm>
          <a:off x="2843110" y="9721018"/>
          <a:ext cx="687188" cy="35404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7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Hors-sol</a:t>
          </a:r>
        </a:p>
      </xdr:txBody>
    </xdr:sp>
    <xdr:clientData/>
  </xdr:oneCellAnchor>
  <xdr:oneCellAnchor>
    <xdr:from>
      <xdr:col>9</xdr:col>
      <xdr:colOff>421820</xdr:colOff>
      <xdr:row>28</xdr:row>
      <xdr:rowOff>173614</xdr:rowOff>
    </xdr:from>
    <xdr:ext cx="1880398" cy="1544115"/>
    <xdr:sp macro="" textlink="">
      <xdr:nvSpPr>
        <xdr:cNvPr id="13" name="FVEPDMSM">
          <a:extLst>
            <a:ext uri="{FF2B5EF4-FFF2-40B4-BE49-F238E27FC236}">
              <a16:creationId xmlns:a16="http://schemas.microsoft.com/office/drawing/2014/main" id="{00000000-0008-0000-0300-00000D000000}"/>
            </a:ext>
          </a:extLst>
        </xdr:cNvPr>
        <xdr:cNvSpPr/>
      </xdr:nvSpPr>
      <xdr:spPr>
        <a:xfrm>
          <a:off x="7381944" y="8422068"/>
          <a:ext cx="1880398" cy="154411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lumOff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050" b="1" i="0" u="none" strike="noStrike" kern="1200" spc="0">
              <a:solidFill>
                <a:srgbClr val="000000"/>
              </a:solidFill>
              <a:latin typeface="Calibri"/>
            </a:rPr>
            <a:t>Semi- Enterré</a:t>
          </a:r>
        </a:p>
      </xdr:txBody>
    </xdr:sp>
    <xdr:clientData/>
  </xdr:oneCellAnchor>
  <xdr:oneCellAnchor>
    <xdr:from>
      <xdr:col>11</xdr:col>
      <xdr:colOff>573201</xdr:colOff>
      <xdr:row>30</xdr:row>
      <xdr:rowOff>70204</xdr:rowOff>
    </xdr:from>
    <xdr:ext cx="860459" cy="538689"/>
    <xdr:sp macro="[0]!SCFV8" textlink="">
      <xdr:nvSpPr>
        <xdr:cNvPr id="34" name="FV8E">
          <a:extLst>
            <a:ext uri="{FF2B5EF4-FFF2-40B4-BE49-F238E27FC236}">
              <a16:creationId xmlns:a16="http://schemas.microsoft.com/office/drawing/2014/main" id="{00000000-0008-0000-0300-000022000000}"/>
            </a:ext>
          </a:extLst>
        </xdr:cNvPr>
        <xdr:cNvSpPr/>
      </xdr:nvSpPr>
      <xdr:spPr>
        <a:xfrm>
          <a:off x="9246554" y="8777175"/>
          <a:ext cx="860459" cy="53868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Plaques béton intérieur</a:t>
          </a:r>
        </a:p>
      </xdr:txBody>
    </xdr:sp>
    <xdr:clientData/>
  </xdr:oneCellAnchor>
  <xdr:oneCellAnchor>
    <xdr:from>
      <xdr:col>10</xdr:col>
      <xdr:colOff>593507</xdr:colOff>
      <xdr:row>30</xdr:row>
      <xdr:rowOff>178970</xdr:rowOff>
    </xdr:from>
    <xdr:ext cx="650786" cy="447151"/>
    <xdr:sp macro="[0]!SCFV7" textlink="">
      <xdr:nvSpPr>
        <xdr:cNvPr id="29" name="FV7SE">
          <a:extLst>
            <a:ext uri="{FF2B5EF4-FFF2-40B4-BE49-F238E27FC236}">
              <a16:creationId xmlns:a16="http://schemas.microsoft.com/office/drawing/2014/main" id="{00000000-0008-0000-0300-00001D000000}"/>
            </a:ext>
          </a:extLst>
        </xdr:cNvPr>
        <xdr:cNvSpPr/>
      </xdr:nvSpPr>
      <xdr:spPr>
        <a:xfrm>
          <a:off x="8381595" y="8885941"/>
          <a:ext cx="650786" cy="44715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Coffrage Plaques béton</a:t>
          </a:r>
        </a:p>
      </xdr:txBody>
    </xdr:sp>
    <xdr:clientData/>
  </xdr:oneCellAnchor>
  <xdr:oneCellAnchor>
    <xdr:from>
      <xdr:col>14</xdr:col>
      <xdr:colOff>231310</xdr:colOff>
      <xdr:row>28</xdr:row>
      <xdr:rowOff>19092</xdr:rowOff>
    </xdr:from>
    <xdr:ext cx="1849420" cy="1804563"/>
    <xdr:sp macro="" textlink="">
      <xdr:nvSpPr>
        <xdr:cNvPr id="16" name="FHHSOUE" hidden="1">
          <a:extLst>
            <a:ext uri="{FF2B5EF4-FFF2-40B4-BE49-F238E27FC236}">
              <a16:creationId xmlns:a16="http://schemas.microsoft.com/office/drawing/2014/main" id="{00000000-0008-0000-0300-000010000000}"/>
            </a:ext>
          </a:extLst>
        </xdr:cNvPr>
        <xdr:cNvSpPr/>
      </xdr:nvSpPr>
      <xdr:spPr>
        <a:xfrm>
          <a:off x="10286568" y="8079010"/>
          <a:ext cx="1849420" cy="1804563"/>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5">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200" b="0" i="0">
              <a:solidFill>
                <a:schemeClr val="bg1"/>
              </a:solidFill>
              <a:effectLst/>
              <a:latin typeface="+mn-lt"/>
              <a:ea typeface="+mn-ea"/>
              <a:cs typeface="+mn-cs"/>
            </a:rPr>
            <a:t>Système constructif identique au FV</a:t>
          </a:r>
          <a:endParaRPr lang="fr-FR" sz="700" kern="1200">
            <a:solidFill>
              <a:schemeClr val="bg1"/>
            </a:solidFill>
          </a:endParaRPr>
        </a:p>
      </xdr:txBody>
    </xdr:sp>
    <xdr:clientData/>
  </xdr:oneCellAnchor>
  <xdr:oneCellAnchor>
    <xdr:from>
      <xdr:col>14</xdr:col>
      <xdr:colOff>775786</xdr:colOff>
      <xdr:row>33</xdr:row>
      <xdr:rowOff>120723</xdr:rowOff>
    </xdr:from>
    <xdr:ext cx="692581" cy="492297"/>
    <xdr:sp macro="[0]!SCFH1" textlink="">
      <xdr:nvSpPr>
        <xdr:cNvPr id="25" name="FH E" hidden="1">
          <a:extLst>
            <a:ext uri="{FF2B5EF4-FFF2-40B4-BE49-F238E27FC236}">
              <a16:creationId xmlns:a16="http://schemas.microsoft.com/office/drawing/2014/main" id="{00000000-0008-0000-0300-000019000000}"/>
            </a:ext>
          </a:extLst>
        </xdr:cNvPr>
        <xdr:cNvSpPr/>
      </xdr:nvSpPr>
      <xdr:spPr>
        <a:xfrm>
          <a:off x="10831044" y="9186166"/>
          <a:ext cx="692581" cy="49229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85000"/>
            <a:lumOff val="15000"/>
          </a:schemeClr>
        </a:solidFill>
        <a:ln w="12600">
          <a:solidFill>
            <a:srgbClr val="325490"/>
          </a:solidFill>
          <a:prstDash val="solid"/>
          <a:miter/>
        </a:ln>
      </xdr:spPr>
      <xdr:txBody>
        <a:bodyPr vert="horz" wrap="square" lIns="90000" tIns="45000" rIns="90000" bIns="45000" anchor="ctr" compatLnSpc="0">
          <a:noAutofit/>
        </a:bodyPr>
        <a:lstStyle/>
        <a:p>
          <a:pPr lvl="0" algn="l" rtl="0" hangingPunct="0">
            <a:buNone/>
            <a:tabLst/>
          </a:pPr>
          <a:r>
            <a:rPr lang="fr-FR" sz="1000" b="1" i="0" u="none" strike="noStrike" kern="1200" spc="0">
              <a:solidFill>
                <a:schemeClr val="bg1"/>
              </a:solidFill>
              <a:latin typeface="Calibri"/>
            </a:rPr>
            <a:t>Enterré</a:t>
          </a:r>
        </a:p>
      </xdr:txBody>
    </xdr:sp>
    <xdr:clientData/>
  </xdr:oneCellAnchor>
  <xdr:oneCellAnchor>
    <xdr:from>
      <xdr:col>14</xdr:col>
      <xdr:colOff>637722</xdr:colOff>
      <xdr:row>30</xdr:row>
      <xdr:rowOff>152985</xdr:rowOff>
    </xdr:from>
    <xdr:ext cx="950101" cy="454398"/>
    <xdr:sp macro="[0]!SCFH2" textlink="">
      <xdr:nvSpPr>
        <xdr:cNvPr id="17" name="FH HS" hidden="1">
          <a:extLst>
            <a:ext uri="{FF2B5EF4-FFF2-40B4-BE49-F238E27FC236}">
              <a16:creationId xmlns:a16="http://schemas.microsoft.com/office/drawing/2014/main" id="{00000000-0008-0000-0300-000011000000}"/>
            </a:ext>
          </a:extLst>
        </xdr:cNvPr>
        <xdr:cNvSpPr/>
      </xdr:nvSpPr>
      <xdr:spPr>
        <a:xfrm>
          <a:off x="10692980" y="8652820"/>
          <a:ext cx="950101" cy="45439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85000"/>
            <a:lumOff val="1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000" b="1" i="0" u="none" strike="noStrike" kern="1200" spc="0">
              <a:solidFill>
                <a:schemeClr val="bg1"/>
              </a:solidFill>
              <a:latin typeface="Calibri"/>
            </a:rPr>
            <a:t>Hors-sol                          </a:t>
          </a:r>
        </a:p>
      </xdr:txBody>
    </xdr:sp>
    <xdr:clientData/>
  </xdr:oneCellAnchor>
  <xdr:oneCellAnchor>
    <xdr:from>
      <xdr:col>11</xdr:col>
      <xdr:colOff>400288</xdr:colOff>
      <xdr:row>68</xdr:row>
      <xdr:rowOff>65664</xdr:rowOff>
    </xdr:from>
    <xdr:ext cx="983344" cy="430090"/>
    <xdr:sp macro="[0]!ZRV2_ligneux" textlink="">
      <xdr:nvSpPr>
        <xdr:cNvPr id="67" name="ZRV ligneux">
          <a:extLst>
            <a:ext uri="{FF2B5EF4-FFF2-40B4-BE49-F238E27FC236}">
              <a16:creationId xmlns:a16="http://schemas.microsoft.com/office/drawing/2014/main" id="{00000000-0008-0000-0300-000043000000}"/>
            </a:ext>
          </a:extLst>
        </xdr:cNvPr>
        <xdr:cNvSpPr/>
      </xdr:nvSpPr>
      <xdr:spPr>
        <a:xfrm>
          <a:off x="9083077" y="17882427"/>
          <a:ext cx="983344" cy="43009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7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Arbustes + terre végétale</a:t>
          </a:r>
        </a:p>
      </xdr:txBody>
    </xdr:sp>
    <xdr:clientData/>
  </xdr:oneCellAnchor>
  <xdr:oneCellAnchor>
    <xdr:from>
      <xdr:col>11</xdr:col>
      <xdr:colOff>391026</xdr:colOff>
      <xdr:row>66</xdr:row>
      <xdr:rowOff>239451</xdr:rowOff>
    </xdr:from>
    <xdr:ext cx="1006485" cy="459598"/>
    <xdr:sp macro="[0]!ZRV1_aquatique" textlink="">
      <xdr:nvSpPr>
        <xdr:cNvPr id="66" name="ZRV aquatique">
          <a:extLst>
            <a:ext uri="{FF2B5EF4-FFF2-40B4-BE49-F238E27FC236}">
              <a16:creationId xmlns:a16="http://schemas.microsoft.com/office/drawing/2014/main" id="{00000000-0008-0000-0300-000042000000}"/>
            </a:ext>
          </a:extLst>
        </xdr:cNvPr>
        <xdr:cNvSpPr/>
      </xdr:nvSpPr>
      <xdr:spPr>
        <a:xfrm>
          <a:off x="9073815" y="17374425"/>
          <a:ext cx="1006485" cy="45959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Graminées + bordure</a:t>
          </a:r>
        </a:p>
      </xdr:txBody>
    </xdr:sp>
    <xdr:clientData/>
  </xdr:oneCellAnchor>
  <xdr:oneCellAnchor>
    <xdr:from>
      <xdr:col>6</xdr:col>
      <xdr:colOff>24511</xdr:colOff>
      <xdr:row>28</xdr:row>
      <xdr:rowOff>107466</xdr:rowOff>
    </xdr:from>
    <xdr:ext cx="770875" cy="1394459"/>
    <xdr:sp macro="" textlink="">
      <xdr:nvSpPr>
        <xdr:cNvPr id="9" name="Taluspente" hidden="1">
          <a:extLst>
            <a:ext uri="{FF2B5EF4-FFF2-40B4-BE49-F238E27FC236}">
              <a16:creationId xmlns:a16="http://schemas.microsoft.com/office/drawing/2014/main" id="{00000000-0008-0000-0300-000009000000}"/>
            </a:ext>
          </a:extLst>
        </xdr:cNvPr>
        <xdr:cNvSpPr/>
      </xdr:nvSpPr>
      <xdr:spPr>
        <a:xfrm>
          <a:off x="4462965" y="8228265"/>
          <a:ext cx="770875" cy="139445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C000"/>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800" b="1" i="0" u="none" strike="noStrike" kern="1200" spc="0">
              <a:solidFill>
                <a:srgbClr val="FF0000"/>
              </a:solidFill>
              <a:latin typeface="Calibri"/>
            </a:rPr>
            <a:t>Talus/Pente</a:t>
          </a:r>
        </a:p>
      </xdr:txBody>
    </xdr:sp>
    <xdr:clientData/>
  </xdr:oneCellAnchor>
  <xdr:oneCellAnchor>
    <xdr:from>
      <xdr:col>7</xdr:col>
      <xdr:colOff>352327</xdr:colOff>
      <xdr:row>33</xdr:row>
      <xdr:rowOff>84811</xdr:rowOff>
    </xdr:from>
    <xdr:ext cx="755297" cy="355165"/>
    <xdr:sp macro="[0]!SCFV4" textlink="">
      <xdr:nvSpPr>
        <xdr:cNvPr id="21" name="FV4HS">
          <a:extLst>
            <a:ext uri="{FF2B5EF4-FFF2-40B4-BE49-F238E27FC236}">
              <a16:creationId xmlns:a16="http://schemas.microsoft.com/office/drawing/2014/main" id="{00000000-0008-0000-0300-000015000000}"/>
            </a:ext>
          </a:extLst>
        </xdr:cNvPr>
        <xdr:cNvSpPr/>
      </xdr:nvSpPr>
      <xdr:spPr>
        <a:xfrm>
          <a:off x="5254265" y="9150254"/>
          <a:ext cx="755297" cy="35516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Coffrage parpaings</a:t>
          </a:r>
        </a:p>
      </xdr:txBody>
    </xdr:sp>
    <xdr:clientData/>
  </xdr:oneCellAnchor>
  <xdr:oneCellAnchor>
    <xdr:from>
      <xdr:col>6</xdr:col>
      <xdr:colOff>133586</xdr:colOff>
      <xdr:row>29</xdr:row>
      <xdr:rowOff>158124</xdr:rowOff>
    </xdr:from>
    <xdr:ext cx="595139" cy="242457"/>
    <xdr:sp macro="[0]!SCFVB3a" textlink="">
      <xdr:nvSpPr>
        <xdr:cNvPr id="20" name="FVB 1 face" hidden="1">
          <a:extLst>
            <a:ext uri="{FF2B5EF4-FFF2-40B4-BE49-F238E27FC236}">
              <a16:creationId xmlns:a16="http://schemas.microsoft.com/office/drawing/2014/main" id="{00000000-0008-0000-0300-000014000000}"/>
            </a:ext>
          </a:extLst>
        </xdr:cNvPr>
        <xdr:cNvSpPr/>
      </xdr:nvSpPr>
      <xdr:spPr>
        <a:xfrm>
          <a:off x="4572040" y="8494954"/>
          <a:ext cx="595139" cy="24245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AC30A0"/>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1 face</a:t>
          </a:r>
        </a:p>
      </xdr:txBody>
    </xdr:sp>
    <xdr:clientData/>
  </xdr:oneCellAnchor>
  <xdr:oneCellAnchor>
    <xdr:from>
      <xdr:col>6</xdr:col>
      <xdr:colOff>135000</xdr:colOff>
      <xdr:row>32</xdr:row>
      <xdr:rowOff>161106</xdr:rowOff>
    </xdr:from>
    <xdr:ext cx="595139" cy="220737"/>
    <xdr:sp macro="[0]!SCFVB3c" textlink="">
      <xdr:nvSpPr>
        <xdr:cNvPr id="33" name="FVB 3 faces" hidden="1">
          <a:extLst>
            <a:ext uri="{FF2B5EF4-FFF2-40B4-BE49-F238E27FC236}">
              <a16:creationId xmlns:a16="http://schemas.microsoft.com/office/drawing/2014/main" id="{00000000-0008-0000-0300-000021000000}"/>
            </a:ext>
          </a:extLst>
        </xdr:cNvPr>
        <xdr:cNvSpPr/>
      </xdr:nvSpPr>
      <xdr:spPr>
        <a:xfrm>
          <a:off x="4573454" y="9087111"/>
          <a:ext cx="595139" cy="22073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AC30A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3 faces</a:t>
          </a:r>
        </a:p>
      </xdr:txBody>
    </xdr:sp>
    <xdr:clientData/>
  </xdr:oneCellAnchor>
  <xdr:oneCellAnchor>
    <xdr:from>
      <xdr:col>6</xdr:col>
      <xdr:colOff>135002</xdr:colOff>
      <xdr:row>31</xdr:row>
      <xdr:rowOff>72246</xdr:rowOff>
    </xdr:from>
    <xdr:ext cx="595136" cy="219221"/>
    <xdr:sp macro="[0]!SCFVB3b" textlink="">
      <xdr:nvSpPr>
        <xdr:cNvPr id="26" name="FVB 2 faces" hidden="1">
          <a:extLst>
            <a:ext uri="{FF2B5EF4-FFF2-40B4-BE49-F238E27FC236}">
              <a16:creationId xmlns:a16="http://schemas.microsoft.com/office/drawing/2014/main" id="{00000000-0008-0000-0300-00001A000000}"/>
            </a:ext>
          </a:extLst>
        </xdr:cNvPr>
        <xdr:cNvSpPr/>
      </xdr:nvSpPr>
      <xdr:spPr>
        <a:xfrm>
          <a:off x="4546581" y="8785114"/>
          <a:ext cx="595136" cy="21922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AC30A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2 faces</a:t>
          </a:r>
        </a:p>
      </xdr:txBody>
    </xdr:sp>
    <xdr:clientData/>
  </xdr:oneCellAnchor>
  <xdr:oneCellAnchor>
    <xdr:from>
      <xdr:col>7</xdr:col>
      <xdr:colOff>182618</xdr:colOff>
      <xdr:row>57</xdr:row>
      <xdr:rowOff>156809</xdr:rowOff>
    </xdr:from>
    <xdr:ext cx="1307764" cy="549162"/>
    <xdr:sp macro="[0]!BP_gravillons" textlink="">
      <xdr:nvSpPr>
        <xdr:cNvPr id="53" name="BPFV">
          <a:extLst>
            <a:ext uri="{FF2B5EF4-FFF2-40B4-BE49-F238E27FC236}">
              <a16:creationId xmlns:a16="http://schemas.microsoft.com/office/drawing/2014/main" id="{00000000-0008-0000-0300-000035000000}"/>
            </a:ext>
          </a:extLst>
        </xdr:cNvPr>
        <xdr:cNvSpPr/>
      </xdr:nvSpPr>
      <xdr:spPr>
        <a:xfrm>
          <a:off x="5426971" y="13794368"/>
          <a:ext cx="1307764" cy="549162"/>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 FV</a:t>
          </a:r>
          <a:br>
            <a:rPr lang="fr-FR" sz="900" b="1" i="0" u="none" strike="noStrike" kern="1200" spc="0">
              <a:solidFill>
                <a:srgbClr val="FFFFFF"/>
              </a:solidFill>
              <a:latin typeface="Calibri"/>
            </a:rPr>
          </a:br>
          <a:r>
            <a:rPr lang="fr-FR" sz="900" b="1" i="0" u="none" strike="noStrike" kern="1200" spc="0">
              <a:solidFill>
                <a:srgbClr val="FFFFFF"/>
              </a:solidFill>
              <a:latin typeface="Calibri"/>
            </a:rPr>
            <a:t>Géotextile + gravillons</a:t>
          </a:r>
        </a:p>
      </xdr:txBody>
    </xdr:sp>
    <xdr:clientData/>
  </xdr:oneCellAnchor>
  <xdr:oneCellAnchor>
    <xdr:from>
      <xdr:col>7</xdr:col>
      <xdr:colOff>485917</xdr:colOff>
      <xdr:row>61</xdr:row>
      <xdr:rowOff>227116</xdr:rowOff>
    </xdr:from>
    <xdr:ext cx="789416" cy="386145"/>
    <xdr:sp macro="[0]!B_plastiqueFV" textlink="">
      <xdr:nvSpPr>
        <xdr:cNvPr id="55" name="BFV">
          <a:extLst>
            <a:ext uri="{FF2B5EF4-FFF2-40B4-BE49-F238E27FC236}">
              <a16:creationId xmlns:a16="http://schemas.microsoft.com/office/drawing/2014/main" id="{00000000-0008-0000-0300-000037000000}"/>
            </a:ext>
          </a:extLst>
        </xdr:cNvPr>
        <xdr:cNvSpPr/>
      </xdr:nvSpPr>
      <xdr:spPr>
        <a:xfrm>
          <a:off x="5730270" y="15186969"/>
          <a:ext cx="789416" cy="38614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Ecolat plastiqueB</a:t>
          </a:r>
        </a:p>
      </xdr:txBody>
    </xdr:sp>
    <xdr:clientData/>
  </xdr:oneCellAnchor>
  <xdr:oneCellAnchor>
    <xdr:from>
      <xdr:col>0</xdr:col>
      <xdr:colOff>924121</xdr:colOff>
      <xdr:row>0</xdr:row>
      <xdr:rowOff>125690</xdr:rowOff>
    </xdr:from>
    <xdr:ext cx="1102641" cy="675587"/>
    <xdr:sp macro="[0]!reinitialiserSC" textlink="">
      <xdr:nvSpPr>
        <xdr:cNvPr id="5" name="Rectangle : coins arrondis 209">
          <a:extLst>
            <a:ext uri="{FF2B5EF4-FFF2-40B4-BE49-F238E27FC236}">
              <a16:creationId xmlns:a16="http://schemas.microsoft.com/office/drawing/2014/main" id="{00000000-0008-0000-0300-000005000000}"/>
            </a:ext>
          </a:extLst>
        </xdr:cNvPr>
        <xdr:cNvSpPr/>
      </xdr:nvSpPr>
      <xdr:spPr>
        <a:xfrm>
          <a:off x="924121" y="125690"/>
          <a:ext cx="1102641" cy="67558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00B0F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200" b="1" i="0" u="none" strike="noStrike" kern="1200" spc="0">
              <a:solidFill>
                <a:srgbClr val="FFFFFF"/>
              </a:solidFill>
              <a:latin typeface="Calibri"/>
            </a:rPr>
            <a:t>Réinitialiser le</a:t>
          </a:r>
          <a:r>
            <a:rPr lang="fr-FR" sz="1200" b="1" i="0" u="none" strike="noStrike" kern="1200" spc="0" baseline="0">
              <a:solidFill>
                <a:srgbClr val="FFFFFF"/>
              </a:solidFill>
              <a:latin typeface="Calibri"/>
            </a:rPr>
            <a:t> simulateur</a:t>
          </a:r>
          <a:endParaRPr lang="fr-FR" sz="1200" b="1" i="0" u="none" strike="noStrike" kern="1200" spc="0">
            <a:solidFill>
              <a:srgbClr val="FFFFFF"/>
            </a:solidFill>
            <a:latin typeface="Calibri"/>
          </a:endParaRPr>
        </a:p>
      </xdr:txBody>
    </xdr:sp>
    <xdr:clientData/>
  </xdr:oneCellAnchor>
  <xdr:oneCellAnchor>
    <xdr:from>
      <xdr:col>0</xdr:col>
      <xdr:colOff>87413</xdr:colOff>
      <xdr:row>1</xdr:row>
      <xdr:rowOff>61124</xdr:rowOff>
    </xdr:from>
    <xdr:ext cx="658876" cy="418073"/>
    <xdr:sp macro="[0]!Acceuil" textlink="">
      <xdr:nvSpPr>
        <xdr:cNvPr id="2" name="Rectangle : coins arrondis 1">
          <a:extLst>
            <a:ext uri="{FF2B5EF4-FFF2-40B4-BE49-F238E27FC236}">
              <a16:creationId xmlns:a16="http://schemas.microsoft.com/office/drawing/2014/main" id="{00000000-0008-0000-0300-000002000000}"/>
            </a:ext>
          </a:extLst>
        </xdr:cNvPr>
        <xdr:cNvSpPr/>
      </xdr:nvSpPr>
      <xdr:spPr>
        <a:xfrm>
          <a:off x="87413" y="249660"/>
          <a:ext cx="658876" cy="418073"/>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900" b="1" i="0" u="none" strike="noStrike" kern="1200" spc="0">
              <a:solidFill>
                <a:srgbClr val="FFFFFF"/>
              </a:solidFill>
              <a:latin typeface="Calibri"/>
            </a:rPr>
            <a:t>Retour à l'acceuil</a:t>
          </a:r>
        </a:p>
      </xdr:txBody>
    </xdr:sp>
    <xdr:clientData/>
  </xdr:oneCellAnchor>
  <xdr:oneCellAnchor>
    <xdr:from>
      <xdr:col>8</xdr:col>
      <xdr:colOff>648692</xdr:colOff>
      <xdr:row>67</xdr:row>
      <xdr:rowOff>1046</xdr:rowOff>
    </xdr:from>
    <xdr:ext cx="1468566" cy="400675"/>
    <xdr:sp macro="[0]!ZI1_peu_profonde" textlink="">
      <xdr:nvSpPr>
        <xdr:cNvPr id="80" name="ZI1 peu profonde">
          <a:extLst>
            <a:ext uri="{FF2B5EF4-FFF2-40B4-BE49-F238E27FC236}">
              <a16:creationId xmlns:a16="http://schemas.microsoft.com/office/drawing/2014/main" id="{00000000-0008-0000-0300-000050000000}"/>
            </a:ext>
          </a:extLst>
        </xdr:cNvPr>
        <xdr:cNvSpPr/>
      </xdr:nvSpPr>
      <xdr:spPr>
        <a:xfrm>
          <a:off x="6406898" y="17197108"/>
          <a:ext cx="1468566" cy="40067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7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Peu profonde 10 à 40 cm</a:t>
          </a:r>
        </a:p>
      </xdr:txBody>
    </xdr:sp>
    <xdr:clientData/>
  </xdr:oneCellAnchor>
  <xdr:oneCellAnchor>
    <xdr:from>
      <xdr:col>8</xdr:col>
      <xdr:colOff>623456</xdr:colOff>
      <xdr:row>68</xdr:row>
      <xdr:rowOff>148472</xdr:rowOff>
    </xdr:from>
    <xdr:ext cx="1497250" cy="406180"/>
    <xdr:sp macro="[0]!ZI2_profonde" textlink="">
      <xdr:nvSpPr>
        <xdr:cNvPr id="81" name="ZI2 profonde">
          <a:extLst>
            <a:ext uri="{FF2B5EF4-FFF2-40B4-BE49-F238E27FC236}">
              <a16:creationId xmlns:a16="http://schemas.microsoft.com/office/drawing/2014/main" id="{00000000-0008-0000-0300-000051000000}"/>
            </a:ext>
          </a:extLst>
        </xdr:cNvPr>
        <xdr:cNvSpPr/>
      </xdr:nvSpPr>
      <xdr:spPr>
        <a:xfrm>
          <a:off x="6381662" y="17705895"/>
          <a:ext cx="1497250" cy="40618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7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Profonde 50 à 80 cm</a:t>
          </a:r>
        </a:p>
      </xdr:txBody>
    </xdr:sp>
    <xdr:clientData/>
  </xdr:oneCellAnchor>
  <mc:AlternateContent xmlns:mc="http://schemas.openxmlformats.org/markup-compatibility/2006">
    <mc:Choice xmlns:a14="http://schemas.microsoft.com/office/drawing/2010/main" Requires="a14">
      <xdr:twoCellAnchor editAs="oneCell">
        <xdr:from>
          <xdr:col>9</xdr:col>
          <xdr:colOff>409575</xdr:colOff>
          <xdr:row>4</xdr:row>
          <xdr:rowOff>66675</xdr:rowOff>
        </xdr:from>
        <xdr:to>
          <xdr:col>12</xdr:col>
          <xdr:colOff>342900</xdr:colOff>
          <xdr:row>8</xdr:row>
          <xdr:rowOff>104775</xdr:rowOff>
        </xdr:to>
        <xdr:sp macro="" textlink="">
          <xdr:nvSpPr>
            <xdr:cNvPr id="42024" name="Group Box 1" hidden="1">
              <a:extLst>
                <a:ext uri="{63B3BB69-23CF-44E3-9099-C40C66FF867C}">
                  <a14:compatExt spid="_x0000_s42024"/>
                </a:ext>
                <a:ext uri="{FF2B5EF4-FFF2-40B4-BE49-F238E27FC236}">
                  <a16:creationId xmlns:a16="http://schemas.microsoft.com/office/drawing/2014/main" id="{00000000-0008-0000-0300-000028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FR" sz="800" b="0" i="0" u="none" strike="noStrike" baseline="0">
                  <a:solidFill>
                    <a:srgbClr val="000000"/>
                  </a:solidFill>
                  <a:latin typeface="Segoe UI"/>
                  <a:cs typeface="Segoe UI"/>
                </a:rPr>
                <a:t>Zone de groupe 1</a:t>
              </a:r>
            </a:p>
          </xdr:txBody>
        </xdr:sp>
        <xdr:clientData/>
      </xdr:twoCellAnchor>
    </mc:Choice>
    <mc:Fallback/>
  </mc:AlternateContent>
  <xdr:oneCellAnchor>
    <xdr:from>
      <xdr:col>9</xdr:col>
      <xdr:colOff>589434</xdr:colOff>
      <xdr:row>30</xdr:row>
      <xdr:rowOff>143808</xdr:rowOff>
    </xdr:from>
    <xdr:ext cx="758772" cy="494264"/>
    <xdr:sp macro="[0]!SCFV6" textlink="">
      <xdr:nvSpPr>
        <xdr:cNvPr id="155" name="FV6SE">
          <a:extLst>
            <a:ext uri="{FF2B5EF4-FFF2-40B4-BE49-F238E27FC236}">
              <a16:creationId xmlns:a16="http://schemas.microsoft.com/office/drawing/2014/main" id="{00000000-0008-0000-0300-00009B000000}"/>
            </a:ext>
          </a:extLst>
        </xdr:cNvPr>
        <xdr:cNvSpPr/>
      </xdr:nvSpPr>
      <xdr:spPr>
        <a:xfrm>
          <a:off x="7503463" y="8850779"/>
          <a:ext cx="758772" cy="49426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Coffrage Bastaings bois</a:t>
          </a:r>
        </a:p>
      </xdr:txBody>
    </xdr:sp>
    <xdr:clientData/>
  </xdr:oneCellAnchor>
  <xdr:twoCellAnchor>
    <xdr:from>
      <xdr:col>6</xdr:col>
      <xdr:colOff>425824</xdr:colOff>
      <xdr:row>68</xdr:row>
      <xdr:rowOff>71912</xdr:rowOff>
    </xdr:from>
    <xdr:to>
      <xdr:col>7</xdr:col>
      <xdr:colOff>579273</xdr:colOff>
      <xdr:row>69</xdr:row>
      <xdr:rowOff>227263</xdr:rowOff>
    </xdr:to>
    <xdr:sp macro="[0]!Relevage_EC_aval" textlink="">
      <xdr:nvSpPr>
        <xdr:cNvPr id="87" name="RELEVAGE eaux claires aval">
          <a:extLst>
            <a:ext uri="{FF2B5EF4-FFF2-40B4-BE49-F238E27FC236}">
              <a16:creationId xmlns:a16="http://schemas.microsoft.com/office/drawing/2014/main" id="{00000000-0008-0000-0300-000057000000}"/>
            </a:ext>
          </a:extLst>
        </xdr:cNvPr>
        <xdr:cNvSpPr/>
      </xdr:nvSpPr>
      <xdr:spPr>
        <a:xfrm>
          <a:off x="4829736" y="17104853"/>
          <a:ext cx="993890" cy="49152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00B0F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Relevage eaux claires aval</a:t>
          </a:r>
        </a:p>
      </xdr:txBody>
    </xdr:sp>
    <xdr:clientData/>
  </xdr:twoCellAnchor>
  <xdr:twoCellAnchor>
    <xdr:from>
      <xdr:col>10</xdr:col>
      <xdr:colOff>16877</xdr:colOff>
      <xdr:row>72</xdr:row>
      <xdr:rowOff>617835</xdr:rowOff>
    </xdr:from>
    <xdr:to>
      <xdr:col>15</xdr:col>
      <xdr:colOff>682427</xdr:colOff>
      <xdr:row>79</xdr:row>
      <xdr:rowOff>40148</xdr:rowOff>
    </xdr:to>
    <xdr:grpSp>
      <xdr:nvGrpSpPr>
        <xdr:cNvPr id="238" name="Groupe 237">
          <a:extLst>
            <a:ext uri="{FF2B5EF4-FFF2-40B4-BE49-F238E27FC236}">
              <a16:creationId xmlns:a16="http://schemas.microsoft.com/office/drawing/2014/main" id="{00000000-0008-0000-0300-0000EE000000}"/>
            </a:ext>
          </a:extLst>
        </xdr:cNvPr>
        <xdr:cNvGrpSpPr/>
      </xdr:nvGrpSpPr>
      <xdr:grpSpPr>
        <a:xfrm>
          <a:off x="7797298" y="18845677"/>
          <a:ext cx="4214866" cy="1798550"/>
          <a:chOff x="8152347" y="18894630"/>
          <a:chExt cx="4217815" cy="1809165"/>
        </a:xfrm>
      </xdr:grpSpPr>
      <xdr:sp macro="" textlink="">
        <xdr:nvSpPr>
          <xdr:cNvPr id="71" name="Relevage">
            <a:extLst>
              <a:ext uri="{FF2B5EF4-FFF2-40B4-BE49-F238E27FC236}">
                <a16:creationId xmlns:a16="http://schemas.microsoft.com/office/drawing/2014/main" id="{00000000-0008-0000-0300-000047000000}"/>
              </a:ext>
            </a:extLst>
          </xdr:cNvPr>
          <xdr:cNvSpPr/>
        </xdr:nvSpPr>
        <xdr:spPr>
          <a:xfrm>
            <a:off x="8718467" y="19329564"/>
            <a:ext cx="3651695" cy="1206542"/>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5">
              <a:lumMod val="75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600" b="1" i="0" u="none" strike="noStrike" kern="1200" spc="0">
                <a:solidFill>
                  <a:srgbClr val="FFFFFF"/>
                </a:solidFill>
                <a:latin typeface="Calibri"/>
              </a:rPr>
              <a:t>Distribution</a:t>
            </a:r>
            <a:endParaRPr lang="fr-FR" sz="900" b="1" i="0" u="none" strike="noStrike" kern="1200" spc="0">
              <a:solidFill>
                <a:srgbClr val="FFFFFF"/>
              </a:solidFill>
              <a:latin typeface="Calibri"/>
            </a:endParaRPr>
          </a:p>
        </xdr:txBody>
      </xdr:sp>
      <xdr:sp macro="[0]!RD2_3voies" textlink="">
        <xdr:nvSpPr>
          <xdr:cNvPr id="62" name="Vannes 3 voies">
            <a:extLst>
              <a:ext uri="{FF2B5EF4-FFF2-40B4-BE49-F238E27FC236}">
                <a16:creationId xmlns:a16="http://schemas.microsoft.com/office/drawing/2014/main" id="{00000000-0008-0000-0300-00003E000000}"/>
              </a:ext>
            </a:extLst>
          </xdr:cNvPr>
          <xdr:cNvSpPr/>
        </xdr:nvSpPr>
        <xdr:spPr>
          <a:xfrm>
            <a:off x="10235708" y="19732097"/>
            <a:ext cx="764568" cy="667736"/>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 Relevage    Vanne 3 voies</a:t>
            </a:r>
          </a:p>
        </xdr:txBody>
      </xdr:sp>
      <xdr:sp macro="[0]!RD1_guillotines" textlink="">
        <xdr:nvSpPr>
          <xdr:cNvPr id="61" name="Vannes guillotines">
            <a:extLst>
              <a:ext uri="{FF2B5EF4-FFF2-40B4-BE49-F238E27FC236}">
                <a16:creationId xmlns:a16="http://schemas.microsoft.com/office/drawing/2014/main" id="{00000000-0008-0000-0300-00003D000000}"/>
              </a:ext>
            </a:extLst>
          </xdr:cNvPr>
          <xdr:cNvSpPr/>
        </xdr:nvSpPr>
        <xdr:spPr>
          <a:xfrm>
            <a:off x="9352733" y="19736799"/>
            <a:ext cx="805842" cy="629492"/>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3">
              <a:lumMod val="75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Relevage Vannes guillotines</a:t>
            </a:r>
          </a:p>
        </xdr:txBody>
      </xdr:sp>
      <xdr:sp macro="[0]!RD3_automatisation" textlink="">
        <xdr:nvSpPr>
          <xdr:cNvPr id="63" name="Automatisation">
            <a:extLst>
              <a:ext uri="{FF2B5EF4-FFF2-40B4-BE49-F238E27FC236}">
                <a16:creationId xmlns:a16="http://schemas.microsoft.com/office/drawing/2014/main" id="{00000000-0008-0000-0300-00003F000000}"/>
              </a:ext>
            </a:extLst>
          </xdr:cNvPr>
          <xdr:cNvSpPr/>
        </xdr:nvSpPr>
        <xdr:spPr>
          <a:xfrm>
            <a:off x="11069536" y="19822462"/>
            <a:ext cx="1018924" cy="51821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7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Automatisation vannes 3 voies</a:t>
            </a:r>
          </a:p>
        </xdr:txBody>
      </xdr:sp>
      <xdr:sp macro="" textlink="">
        <xdr:nvSpPr>
          <xdr:cNvPr id="227" name="Rectangle : coins arrondis 226">
            <a:extLst>
              <a:ext uri="{FF2B5EF4-FFF2-40B4-BE49-F238E27FC236}">
                <a16:creationId xmlns:a16="http://schemas.microsoft.com/office/drawing/2014/main" id="{00000000-0008-0000-0300-0000E3000000}"/>
              </a:ext>
            </a:extLst>
          </xdr:cNvPr>
          <xdr:cNvSpPr/>
        </xdr:nvSpPr>
        <xdr:spPr>
          <a:xfrm>
            <a:off x="8152347" y="18894630"/>
            <a:ext cx="1099582" cy="1809165"/>
          </a:xfrm>
          <a:prstGeom prst="roundRect">
            <a:avLst/>
          </a:prstGeom>
          <a:solidFill>
            <a:schemeClr val="tx2">
              <a:lumMod val="60000"/>
              <a:lumOff val="40000"/>
            </a:scheme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100" b="1"/>
              <a:t>DIAMETRE PRESSION</a:t>
            </a:r>
          </a:p>
        </xdr:txBody>
      </xdr:sp>
      <xdr:sp macro="[0]!DN_50" textlink="">
        <xdr:nvSpPr>
          <xdr:cNvPr id="90" name="DN50">
            <a:extLst>
              <a:ext uri="{FF2B5EF4-FFF2-40B4-BE49-F238E27FC236}">
                <a16:creationId xmlns:a16="http://schemas.microsoft.com/office/drawing/2014/main" id="{00000000-0008-0000-0300-00005A000000}"/>
              </a:ext>
            </a:extLst>
          </xdr:cNvPr>
          <xdr:cNvSpPr/>
        </xdr:nvSpPr>
        <xdr:spPr>
          <a:xfrm>
            <a:off x="8187861" y="19476427"/>
            <a:ext cx="1018924" cy="51821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DN 50</a:t>
            </a:r>
          </a:p>
        </xdr:txBody>
      </xdr:sp>
      <xdr:sp macro="[0]!DN_63" textlink="">
        <xdr:nvSpPr>
          <xdr:cNvPr id="91" name="DN63">
            <a:extLst>
              <a:ext uri="{FF2B5EF4-FFF2-40B4-BE49-F238E27FC236}">
                <a16:creationId xmlns:a16="http://schemas.microsoft.com/office/drawing/2014/main" id="{00000000-0008-0000-0300-00005B000000}"/>
              </a:ext>
            </a:extLst>
          </xdr:cNvPr>
          <xdr:cNvSpPr/>
        </xdr:nvSpPr>
        <xdr:spPr>
          <a:xfrm>
            <a:off x="8198119" y="20065321"/>
            <a:ext cx="1018924" cy="51821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tx2">
              <a:lumMod val="7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DN 63              </a:t>
            </a:r>
          </a:p>
        </xdr:txBody>
      </xdr:sp>
    </xdr:grpSp>
    <xdr:clientData/>
  </xdr:twoCellAnchor>
  <xdr:oneCellAnchor>
    <xdr:from>
      <xdr:col>5</xdr:col>
      <xdr:colOff>188145</xdr:colOff>
      <xdr:row>24</xdr:row>
      <xdr:rowOff>65730</xdr:rowOff>
    </xdr:from>
    <xdr:ext cx="2099819" cy="423862"/>
    <xdr:sp macro="" textlink="">
      <xdr:nvSpPr>
        <xdr:cNvPr id="89" name="Caillebotis">
          <a:extLst>
            <a:ext uri="{FF2B5EF4-FFF2-40B4-BE49-F238E27FC236}">
              <a16:creationId xmlns:a16="http://schemas.microsoft.com/office/drawing/2014/main" id="{00000000-0008-0000-0300-000059000000}"/>
            </a:ext>
          </a:extLst>
        </xdr:cNvPr>
        <xdr:cNvSpPr/>
      </xdr:nvSpPr>
      <xdr:spPr>
        <a:xfrm>
          <a:off x="3791934" y="7725008"/>
          <a:ext cx="2099819" cy="423862"/>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AC30A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Caillebotis</a:t>
          </a:r>
          <a:r>
            <a:rPr lang="fr-FR" sz="900" b="1" i="0" u="none" strike="noStrike" kern="1200" spc="0" baseline="0">
              <a:solidFill>
                <a:srgbClr val="FFFFFF"/>
              </a:solidFill>
              <a:latin typeface="Calibri"/>
            </a:rPr>
            <a:t> piétons</a:t>
          </a:r>
          <a:r>
            <a:rPr lang="fr-FR" sz="900" b="1" i="0" u="none" strike="noStrike" kern="1200" spc="0">
              <a:solidFill>
                <a:srgbClr val="FFFFFF"/>
              </a:solidFill>
              <a:latin typeface="Calibri"/>
            </a:rPr>
            <a:t> 5*5 cm dans tous les cas sur</a:t>
          </a:r>
          <a:r>
            <a:rPr lang="fr-FR" sz="900" b="1" i="0" u="none" strike="noStrike" kern="1200" spc="0" baseline="0">
              <a:solidFill>
                <a:srgbClr val="FFFFFF"/>
              </a:solidFill>
              <a:latin typeface="Calibri"/>
            </a:rPr>
            <a:t> le FV (pour le moment)</a:t>
          </a:r>
          <a:endParaRPr lang="fr-FR" sz="900" b="1" i="0" u="none" strike="noStrike" kern="1200" spc="0">
            <a:solidFill>
              <a:srgbClr val="FFFFFF"/>
            </a:solidFill>
            <a:latin typeface="Calibri"/>
          </a:endParaRPr>
        </a:p>
      </xdr:txBody>
    </xdr:sp>
    <xdr:clientData/>
  </xdr:oneCellAnchor>
  <xdr:oneCellAnchor>
    <xdr:from>
      <xdr:col>3</xdr:col>
      <xdr:colOff>387240</xdr:colOff>
      <xdr:row>66</xdr:row>
      <xdr:rowOff>299441</xdr:rowOff>
    </xdr:from>
    <xdr:ext cx="1969806" cy="894210"/>
    <xdr:sp macro="" textlink="">
      <xdr:nvSpPr>
        <xdr:cNvPr id="93" name="AQUATIRRIGATION">
          <a:extLst>
            <a:ext uri="{FF2B5EF4-FFF2-40B4-BE49-F238E27FC236}">
              <a16:creationId xmlns:a16="http://schemas.microsoft.com/office/drawing/2014/main" id="{00000000-0008-0000-0300-00005D000000}"/>
            </a:ext>
          </a:extLst>
        </xdr:cNvPr>
        <xdr:cNvSpPr/>
      </xdr:nvSpPr>
      <xdr:spPr>
        <a:xfrm>
          <a:off x="2449122" y="16660029"/>
          <a:ext cx="1969806" cy="89421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Fossé</a:t>
          </a:r>
          <a:r>
            <a:rPr lang="fr-FR" sz="900" b="1" i="0" u="none" strike="noStrike" kern="1200" spc="0" baseline="0">
              <a:solidFill>
                <a:srgbClr val="FFFFFF"/>
              </a:solidFill>
              <a:latin typeface="Calibri"/>
            </a:rPr>
            <a:t> / Cours d'eau</a:t>
          </a:r>
          <a:endParaRPr lang="fr-FR" sz="900" b="1" i="0" u="none" strike="noStrike" kern="1200" spc="0">
            <a:solidFill>
              <a:srgbClr val="FFFFFF"/>
            </a:solidFill>
            <a:latin typeface="Calibri"/>
          </a:endParaRPr>
        </a:p>
      </xdr:txBody>
    </xdr:sp>
    <xdr:clientData/>
  </xdr:oneCellAnchor>
  <xdr:oneCellAnchor>
    <xdr:from>
      <xdr:col>3</xdr:col>
      <xdr:colOff>505062</xdr:colOff>
      <xdr:row>68</xdr:row>
      <xdr:rowOff>78617</xdr:rowOff>
    </xdr:from>
    <xdr:ext cx="863087" cy="286715"/>
    <xdr:sp macro="[0]!S2_crapaudine" textlink="">
      <xdr:nvSpPr>
        <xdr:cNvPr id="95" name="Crapaudine">
          <a:extLst>
            <a:ext uri="{FF2B5EF4-FFF2-40B4-BE49-F238E27FC236}">
              <a16:creationId xmlns:a16="http://schemas.microsoft.com/office/drawing/2014/main" id="{00000000-0008-0000-0300-00005F000000}"/>
            </a:ext>
          </a:extLst>
        </xdr:cNvPr>
        <xdr:cNvSpPr/>
      </xdr:nvSpPr>
      <xdr:spPr>
        <a:xfrm>
          <a:off x="2566944" y="17111558"/>
          <a:ext cx="863087" cy="28671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85000"/>
            <a:lumOff val="1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Grille anti-rongeur</a:t>
          </a:r>
        </a:p>
      </xdr:txBody>
    </xdr:sp>
    <xdr:clientData/>
  </xdr:oneCellAnchor>
  <xdr:oneCellAnchor>
    <xdr:from>
      <xdr:col>4</xdr:col>
      <xdr:colOff>763315</xdr:colOff>
      <xdr:row>68</xdr:row>
      <xdr:rowOff>5628</xdr:rowOff>
    </xdr:from>
    <xdr:ext cx="721237" cy="417039"/>
    <xdr:sp macro="[0]!S1_clapet" textlink="">
      <xdr:nvSpPr>
        <xdr:cNvPr id="100" name="Clapet">
          <a:extLst>
            <a:ext uri="{FF2B5EF4-FFF2-40B4-BE49-F238E27FC236}">
              <a16:creationId xmlns:a16="http://schemas.microsoft.com/office/drawing/2014/main" id="{00000000-0008-0000-0300-000064000000}"/>
            </a:ext>
          </a:extLst>
        </xdr:cNvPr>
        <xdr:cNvSpPr/>
      </xdr:nvSpPr>
      <xdr:spPr>
        <a:xfrm>
          <a:off x="3553580" y="17038569"/>
          <a:ext cx="721237" cy="41703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85000"/>
            <a:lumOff val="1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Clapet anti-retour </a:t>
          </a:r>
        </a:p>
      </xdr:txBody>
    </xdr:sp>
    <xdr:clientData/>
  </xdr:oneCellAnchor>
  <xdr:oneCellAnchor>
    <xdr:from>
      <xdr:col>14</xdr:col>
      <xdr:colOff>559634</xdr:colOff>
      <xdr:row>0</xdr:row>
      <xdr:rowOff>140463</xdr:rowOff>
    </xdr:from>
    <xdr:ext cx="1385471" cy="651616"/>
    <xdr:sp macro="[0]!couts" textlink="">
      <xdr:nvSpPr>
        <xdr:cNvPr id="109" name="Rectangle : coins arrondis 207">
          <a:extLst>
            <a:ext uri="{FF2B5EF4-FFF2-40B4-BE49-F238E27FC236}">
              <a16:creationId xmlns:a16="http://schemas.microsoft.com/office/drawing/2014/main" id="{00000000-0008-0000-0300-00006D000000}"/>
            </a:ext>
          </a:extLst>
        </xdr:cNvPr>
        <xdr:cNvSpPr/>
      </xdr:nvSpPr>
      <xdr:spPr>
        <a:xfrm>
          <a:off x="10916818" y="140463"/>
          <a:ext cx="1385471" cy="651616"/>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5">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400" b="1" i="0" u="none" strike="noStrike" kern="1200" spc="0">
              <a:solidFill>
                <a:srgbClr val="FFFFFF"/>
              </a:solidFill>
              <a:latin typeface="Calibri"/>
            </a:rPr>
            <a:t>COUTS + DEVIS</a:t>
          </a:r>
        </a:p>
      </xdr:txBody>
    </xdr:sp>
    <xdr:clientData/>
  </xdr:oneCellAnchor>
  <xdr:oneCellAnchor>
    <xdr:from>
      <xdr:col>17</xdr:col>
      <xdr:colOff>28162</xdr:colOff>
      <xdr:row>48</xdr:row>
      <xdr:rowOff>45170</xdr:rowOff>
    </xdr:from>
    <xdr:ext cx="1535783" cy="261201"/>
    <xdr:sp macro="[0]!reinitialiserH" textlink="">
      <xdr:nvSpPr>
        <xdr:cNvPr id="110" name="Rectangle : coins arrondis 209">
          <a:extLst>
            <a:ext uri="{FF2B5EF4-FFF2-40B4-BE49-F238E27FC236}">
              <a16:creationId xmlns:a16="http://schemas.microsoft.com/office/drawing/2014/main" id="{00000000-0008-0000-0300-00006E000000}"/>
            </a:ext>
          </a:extLst>
        </xdr:cNvPr>
        <xdr:cNvSpPr/>
      </xdr:nvSpPr>
      <xdr:spPr>
        <a:xfrm>
          <a:off x="12495110" y="12472840"/>
          <a:ext cx="1535783" cy="26120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4">
            <a:lumMod val="20000"/>
            <a:lumOff val="80000"/>
          </a:schemeClr>
        </a:solidFill>
        <a:ln w="28575">
          <a:solidFill>
            <a:srgbClr val="92D050"/>
          </a:solidFill>
        </a:ln>
      </xdr:spPr>
      <xdr:style>
        <a:lnRef idx="2">
          <a:schemeClr val="accent6"/>
        </a:lnRef>
        <a:fillRef idx="1">
          <a:schemeClr val="lt1"/>
        </a:fillRef>
        <a:effectRef idx="0">
          <a:schemeClr val="accent6"/>
        </a:effectRef>
        <a:fontRef idx="minor">
          <a:schemeClr val="dk1"/>
        </a:fontRef>
      </xdr:style>
      <xdr:txBody>
        <a:bodyPr vert="horz" wrap="square" lIns="90000" tIns="45000" rIns="90000" bIns="45000" anchor="ctr" compatLnSpc="0">
          <a:noAutofit/>
        </a:bodyPr>
        <a:lstStyle/>
        <a:p>
          <a:pPr lvl="0" algn="ctr" rtl="0" hangingPunct="0">
            <a:buNone/>
            <a:tabLst/>
          </a:pPr>
          <a:r>
            <a:rPr lang="fr-FR" sz="1050" b="1" i="0" u="none" strike="noStrike" kern="1200" spc="0">
              <a:solidFill>
                <a:schemeClr val="tx1">
                  <a:lumMod val="65000"/>
                  <a:lumOff val="35000"/>
                </a:schemeClr>
              </a:solidFill>
              <a:latin typeface="Calibri"/>
            </a:rPr>
            <a:t>Redéfinir</a:t>
          </a:r>
          <a:r>
            <a:rPr lang="fr-FR" sz="1050" b="1" i="0" u="none" strike="noStrike" kern="1200" spc="0" baseline="0">
              <a:solidFill>
                <a:schemeClr val="tx1">
                  <a:lumMod val="65000"/>
                  <a:lumOff val="35000"/>
                </a:schemeClr>
              </a:solidFill>
              <a:latin typeface="Calibri"/>
            </a:rPr>
            <a:t> Habillage</a:t>
          </a:r>
          <a:endParaRPr lang="fr-FR" sz="1050" b="1" i="0" u="none" strike="noStrike" kern="1200" spc="0">
            <a:solidFill>
              <a:schemeClr val="tx1">
                <a:lumMod val="65000"/>
                <a:lumOff val="35000"/>
              </a:schemeClr>
            </a:solidFill>
            <a:latin typeface="Calibri"/>
          </a:endParaRPr>
        </a:p>
      </xdr:txBody>
    </xdr:sp>
    <xdr:clientData/>
  </xdr:oneCellAnchor>
  <xdr:oneCellAnchor>
    <xdr:from>
      <xdr:col>17</xdr:col>
      <xdr:colOff>47802</xdr:colOff>
      <xdr:row>38</xdr:row>
      <xdr:rowOff>94269</xdr:rowOff>
    </xdr:from>
    <xdr:ext cx="1380358" cy="263166"/>
    <xdr:sp macro="[0]!reinitialiserSCS" textlink="">
      <xdr:nvSpPr>
        <xdr:cNvPr id="111" name="Rectangle : coins arrondis 209">
          <a:extLst>
            <a:ext uri="{FF2B5EF4-FFF2-40B4-BE49-F238E27FC236}">
              <a16:creationId xmlns:a16="http://schemas.microsoft.com/office/drawing/2014/main" id="{00000000-0008-0000-0300-00006F000000}"/>
            </a:ext>
          </a:extLst>
        </xdr:cNvPr>
        <xdr:cNvSpPr/>
      </xdr:nvSpPr>
      <xdr:spPr>
        <a:xfrm>
          <a:off x="12514750" y="10393053"/>
          <a:ext cx="1380358" cy="263166"/>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4">
            <a:lumMod val="20000"/>
            <a:lumOff val="80000"/>
          </a:schemeClr>
        </a:solidFill>
        <a:ln w="28575">
          <a:solidFill>
            <a:srgbClr val="92D050"/>
          </a:solidFill>
          <a:prstDash val="solid"/>
          <a:miter/>
        </a:ln>
      </xdr:spPr>
      <xdr:txBody>
        <a:bodyPr vert="horz" wrap="square" lIns="90000" tIns="45000" rIns="90000" bIns="45000" anchor="ctr" compatLnSpc="0">
          <a:noAutofit/>
        </a:bodyPr>
        <a:lstStyle/>
        <a:p>
          <a:pPr lvl="0" algn="ctr" rtl="0" hangingPunct="0">
            <a:buNone/>
            <a:tabLst/>
          </a:pPr>
          <a:r>
            <a:rPr lang="fr-FR" sz="1050" b="1" i="0" u="none" strike="noStrike" kern="1200" spc="0">
              <a:solidFill>
                <a:schemeClr val="tx1">
                  <a:lumMod val="65000"/>
                  <a:lumOff val="35000"/>
                </a:schemeClr>
              </a:solidFill>
              <a:latin typeface="Calibri"/>
            </a:rPr>
            <a:t>Redéfinir</a:t>
          </a:r>
          <a:r>
            <a:rPr lang="fr-FR" sz="1050" b="1" i="0" u="none" strike="noStrike" kern="1200" spc="0" baseline="0">
              <a:solidFill>
                <a:schemeClr val="tx1">
                  <a:lumMod val="65000"/>
                  <a:lumOff val="35000"/>
                </a:schemeClr>
              </a:solidFill>
              <a:latin typeface="Calibri"/>
            </a:rPr>
            <a:t> SC</a:t>
          </a:r>
          <a:endParaRPr lang="fr-FR" sz="1050" b="1" i="0" u="none" strike="noStrike" kern="1200" spc="0">
            <a:solidFill>
              <a:schemeClr val="tx1">
                <a:lumMod val="65000"/>
                <a:lumOff val="35000"/>
              </a:schemeClr>
            </a:solidFill>
            <a:latin typeface="Calibri"/>
          </a:endParaRPr>
        </a:p>
      </xdr:txBody>
    </xdr:sp>
    <xdr:clientData/>
  </xdr:oneCellAnchor>
  <xdr:oneCellAnchor>
    <xdr:from>
      <xdr:col>17</xdr:col>
      <xdr:colOff>2633</xdr:colOff>
      <xdr:row>55</xdr:row>
      <xdr:rowOff>64810</xdr:rowOff>
    </xdr:from>
    <xdr:ext cx="1669329" cy="274948"/>
    <xdr:sp macro="[0]!reinitialiserF" textlink="">
      <xdr:nvSpPr>
        <xdr:cNvPr id="112" name="Rectangle : coins arrondis 209">
          <a:extLst>
            <a:ext uri="{FF2B5EF4-FFF2-40B4-BE49-F238E27FC236}">
              <a16:creationId xmlns:a16="http://schemas.microsoft.com/office/drawing/2014/main" id="{00000000-0008-0000-0300-000070000000}"/>
            </a:ext>
          </a:extLst>
        </xdr:cNvPr>
        <xdr:cNvSpPr/>
      </xdr:nvSpPr>
      <xdr:spPr>
        <a:xfrm>
          <a:off x="12469581" y="13930068"/>
          <a:ext cx="1669329" cy="27494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4">
            <a:lumMod val="20000"/>
            <a:lumOff val="80000"/>
          </a:schemeClr>
        </a:solidFill>
        <a:ln w="28575"/>
      </xdr:spPr>
      <xdr:style>
        <a:lnRef idx="2">
          <a:schemeClr val="accent6"/>
        </a:lnRef>
        <a:fillRef idx="1">
          <a:schemeClr val="lt1"/>
        </a:fillRef>
        <a:effectRef idx="0">
          <a:schemeClr val="accent6"/>
        </a:effectRef>
        <a:fontRef idx="minor">
          <a:schemeClr val="dk1"/>
        </a:fontRef>
      </xdr:style>
      <xdr:txBody>
        <a:bodyPr vert="horz" wrap="square" lIns="90000" tIns="45000" rIns="90000" bIns="45000" anchor="ctr" compatLnSpc="0">
          <a:noAutofit/>
        </a:bodyPr>
        <a:lstStyle/>
        <a:p>
          <a:pPr lvl="0" algn="ctr" rtl="0" hangingPunct="0">
            <a:buNone/>
            <a:tabLst/>
          </a:pPr>
          <a:r>
            <a:rPr lang="fr-FR" sz="1050" b="1" i="0" u="none" strike="noStrike" kern="1200" spc="0">
              <a:solidFill>
                <a:schemeClr val="tx1">
                  <a:lumMod val="65000"/>
                  <a:lumOff val="35000"/>
                </a:schemeClr>
              </a:solidFill>
              <a:latin typeface="Calibri"/>
            </a:rPr>
            <a:t>Redéfinir</a:t>
          </a:r>
          <a:r>
            <a:rPr lang="fr-FR" sz="1050" b="1" i="0" u="none" strike="noStrike" kern="1200" spc="0" baseline="0">
              <a:solidFill>
                <a:schemeClr val="tx1">
                  <a:lumMod val="65000"/>
                  <a:lumOff val="35000"/>
                </a:schemeClr>
              </a:solidFill>
              <a:latin typeface="Calibri"/>
            </a:rPr>
            <a:t> Finitions</a:t>
          </a:r>
          <a:endParaRPr lang="fr-FR" sz="1050" b="1" i="0" u="none" strike="noStrike" kern="1200" spc="0">
            <a:solidFill>
              <a:schemeClr val="tx1">
                <a:lumMod val="65000"/>
                <a:lumOff val="35000"/>
              </a:schemeClr>
            </a:solidFill>
            <a:latin typeface="Calibri"/>
          </a:endParaRPr>
        </a:p>
      </xdr:txBody>
    </xdr:sp>
    <xdr:clientData/>
  </xdr:oneCellAnchor>
  <xdr:oneCellAnchor>
    <xdr:from>
      <xdr:col>17</xdr:col>
      <xdr:colOff>2633</xdr:colOff>
      <xdr:row>60</xdr:row>
      <xdr:rowOff>46522</xdr:rowOff>
    </xdr:from>
    <xdr:ext cx="1709118" cy="273597"/>
    <xdr:sp macro="[0]!reinitialiserBP" textlink="">
      <xdr:nvSpPr>
        <xdr:cNvPr id="113" name="Rectangle : coins arrondis 209">
          <a:extLst>
            <a:ext uri="{FF2B5EF4-FFF2-40B4-BE49-F238E27FC236}">
              <a16:creationId xmlns:a16="http://schemas.microsoft.com/office/drawing/2014/main" id="{00000000-0008-0000-0300-000071000000}"/>
            </a:ext>
          </a:extLst>
        </xdr:cNvPr>
        <xdr:cNvSpPr/>
      </xdr:nvSpPr>
      <xdr:spPr>
        <a:xfrm>
          <a:off x="12469581" y="15325800"/>
          <a:ext cx="1709118" cy="27359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4">
            <a:lumMod val="20000"/>
            <a:lumOff val="80000"/>
          </a:schemeClr>
        </a:solidFill>
        <a:ln w="28575"/>
      </xdr:spPr>
      <xdr:style>
        <a:lnRef idx="2">
          <a:schemeClr val="accent6"/>
        </a:lnRef>
        <a:fillRef idx="1">
          <a:schemeClr val="lt1"/>
        </a:fillRef>
        <a:effectRef idx="0">
          <a:schemeClr val="accent6"/>
        </a:effectRef>
        <a:fontRef idx="minor">
          <a:schemeClr val="dk1"/>
        </a:fontRef>
      </xdr:style>
      <xdr:txBody>
        <a:bodyPr vert="horz" wrap="square" lIns="90000" tIns="45000" rIns="90000" bIns="45000" anchor="ctr" compatLnSpc="0">
          <a:noAutofit/>
        </a:bodyPr>
        <a:lstStyle/>
        <a:p>
          <a:pPr lvl="0" algn="ctr" rtl="0" hangingPunct="0">
            <a:buNone/>
            <a:tabLst/>
          </a:pPr>
          <a:r>
            <a:rPr lang="fr-FR" sz="1050" b="1" i="0" u="none" strike="noStrike" kern="1200" spc="0">
              <a:solidFill>
                <a:schemeClr val="tx1">
                  <a:lumMod val="65000"/>
                  <a:lumOff val="35000"/>
                </a:schemeClr>
              </a:solidFill>
              <a:latin typeface="Calibri"/>
            </a:rPr>
            <a:t>Redéfinir</a:t>
          </a:r>
          <a:r>
            <a:rPr lang="fr-FR" sz="1050" b="1" i="0" u="none" strike="noStrike" kern="1200" spc="0" baseline="0">
              <a:solidFill>
                <a:schemeClr val="tx1">
                  <a:lumMod val="65000"/>
                  <a:lumOff val="35000"/>
                </a:schemeClr>
              </a:solidFill>
              <a:latin typeface="Calibri"/>
            </a:rPr>
            <a:t> BP</a:t>
          </a:r>
          <a:endParaRPr lang="fr-FR" sz="1050" b="1" i="0" u="none" strike="noStrike" kern="1200" spc="0">
            <a:solidFill>
              <a:schemeClr val="tx1">
                <a:lumMod val="65000"/>
                <a:lumOff val="35000"/>
              </a:schemeClr>
            </a:solidFill>
            <a:latin typeface="Calibri"/>
          </a:endParaRPr>
        </a:p>
      </xdr:txBody>
    </xdr:sp>
    <xdr:clientData/>
  </xdr:oneCellAnchor>
  <xdr:oneCellAnchor>
    <xdr:from>
      <xdr:col>17</xdr:col>
      <xdr:colOff>2633</xdr:colOff>
      <xdr:row>65</xdr:row>
      <xdr:rowOff>61451</xdr:rowOff>
    </xdr:from>
    <xdr:ext cx="1694192" cy="307768"/>
    <xdr:sp macro="[0]!reinitialiserB" textlink="">
      <xdr:nvSpPr>
        <xdr:cNvPr id="114" name="Rectangle : coins arrondis 209">
          <a:extLst>
            <a:ext uri="{FF2B5EF4-FFF2-40B4-BE49-F238E27FC236}">
              <a16:creationId xmlns:a16="http://schemas.microsoft.com/office/drawing/2014/main" id="{00000000-0008-0000-0300-000072000000}"/>
            </a:ext>
          </a:extLst>
        </xdr:cNvPr>
        <xdr:cNvSpPr/>
      </xdr:nvSpPr>
      <xdr:spPr>
        <a:xfrm>
          <a:off x="12469581" y="16558358"/>
          <a:ext cx="1694192" cy="30776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4">
            <a:lumMod val="20000"/>
            <a:lumOff val="80000"/>
          </a:schemeClr>
        </a:solidFill>
        <a:ln w="28575"/>
      </xdr:spPr>
      <xdr:style>
        <a:lnRef idx="2">
          <a:schemeClr val="accent6"/>
        </a:lnRef>
        <a:fillRef idx="1">
          <a:schemeClr val="lt1"/>
        </a:fillRef>
        <a:effectRef idx="0">
          <a:schemeClr val="accent6"/>
        </a:effectRef>
        <a:fontRef idx="minor">
          <a:schemeClr val="dk1"/>
        </a:fontRef>
      </xdr:style>
      <xdr:txBody>
        <a:bodyPr vert="horz" wrap="square" lIns="90000" tIns="45000" rIns="90000" bIns="45000" anchor="ctr" compatLnSpc="0">
          <a:noAutofit/>
        </a:bodyPr>
        <a:lstStyle/>
        <a:p>
          <a:pPr lvl="0" algn="ctr" rtl="0" hangingPunct="0">
            <a:buNone/>
            <a:tabLst/>
          </a:pPr>
          <a:r>
            <a:rPr lang="fr-FR" sz="1050" b="1" i="0" u="none" strike="noStrike" kern="1200" spc="0">
              <a:solidFill>
                <a:schemeClr val="tx1">
                  <a:lumMod val="65000"/>
                  <a:lumOff val="35000"/>
                </a:schemeClr>
              </a:solidFill>
              <a:latin typeface="Calibri"/>
            </a:rPr>
            <a:t>Redéfinir</a:t>
          </a:r>
          <a:r>
            <a:rPr lang="fr-FR" sz="1050" b="1" i="0" u="none" strike="noStrike" kern="1200" spc="0" baseline="0">
              <a:solidFill>
                <a:schemeClr val="tx1">
                  <a:lumMod val="65000"/>
                  <a:lumOff val="35000"/>
                </a:schemeClr>
              </a:solidFill>
              <a:latin typeface="Calibri"/>
            </a:rPr>
            <a:t> Bordures</a:t>
          </a:r>
          <a:endParaRPr lang="fr-FR" sz="1050" b="1" i="0" u="none" strike="noStrike" kern="1200" spc="0">
            <a:solidFill>
              <a:schemeClr val="tx1">
                <a:lumMod val="65000"/>
                <a:lumOff val="35000"/>
              </a:schemeClr>
            </a:solidFill>
            <a:latin typeface="Calibri"/>
          </a:endParaRPr>
        </a:p>
      </xdr:txBody>
    </xdr:sp>
    <xdr:clientData/>
  </xdr:oneCellAnchor>
  <xdr:oneCellAnchor>
    <xdr:from>
      <xdr:col>17</xdr:col>
      <xdr:colOff>7740</xdr:colOff>
      <xdr:row>72</xdr:row>
      <xdr:rowOff>64810</xdr:rowOff>
    </xdr:from>
    <xdr:ext cx="1198106" cy="288304"/>
    <xdr:sp macro="[0]!reinitialiserZI" textlink="">
      <xdr:nvSpPr>
        <xdr:cNvPr id="119" name="Rectangle : coins arrondis 209">
          <a:extLst>
            <a:ext uri="{FF2B5EF4-FFF2-40B4-BE49-F238E27FC236}">
              <a16:creationId xmlns:a16="http://schemas.microsoft.com/office/drawing/2014/main" id="{00000000-0008-0000-0300-000077000000}"/>
            </a:ext>
          </a:extLst>
        </xdr:cNvPr>
        <xdr:cNvSpPr/>
      </xdr:nvSpPr>
      <xdr:spPr>
        <a:xfrm>
          <a:off x="12474688" y="18674892"/>
          <a:ext cx="1198106" cy="28830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4">
            <a:lumMod val="20000"/>
            <a:lumOff val="80000"/>
          </a:schemeClr>
        </a:solidFill>
        <a:ln w="28575"/>
      </xdr:spPr>
      <xdr:style>
        <a:lnRef idx="2">
          <a:schemeClr val="accent6"/>
        </a:lnRef>
        <a:fillRef idx="1">
          <a:schemeClr val="lt1"/>
        </a:fillRef>
        <a:effectRef idx="0">
          <a:schemeClr val="accent6"/>
        </a:effectRef>
        <a:fontRef idx="minor">
          <a:schemeClr val="dk1"/>
        </a:fontRef>
      </xdr:style>
      <xdr:txBody>
        <a:bodyPr vert="horz" wrap="square" lIns="90000" tIns="45000" rIns="90000" bIns="45000" anchor="ctr" compatLnSpc="0">
          <a:noAutofit/>
        </a:bodyPr>
        <a:lstStyle/>
        <a:p>
          <a:pPr lvl="0" algn="ctr" rtl="0" hangingPunct="0">
            <a:buNone/>
            <a:tabLst/>
          </a:pPr>
          <a:r>
            <a:rPr lang="fr-FR" sz="1050" b="1" i="0" u="none" strike="noStrike" kern="1200" spc="0">
              <a:solidFill>
                <a:schemeClr val="tx1">
                  <a:lumMod val="65000"/>
                  <a:lumOff val="35000"/>
                </a:schemeClr>
              </a:solidFill>
              <a:latin typeface="Calibri"/>
            </a:rPr>
            <a:t>Redéfinir</a:t>
          </a:r>
          <a:r>
            <a:rPr lang="fr-FR" sz="1050" b="1" i="0" u="none" strike="noStrike" kern="1200" spc="0" baseline="0">
              <a:solidFill>
                <a:srgbClr val="FFFFFF"/>
              </a:solidFill>
              <a:latin typeface="Calibri"/>
            </a:rPr>
            <a:t> </a:t>
          </a:r>
          <a:r>
            <a:rPr lang="fr-FR" sz="1050" b="1" i="0" u="none" strike="noStrike" kern="1200" spc="0" baseline="0">
              <a:solidFill>
                <a:schemeClr val="tx1">
                  <a:lumMod val="65000"/>
                  <a:lumOff val="35000"/>
                </a:schemeClr>
              </a:solidFill>
              <a:latin typeface="Calibri"/>
            </a:rPr>
            <a:t>ZI</a:t>
          </a:r>
          <a:endParaRPr lang="fr-FR" sz="1050" b="1" i="0" u="none" strike="noStrike" kern="1200" spc="0">
            <a:solidFill>
              <a:schemeClr val="tx1">
                <a:lumMod val="65000"/>
                <a:lumOff val="35000"/>
              </a:schemeClr>
            </a:solidFill>
            <a:latin typeface="Calibri"/>
          </a:endParaRPr>
        </a:p>
      </xdr:txBody>
    </xdr:sp>
    <xdr:clientData/>
  </xdr:oneCellAnchor>
  <xdr:oneCellAnchor>
    <xdr:from>
      <xdr:col>16</xdr:col>
      <xdr:colOff>48195</xdr:colOff>
      <xdr:row>79</xdr:row>
      <xdr:rowOff>22565</xdr:rowOff>
    </xdr:from>
    <xdr:ext cx="1546505" cy="287736"/>
    <xdr:sp macro="[0]!reinitialiserALIM" textlink="">
      <xdr:nvSpPr>
        <xdr:cNvPr id="120" name="Rectangle : coins arrondis 209">
          <a:extLst>
            <a:ext uri="{FF2B5EF4-FFF2-40B4-BE49-F238E27FC236}">
              <a16:creationId xmlns:a16="http://schemas.microsoft.com/office/drawing/2014/main" id="{00000000-0008-0000-0300-000078000000}"/>
            </a:ext>
          </a:extLst>
        </xdr:cNvPr>
        <xdr:cNvSpPr/>
      </xdr:nvSpPr>
      <xdr:spPr>
        <a:xfrm>
          <a:off x="12460154" y="20518008"/>
          <a:ext cx="1546505" cy="287736"/>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4">
            <a:lumMod val="20000"/>
            <a:lumOff val="80000"/>
          </a:schemeClr>
        </a:solidFill>
        <a:ln w="28575"/>
      </xdr:spPr>
      <xdr:style>
        <a:lnRef idx="2">
          <a:schemeClr val="accent6"/>
        </a:lnRef>
        <a:fillRef idx="1">
          <a:schemeClr val="lt1"/>
        </a:fillRef>
        <a:effectRef idx="0">
          <a:schemeClr val="accent6"/>
        </a:effectRef>
        <a:fontRef idx="minor">
          <a:schemeClr val="dk1"/>
        </a:fontRef>
      </xdr:style>
      <xdr:txBody>
        <a:bodyPr vert="horz" wrap="square" lIns="90000" tIns="45000" rIns="90000" bIns="45000" anchor="ctr" compatLnSpc="0">
          <a:noAutofit/>
        </a:bodyPr>
        <a:lstStyle/>
        <a:p>
          <a:pPr lvl="0" algn="ctr" rtl="0" hangingPunct="0">
            <a:buNone/>
            <a:tabLst/>
          </a:pPr>
          <a:r>
            <a:rPr lang="fr-FR" sz="1050" b="1" i="0" u="none" strike="noStrike" kern="1200" spc="0">
              <a:solidFill>
                <a:schemeClr val="tx1">
                  <a:lumMod val="65000"/>
                  <a:lumOff val="35000"/>
                </a:schemeClr>
              </a:solidFill>
              <a:latin typeface="Calibri"/>
            </a:rPr>
            <a:t>Redéfinir</a:t>
          </a:r>
          <a:r>
            <a:rPr lang="fr-FR" sz="1050" b="1" i="0" u="none" strike="noStrike" kern="1200" spc="0" baseline="0">
              <a:solidFill>
                <a:schemeClr val="tx1">
                  <a:lumMod val="65000"/>
                  <a:lumOff val="35000"/>
                </a:schemeClr>
              </a:solidFill>
              <a:latin typeface="Calibri"/>
            </a:rPr>
            <a:t> ALIM</a:t>
          </a:r>
          <a:endParaRPr lang="fr-FR" sz="1050" b="1" i="0" u="none" strike="noStrike" kern="1200" spc="0">
            <a:solidFill>
              <a:schemeClr val="tx1">
                <a:lumMod val="65000"/>
                <a:lumOff val="35000"/>
              </a:schemeClr>
            </a:solidFill>
            <a:latin typeface="Calibri"/>
          </a:endParaRPr>
        </a:p>
      </xdr:txBody>
    </xdr:sp>
    <xdr:clientData/>
  </xdr:oneCellAnchor>
  <xdr:oneCellAnchor>
    <xdr:from>
      <xdr:col>3</xdr:col>
      <xdr:colOff>464872</xdr:colOff>
      <xdr:row>0</xdr:row>
      <xdr:rowOff>107207</xdr:rowOff>
    </xdr:from>
    <xdr:ext cx="1019272" cy="640236"/>
    <xdr:sp macro="[0]!estimatifQ" textlink="">
      <xdr:nvSpPr>
        <xdr:cNvPr id="122" name="Rectangle : coins arrondis 3">
          <a:extLst>
            <a:ext uri="{FF2B5EF4-FFF2-40B4-BE49-F238E27FC236}">
              <a16:creationId xmlns:a16="http://schemas.microsoft.com/office/drawing/2014/main" id="{00000000-0008-0000-0300-00007A000000}"/>
            </a:ext>
          </a:extLst>
        </xdr:cNvPr>
        <xdr:cNvSpPr/>
      </xdr:nvSpPr>
      <xdr:spPr>
        <a:xfrm>
          <a:off x="2546625" y="107207"/>
          <a:ext cx="1019272" cy="640236"/>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3">
            <a:lumMod val="7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200" b="1" i="0" u="none" strike="noStrike" kern="1200" spc="0">
              <a:solidFill>
                <a:schemeClr val="bg1"/>
              </a:solidFill>
              <a:latin typeface="Calibri"/>
            </a:rPr>
            <a:t>Estimatif quantitatif</a:t>
          </a:r>
        </a:p>
      </xdr:txBody>
    </xdr:sp>
    <xdr:clientData/>
  </xdr:oneCellAnchor>
  <xdr:twoCellAnchor>
    <xdr:from>
      <xdr:col>25</xdr:col>
      <xdr:colOff>491502</xdr:colOff>
      <xdr:row>87</xdr:row>
      <xdr:rowOff>3012</xdr:rowOff>
    </xdr:from>
    <xdr:to>
      <xdr:col>26</xdr:col>
      <xdr:colOff>1238184</xdr:colOff>
      <xdr:row>87</xdr:row>
      <xdr:rowOff>466496</xdr:rowOff>
    </xdr:to>
    <xdr:sp macro="[0]!DEVIS" textlink="">
      <xdr:nvSpPr>
        <xdr:cNvPr id="124" name="Flèche : droite 123">
          <a:extLst>
            <a:ext uri="{FF2B5EF4-FFF2-40B4-BE49-F238E27FC236}">
              <a16:creationId xmlns:a16="http://schemas.microsoft.com/office/drawing/2014/main" id="{00000000-0008-0000-0300-00007C000000}"/>
            </a:ext>
          </a:extLst>
        </xdr:cNvPr>
        <xdr:cNvSpPr/>
      </xdr:nvSpPr>
      <xdr:spPr>
        <a:xfrm>
          <a:off x="18457420" y="23703569"/>
          <a:ext cx="1249444" cy="463484"/>
        </a:xfrm>
        <a:prstGeom prst="rightArrow">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CREER</a:t>
          </a:r>
          <a:r>
            <a:rPr lang="fr-FR" sz="1100" baseline="0"/>
            <a:t> DEVIS</a:t>
          </a:r>
          <a:endParaRPr lang="fr-FR" sz="1100"/>
        </a:p>
      </xdr:txBody>
    </xdr:sp>
    <xdr:clientData/>
  </xdr:twoCellAnchor>
  <xdr:twoCellAnchor>
    <xdr:from>
      <xdr:col>3</xdr:col>
      <xdr:colOff>139939</xdr:colOff>
      <xdr:row>3</xdr:row>
      <xdr:rowOff>193542</xdr:rowOff>
    </xdr:from>
    <xdr:to>
      <xdr:col>13</xdr:col>
      <xdr:colOff>81738</xdr:colOff>
      <xdr:row>10</xdr:row>
      <xdr:rowOff>351972</xdr:rowOff>
    </xdr:to>
    <xdr:sp macro="" textlink="">
      <xdr:nvSpPr>
        <xdr:cNvPr id="4" name="Rectangle : coins arrondis 3">
          <a:extLst>
            <a:ext uri="{FF2B5EF4-FFF2-40B4-BE49-F238E27FC236}">
              <a16:creationId xmlns:a16="http://schemas.microsoft.com/office/drawing/2014/main" id="{00000000-0008-0000-0300-000004000000}"/>
            </a:ext>
          </a:extLst>
        </xdr:cNvPr>
        <xdr:cNvSpPr/>
      </xdr:nvSpPr>
      <xdr:spPr>
        <a:xfrm>
          <a:off x="2205360" y="875331"/>
          <a:ext cx="8083167" cy="2314088"/>
        </a:xfrm>
        <a:prstGeom prst="roundRect">
          <a:avLst>
            <a:gd name="adj" fmla="val 5110"/>
          </a:avLst>
        </a:prstGeom>
        <a:solidFill>
          <a:schemeClr val="accent4">
            <a:lumMod val="20000"/>
            <a:lumOff val="80000"/>
          </a:schemeClr>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xdr:twoCellAnchor>
    <xdr:from>
      <xdr:col>4</xdr:col>
      <xdr:colOff>71339</xdr:colOff>
      <xdr:row>7</xdr:row>
      <xdr:rowOff>260170</xdr:rowOff>
    </xdr:from>
    <xdr:to>
      <xdr:col>5</xdr:col>
      <xdr:colOff>617100</xdr:colOff>
      <xdr:row>10</xdr:row>
      <xdr:rowOff>238759</xdr:rowOff>
    </xdr:to>
    <xdr:sp macro="" textlink="">
      <xdr:nvSpPr>
        <xdr:cNvPr id="133" name="Rectangle : coins arrondis 132">
          <a:extLst>
            <a:ext uri="{FF2B5EF4-FFF2-40B4-BE49-F238E27FC236}">
              <a16:creationId xmlns:a16="http://schemas.microsoft.com/office/drawing/2014/main" id="{00000000-0008-0000-0300-000085000000}"/>
            </a:ext>
          </a:extLst>
        </xdr:cNvPr>
        <xdr:cNvSpPr/>
      </xdr:nvSpPr>
      <xdr:spPr>
        <a:xfrm>
          <a:off x="2861604" y="2176376"/>
          <a:ext cx="1352584" cy="919883"/>
        </a:xfrm>
        <a:prstGeom prst="roundRect">
          <a:avLst/>
        </a:prstGeom>
        <a:solidFill>
          <a:schemeClr val="accent4">
            <a:lumMod val="60000"/>
            <a:lumOff val="40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fr-FR" sz="1100" b="0" cap="none" spc="0">
              <a:ln w="0"/>
              <a:solidFill>
                <a:schemeClr val="tx1"/>
              </a:solidFill>
              <a:effectLst>
                <a:outerShdw blurRad="38100" dist="19050" dir="2700000" algn="tl" rotWithShape="0">
                  <a:schemeClr val="dk1">
                    <a:alpha val="40000"/>
                  </a:schemeClr>
                </a:outerShdw>
              </a:effectLst>
            </a:rPr>
            <a:t>Dimensionnement</a:t>
          </a:r>
        </a:p>
      </xdr:txBody>
    </xdr:sp>
    <xdr:clientData/>
  </xdr:twoCellAnchor>
  <xdr:twoCellAnchor>
    <xdr:from>
      <xdr:col>3</xdr:col>
      <xdr:colOff>550311</xdr:colOff>
      <xdr:row>5</xdr:row>
      <xdr:rowOff>19540</xdr:rowOff>
    </xdr:from>
    <xdr:to>
      <xdr:col>6</xdr:col>
      <xdr:colOff>223062</xdr:colOff>
      <xdr:row>7</xdr:row>
      <xdr:rowOff>72791</xdr:rowOff>
    </xdr:to>
    <xdr:sp macro="" textlink="">
      <xdr:nvSpPr>
        <xdr:cNvPr id="15" name="Rectangle : coins arrondis 14">
          <a:extLst>
            <a:ext uri="{FF2B5EF4-FFF2-40B4-BE49-F238E27FC236}">
              <a16:creationId xmlns:a16="http://schemas.microsoft.com/office/drawing/2014/main" id="{00000000-0008-0000-0300-00000F000000}"/>
            </a:ext>
          </a:extLst>
        </xdr:cNvPr>
        <xdr:cNvSpPr/>
      </xdr:nvSpPr>
      <xdr:spPr>
        <a:xfrm>
          <a:off x="2624208" y="1221458"/>
          <a:ext cx="2029452" cy="783828"/>
        </a:xfrm>
        <a:prstGeom prst="roundRect">
          <a:avLst/>
        </a:prstGeom>
        <a:solidFill>
          <a:schemeClr val="accent2">
            <a:lumMod val="60000"/>
            <a:lumOff val="40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fr-FR" sz="1100" b="0" cap="none" spc="0">
              <a:ln w="0"/>
              <a:solidFill>
                <a:schemeClr val="tx1"/>
              </a:solidFill>
              <a:effectLst>
                <a:outerShdw blurRad="38100" dist="19050" dir="2700000" algn="tl" rotWithShape="0">
                  <a:schemeClr val="dk1">
                    <a:alpha val="40000"/>
                  </a:schemeClr>
                </a:outerShdw>
              </a:effectLst>
            </a:rPr>
            <a:t>Taux</a:t>
          </a:r>
          <a:r>
            <a:rPr lang="fr-FR" sz="1100" b="0" cap="none" spc="0" baseline="0">
              <a:ln w="0"/>
              <a:solidFill>
                <a:schemeClr val="tx1"/>
              </a:solidFill>
              <a:effectLst>
                <a:outerShdw blurRad="38100" dist="19050" dir="2700000" algn="tl" rotWithShape="0">
                  <a:schemeClr val="dk1">
                    <a:alpha val="40000"/>
                  </a:schemeClr>
                </a:outerShdw>
              </a:effectLst>
            </a:rPr>
            <a:t> de TVA appliccable</a:t>
          </a:r>
          <a:endParaRPr lang="fr-FR"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6</xdr:col>
      <xdr:colOff>597051</xdr:colOff>
      <xdr:row>4</xdr:row>
      <xdr:rowOff>113969</xdr:rowOff>
    </xdr:from>
    <xdr:to>
      <xdr:col>9</xdr:col>
      <xdr:colOff>213137</xdr:colOff>
      <xdr:row>7</xdr:row>
      <xdr:rowOff>236187</xdr:rowOff>
    </xdr:to>
    <xdr:sp macro="" textlink="">
      <xdr:nvSpPr>
        <xdr:cNvPr id="134" name="Rectangle : coins arrondis 133">
          <a:extLst>
            <a:ext uri="{FF2B5EF4-FFF2-40B4-BE49-F238E27FC236}">
              <a16:creationId xmlns:a16="http://schemas.microsoft.com/office/drawing/2014/main" id="{00000000-0008-0000-0300-000086000000}"/>
            </a:ext>
          </a:extLst>
        </xdr:cNvPr>
        <xdr:cNvSpPr/>
      </xdr:nvSpPr>
      <xdr:spPr>
        <a:xfrm>
          <a:off x="5015865" y="987912"/>
          <a:ext cx="2120081" cy="1153275"/>
        </a:xfrm>
        <a:prstGeom prst="roundRect">
          <a:avLst/>
        </a:prstGeom>
        <a:solidFill>
          <a:schemeClr val="accent6">
            <a:lumMod val="60000"/>
            <a:lumOff val="40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fr-FR" sz="1100" b="0" cap="none" spc="0">
              <a:ln w="0"/>
              <a:solidFill>
                <a:schemeClr val="tx1"/>
              </a:solidFill>
              <a:effectLst>
                <a:outerShdw blurRad="38100" dist="19050" dir="2700000" algn="tl" rotWithShape="0">
                  <a:schemeClr val="dk1">
                    <a:alpha val="40000"/>
                  </a:schemeClr>
                </a:outerShdw>
              </a:effectLst>
            </a:rPr>
            <a:t>Mode d'alimentation</a:t>
          </a:r>
        </a:p>
      </xdr:txBody>
    </xdr:sp>
    <xdr:clientData/>
  </xdr:twoCellAnchor>
  <mc:AlternateContent xmlns:mc="http://schemas.openxmlformats.org/markup-compatibility/2006">
    <mc:Choice xmlns:a14="http://schemas.microsoft.com/office/drawing/2010/main" Requires="a14">
      <xdr:twoCellAnchor editAs="oneCell">
        <xdr:from>
          <xdr:col>4</xdr:col>
          <xdr:colOff>257175</xdr:colOff>
          <xdr:row>8</xdr:row>
          <xdr:rowOff>304800</xdr:rowOff>
        </xdr:from>
        <xdr:to>
          <xdr:col>5</xdr:col>
          <xdr:colOff>447675</xdr:colOff>
          <xdr:row>9</xdr:row>
          <xdr:rowOff>314325</xdr:rowOff>
        </xdr:to>
        <xdr:sp macro="" textlink="">
          <xdr:nvSpPr>
            <xdr:cNvPr id="41986" name="Zone combinée 2" hidden="1">
              <a:extLst>
                <a:ext uri="{63B3BB69-23CF-44E3-9099-C40C66FF867C}">
                  <a14:compatExt spid="_x0000_s41986"/>
                </a:ext>
                <a:ext uri="{FF2B5EF4-FFF2-40B4-BE49-F238E27FC236}">
                  <a16:creationId xmlns:a16="http://schemas.microsoft.com/office/drawing/2014/main" id="{00000000-0008-0000-0300-000002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828228</xdr:colOff>
          <xdr:row>5</xdr:row>
          <xdr:rowOff>155375</xdr:rowOff>
        </xdr:from>
        <xdr:to>
          <xdr:col>8</xdr:col>
          <xdr:colOff>512092</xdr:colOff>
          <xdr:row>7</xdr:row>
          <xdr:rowOff>130236</xdr:rowOff>
        </xdr:to>
        <xdr:grpSp>
          <xdr:nvGrpSpPr>
            <xdr:cNvPr id="30" name="Groupe 29">
              <a:extLst>
                <a:ext uri="{FF2B5EF4-FFF2-40B4-BE49-F238E27FC236}">
                  <a16:creationId xmlns:a16="http://schemas.microsoft.com/office/drawing/2014/main" id="{00000000-0008-0000-0300-00001E000000}"/>
                </a:ext>
              </a:extLst>
            </xdr:cNvPr>
            <xdr:cNvGrpSpPr/>
          </xdr:nvGrpSpPr>
          <xdr:grpSpPr>
            <a:xfrm>
              <a:off x="5229781" y="1338480"/>
              <a:ext cx="1378311" cy="696756"/>
              <a:chOff x="2835943" y="3605515"/>
              <a:chExt cx="1383632" cy="697826"/>
            </a:xfrm>
          </xdr:grpSpPr>
          <xdr:sp macro="" textlink="">
            <xdr:nvSpPr>
              <xdr:cNvPr id="42002" name="Case d'option 18" hidden="1">
                <a:extLst>
                  <a:ext uri="{63B3BB69-23CF-44E3-9099-C40C66FF867C}">
                    <a14:compatExt spid="_x0000_s42002"/>
                  </a:ext>
                  <a:ext uri="{FF2B5EF4-FFF2-40B4-BE49-F238E27FC236}">
                    <a16:creationId xmlns:a16="http://schemas.microsoft.com/office/drawing/2014/main" id="{00000000-0008-0000-0300-000012A40000}"/>
                  </a:ext>
                </a:extLst>
              </xdr:cNvPr>
              <xdr:cNvSpPr/>
            </xdr:nvSpPr>
            <xdr:spPr bwMode="auto">
              <a:xfrm>
                <a:off x="2835943" y="3605515"/>
                <a:ext cx="1383632" cy="20955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Relevage eaux brutes (WC)</a:t>
                </a:r>
              </a:p>
            </xdr:txBody>
          </xdr:sp>
          <xdr:sp macro="" textlink="">
            <xdr:nvSpPr>
              <xdr:cNvPr id="42004" name="Case d'option 20" hidden="1">
                <a:extLst>
                  <a:ext uri="{63B3BB69-23CF-44E3-9099-C40C66FF867C}">
                    <a14:compatExt spid="_x0000_s42004"/>
                  </a:ext>
                  <a:ext uri="{FF2B5EF4-FFF2-40B4-BE49-F238E27FC236}">
                    <a16:creationId xmlns:a16="http://schemas.microsoft.com/office/drawing/2014/main" id="{00000000-0008-0000-0300-000014A40000}"/>
                  </a:ext>
                </a:extLst>
              </xdr:cNvPr>
              <xdr:cNvSpPr/>
            </xdr:nvSpPr>
            <xdr:spPr bwMode="auto">
              <a:xfrm>
                <a:off x="2835943" y="3849604"/>
                <a:ext cx="1383632"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Relevage eaux claires (TS)</a:t>
                </a:r>
              </a:p>
            </xdr:txBody>
          </xdr:sp>
          <xdr:sp macro="" textlink="">
            <xdr:nvSpPr>
              <xdr:cNvPr id="42012" name="Case d'option 28" hidden="1">
                <a:extLst>
                  <a:ext uri="{63B3BB69-23CF-44E3-9099-C40C66FF867C}">
                    <a14:compatExt spid="_x0000_s42012"/>
                  </a:ext>
                  <a:ext uri="{FF2B5EF4-FFF2-40B4-BE49-F238E27FC236}">
                    <a16:creationId xmlns:a16="http://schemas.microsoft.com/office/drawing/2014/main" id="{00000000-0008-0000-0300-00001CA40000}"/>
                  </a:ext>
                </a:extLst>
              </xdr:cNvPr>
              <xdr:cNvSpPr/>
            </xdr:nvSpPr>
            <xdr:spPr bwMode="auto">
              <a:xfrm>
                <a:off x="2835943" y="4078244"/>
                <a:ext cx="1202657" cy="22509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Gravitaire</a:t>
                </a:r>
              </a:p>
            </xdr:txBody>
          </xdr:sp>
        </xdr:grpSp>
        <xdr:clientData/>
      </xdr:twoCellAnchor>
    </mc:Choice>
    <mc:Fallback/>
  </mc:AlternateContent>
  <xdr:twoCellAnchor>
    <xdr:from>
      <xdr:col>3</xdr:col>
      <xdr:colOff>294587</xdr:colOff>
      <xdr:row>85</xdr:row>
      <xdr:rowOff>216031</xdr:rowOff>
    </xdr:from>
    <xdr:to>
      <xdr:col>3</xdr:col>
      <xdr:colOff>373144</xdr:colOff>
      <xdr:row>85</xdr:row>
      <xdr:rowOff>373144</xdr:rowOff>
    </xdr:to>
    <xdr:sp macro="" textlink="">
      <xdr:nvSpPr>
        <xdr:cNvPr id="79" name="Rectangle 78">
          <a:extLst>
            <a:ext uri="{FF2B5EF4-FFF2-40B4-BE49-F238E27FC236}">
              <a16:creationId xmlns:a16="http://schemas.microsoft.com/office/drawing/2014/main" id="{00000000-0008-0000-0300-00004F000000}"/>
            </a:ext>
          </a:extLst>
        </xdr:cNvPr>
        <xdr:cNvSpPr/>
      </xdr:nvSpPr>
      <xdr:spPr>
        <a:xfrm>
          <a:off x="2376340" y="23370619"/>
          <a:ext cx="78557" cy="157113"/>
        </a:xfrm>
        <a:prstGeom prst="rect">
          <a:avLst/>
        </a:prstGeom>
        <a:solidFill>
          <a:schemeClr val="tx2">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610914</xdr:colOff>
      <xdr:row>85</xdr:row>
      <xdr:rowOff>358534</xdr:rowOff>
    </xdr:from>
    <xdr:to>
      <xdr:col>14</xdr:col>
      <xdr:colOff>821840</xdr:colOff>
      <xdr:row>85</xdr:row>
      <xdr:rowOff>399602</xdr:rowOff>
    </xdr:to>
    <xdr:cxnSp macro="">
      <xdr:nvCxnSpPr>
        <xdr:cNvPr id="41984" name="Connecteur droit 41983">
          <a:extLst>
            <a:ext uri="{FF2B5EF4-FFF2-40B4-BE49-F238E27FC236}">
              <a16:creationId xmlns:a16="http://schemas.microsoft.com/office/drawing/2014/main" id="{00000000-0008-0000-0300-000000A40000}"/>
            </a:ext>
          </a:extLst>
        </xdr:cNvPr>
        <xdr:cNvCxnSpPr/>
      </xdr:nvCxnSpPr>
      <xdr:spPr>
        <a:xfrm>
          <a:off x="2665593" y="24565641"/>
          <a:ext cx="8524890" cy="41068"/>
        </a:xfrm>
        <a:prstGeom prst="line">
          <a:avLst/>
        </a:prstGeom>
        <a:ln w="12700"/>
      </xdr:spPr>
      <xdr:style>
        <a:lnRef idx="1">
          <a:schemeClr val="accent6"/>
        </a:lnRef>
        <a:fillRef idx="0">
          <a:schemeClr val="accent6"/>
        </a:fillRef>
        <a:effectRef idx="0">
          <a:schemeClr val="accent6"/>
        </a:effectRef>
        <a:fontRef idx="minor">
          <a:schemeClr val="tx1"/>
        </a:fontRef>
      </xdr:style>
    </xdr:cxnSp>
    <xdr:clientData/>
  </xdr:twoCellAnchor>
  <xdr:twoCellAnchor>
    <xdr:from>
      <xdr:col>4</xdr:col>
      <xdr:colOff>6570</xdr:colOff>
      <xdr:row>85</xdr:row>
      <xdr:rowOff>19708</xdr:rowOff>
    </xdr:from>
    <xdr:to>
      <xdr:col>4</xdr:col>
      <xdr:colOff>637191</xdr:colOff>
      <xdr:row>85</xdr:row>
      <xdr:rowOff>229914</xdr:rowOff>
    </xdr:to>
    <xdr:sp macro="" textlink="">
      <xdr:nvSpPr>
        <xdr:cNvPr id="41994" name="Légende : encadrée 41993">
          <a:extLst>
            <a:ext uri="{FF2B5EF4-FFF2-40B4-BE49-F238E27FC236}">
              <a16:creationId xmlns:a16="http://schemas.microsoft.com/office/drawing/2014/main" id="{00000000-0008-0000-0300-00000AA40000}"/>
            </a:ext>
          </a:extLst>
        </xdr:cNvPr>
        <xdr:cNvSpPr/>
      </xdr:nvSpPr>
      <xdr:spPr>
        <a:xfrm>
          <a:off x="2818087" y="23273846"/>
          <a:ext cx="630621" cy="210206"/>
        </a:xfrm>
        <a:prstGeom prst="borderCallout1">
          <a:avLst>
            <a:gd name="adj1" fmla="val 100000"/>
            <a:gd name="adj2" fmla="val 1042"/>
            <a:gd name="adj3" fmla="val 162500"/>
            <a:gd name="adj4" fmla="val -20625"/>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fr-FR" sz="1100"/>
            <a:t>TN = 00</a:t>
          </a:r>
        </a:p>
      </xdr:txBody>
    </xdr:sp>
    <xdr:clientData/>
  </xdr:twoCellAnchor>
  <xdr:twoCellAnchor>
    <xdr:from>
      <xdr:col>7</xdr:col>
      <xdr:colOff>22411</xdr:colOff>
      <xdr:row>85</xdr:row>
      <xdr:rowOff>259518</xdr:rowOff>
    </xdr:from>
    <xdr:to>
      <xdr:col>7</xdr:col>
      <xdr:colOff>369794</xdr:colOff>
      <xdr:row>86</xdr:row>
      <xdr:rowOff>119478</xdr:rowOff>
    </xdr:to>
    <xdr:sp macro="" textlink="">
      <xdr:nvSpPr>
        <xdr:cNvPr id="173" name="Rectangle 172">
          <a:extLst>
            <a:ext uri="{FF2B5EF4-FFF2-40B4-BE49-F238E27FC236}">
              <a16:creationId xmlns:a16="http://schemas.microsoft.com/office/drawing/2014/main" id="{00000000-0008-0000-0300-0000AD000000}"/>
            </a:ext>
          </a:extLst>
        </xdr:cNvPr>
        <xdr:cNvSpPr/>
      </xdr:nvSpPr>
      <xdr:spPr>
        <a:xfrm>
          <a:off x="5300127" y="23535154"/>
          <a:ext cx="347383" cy="297244"/>
        </a:xfrm>
        <a:prstGeom prst="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FV</a:t>
          </a:r>
        </a:p>
      </xdr:txBody>
    </xdr:sp>
    <xdr:clientData/>
  </xdr:twoCellAnchor>
  <xdr:twoCellAnchor>
    <xdr:from>
      <xdr:col>3</xdr:col>
      <xdr:colOff>616747</xdr:colOff>
      <xdr:row>87</xdr:row>
      <xdr:rowOff>108288</xdr:rowOff>
    </xdr:from>
    <xdr:to>
      <xdr:col>14</xdr:col>
      <xdr:colOff>650745</xdr:colOff>
      <xdr:row>88</xdr:row>
      <xdr:rowOff>467805</xdr:rowOff>
    </xdr:to>
    <xdr:grpSp>
      <xdr:nvGrpSpPr>
        <xdr:cNvPr id="229" name="Groupe 228">
          <a:extLst>
            <a:ext uri="{FF2B5EF4-FFF2-40B4-BE49-F238E27FC236}">
              <a16:creationId xmlns:a16="http://schemas.microsoft.com/office/drawing/2014/main" id="{00000000-0008-0000-0300-0000E5000000}"/>
            </a:ext>
          </a:extLst>
        </xdr:cNvPr>
        <xdr:cNvGrpSpPr/>
      </xdr:nvGrpSpPr>
      <xdr:grpSpPr>
        <a:xfrm>
          <a:off x="2662115" y="24111288"/>
          <a:ext cx="8315735" cy="1031280"/>
          <a:chOff x="2670136" y="25005635"/>
          <a:chExt cx="8311725" cy="1033286"/>
        </a:xfrm>
      </xdr:grpSpPr>
      <xdr:sp macro="" textlink="">
        <xdr:nvSpPr>
          <xdr:cNvPr id="42011" name="Rectangle 42010">
            <a:extLst>
              <a:ext uri="{FF2B5EF4-FFF2-40B4-BE49-F238E27FC236}">
                <a16:creationId xmlns:a16="http://schemas.microsoft.com/office/drawing/2014/main" id="{00000000-0008-0000-0300-00001BA40000}"/>
              </a:ext>
            </a:extLst>
          </xdr:cNvPr>
          <xdr:cNvSpPr/>
        </xdr:nvSpPr>
        <xdr:spPr>
          <a:xfrm>
            <a:off x="2670136" y="25005635"/>
            <a:ext cx="604268" cy="937629"/>
          </a:xfrm>
          <a:prstGeom prst="rect">
            <a:avLst/>
          </a:prstGeom>
          <a:noFill/>
        </xdr:spPr>
        <xdr:txBody>
          <a:bodyPr wrap="none" lIns="91440" tIns="45720" rIns="91440" bIns="45720">
            <a:spAutoFit/>
          </a:bodyPr>
          <a:lstStyle/>
          <a:p>
            <a:pPr algn="ctr"/>
            <a:r>
              <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A</a:t>
            </a:r>
          </a:p>
        </xdr:txBody>
      </xdr:sp>
      <xdr:sp macro="" textlink="">
        <xdr:nvSpPr>
          <xdr:cNvPr id="179" name="Rectangle 178">
            <a:extLst>
              <a:ext uri="{FF2B5EF4-FFF2-40B4-BE49-F238E27FC236}">
                <a16:creationId xmlns:a16="http://schemas.microsoft.com/office/drawing/2014/main" id="{00000000-0008-0000-0300-0000B3000000}"/>
              </a:ext>
            </a:extLst>
          </xdr:cNvPr>
          <xdr:cNvSpPr/>
        </xdr:nvSpPr>
        <xdr:spPr>
          <a:xfrm>
            <a:off x="4131759" y="25023565"/>
            <a:ext cx="572849" cy="937629"/>
          </a:xfrm>
          <a:prstGeom prst="rect">
            <a:avLst/>
          </a:prstGeom>
          <a:noFill/>
        </xdr:spPr>
        <xdr:txBody>
          <a:bodyPr wrap="none" lIns="91440" tIns="45720" rIns="91440" bIns="45720">
            <a:spAutoFit/>
          </a:bodyPr>
          <a:lstStyle/>
          <a:p>
            <a:pPr algn="ctr"/>
            <a:r>
              <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B</a:t>
            </a:r>
          </a:p>
        </xdr:txBody>
      </xdr:sp>
      <xdr:sp macro="" textlink="">
        <xdr:nvSpPr>
          <xdr:cNvPr id="180" name="Rectangle 179">
            <a:extLst>
              <a:ext uri="{FF2B5EF4-FFF2-40B4-BE49-F238E27FC236}">
                <a16:creationId xmlns:a16="http://schemas.microsoft.com/office/drawing/2014/main" id="{00000000-0008-0000-0300-0000B4000000}"/>
              </a:ext>
            </a:extLst>
          </xdr:cNvPr>
          <xdr:cNvSpPr/>
        </xdr:nvSpPr>
        <xdr:spPr>
          <a:xfrm>
            <a:off x="6726473" y="25052700"/>
            <a:ext cx="923844" cy="937629"/>
          </a:xfrm>
          <a:prstGeom prst="rect">
            <a:avLst/>
          </a:prstGeom>
          <a:noFill/>
        </xdr:spPr>
        <xdr:txBody>
          <a:bodyPr wrap="none" lIns="91440" tIns="45720" rIns="91440" bIns="45720">
            <a:spAutoFit/>
          </a:bodyPr>
          <a:lstStyle/>
          <a:p>
            <a:pPr algn="ctr"/>
            <a:r>
              <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B2</a:t>
            </a:r>
          </a:p>
        </xdr:txBody>
      </xdr:sp>
      <xdr:sp macro="" textlink="">
        <xdr:nvSpPr>
          <xdr:cNvPr id="181" name="Rectangle 180">
            <a:extLst>
              <a:ext uri="{FF2B5EF4-FFF2-40B4-BE49-F238E27FC236}">
                <a16:creationId xmlns:a16="http://schemas.microsoft.com/office/drawing/2014/main" id="{00000000-0008-0000-0300-0000B5000000}"/>
              </a:ext>
            </a:extLst>
          </xdr:cNvPr>
          <xdr:cNvSpPr/>
        </xdr:nvSpPr>
        <xdr:spPr>
          <a:xfrm>
            <a:off x="5760869" y="25054228"/>
            <a:ext cx="551178" cy="937629"/>
          </a:xfrm>
          <a:prstGeom prst="rect">
            <a:avLst/>
          </a:prstGeom>
          <a:noFill/>
        </xdr:spPr>
        <xdr:txBody>
          <a:bodyPr wrap="none" lIns="91440" tIns="45720" rIns="91440" bIns="45720">
            <a:spAutoFit/>
          </a:bodyPr>
          <a:lstStyle/>
          <a:p>
            <a:pPr algn="ctr"/>
            <a:r>
              <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C</a:t>
            </a:r>
          </a:p>
        </xdr:txBody>
      </xdr:sp>
      <xdr:sp macro="" textlink="">
        <xdr:nvSpPr>
          <xdr:cNvPr id="182" name="Rectangle 181">
            <a:extLst>
              <a:ext uri="{FF2B5EF4-FFF2-40B4-BE49-F238E27FC236}">
                <a16:creationId xmlns:a16="http://schemas.microsoft.com/office/drawing/2014/main" id="{00000000-0008-0000-0300-0000B6000000}"/>
              </a:ext>
            </a:extLst>
          </xdr:cNvPr>
          <xdr:cNvSpPr/>
        </xdr:nvSpPr>
        <xdr:spPr>
          <a:xfrm>
            <a:off x="8581001" y="25072157"/>
            <a:ext cx="621196" cy="937629"/>
          </a:xfrm>
          <a:prstGeom prst="rect">
            <a:avLst/>
          </a:prstGeom>
          <a:noFill/>
        </xdr:spPr>
        <xdr:txBody>
          <a:bodyPr wrap="none" lIns="91440" tIns="45720" rIns="91440" bIns="45720">
            <a:spAutoFit/>
          </a:bodyPr>
          <a:lstStyle/>
          <a:p>
            <a:pPr algn="ctr"/>
            <a:r>
              <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D</a:t>
            </a:r>
          </a:p>
        </xdr:txBody>
      </xdr:sp>
      <xdr:sp macro="" textlink="">
        <xdr:nvSpPr>
          <xdr:cNvPr id="183" name="Rectangle 182">
            <a:extLst>
              <a:ext uri="{FF2B5EF4-FFF2-40B4-BE49-F238E27FC236}">
                <a16:creationId xmlns:a16="http://schemas.microsoft.com/office/drawing/2014/main" id="{00000000-0008-0000-0300-0000B7000000}"/>
              </a:ext>
            </a:extLst>
          </xdr:cNvPr>
          <xdr:cNvSpPr/>
        </xdr:nvSpPr>
        <xdr:spPr>
          <a:xfrm>
            <a:off x="10459410" y="25101292"/>
            <a:ext cx="522451" cy="937629"/>
          </a:xfrm>
          <a:prstGeom prst="rect">
            <a:avLst/>
          </a:prstGeom>
          <a:noFill/>
        </xdr:spPr>
        <xdr:txBody>
          <a:bodyPr wrap="none" lIns="91440" tIns="45720" rIns="91440" bIns="45720">
            <a:spAutoFit/>
          </a:bodyPr>
          <a:lstStyle/>
          <a:p>
            <a:pPr algn="ctr"/>
            <a:r>
              <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E</a:t>
            </a:r>
          </a:p>
        </xdr:txBody>
      </xdr:sp>
    </xdr:grpSp>
    <xdr:clientData/>
  </xdr:twoCellAnchor>
  <xdr:twoCellAnchor>
    <xdr:from>
      <xdr:col>8</xdr:col>
      <xdr:colOff>544500</xdr:colOff>
      <xdr:row>87</xdr:row>
      <xdr:rowOff>171976</xdr:rowOff>
    </xdr:from>
    <xdr:to>
      <xdr:col>9</xdr:col>
      <xdr:colOff>809888</xdr:colOff>
      <xdr:row>87</xdr:row>
      <xdr:rowOff>173552</xdr:rowOff>
    </xdr:to>
    <xdr:cxnSp macro="">
      <xdr:nvCxnSpPr>
        <xdr:cNvPr id="192" name="Connecteur droit avec flèche 191">
          <a:extLst>
            <a:ext uri="{FF2B5EF4-FFF2-40B4-BE49-F238E27FC236}">
              <a16:creationId xmlns:a16="http://schemas.microsoft.com/office/drawing/2014/main" id="{00000000-0008-0000-0300-0000C0000000}"/>
            </a:ext>
          </a:extLst>
        </xdr:cNvPr>
        <xdr:cNvCxnSpPr/>
      </xdr:nvCxnSpPr>
      <xdr:spPr>
        <a:xfrm>
          <a:off x="6654107" y="25005012"/>
          <a:ext cx="1081817" cy="1576"/>
        </a:xfrm>
        <a:prstGeom prst="straightConnector1">
          <a:avLst/>
        </a:prstGeom>
        <a:ln w="28575">
          <a:solidFill>
            <a:schemeClr val="bg2">
              <a:lumMod val="50000"/>
            </a:schemeClr>
          </a:solidFill>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566487</xdr:colOff>
      <xdr:row>86</xdr:row>
      <xdr:rowOff>155408</xdr:rowOff>
    </xdr:from>
    <xdr:to>
      <xdr:col>11</xdr:col>
      <xdr:colOff>807119</xdr:colOff>
      <xdr:row>86</xdr:row>
      <xdr:rowOff>175461</xdr:rowOff>
    </xdr:to>
    <xdr:cxnSp macro="">
      <xdr:nvCxnSpPr>
        <xdr:cNvPr id="203" name="Connecteur droit 202">
          <a:extLst>
            <a:ext uri="{FF2B5EF4-FFF2-40B4-BE49-F238E27FC236}">
              <a16:creationId xmlns:a16="http://schemas.microsoft.com/office/drawing/2014/main" id="{00000000-0008-0000-0300-0000CB000000}"/>
            </a:ext>
          </a:extLst>
        </xdr:cNvPr>
        <xdr:cNvCxnSpPr/>
      </xdr:nvCxnSpPr>
      <xdr:spPr>
        <a:xfrm>
          <a:off x="8407066" y="23877671"/>
          <a:ext cx="1137987" cy="20053"/>
        </a:xfrm>
        <a:prstGeom prst="line">
          <a:avLst/>
        </a:prstGeom>
        <a:ln w="127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6665</xdr:colOff>
      <xdr:row>81</xdr:row>
      <xdr:rowOff>474550</xdr:rowOff>
    </xdr:from>
    <xdr:to>
      <xdr:col>15</xdr:col>
      <xdr:colOff>885802</xdr:colOff>
      <xdr:row>88</xdr:row>
      <xdr:rowOff>200435</xdr:rowOff>
    </xdr:to>
    <xdr:grpSp>
      <xdr:nvGrpSpPr>
        <xdr:cNvPr id="231" name="Groupe 230">
          <a:extLst>
            <a:ext uri="{FF2B5EF4-FFF2-40B4-BE49-F238E27FC236}">
              <a16:creationId xmlns:a16="http://schemas.microsoft.com/office/drawing/2014/main" id="{00000000-0008-0000-0300-0000E7000000}"/>
            </a:ext>
          </a:extLst>
        </xdr:cNvPr>
        <xdr:cNvGrpSpPr/>
      </xdr:nvGrpSpPr>
      <xdr:grpSpPr>
        <a:xfrm>
          <a:off x="2052033" y="22151445"/>
          <a:ext cx="10163506" cy="2723753"/>
          <a:chOff x="2082847" y="23033560"/>
          <a:chExt cx="10151474" cy="2739261"/>
        </a:xfrm>
      </xdr:grpSpPr>
      <xdr:sp macro="" textlink="">
        <xdr:nvSpPr>
          <xdr:cNvPr id="75" name="Rectangle 74">
            <a:extLst>
              <a:ext uri="{FF2B5EF4-FFF2-40B4-BE49-F238E27FC236}">
                <a16:creationId xmlns:a16="http://schemas.microsoft.com/office/drawing/2014/main" id="{00000000-0008-0000-0300-00004B000000}"/>
              </a:ext>
            </a:extLst>
          </xdr:cNvPr>
          <xdr:cNvSpPr/>
        </xdr:nvSpPr>
        <xdr:spPr>
          <a:xfrm>
            <a:off x="2131944" y="24102869"/>
            <a:ext cx="520438" cy="52413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78" name="Triangle isocèle 77">
            <a:extLst>
              <a:ext uri="{FF2B5EF4-FFF2-40B4-BE49-F238E27FC236}">
                <a16:creationId xmlns:a16="http://schemas.microsoft.com/office/drawing/2014/main" id="{00000000-0008-0000-0300-00004E000000}"/>
              </a:ext>
            </a:extLst>
          </xdr:cNvPr>
          <xdr:cNvSpPr/>
        </xdr:nvSpPr>
        <xdr:spPr>
          <a:xfrm>
            <a:off x="2082847" y="23765986"/>
            <a:ext cx="628453" cy="376162"/>
          </a:xfrm>
          <a:prstGeom prst="triangle">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26" name="Connecteur : en angle 125">
            <a:extLst>
              <a:ext uri="{FF2B5EF4-FFF2-40B4-BE49-F238E27FC236}">
                <a16:creationId xmlns:a16="http://schemas.microsoft.com/office/drawing/2014/main" id="{00000000-0008-0000-0300-00007E000000}"/>
              </a:ext>
            </a:extLst>
          </xdr:cNvPr>
          <xdr:cNvCxnSpPr/>
        </xdr:nvCxnSpPr>
        <xdr:spPr>
          <a:xfrm rot="16200000" flipH="1">
            <a:off x="1747138" y="23859933"/>
            <a:ext cx="1610986" cy="210207"/>
          </a:xfrm>
          <a:prstGeom prst="bentConnector3">
            <a:avLst>
              <a:gd name="adj1" fmla="val 25340"/>
            </a:avLst>
          </a:prstGeom>
          <a:ln w="28575">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1987" name="Rectangle 41986">
            <a:extLst>
              <a:ext uri="{FF2B5EF4-FFF2-40B4-BE49-F238E27FC236}">
                <a16:creationId xmlns:a16="http://schemas.microsoft.com/office/drawing/2014/main" id="{00000000-0008-0000-0300-000003A40000}"/>
              </a:ext>
            </a:extLst>
          </xdr:cNvPr>
          <xdr:cNvSpPr/>
        </xdr:nvSpPr>
        <xdr:spPr>
          <a:xfrm>
            <a:off x="3466478" y="24624977"/>
            <a:ext cx="59120" cy="423456"/>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xnSp macro="">
        <xdr:nvCxnSpPr>
          <xdr:cNvPr id="41989" name="Connecteur droit 41988">
            <a:extLst>
              <a:ext uri="{FF2B5EF4-FFF2-40B4-BE49-F238E27FC236}">
                <a16:creationId xmlns:a16="http://schemas.microsoft.com/office/drawing/2014/main" id="{00000000-0008-0000-0300-000005A40000}"/>
              </a:ext>
            </a:extLst>
          </xdr:cNvPr>
          <xdr:cNvCxnSpPr>
            <a:endCxn id="41987" idx="1"/>
          </xdr:cNvCxnSpPr>
        </xdr:nvCxnSpPr>
        <xdr:spPr>
          <a:xfrm>
            <a:off x="2657734" y="24763962"/>
            <a:ext cx="808744" cy="72259"/>
          </a:xfrm>
          <a:prstGeom prst="line">
            <a:avLst/>
          </a:prstGeom>
          <a:ln w="12700"/>
        </xdr:spPr>
        <xdr:style>
          <a:lnRef idx="1">
            <a:schemeClr val="accent1"/>
          </a:lnRef>
          <a:fillRef idx="0">
            <a:schemeClr val="accent1"/>
          </a:fillRef>
          <a:effectRef idx="0">
            <a:schemeClr val="accent1"/>
          </a:effectRef>
          <a:fontRef idx="minor">
            <a:schemeClr val="tx1"/>
          </a:fontRef>
        </xdr:style>
      </xdr:cxnSp>
      <xdr:cxnSp macro="">
        <xdr:nvCxnSpPr>
          <xdr:cNvPr id="162" name="Connecteur : en angle 161">
            <a:extLst>
              <a:ext uri="{FF2B5EF4-FFF2-40B4-BE49-F238E27FC236}">
                <a16:creationId xmlns:a16="http://schemas.microsoft.com/office/drawing/2014/main" id="{00000000-0008-0000-0300-0000A2000000}"/>
              </a:ext>
            </a:extLst>
          </xdr:cNvPr>
          <xdr:cNvCxnSpPr>
            <a:endCxn id="41987" idx="0"/>
          </xdr:cNvCxnSpPr>
        </xdr:nvCxnSpPr>
        <xdr:spPr>
          <a:xfrm rot="16200000" flipH="1">
            <a:off x="2503519" y="23632458"/>
            <a:ext cx="1457550" cy="527488"/>
          </a:xfrm>
          <a:prstGeom prst="bentConnector3">
            <a:avLst/>
          </a:prstGeom>
          <a:ln w="28575">
            <a:headEnd type="triangle"/>
            <a:tailEnd type="triangle"/>
          </a:ln>
        </xdr:spPr>
        <xdr:style>
          <a:lnRef idx="1">
            <a:schemeClr val="accent6"/>
          </a:lnRef>
          <a:fillRef idx="0">
            <a:schemeClr val="accent6"/>
          </a:fillRef>
          <a:effectRef idx="0">
            <a:schemeClr val="accent6"/>
          </a:effectRef>
          <a:fontRef idx="minor">
            <a:schemeClr val="tx1"/>
          </a:fontRef>
        </xdr:style>
      </xdr:cxnSp>
      <xdr:sp macro="" textlink="">
        <xdr:nvSpPr>
          <xdr:cNvPr id="174" name="Rectangle 173">
            <a:extLst>
              <a:ext uri="{FF2B5EF4-FFF2-40B4-BE49-F238E27FC236}">
                <a16:creationId xmlns:a16="http://schemas.microsoft.com/office/drawing/2014/main" id="{00000000-0008-0000-0300-0000AE000000}"/>
              </a:ext>
            </a:extLst>
          </xdr:cNvPr>
          <xdr:cNvSpPr/>
        </xdr:nvSpPr>
        <xdr:spPr>
          <a:xfrm>
            <a:off x="6633163" y="24656370"/>
            <a:ext cx="59120" cy="423456"/>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75" name="Rectangle 174">
            <a:extLst>
              <a:ext uri="{FF2B5EF4-FFF2-40B4-BE49-F238E27FC236}">
                <a16:creationId xmlns:a16="http://schemas.microsoft.com/office/drawing/2014/main" id="{00000000-0008-0000-0300-0000AF000000}"/>
              </a:ext>
            </a:extLst>
          </xdr:cNvPr>
          <xdr:cNvSpPr/>
        </xdr:nvSpPr>
        <xdr:spPr>
          <a:xfrm>
            <a:off x="7719672" y="24651408"/>
            <a:ext cx="755513" cy="210316"/>
          </a:xfrm>
          <a:prstGeom prst="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FH</a:t>
            </a:r>
          </a:p>
        </xdr:txBody>
      </xdr:sp>
      <xdr:sp macro="" textlink="">
        <xdr:nvSpPr>
          <xdr:cNvPr id="176" name="Rectangle 175">
            <a:extLst>
              <a:ext uri="{FF2B5EF4-FFF2-40B4-BE49-F238E27FC236}">
                <a16:creationId xmlns:a16="http://schemas.microsoft.com/office/drawing/2014/main" id="{00000000-0008-0000-0300-0000B0000000}"/>
              </a:ext>
            </a:extLst>
          </xdr:cNvPr>
          <xdr:cNvSpPr/>
        </xdr:nvSpPr>
        <xdr:spPr>
          <a:xfrm>
            <a:off x="9319932" y="24872222"/>
            <a:ext cx="858962" cy="201471"/>
          </a:xfrm>
          <a:prstGeom prst="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ZI/ZRV</a:t>
            </a:r>
          </a:p>
        </xdr:txBody>
      </xdr:sp>
      <xdr:sp macro="" textlink="">
        <xdr:nvSpPr>
          <xdr:cNvPr id="177" name="Rectangle 176">
            <a:extLst>
              <a:ext uri="{FF2B5EF4-FFF2-40B4-BE49-F238E27FC236}">
                <a16:creationId xmlns:a16="http://schemas.microsoft.com/office/drawing/2014/main" id="{00000000-0008-0000-0300-0000B1000000}"/>
              </a:ext>
            </a:extLst>
          </xdr:cNvPr>
          <xdr:cNvSpPr/>
        </xdr:nvSpPr>
        <xdr:spPr>
          <a:xfrm>
            <a:off x="11173798" y="24680542"/>
            <a:ext cx="252781" cy="1092279"/>
          </a:xfrm>
          <a:prstGeom prst="rect">
            <a:avLst/>
          </a:prstGeom>
          <a:solidFill>
            <a:schemeClr val="accent2">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FOSSE</a:t>
            </a:r>
          </a:p>
        </xdr:txBody>
      </xdr:sp>
      <xdr:cxnSp macro="">
        <xdr:nvCxnSpPr>
          <xdr:cNvPr id="42014" name="Connecteur droit avec flèche 42013">
            <a:extLst>
              <a:ext uri="{FF2B5EF4-FFF2-40B4-BE49-F238E27FC236}">
                <a16:creationId xmlns:a16="http://schemas.microsoft.com/office/drawing/2014/main" id="{00000000-0008-0000-0300-00001EA40000}"/>
              </a:ext>
            </a:extLst>
          </xdr:cNvPr>
          <xdr:cNvCxnSpPr>
            <a:endCxn id="41987" idx="2"/>
          </xdr:cNvCxnSpPr>
        </xdr:nvCxnSpPr>
        <xdr:spPr>
          <a:xfrm>
            <a:off x="2638027" y="25041864"/>
            <a:ext cx="858011" cy="6569"/>
          </a:xfrm>
          <a:prstGeom prst="straightConnector1">
            <a:avLst/>
          </a:prstGeom>
          <a:ln w="28575">
            <a:solidFill>
              <a:schemeClr val="bg2">
                <a:lumMod val="50000"/>
              </a:schemeClr>
            </a:solidFill>
            <a:headEnd type="triangle"/>
            <a:tailEnd type="triangle"/>
          </a:ln>
        </xdr:spPr>
        <xdr:style>
          <a:lnRef idx="1">
            <a:schemeClr val="dk1"/>
          </a:lnRef>
          <a:fillRef idx="0">
            <a:schemeClr val="dk1"/>
          </a:fillRef>
          <a:effectRef idx="0">
            <a:schemeClr val="dk1"/>
          </a:effectRef>
          <a:fontRef idx="minor">
            <a:schemeClr val="tx1"/>
          </a:fontRef>
        </xdr:style>
      </xdr:cxnSp>
      <xdr:cxnSp macro="">
        <xdr:nvCxnSpPr>
          <xdr:cNvPr id="188" name="Connecteur droit avec flèche 187">
            <a:extLst>
              <a:ext uri="{FF2B5EF4-FFF2-40B4-BE49-F238E27FC236}">
                <a16:creationId xmlns:a16="http://schemas.microsoft.com/office/drawing/2014/main" id="{00000000-0008-0000-0300-0000BC000000}"/>
              </a:ext>
            </a:extLst>
          </xdr:cNvPr>
          <xdr:cNvCxnSpPr/>
        </xdr:nvCxnSpPr>
        <xdr:spPr>
          <a:xfrm>
            <a:off x="3526912" y="25049747"/>
            <a:ext cx="1718856" cy="11824"/>
          </a:xfrm>
          <a:prstGeom prst="straightConnector1">
            <a:avLst/>
          </a:prstGeom>
          <a:ln w="28575">
            <a:solidFill>
              <a:schemeClr val="bg2">
                <a:lumMod val="50000"/>
              </a:schemeClr>
            </a:solidFill>
            <a:headEnd type="triangle"/>
            <a:tailEnd type="triangle"/>
          </a:ln>
        </xdr:spPr>
        <xdr:style>
          <a:lnRef idx="1">
            <a:schemeClr val="dk1"/>
          </a:lnRef>
          <a:fillRef idx="0">
            <a:schemeClr val="dk1"/>
          </a:fillRef>
          <a:effectRef idx="0">
            <a:schemeClr val="dk1"/>
          </a:effectRef>
          <a:fontRef idx="minor">
            <a:schemeClr val="tx1"/>
          </a:fontRef>
        </xdr:style>
      </xdr:cxnSp>
      <xdr:cxnSp macro="">
        <xdr:nvCxnSpPr>
          <xdr:cNvPr id="190" name="Connecteur droit avec flèche 189">
            <a:extLst>
              <a:ext uri="{FF2B5EF4-FFF2-40B4-BE49-F238E27FC236}">
                <a16:creationId xmlns:a16="http://schemas.microsoft.com/office/drawing/2014/main" id="{00000000-0008-0000-0300-0000BE000000}"/>
              </a:ext>
            </a:extLst>
          </xdr:cNvPr>
          <xdr:cNvCxnSpPr/>
        </xdr:nvCxnSpPr>
        <xdr:spPr>
          <a:xfrm>
            <a:off x="5648967" y="25054380"/>
            <a:ext cx="1021776" cy="8578"/>
          </a:xfrm>
          <a:prstGeom prst="straightConnector1">
            <a:avLst/>
          </a:prstGeom>
          <a:ln w="28575">
            <a:solidFill>
              <a:schemeClr val="bg2">
                <a:lumMod val="50000"/>
              </a:schemeClr>
            </a:solidFill>
            <a:headEnd type="triangle"/>
            <a:tailEnd type="triangle"/>
          </a:ln>
        </xdr:spPr>
        <xdr:style>
          <a:lnRef idx="1">
            <a:schemeClr val="dk1"/>
          </a:lnRef>
          <a:fillRef idx="0">
            <a:schemeClr val="dk1"/>
          </a:fillRef>
          <a:effectRef idx="0">
            <a:schemeClr val="dk1"/>
          </a:effectRef>
          <a:fontRef idx="minor">
            <a:schemeClr val="tx1"/>
          </a:fontRef>
        </xdr:style>
      </xdr:cxnSp>
      <xdr:cxnSp macro="">
        <xdr:nvCxnSpPr>
          <xdr:cNvPr id="194" name="Connecteur droit avec flèche 193">
            <a:extLst>
              <a:ext uri="{FF2B5EF4-FFF2-40B4-BE49-F238E27FC236}">
                <a16:creationId xmlns:a16="http://schemas.microsoft.com/office/drawing/2014/main" id="{00000000-0008-0000-0300-0000C2000000}"/>
              </a:ext>
            </a:extLst>
          </xdr:cNvPr>
          <xdr:cNvCxnSpPr/>
        </xdr:nvCxnSpPr>
        <xdr:spPr>
          <a:xfrm flipV="1">
            <a:off x="8455709" y="25074709"/>
            <a:ext cx="870494" cy="5256"/>
          </a:xfrm>
          <a:prstGeom prst="straightConnector1">
            <a:avLst/>
          </a:prstGeom>
          <a:ln w="28575">
            <a:solidFill>
              <a:schemeClr val="bg2">
                <a:lumMod val="50000"/>
              </a:schemeClr>
            </a:solidFill>
            <a:headEnd type="triangle"/>
            <a:tailEnd type="triangle"/>
          </a:ln>
        </xdr:spPr>
        <xdr:style>
          <a:lnRef idx="1">
            <a:schemeClr val="dk1"/>
          </a:lnRef>
          <a:fillRef idx="0">
            <a:schemeClr val="dk1"/>
          </a:fillRef>
          <a:effectRef idx="0">
            <a:schemeClr val="dk1"/>
          </a:effectRef>
          <a:fontRef idx="minor">
            <a:schemeClr val="tx1"/>
          </a:fontRef>
        </xdr:style>
      </xdr:cxnSp>
      <xdr:cxnSp macro="">
        <xdr:nvCxnSpPr>
          <xdr:cNvPr id="196" name="Connecteur droit avec flèche 195">
            <a:extLst>
              <a:ext uri="{FF2B5EF4-FFF2-40B4-BE49-F238E27FC236}">
                <a16:creationId xmlns:a16="http://schemas.microsoft.com/office/drawing/2014/main" id="{00000000-0008-0000-0300-0000C4000000}"/>
              </a:ext>
            </a:extLst>
          </xdr:cNvPr>
          <xdr:cNvCxnSpPr/>
        </xdr:nvCxnSpPr>
        <xdr:spPr>
          <a:xfrm>
            <a:off x="10188948" y="25074710"/>
            <a:ext cx="996134" cy="6568"/>
          </a:xfrm>
          <a:prstGeom prst="straightConnector1">
            <a:avLst/>
          </a:prstGeom>
          <a:ln w="28575">
            <a:solidFill>
              <a:schemeClr val="bg2">
                <a:lumMod val="50000"/>
              </a:schemeClr>
            </a:solidFill>
            <a:headEnd type="triangle"/>
            <a:tailEnd type="triangle"/>
          </a:ln>
        </xdr:spPr>
        <xdr:style>
          <a:lnRef idx="1">
            <a:schemeClr val="dk1"/>
          </a:lnRef>
          <a:fillRef idx="0">
            <a:schemeClr val="dk1"/>
          </a:fillRef>
          <a:effectRef idx="0">
            <a:schemeClr val="dk1"/>
          </a:effectRef>
          <a:fontRef idx="minor">
            <a:schemeClr val="tx1"/>
          </a:fontRef>
        </xdr:style>
      </xdr:cxnSp>
      <xdr:sp macro="" textlink="">
        <xdr:nvSpPr>
          <xdr:cNvPr id="138" name="Forme libre : forme 137">
            <a:extLst>
              <a:ext uri="{FF2B5EF4-FFF2-40B4-BE49-F238E27FC236}">
                <a16:creationId xmlns:a16="http://schemas.microsoft.com/office/drawing/2014/main" id="{00000000-0008-0000-0300-00008A000000}"/>
              </a:ext>
            </a:extLst>
          </xdr:cNvPr>
          <xdr:cNvSpPr/>
        </xdr:nvSpPr>
        <xdr:spPr>
          <a:xfrm>
            <a:off x="3526256" y="24553763"/>
            <a:ext cx="1732502" cy="198703"/>
          </a:xfrm>
          <a:custGeom>
            <a:avLst/>
            <a:gdLst>
              <a:gd name="connsiteX0" fmla="*/ 0 w 1767624"/>
              <a:gd name="connsiteY0" fmla="*/ 390525 h 400050"/>
              <a:gd name="connsiteX1" fmla="*/ 1466850 w 1767624"/>
              <a:gd name="connsiteY1" fmla="*/ 400050 h 400050"/>
              <a:gd name="connsiteX2" fmla="*/ 1704975 w 1767624"/>
              <a:gd name="connsiteY2" fmla="*/ 381000 h 400050"/>
              <a:gd name="connsiteX3" fmla="*/ 1762125 w 1767624"/>
              <a:gd name="connsiteY3" fmla="*/ 285750 h 400050"/>
              <a:gd name="connsiteX4" fmla="*/ 1762125 w 1767624"/>
              <a:gd name="connsiteY4" fmla="*/ 0 h 4000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67624" h="400050">
                <a:moveTo>
                  <a:pt x="0" y="390525"/>
                </a:moveTo>
                <a:lnTo>
                  <a:pt x="1466850" y="400050"/>
                </a:lnTo>
                <a:cubicBezTo>
                  <a:pt x="1751012" y="398463"/>
                  <a:pt x="1655763" y="400050"/>
                  <a:pt x="1704975" y="381000"/>
                </a:cubicBezTo>
                <a:cubicBezTo>
                  <a:pt x="1754188" y="361950"/>
                  <a:pt x="1752600" y="349250"/>
                  <a:pt x="1762125" y="285750"/>
                </a:cubicBezTo>
                <a:cubicBezTo>
                  <a:pt x="1771650" y="222250"/>
                  <a:pt x="1766887" y="111125"/>
                  <a:pt x="1762125" y="0"/>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xnSp macro="">
        <xdr:nvCxnSpPr>
          <xdr:cNvPr id="200" name="Connecteur droit 199">
            <a:extLst>
              <a:ext uri="{FF2B5EF4-FFF2-40B4-BE49-F238E27FC236}">
                <a16:creationId xmlns:a16="http://schemas.microsoft.com/office/drawing/2014/main" id="{00000000-0008-0000-0300-0000C8000000}"/>
              </a:ext>
            </a:extLst>
          </xdr:cNvPr>
          <xdr:cNvCxnSpPr>
            <a:endCxn id="174" idx="1"/>
          </xdr:cNvCxnSpPr>
        </xdr:nvCxnSpPr>
        <xdr:spPr>
          <a:xfrm>
            <a:off x="5632051" y="24833119"/>
            <a:ext cx="1001112" cy="35914"/>
          </a:xfrm>
          <a:prstGeom prst="line">
            <a:avLst/>
          </a:prstGeom>
          <a:ln w="12700"/>
        </xdr:spPr>
        <xdr:style>
          <a:lnRef idx="1">
            <a:schemeClr val="accent1"/>
          </a:lnRef>
          <a:fillRef idx="0">
            <a:schemeClr val="accent1"/>
          </a:fillRef>
          <a:effectRef idx="0">
            <a:schemeClr val="accent1"/>
          </a:effectRef>
          <a:fontRef idx="minor">
            <a:schemeClr val="tx1"/>
          </a:fontRef>
        </xdr:style>
      </xdr:cxnSp>
      <xdr:cxnSp macro="">
        <xdr:nvCxnSpPr>
          <xdr:cNvPr id="208" name="Connecteur droit 207">
            <a:extLst>
              <a:ext uri="{FF2B5EF4-FFF2-40B4-BE49-F238E27FC236}">
                <a16:creationId xmlns:a16="http://schemas.microsoft.com/office/drawing/2014/main" id="{00000000-0008-0000-0300-0000D0000000}"/>
              </a:ext>
            </a:extLst>
          </xdr:cNvPr>
          <xdr:cNvCxnSpPr/>
        </xdr:nvCxnSpPr>
        <xdr:spPr>
          <a:xfrm>
            <a:off x="10151645" y="24909379"/>
            <a:ext cx="1056774" cy="28073"/>
          </a:xfrm>
          <a:prstGeom prst="line">
            <a:avLst/>
          </a:prstGeom>
          <a:ln w="12700"/>
        </xdr:spPr>
        <xdr:style>
          <a:lnRef idx="1">
            <a:schemeClr val="accent1"/>
          </a:lnRef>
          <a:fillRef idx="0">
            <a:schemeClr val="accent1"/>
          </a:fillRef>
          <a:effectRef idx="0">
            <a:schemeClr val="accent1"/>
          </a:effectRef>
          <a:fontRef idx="minor">
            <a:schemeClr val="tx1"/>
          </a:fontRef>
        </xdr:style>
      </xdr:cxnSp>
      <xdr:grpSp>
        <xdr:nvGrpSpPr>
          <xdr:cNvPr id="228" name="Groupe 227">
            <a:extLst>
              <a:ext uri="{FF2B5EF4-FFF2-40B4-BE49-F238E27FC236}">
                <a16:creationId xmlns:a16="http://schemas.microsoft.com/office/drawing/2014/main" id="{00000000-0008-0000-0300-0000E4000000}"/>
              </a:ext>
            </a:extLst>
          </xdr:cNvPr>
          <xdr:cNvGrpSpPr/>
        </xdr:nvGrpSpPr>
        <xdr:grpSpPr>
          <a:xfrm>
            <a:off x="7034435" y="23033560"/>
            <a:ext cx="5199886" cy="1792812"/>
            <a:chOff x="7034435" y="23033560"/>
            <a:chExt cx="5199886" cy="1792812"/>
          </a:xfrm>
        </xdr:grpSpPr>
        <xdr:sp macro="" textlink="">
          <xdr:nvSpPr>
            <xdr:cNvPr id="212" name="Rectangle 211">
              <a:extLst>
                <a:ext uri="{FF2B5EF4-FFF2-40B4-BE49-F238E27FC236}">
                  <a16:creationId xmlns:a16="http://schemas.microsoft.com/office/drawing/2014/main" id="{00000000-0008-0000-0300-0000D4000000}"/>
                </a:ext>
              </a:extLst>
            </xdr:cNvPr>
            <xdr:cNvSpPr/>
          </xdr:nvSpPr>
          <xdr:spPr>
            <a:xfrm>
              <a:off x="7034435" y="23043448"/>
              <a:ext cx="604268" cy="1782924"/>
            </a:xfrm>
            <a:prstGeom prst="rect">
              <a:avLst/>
            </a:prstGeom>
            <a:noFill/>
          </xdr:spPr>
          <xdr:txBody>
            <a:bodyPr wrap="none" lIns="91440" tIns="45720" rIns="91440" bIns="45720">
              <a:spAutoFit/>
            </a:bodyPr>
            <a:lstStyle/>
            <a:p>
              <a:pPr algn="ctr"/>
              <a:r>
                <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A</a:t>
              </a:r>
            </a:p>
            <a:p>
              <a:pPr algn="ctr"/>
              <a:endPar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sp macro="" textlink="">
          <xdr:nvSpPr>
            <xdr:cNvPr id="213" name="Rectangle 212">
              <a:extLst>
                <a:ext uri="{FF2B5EF4-FFF2-40B4-BE49-F238E27FC236}">
                  <a16:creationId xmlns:a16="http://schemas.microsoft.com/office/drawing/2014/main" id="{00000000-0008-0000-0300-0000D5000000}"/>
                </a:ext>
              </a:extLst>
            </xdr:cNvPr>
            <xdr:cNvSpPr/>
          </xdr:nvSpPr>
          <xdr:spPr>
            <a:xfrm>
              <a:off x="7898221" y="23051767"/>
              <a:ext cx="572849" cy="937629"/>
            </a:xfrm>
            <a:prstGeom prst="rect">
              <a:avLst/>
            </a:prstGeom>
            <a:noFill/>
          </xdr:spPr>
          <xdr:txBody>
            <a:bodyPr wrap="none" lIns="91440" tIns="45720" rIns="91440" bIns="45720">
              <a:spAutoFit/>
            </a:bodyPr>
            <a:lstStyle/>
            <a:p>
              <a:pPr algn="ctr"/>
              <a:r>
                <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B</a:t>
              </a:r>
            </a:p>
          </xdr:txBody>
        </xdr:sp>
        <xdr:sp macro="" textlink="">
          <xdr:nvSpPr>
            <xdr:cNvPr id="214" name="Rectangle 213">
              <a:extLst>
                <a:ext uri="{FF2B5EF4-FFF2-40B4-BE49-F238E27FC236}">
                  <a16:creationId xmlns:a16="http://schemas.microsoft.com/office/drawing/2014/main" id="{00000000-0008-0000-0300-0000D6000000}"/>
                </a:ext>
              </a:extLst>
            </xdr:cNvPr>
            <xdr:cNvSpPr/>
          </xdr:nvSpPr>
          <xdr:spPr>
            <a:xfrm>
              <a:off x="8678729" y="23033560"/>
              <a:ext cx="923843" cy="1782924"/>
            </a:xfrm>
            <a:prstGeom prst="rect">
              <a:avLst/>
            </a:prstGeom>
            <a:noFill/>
          </xdr:spPr>
          <xdr:txBody>
            <a:bodyPr wrap="none" lIns="91440" tIns="45720" rIns="91440" bIns="45720">
              <a:spAutoFit/>
            </a:bodyPr>
            <a:lstStyle/>
            <a:p>
              <a:pPr algn="ctr"/>
              <a:r>
                <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B2</a:t>
              </a:r>
            </a:p>
            <a:p>
              <a:pPr algn="ctr"/>
              <a:endPar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sp macro="" textlink="">
          <xdr:nvSpPr>
            <xdr:cNvPr id="215" name="Rectangle 214">
              <a:extLst>
                <a:ext uri="{FF2B5EF4-FFF2-40B4-BE49-F238E27FC236}">
                  <a16:creationId xmlns:a16="http://schemas.microsoft.com/office/drawing/2014/main" id="{00000000-0008-0000-0300-0000D7000000}"/>
                </a:ext>
              </a:extLst>
            </xdr:cNvPr>
            <xdr:cNvSpPr/>
          </xdr:nvSpPr>
          <xdr:spPr>
            <a:xfrm>
              <a:off x="9555818" y="23036928"/>
              <a:ext cx="551178" cy="937629"/>
            </a:xfrm>
            <a:prstGeom prst="rect">
              <a:avLst/>
            </a:prstGeom>
            <a:noFill/>
          </xdr:spPr>
          <xdr:txBody>
            <a:bodyPr wrap="none" lIns="91440" tIns="45720" rIns="91440" bIns="45720">
              <a:spAutoFit/>
            </a:bodyPr>
            <a:lstStyle/>
            <a:p>
              <a:pPr algn="ctr"/>
              <a:r>
                <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C</a:t>
              </a:r>
            </a:p>
          </xdr:txBody>
        </xdr:sp>
        <xdr:sp macro="" textlink="">
          <xdr:nvSpPr>
            <xdr:cNvPr id="216" name="Rectangle 215">
              <a:extLst>
                <a:ext uri="{FF2B5EF4-FFF2-40B4-BE49-F238E27FC236}">
                  <a16:creationId xmlns:a16="http://schemas.microsoft.com/office/drawing/2014/main" id="{00000000-0008-0000-0300-0000D8000000}"/>
                </a:ext>
              </a:extLst>
            </xdr:cNvPr>
            <xdr:cNvSpPr/>
          </xdr:nvSpPr>
          <xdr:spPr>
            <a:xfrm>
              <a:off x="10513873" y="23047600"/>
              <a:ext cx="621196" cy="937629"/>
            </a:xfrm>
            <a:prstGeom prst="rect">
              <a:avLst/>
            </a:prstGeom>
            <a:noFill/>
          </xdr:spPr>
          <xdr:txBody>
            <a:bodyPr wrap="none" lIns="91440" tIns="45720" rIns="91440" bIns="45720">
              <a:spAutoFit/>
            </a:bodyPr>
            <a:lstStyle/>
            <a:p>
              <a:pPr algn="ctr"/>
              <a:r>
                <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D</a:t>
              </a:r>
            </a:p>
          </xdr:txBody>
        </xdr:sp>
        <xdr:sp macro="" textlink="">
          <xdr:nvSpPr>
            <xdr:cNvPr id="217" name="Rectangle 216">
              <a:extLst>
                <a:ext uri="{FF2B5EF4-FFF2-40B4-BE49-F238E27FC236}">
                  <a16:creationId xmlns:a16="http://schemas.microsoft.com/office/drawing/2014/main" id="{00000000-0008-0000-0300-0000D9000000}"/>
                </a:ext>
              </a:extLst>
            </xdr:cNvPr>
            <xdr:cNvSpPr/>
          </xdr:nvSpPr>
          <xdr:spPr>
            <a:xfrm>
              <a:off x="11711870" y="23058585"/>
              <a:ext cx="522451" cy="937629"/>
            </a:xfrm>
            <a:prstGeom prst="rect">
              <a:avLst/>
            </a:prstGeom>
            <a:noFill/>
          </xdr:spPr>
          <xdr:txBody>
            <a:bodyPr wrap="none" lIns="91440" tIns="45720" rIns="91440" bIns="45720">
              <a:spAutoFit/>
            </a:bodyPr>
            <a:lstStyle/>
            <a:p>
              <a:pPr algn="ctr"/>
              <a:r>
                <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E</a:t>
              </a:r>
            </a:p>
          </xdr:txBody>
        </xdr:sp>
      </xdr:grpSp>
      <xdr:sp macro="" textlink="">
        <xdr:nvSpPr>
          <xdr:cNvPr id="157" name="Forme libre : forme 156">
            <a:extLst>
              <a:ext uri="{FF2B5EF4-FFF2-40B4-BE49-F238E27FC236}">
                <a16:creationId xmlns:a16="http://schemas.microsoft.com/office/drawing/2014/main" id="{00000000-0008-0000-0300-00009D000000}"/>
              </a:ext>
            </a:extLst>
          </xdr:cNvPr>
          <xdr:cNvSpPr/>
        </xdr:nvSpPr>
        <xdr:spPr>
          <a:xfrm>
            <a:off x="6696793" y="24685926"/>
            <a:ext cx="1044628" cy="28736"/>
          </a:xfrm>
          <a:custGeom>
            <a:avLst/>
            <a:gdLst>
              <a:gd name="connsiteX0" fmla="*/ 0 w 1051326"/>
              <a:gd name="connsiteY0" fmla="*/ 29459 h 29459"/>
              <a:gd name="connsiteX1" fmla="*/ 923041 w 1051326"/>
              <a:gd name="connsiteY1" fmla="*/ 29459 h 29459"/>
              <a:gd name="connsiteX2" fmla="*/ 1021237 w 1051326"/>
              <a:gd name="connsiteY2" fmla="*/ 0 h 29459"/>
            </a:gdLst>
            <a:ahLst/>
            <a:cxnLst>
              <a:cxn ang="0">
                <a:pos x="connsiteX0" y="connsiteY0"/>
              </a:cxn>
              <a:cxn ang="0">
                <a:pos x="connsiteX1" y="connsiteY1"/>
              </a:cxn>
              <a:cxn ang="0">
                <a:pos x="connsiteX2" y="connsiteY2"/>
              </a:cxn>
            </a:cxnLst>
            <a:rect l="l" t="t" r="r" b="b"/>
            <a:pathLst>
              <a:path w="1051326" h="29459">
                <a:moveTo>
                  <a:pt x="0" y="29459"/>
                </a:moveTo>
                <a:lnTo>
                  <a:pt x="923041" y="29459"/>
                </a:lnTo>
                <a:cubicBezTo>
                  <a:pt x="1093247" y="24549"/>
                  <a:pt x="1057242" y="12274"/>
                  <a:pt x="1021237" y="0"/>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oneCellAnchor>
    <xdr:from>
      <xdr:col>11</xdr:col>
      <xdr:colOff>396866</xdr:colOff>
      <xdr:row>0</xdr:row>
      <xdr:rowOff>132160</xdr:rowOff>
    </xdr:from>
    <xdr:ext cx="1538213" cy="669945"/>
    <xdr:sp macro="[0]!anacouts" textlink="">
      <xdr:nvSpPr>
        <xdr:cNvPr id="220" name="Rectangle : coins arrondis 207">
          <a:extLst>
            <a:ext uri="{FF2B5EF4-FFF2-40B4-BE49-F238E27FC236}">
              <a16:creationId xmlns:a16="http://schemas.microsoft.com/office/drawing/2014/main" id="{00000000-0008-0000-0300-0000DC000000}"/>
            </a:ext>
          </a:extLst>
        </xdr:cNvPr>
        <xdr:cNvSpPr/>
      </xdr:nvSpPr>
      <xdr:spPr>
        <a:xfrm>
          <a:off x="9079655" y="132160"/>
          <a:ext cx="1538213" cy="66994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00B05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400" b="1" i="0" u="none" strike="noStrike" kern="1200" spc="0">
              <a:solidFill>
                <a:srgbClr val="FFFFFF"/>
              </a:solidFill>
              <a:latin typeface="Calibri"/>
            </a:rPr>
            <a:t>Analyse des coûts</a:t>
          </a:r>
          <a:r>
            <a:rPr lang="fr-FR" sz="1400" b="1" i="0" u="none" strike="noStrike" kern="1200" spc="0" baseline="0">
              <a:solidFill>
                <a:srgbClr val="FFFFFF"/>
              </a:solidFill>
              <a:latin typeface="Calibri"/>
            </a:rPr>
            <a:t> / temps</a:t>
          </a:r>
          <a:endParaRPr lang="fr-FR" sz="1400" b="1" i="0" u="none" strike="noStrike" kern="1200" spc="0">
            <a:solidFill>
              <a:srgbClr val="FFFFFF"/>
            </a:solidFill>
            <a:latin typeface="Calibri"/>
          </a:endParaRPr>
        </a:p>
      </xdr:txBody>
    </xdr:sp>
    <xdr:clientData/>
  </xdr:oneCellAnchor>
  <xdr:oneCellAnchor>
    <xdr:from>
      <xdr:col>53</xdr:col>
      <xdr:colOff>569537</xdr:colOff>
      <xdr:row>0</xdr:row>
      <xdr:rowOff>88376</xdr:rowOff>
    </xdr:from>
    <xdr:ext cx="1188825" cy="520794"/>
    <xdr:sp macro="[0]!retourdiag" textlink="">
      <xdr:nvSpPr>
        <xdr:cNvPr id="221" name="Rectangle : coins arrondis 1">
          <a:extLst>
            <a:ext uri="{FF2B5EF4-FFF2-40B4-BE49-F238E27FC236}">
              <a16:creationId xmlns:a16="http://schemas.microsoft.com/office/drawing/2014/main" id="{00000000-0008-0000-0300-0000DD000000}"/>
            </a:ext>
          </a:extLst>
        </xdr:cNvPr>
        <xdr:cNvSpPr/>
      </xdr:nvSpPr>
      <xdr:spPr>
        <a:xfrm>
          <a:off x="45778918" y="88376"/>
          <a:ext cx="1188825" cy="52079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548235"/>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1" i="0" u="none" strike="noStrike" kern="1200" spc="0">
              <a:solidFill>
                <a:srgbClr val="FFFFFF"/>
              </a:solidFill>
              <a:latin typeface="Calibri"/>
            </a:rPr>
            <a:t>Retour au diagramme</a:t>
          </a:r>
        </a:p>
      </xdr:txBody>
    </xdr:sp>
    <xdr:clientData fPrintsWithSheet="0"/>
  </xdr:oneCellAnchor>
  <mc:AlternateContent xmlns:mc="http://schemas.openxmlformats.org/markup-compatibility/2006">
    <mc:Choice xmlns:a14="http://schemas.microsoft.com/office/drawing/2010/main" Requires="a14">
      <xdr:twoCellAnchor>
        <xdr:from>
          <xdr:col>3</xdr:col>
          <xdr:colOff>649567</xdr:colOff>
          <xdr:row>5</xdr:row>
          <xdr:rowOff>305291</xdr:rowOff>
        </xdr:from>
        <xdr:to>
          <xdr:col>5</xdr:col>
          <xdr:colOff>411442</xdr:colOff>
          <xdr:row>7</xdr:row>
          <xdr:rowOff>491</xdr:rowOff>
        </xdr:to>
        <xdr:grpSp>
          <xdr:nvGrpSpPr>
            <xdr:cNvPr id="31" name="Groupe 30">
              <a:extLst>
                <a:ext uri="{FF2B5EF4-FFF2-40B4-BE49-F238E27FC236}">
                  <a16:creationId xmlns:a16="http://schemas.microsoft.com/office/drawing/2014/main" id="{00000000-0008-0000-0300-00001F000000}"/>
                </a:ext>
              </a:extLst>
            </xdr:cNvPr>
            <xdr:cNvGrpSpPr/>
          </xdr:nvGrpSpPr>
          <xdr:grpSpPr>
            <a:xfrm>
              <a:off x="2694935" y="1488396"/>
              <a:ext cx="1305928" cy="417095"/>
              <a:chOff x="2599340" y="1535608"/>
              <a:chExt cx="1305929" cy="417104"/>
            </a:xfrm>
          </xdr:grpSpPr>
          <xdr:sp macro="" textlink="">
            <xdr:nvSpPr>
              <xdr:cNvPr id="41999" name="Case d'option 15" hidden="1">
                <a:extLst>
                  <a:ext uri="{63B3BB69-23CF-44E3-9099-C40C66FF867C}">
                    <a14:compatExt spid="_x0000_s41999"/>
                  </a:ext>
                  <a:ext uri="{FF2B5EF4-FFF2-40B4-BE49-F238E27FC236}">
                    <a16:creationId xmlns:a16="http://schemas.microsoft.com/office/drawing/2014/main" id="{00000000-0008-0000-0300-00000FA40000}"/>
                  </a:ext>
                </a:extLst>
              </xdr:cNvPr>
              <xdr:cNvSpPr/>
            </xdr:nvSpPr>
            <xdr:spPr bwMode="auto">
              <a:xfrm>
                <a:off x="2599340" y="1535608"/>
                <a:ext cx="1258303" cy="20005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10 % rénovation </a:t>
                </a:r>
              </a:p>
            </xdr:txBody>
          </xdr:sp>
          <xdr:sp macro="" textlink="">
            <xdr:nvSpPr>
              <xdr:cNvPr id="42017" name="Case d'option 33" hidden="1">
                <a:extLst>
                  <a:ext uri="{63B3BB69-23CF-44E3-9099-C40C66FF867C}">
                    <a14:compatExt spid="_x0000_s42017"/>
                  </a:ext>
                  <a:ext uri="{FF2B5EF4-FFF2-40B4-BE49-F238E27FC236}">
                    <a16:creationId xmlns:a16="http://schemas.microsoft.com/office/drawing/2014/main" id="{00000000-0008-0000-0300-000021A40000}"/>
                  </a:ext>
                </a:extLst>
              </xdr:cNvPr>
              <xdr:cNvSpPr/>
            </xdr:nvSpPr>
            <xdr:spPr bwMode="auto">
              <a:xfrm>
                <a:off x="2608867" y="1735641"/>
                <a:ext cx="1296402" cy="2170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20 % permis de construire</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8</xdr:row>
          <xdr:rowOff>180975</xdr:rowOff>
        </xdr:from>
        <xdr:to>
          <xdr:col>8</xdr:col>
          <xdr:colOff>342900</xdr:colOff>
          <xdr:row>10</xdr:row>
          <xdr:rowOff>104775</xdr:rowOff>
        </xdr:to>
        <xdr:sp macro="" textlink="">
          <xdr:nvSpPr>
            <xdr:cNvPr id="42010" name="Zone de groupe 26" descr="Accessibilité" hidden="1">
              <a:extLst>
                <a:ext uri="{63B3BB69-23CF-44E3-9099-C40C66FF867C}">
                  <a14:compatExt spid="_x0000_s42010"/>
                </a:ext>
                <a:ext uri="{FF2B5EF4-FFF2-40B4-BE49-F238E27FC236}">
                  <a16:creationId xmlns:a16="http://schemas.microsoft.com/office/drawing/2014/main" id="{00000000-0008-0000-0300-00001A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7</xdr:col>
      <xdr:colOff>242311</xdr:colOff>
      <xdr:row>8</xdr:row>
      <xdr:rowOff>71124</xdr:rowOff>
    </xdr:from>
    <xdr:to>
      <xdr:col>8</xdr:col>
      <xdr:colOff>396207</xdr:colOff>
      <xdr:row>10</xdr:row>
      <xdr:rowOff>143704</xdr:rowOff>
    </xdr:to>
    <xdr:sp macro="" textlink="">
      <xdr:nvSpPr>
        <xdr:cNvPr id="189" name="Rectangle : coins arrondis 188">
          <a:extLst>
            <a:ext uri="{FF2B5EF4-FFF2-40B4-BE49-F238E27FC236}">
              <a16:creationId xmlns:a16="http://schemas.microsoft.com/office/drawing/2014/main" id="{00000000-0008-0000-0300-0000BD000000}"/>
            </a:ext>
          </a:extLst>
        </xdr:cNvPr>
        <xdr:cNvSpPr/>
      </xdr:nvSpPr>
      <xdr:spPr>
        <a:xfrm>
          <a:off x="5500111" y="2335353"/>
          <a:ext cx="1002982" cy="703951"/>
        </a:xfrm>
        <a:prstGeom prst="round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fr-FR" sz="1100" b="0" cap="none" spc="0">
              <a:ln w="0"/>
              <a:solidFill>
                <a:schemeClr val="tx1"/>
              </a:solidFill>
              <a:effectLst>
                <a:outerShdw blurRad="38100" dist="19050" dir="2700000" algn="tl" rotWithShape="0">
                  <a:schemeClr val="dk1">
                    <a:alpha val="40000"/>
                  </a:schemeClr>
                </a:outerShdw>
              </a:effectLst>
            </a:rPr>
            <a:t>Accessibilité</a:t>
          </a:r>
        </a:p>
      </xdr:txBody>
    </xdr:sp>
    <xdr:clientData/>
  </xdr:twoCellAnchor>
  <mc:AlternateContent xmlns:mc="http://schemas.openxmlformats.org/markup-compatibility/2006">
    <mc:Choice xmlns:a14="http://schemas.microsoft.com/office/drawing/2010/main" Requires="a14">
      <xdr:twoCellAnchor editAs="oneCell">
        <xdr:from>
          <xdr:col>7</xdr:col>
          <xdr:colOff>485775</xdr:colOff>
          <xdr:row>9</xdr:row>
          <xdr:rowOff>66675</xdr:rowOff>
        </xdr:from>
        <xdr:to>
          <xdr:col>8</xdr:col>
          <xdr:colOff>219075</xdr:colOff>
          <xdr:row>10</xdr:row>
          <xdr:rowOff>66675</xdr:rowOff>
        </xdr:to>
        <xdr:sp macro="" textlink="">
          <xdr:nvSpPr>
            <xdr:cNvPr id="42009" name="Zone combinée 25" hidden="1">
              <a:extLst>
                <a:ext uri="{63B3BB69-23CF-44E3-9099-C40C66FF867C}">
                  <a14:compatExt spid="_x0000_s42009"/>
                </a:ext>
                <a:ext uri="{FF2B5EF4-FFF2-40B4-BE49-F238E27FC236}">
                  <a16:creationId xmlns:a16="http://schemas.microsoft.com/office/drawing/2014/main" id="{00000000-0008-0000-0300-000019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451811</xdr:colOff>
      <xdr:row>0</xdr:row>
      <xdr:rowOff>78558</xdr:rowOff>
    </xdr:from>
    <xdr:ext cx="1199062" cy="707010"/>
    <xdr:sp macro="[0]!Profil_hydraulique" textlink="">
      <xdr:nvSpPr>
        <xdr:cNvPr id="191" name="Rectangle : coins arrondis 207">
          <a:extLst>
            <a:ext uri="{FF2B5EF4-FFF2-40B4-BE49-F238E27FC236}">
              <a16:creationId xmlns:a16="http://schemas.microsoft.com/office/drawing/2014/main" id="{00000000-0008-0000-0300-0000BF000000}"/>
            </a:ext>
          </a:extLst>
        </xdr:cNvPr>
        <xdr:cNvSpPr/>
      </xdr:nvSpPr>
      <xdr:spPr>
        <a:xfrm>
          <a:off x="4051258" y="78558"/>
          <a:ext cx="1199062" cy="70701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C00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400" b="1" i="0" u="none" strike="noStrike" kern="1200" spc="0">
              <a:solidFill>
                <a:srgbClr val="FFFFFF"/>
              </a:solidFill>
              <a:latin typeface="Calibri"/>
            </a:rPr>
            <a:t>Profil Hydraulique</a:t>
          </a:r>
        </a:p>
      </xdr:txBody>
    </xdr:sp>
    <xdr:clientData/>
  </xdr:oneCellAnchor>
  <xdr:twoCellAnchor>
    <xdr:from>
      <xdr:col>3</xdr:col>
      <xdr:colOff>143200</xdr:colOff>
      <xdr:row>10</xdr:row>
      <xdr:rowOff>362596</xdr:rowOff>
    </xdr:from>
    <xdr:to>
      <xdr:col>6</xdr:col>
      <xdr:colOff>326571</xdr:colOff>
      <xdr:row>20</xdr:row>
      <xdr:rowOff>205482</xdr:rowOff>
    </xdr:to>
    <xdr:sp macro="" textlink="">
      <xdr:nvSpPr>
        <xdr:cNvPr id="222" name="Rectangle : coins arrondis 221">
          <a:extLst>
            <a:ext uri="{FF2B5EF4-FFF2-40B4-BE49-F238E27FC236}">
              <a16:creationId xmlns:a16="http://schemas.microsoft.com/office/drawing/2014/main" id="{00000000-0008-0000-0300-0000DE000000}"/>
            </a:ext>
          </a:extLst>
        </xdr:cNvPr>
        <xdr:cNvSpPr/>
      </xdr:nvSpPr>
      <xdr:spPr>
        <a:xfrm>
          <a:off x="2211486" y="3258196"/>
          <a:ext cx="2534685" cy="3010629"/>
        </a:xfrm>
        <a:prstGeom prst="roundRect">
          <a:avLst>
            <a:gd name="adj" fmla="val 5110"/>
          </a:avLst>
        </a:prstGeom>
        <a:solidFill>
          <a:schemeClr val="accent6">
            <a:lumMod val="20000"/>
            <a:lumOff val="80000"/>
          </a:schemeClr>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ctr"/>
          <a:r>
            <a:rPr lang="fr-FR" sz="2000" b="1">
              <a:solidFill>
                <a:schemeClr val="tx2">
                  <a:lumMod val="75000"/>
                </a:schemeClr>
              </a:solidFill>
            </a:rPr>
            <a:t>TRAVAUX</a:t>
          </a:r>
          <a:r>
            <a:rPr lang="fr-FR" sz="2000" b="1" baseline="0">
              <a:solidFill>
                <a:schemeClr val="tx2">
                  <a:lumMod val="75000"/>
                </a:schemeClr>
              </a:solidFill>
            </a:rPr>
            <a:t> ANNEXES</a:t>
          </a:r>
          <a:endParaRPr lang="fr-FR" sz="2000" b="1">
            <a:solidFill>
              <a:schemeClr val="tx2">
                <a:lumMod val="75000"/>
              </a:schemeClr>
            </a:solidFill>
          </a:endParaRPr>
        </a:p>
      </xdr:txBody>
    </xdr:sp>
    <xdr:clientData/>
  </xdr:twoCellAnchor>
  <xdr:twoCellAnchor>
    <xdr:from>
      <xdr:col>4</xdr:col>
      <xdr:colOff>10778</xdr:colOff>
      <xdr:row>12</xdr:row>
      <xdr:rowOff>195942</xdr:rowOff>
    </xdr:from>
    <xdr:to>
      <xdr:col>5</xdr:col>
      <xdr:colOff>605343</xdr:colOff>
      <xdr:row>13</xdr:row>
      <xdr:rowOff>190895</xdr:rowOff>
    </xdr:to>
    <xdr:sp macro="[0]!dessouchaie_Cliquer" textlink="">
      <xdr:nvSpPr>
        <xdr:cNvPr id="23" name="dessouchaieshape">
          <a:extLst>
            <a:ext uri="{FF2B5EF4-FFF2-40B4-BE49-F238E27FC236}">
              <a16:creationId xmlns:a16="http://schemas.microsoft.com/office/drawing/2014/main" id="{00000000-0008-0000-0300-000017000000}"/>
            </a:ext>
          </a:extLst>
        </xdr:cNvPr>
        <xdr:cNvSpPr/>
      </xdr:nvSpPr>
      <xdr:spPr>
        <a:xfrm>
          <a:off x="2808407" y="3788228"/>
          <a:ext cx="1400107" cy="310638"/>
        </a:xfrm>
        <a:prstGeom prst="roundRect">
          <a:avLst/>
        </a:prstGeom>
        <a:solidFill>
          <a:srgbClr val="32963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DESSOUCHAGE HAIE</a:t>
          </a:r>
        </a:p>
      </xdr:txBody>
    </xdr:sp>
    <xdr:clientData/>
  </xdr:twoCellAnchor>
  <xdr:twoCellAnchor>
    <xdr:from>
      <xdr:col>3</xdr:col>
      <xdr:colOff>624082</xdr:colOff>
      <xdr:row>13</xdr:row>
      <xdr:rowOff>258341</xdr:rowOff>
    </xdr:from>
    <xdr:to>
      <xdr:col>5</xdr:col>
      <xdr:colOff>721382</xdr:colOff>
      <xdr:row>14</xdr:row>
      <xdr:rowOff>266197</xdr:rowOff>
    </xdr:to>
    <xdr:sp macro="[0]!dessoucharbre_Cliquer" textlink="">
      <xdr:nvSpPr>
        <xdr:cNvPr id="193" name="dessoucharbreshape">
          <a:extLst>
            <a:ext uri="{FF2B5EF4-FFF2-40B4-BE49-F238E27FC236}">
              <a16:creationId xmlns:a16="http://schemas.microsoft.com/office/drawing/2014/main" id="{00000000-0008-0000-0300-0000C1000000}"/>
            </a:ext>
          </a:extLst>
        </xdr:cNvPr>
        <xdr:cNvSpPr/>
      </xdr:nvSpPr>
      <xdr:spPr>
        <a:xfrm>
          <a:off x="2692368" y="4166312"/>
          <a:ext cx="1632185" cy="323542"/>
        </a:xfrm>
        <a:prstGeom prst="roundRect">
          <a:avLst/>
        </a:prstGeom>
        <a:solidFill>
          <a:srgbClr val="32963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DESSOUCHAGE ARBRES</a:t>
          </a:r>
        </a:p>
      </xdr:txBody>
    </xdr:sp>
    <xdr:clientData/>
  </xdr:twoCellAnchor>
  <xdr:twoCellAnchor>
    <xdr:from>
      <xdr:col>3</xdr:col>
      <xdr:colOff>624082</xdr:colOff>
      <xdr:row>15</xdr:row>
      <xdr:rowOff>8644</xdr:rowOff>
    </xdr:from>
    <xdr:to>
      <xdr:col>5</xdr:col>
      <xdr:colOff>721382</xdr:colOff>
      <xdr:row>16</xdr:row>
      <xdr:rowOff>16500</xdr:rowOff>
    </xdr:to>
    <xdr:sp macro="[0]!abbatarbre_Cliquer" textlink="">
      <xdr:nvSpPr>
        <xdr:cNvPr id="195" name="abbatageshape">
          <a:extLst>
            <a:ext uri="{FF2B5EF4-FFF2-40B4-BE49-F238E27FC236}">
              <a16:creationId xmlns:a16="http://schemas.microsoft.com/office/drawing/2014/main" id="{00000000-0008-0000-0300-0000C3000000}"/>
            </a:ext>
          </a:extLst>
        </xdr:cNvPr>
        <xdr:cNvSpPr/>
      </xdr:nvSpPr>
      <xdr:spPr>
        <a:xfrm>
          <a:off x="2692368" y="4547987"/>
          <a:ext cx="1632185" cy="323542"/>
        </a:xfrm>
        <a:prstGeom prst="roundRect">
          <a:avLst/>
        </a:prstGeom>
        <a:solidFill>
          <a:srgbClr val="32963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ABBATAGE ARBRES</a:t>
          </a:r>
        </a:p>
      </xdr:txBody>
    </xdr:sp>
    <xdr:clientData/>
  </xdr:twoCellAnchor>
  <xdr:twoCellAnchor>
    <xdr:from>
      <xdr:col>3</xdr:col>
      <xdr:colOff>403337</xdr:colOff>
      <xdr:row>17</xdr:row>
      <xdr:rowOff>19642</xdr:rowOff>
    </xdr:from>
    <xdr:to>
      <xdr:col>6</xdr:col>
      <xdr:colOff>125697</xdr:colOff>
      <xdr:row>18</xdr:row>
      <xdr:rowOff>27498</xdr:rowOff>
    </xdr:to>
    <xdr:sp macro="[0]!terrassup_Cliquer" textlink="">
      <xdr:nvSpPr>
        <xdr:cNvPr id="197" name="terrassupshape">
          <a:extLst>
            <a:ext uri="{FF2B5EF4-FFF2-40B4-BE49-F238E27FC236}">
              <a16:creationId xmlns:a16="http://schemas.microsoft.com/office/drawing/2014/main" id="{00000000-0008-0000-0300-0000C5000000}"/>
            </a:ext>
          </a:extLst>
        </xdr:cNvPr>
        <xdr:cNvSpPr/>
      </xdr:nvSpPr>
      <xdr:spPr>
        <a:xfrm>
          <a:off x="2471623" y="5190356"/>
          <a:ext cx="2073674" cy="323542"/>
        </a:xfrm>
        <a:prstGeom prst="roundRect">
          <a:avLst/>
        </a:prstGeom>
        <a:solidFill>
          <a:srgbClr val="BE5A3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Terrassement supplémentaire</a:t>
          </a:r>
        </a:p>
      </xdr:txBody>
    </xdr:sp>
    <xdr:clientData/>
  </xdr:twoCellAnchor>
  <xdr:twoCellAnchor>
    <xdr:from>
      <xdr:col>3</xdr:col>
      <xdr:colOff>403337</xdr:colOff>
      <xdr:row>18</xdr:row>
      <xdr:rowOff>101342</xdr:rowOff>
    </xdr:from>
    <xdr:to>
      <xdr:col>6</xdr:col>
      <xdr:colOff>125697</xdr:colOff>
      <xdr:row>19</xdr:row>
      <xdr:rowOff>172042</xdr:rowOff>
    </xdr:to>
    <xdr:sp macro="[0]!enlevement_Cliquer" textlink="">
      <xdr:nvSpPr>
        <xdr:cNvPr id="198" name="enlevementshape">
          <a:extLst>
            <a:ext uri="{FF2B5EF4-FFF2-40B4-BE49-F238E27FC236}">
              <a16:creationId xmlns:a16="http://schemas.microsoft.com/office/drawing/2014/main" id="{00000000-0008-0000-0300-0000C6000000}"/>
            </a:ext>
          </a:extLst>
        </xdr:cNvPr>
        <xdr:cNvSpPr/>
      </xdr:nvSpPr>
      <xdr:spPr>
        <a:xfrm>
          <a:off x="2471623" y="5587742"/>
          <a:ext cx="2073674" cy="331957"/>
        </a:xfrm>
        <a:prstGeom prst="roundRect">
          <a:avLst/>
        </a:prstGeom>
        <a:solidFill>
          <a:srgbClr val="BE5A3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Enlèvement de terres excavées</a:t>
          </a:r>
        </a:p>
      </xdr:txBody>
    </xdr:sp>
    <xdr:clientData/>
  </xdr:twoCellAnchor>
  <xdr:twoCellAnchor>
    <xdr:from>
      <xdr:col>27</xdr:col>
      <xdr:colOff>324047</xdr:colOff>
      <xdr:row>0</xdr:row>
      <xdr:rowOff>157113</xdr:rowOff>
    </xdr:from>
    <xdr:to>
      <xdr:col>29</xdr:col>
      <xdr:colOff>459950</xdr:colOff>
      <xdr:row>3</xdr:row>
      <xdr:rowOff>35704</xdr:rowOff>
    </xdr:to>
    <xdr:sp macro="[0]!DEVIS" textlink="">
      <xdr:nvSpPr>
        <xdr:cNvPr id="232" name="Flèche : droite 231">
          <a:extLst>
            <a:ext uri="{FF2B5EF4-FFF2-40B4-BE49-F238E27FC236}">
              <a16:creationId xmlns:a16="http://schemas.microsoft.com/office/drawing/2014/main" id="{00000000-0008-0000-0300-0000E8000000}"/>
            </a:ext>
          </a:extLst>
        </xdr:cNvPr>
        <xdr:cNvSpPr/>
      </xdr:nvSpPr>
      <xdr:spPr>
        <a:xfrm>
          <a:off x="24706083" y="157113"/>
          <a:ext cx="1255336" cy="556143"/>
        </a:xfrm>
        <a:prstGeom prst="rightArrow">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b="1"/>
            <a:t>CREER</a:t>
          </a:r>
          <a:r>
            <a:rPr lang="fr-FR" sz="1100" b="1" baseline="0"/>
            <a:t> DEVIS</a:t>
          </a:r>
          <a:endParaRPr lang="fr-FR" sz="1100" b="1"/>
        </a:p>
      </xdr:txBody>
    </xdr:sp>
    <xdr:clientData/>
  </xdr:twoCellAnchor>
  <xdr:twoCellAnchor>
    <xdr:from>
      <xdr:col>0</xdr:col>
      <xdr:colOff>87072</xdr:colOff>
      <xdr:row>5</xdr:row>
      <xdr:rowOff>198045</xdr:rowOff>
    </xdr:from>
    <xdr:to>
      <xdr:col>1</xdr:col>
      <xdr:colOff>919114</xdr:colOff>
      <xdr:row>6</xdr:row>
      <xdr:rowOff>345649</xdr:rowOff>
    </xdr:to>
    <xdr:sp macro="" textlink="">
      <xdr:nvSpPr>
        <xdr:cNvPr id="201" name="titre tableu">
          <a:extLst>
            <a:ext uri="{FF2B5EF4-FFF2-40B4-BE49-F238E27FC236}">
              <a16:creationId xmlns:a16="http://schemas.microsoft.com/office/drawing/2014/main" id="{00000000-0008-0000-0300-0000C9000000}"/>
            </a:ext>
          </a:extLst>
        </xdr:cNvPr>
        <xdr:cNvSpPr/>
      </xdr:nvSpPr>
      <xdr:spPr>
        <a:xfrm>
          <a:off x="87072" y="1399963"/>
          <a:ext cx="1798289" cy="532531"/>
        </a:xfrm>
        <a:prstGeom prst="roundRect">
          <a:avLst>
            <a:gd name="adj" fmla="val 0"/>
          </a:avLst>
        </a:prstGeom>
        <a:solidFill>
          <a:schemeClr val="accent5">
            <a:lumMod val="40000"/>
            <a:lumOff val="60000"/>
          </a:schemeClr>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rgbClr val="FF0000"/>
              </a:solidFill>
            </a:rPr>
            <a:t>TABLEAU DE</a:t>
          </a:r>
          <a:r>
            <a:rPr lang="fr-FR" sz="1100" b="1" baseline="0">
              <a:solidFill>
                <a:srgbClr val="FF0000"/>
              </a:solidFill>
            </a:rPr>
            <a:t> VERIFICATION</a:t>
          </a:r>
        </a:p>
        <a:p>
          <a:pPr algn="ctr"/>
          <a:r>
            <a:rPr lang="fr-FR" sz="1100" b="1" baseline="0">
              <a:solidFill>
                <a:srgbClr val="FF0000"/>
              </a:solidFill>
            </a:rPr>
            <a:t>(ne pas remplir)</a:t>
          </a:r>
          <a:endParaRPr lang="fr-FR" sz="1100" b="1">
            <a:solidFill>
              <a:srgbClr val="FF0000"/>
            </a:solidFill>
          </a:endParaRPr>
        </a:p>
      </xdr:txBody>
    </xdr:sp>
    <xdr:clientData/>
  </xdr:twoCellAnchor>
  <xdr:twoCellAnchor>
    <xdr:from>
      <xdr:col>1</xdr:col>
      <xdr:colOff>840556</xdr:colOff>
      <xdr:row>13</xdr:row>
      <xdr:rowOff>15711</xdr:rowOff>
    </xdr:from>
    <xdr:to>
      <xdr:col>3</xdr:col>
      <xdr:colOff>117835</xdr:colOff>
      <xdr:row>18</xdr:row>
      <xdr:rowOff>15712</xdr:rowOff>
    </xdr:to>
    <xdr:sp macro="" textlink="">
      <xdr:nvSpPr>
        <xdr:cNvPr id="230" name="Accolade fermante 229">
          <a:extLst>
            <a:ext uri="{FF2B5EF4-FFF2-40B4-BE49-F238E27FC236}">
              <a16:creationId xmlns:a16="http://schemas.microsoft.com/office/drawing/2014/main" id="{00000000-0008-0000-0300-0000E6000000}"/>
            </a:ext>
          </a:extLst>
        </xdr:cNvPr>
        <xdr:cNvSpPr/>
      </xdr:nvSpPr>
      <xdr:spPr>
        <a:xfrm>
          <a:off x="1806803" y="3943546"/>
          <a:ext cx="384929" cy="1610413"/>
        </a:xfrm>
        <a:prstGeom prst="rightBrace">
          <a:avLst>
            <a:gd name="adj1" fmla="val 5303"/>
            <a:gd name="adj2" fmla="val 78456"/>
          </a:avLst>
        </a:prstGeom>
        <a:ln w="381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FR" sz="1100"/>
        </a:p>
      </xdr:txBody>
    </xdr:sp>
    <xdr:clientData/>
  </xdr:twoCellAnchor>
  <xdr:twoCellAnchor>
    <xdr:from>
      <xdr:col>6</xdr:col>
      <xdr:colOff>350474</xdr:colOff>
      <xdr:row>10</xdr:row>
      <xdr:rowOff>359230</xdr:rowOff>
    </xdr:from>
    <xdr:to>
      <xdr:col>13</xdr:col>
      <xdr:colOff>89217</xdr:colOff>
      <xdr:row>20</xdr:row>
      <xdr:rowOff>217715</xdr:rowOff>
    </xdr:to>
    <xdr:sp macro="" textlink="">
      <xdr:nvSpPr>
        <xdr:cNvPr id="226" name="Rectangle : coins arrondis 225">
          <a:extLst>
            <a:ext uri="{FF2B5EF4-FFF2-40B4-BE49-F238E27FC236}">
              <a16:creationId xmlns:a16="http://schemas.microsoft.com/office/drawing/2014/main" id="{00000000-0008-0000-0300-0000E2000000}"/>
            </a:ext>
          </a:extLst>
        </xdr:cNvPr>
        <xdr:cNvSpPr/>
      </xdr:nvSpPr>
      <xdr:spPr>
        <a:xfrm>
          <a:off x="4769288" y="3206910"/>
          <a:ext cx="5502841" cy="3040032"/>
        </a:xfrm>
        <a:prstGeom prst="roundRect">
          <a:avLst>
            <a:gd name="adj" fmla="val 4303"/>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400" b="1">
              <a:solidFill>
                <a:schemeClr val="tx2">
                  <a:lumMod val="50000"/>
                </a:schemeClr>
              </a:solidFill>
            </a:rPr>
            <a:t>CHOIX DE LA FILIERE : </a:t>
          </a:r>
          <a:r>
            <a:rPr lang="fr-FR" sz="1400" b="1" baseline="0">
              <a:solidFill>
                <a:schemeClr val="tx2">
                  <a:lumMod val="50000"/>
                </a:schemeClr>
              </a:solidFill>
            </a:rPr>
            <a:t> cliquez sur FV epdm ou FV BAC puis cliquer sur FH si besoin. Recliquez sur FH pour l'enlever</a:t>
          </a:r>
          <a:endParaRPr lang="fr-FR" sz="1400" b="1">
            <a:solidFill>
              <a:schemeClr val="tx2">
                <a:lumMod val="50000"/>
              </a:schemeClr>
            </a:solidFill>
          </a:endParaRPr>
        </a:p>
      </xdr:txBody>
    </xdr:sp>
    <xdr:clientData/>
  </xdr:twoCellAnchor>
  <xdr:twoCellAnchor>
    <xdr:from>
      <xdr:col>7</xdr:col>
      <xdr:colOff>521369</xdr:colOff>
      <xdr:row>13</xdr:row>
      <xdr:rowOff>73995</xdr:rowOff>
    </xdr:from>
    <xdr:to>
      <xdr:col>10</xdr:col>
      <xdr:colOff>808321</xdr:colOff>
      <xdr:row>18</xdr:row>
      <xdr:rowOff>188595</xdr:rowOff>
    </xdr:to>
    <xdr:sp macro="" textlink="">
      <xdr:nvSpPr>
        <xdr:cNvPr id="233" name="Légende : flèche vers la droite 232">
          <a:extLst>
            <a:ext uri="{FF2B5EF4-FFF2-40B4-BE49-F238E27FC236}">
              <a16:creationId xmlns:a16="http://schemas.microsoft.com/office/drawing/2014/main" id="{00000000-0008-0000-0300-0000E9000000}"/>
            </a:ext>
          </a:extLst>
        </xdr:cNvPr>
        <xdr:cNvSpPr/>
      </xdr:nvSpPr>
      <xdr:spPr>
        <a:xfrm>
          <a:off x="5775158" y="3954179"/>
          <a:ext cx="2833637" cy="1718811"/>
        </a:xfrm>
        <a:prstGeom prst="rightArrowCallout">
          <a:avLst>
            <a:gd name="adj1" fmla="val 25000"/>
            <a:gd name="adj2" fmla="val 25000"/>
            <a:gd name="adj3" fmla="val 33320"/>
            <a:gd name="adj4" fmla="val 64977"/>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a:solidFill>
                <a:sysClr val="windowText" lastClr="000000"/>
              </a:solidFill>
            </a:rPr>
            <a:t>OU</a:t>
          </a:r>
        </a:p>
      </xdr:txBody>
    </xdr:sp>
    <xdr:clientData/>
  </xdr:twoCellAnchor>
  <xdr:twoCellAnchor>
    <xdr:from>
      <xdr:col>7</xdr:col>
      <xdr:colOff>703290</xdr:colOff>
      <xdr:row>13</xdr:row>
      <xdr:rowOff>228436</xdr:rowOff>
    </xdr:from>
    <xdr:to>
      <xdr:col>9</xdr:col>
      <xdr:colOff>404775</xdr:colOff>
      <xdr:row>15</xdr:row>
      <xdr:rowOff>125010</xdr:rowOff>
    </xdr:to>
    <xdr:sp macro="[0]!FVEPDM" textlink="">
      <xdr:nvSpPr>
        <xdr:cNvPr id="206" name="BOUTONFV">
          <a:extLst>
            <a:ext uri="{FF2B5EF4-FFF2-40B4-BE49-F238E27FC236}">
              <a16:creationId xmlns:a16="http://schemas.microsoft.com/office/drawing/2014/main" id="{00000000-0008-0000-0300-0000CE000000}"/>
            </a:ext>
          </a:extLst>
        </xdr:cNvPr>
        <xdr:cNvSpPr/>
      </xdr:nvSpPr>
      <xdr:spPr>
        <a:xfrm>
          <a:off x="5967106" y="4068515"/>
          <a:ext cx="1385906" cy="518206"/>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i="0" u="sng"/>
            <a:t>FV EPDM</a:t>
          </a:r>
        </a:p>
      </xdr:txBody>
    </xdr:sp>
    <xdr:clientData/>
  </xdr:twoCellAnchor>
  <xdr:twoCellAnchor>
    <xdr:from>
      <xdr:col>7</xdr:col>
      <xdr:colOff>726560</xdr:colOff>
      <xdr:row>16</xdr:row>
      <xdr:rowOff>122087</xdr:rowOff>
    </xdr:from>
    <xdr:to>
      <xdr:col>9</xdr:col>
      <xdr:colOff>321875</xdr:colOff>
      <xdr:row>18</xdr:row>
      <xdr:rowOff>131849</xdr:rowOff>
    </xdr:to>
    <xdr:sp macro="[0]!FVBACS" textlink="">
      <xdr:nvSpPr>
        <xdr:cNvPr id="224" name="BOUTONFVB">
          <a:extLst>
            <a:ext uri="{FF2B5EF4-FFF2-40B4-BE49-F238E27FC236}">
              <a16:creationId xmlns:a16="http://schemas.microsoft.com/office/drawing/2014/main" id="{00000000-0008-0000-0300-0000E0000000}"/>
            </a:ext>
          </a:extLst>
        </xdr:cNvPr>
        <xdr:cNvSpPr/>
      </xdr:nvSpPr>
      <xdr:spPr>
        <a:xfrm>
          <a:off x="5980349" y="4964798"/>
          <a:ext cx="1269710" cy="651446"/>
        </a:xfrm>
        <a:prstGeom prst="roundRect">
          <a:avLst/>
        </a:prstGeom>
        <a:solidFill>
          <a:schemeClr val="accent2">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000" b="1" i="0" u="sng"/>
            <a:t>FV BAC</a:t>
          </a:r>
        </a:p>
      </xdr:txBody>
    </xdr:sp>
    <xdr:clientData/>
  </xdr:twoCellAnchor>
  <xdr:twoCellAnchor>
    <xdr:from>
      <xdr:col>10</xdr:col>
      <xdr:colOff>827900</xdr:colOff>
      <xdr:row>14</xdr:row>
      <xdr:rowOff>231633</xdr:rowOff>
    </xdr:from>
    <xdr:to>
      <xdr:col>12</xdr:col>
      <xdr:colOff>344112</xdr:colOff>
      <xdr:row>16</xdr:row>
      <xdr:rowOff>272482</xdr:rowOff>
    </xdr:to>
    <xdr:sp macro="[0]!FHEPDM" textlink="">
      <xdr:nvSpPr>
        <xdr:cNvPr id="207" name="BOUTONFH">
          <a:extLst>
            <a:ext uri="{FF2B5EF4-FFF2-40B4-BE49-F238E27FC236}">
              <a16:creationId xmlns:a16="http://schemas.microsoft.com/office/drawing/2014/main" id="{00000000-0008-0000-0300-0000CF000000}"/>
            </a:ext>
          </a:extLst>
        </xdr:cNvPr>
        <xdr:cNvSpPr/>
      </xdr:nvSpPr>
      <xdr:spPr>
        <a:xfrm>
          <a:off x="8628374" y="4432659"/>
          <a:ext cx="1210659" cy="682534"/>
        </a:xfrm>
        <a:prstGeom prst="roundRect">
          <a:avLst/>
        </a:prstGeom>
        <a:solidFill>
          <a:srgbClr val="1F4E7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3200" b="1" i="0" u="sng"/>
            <a:t>FH?</a:t>
          </a:r>
        </a:p>
      </xdr:txBody>
    </xdr:sp>
    <xdr:clientData/>
  </xdr:twoCellAnchor>
  <xdr:twoCellAnchor>
    <xdr:from>
      <xdr:col>0</xdr:col>
      <xdr:colOff>0</xdr:colOff>
      <xdr:row>4</xdr:row>
      <xdr:rowOff>119289</xdr:rowOff>
    </xdr:from>
    <xdr:to>
      <xdr:col>3</xdr:col>
      <xdr:colOff>20251</xdr:colOff>
      <xdr:row>20</xdr:row>
      <xdr:rowOff>313594</xdr:rowOff>
    </xdr:to>
    <xdr:sp macro="" textlink="">
      <xdr:nvSpPr>
        <xdr:cNvPr id="8" name="Rectangle : coins arrondis 7">
          <a:extLst>
            <a:ext uri="{FF2B5EF4-FFF2-40B4-BE49-F238E27FC236}">
              <a16:creationId xmlns:a16="http://schemas.microsoft.com/office/drawing/2014/main" id="{00000000-0008-0000-0300-000008000000}"/>
            </a:ext>
          </a:extLst>
        </xdr:cNvPr>
        <xdr:cNvSpPr/>
      </xdr:nvSpPr>
      <xdr:spPr>
        <a:xfrm>
          <a:off x="0" y="993232"/>
          <a:ext cx="2082364" cy="5349589"/>
        </a:xfrm>
        <a:prstGeom prst="roundRect">
          <a:avLst/>
        </a:prstGeom>
        <a:solidFill>
          <a:schemeClr val="bg2"/>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solidFill>
                <a:sysClr val="windowText" lastClr="000000"/>
              </a:solidFill>
            </a:rPr>
            <a:t>En cas</a:t>
          </a:r>
          <a:r>
            <a:rPr lang="fr-FR" sz="1100" baseline="0">
              <a:solidFill>
                <a:sysClr val="windowText" lastClr="000000"/>
              </a:solidFill>
            </a:rPr>
            <a:t> de problème lors d'une simulation (incohérence flagrante du prix), penser à réinitialiser le simulateur ci-dessus.</a:t>
          </a:r>
          <a:br>
            <a:rPr lang="fr-FR" sz="1100" baseline="0">
              <a:solidFill>
                <a:sysClr val="windowText" lastClr="000000"/>
              </a:solidFill>
            </a:rPr>
          </a:br>
          <a:br>
            <a:rPr lang="fr-FR" sz="1100" baseline="0">
              <a:solidFill>
                <a:sysClr val="windowText" lastClr="000000"/>
              </a:solidFill>
            </a:rPr>
          </a:br>
          <a:r>
            <a:rPr lang="fr-FR" sz="1100" baseline="0">
              <a:solidFill>
                <a:sysClr val="windowText" lastClr="000000"/>
              </a:solidFill>
            </a:rPr>
            <a:t>Certains outils ne sont pas encore validés.</a:t>
          </a:r>
          <a:br>
            <a:rPr lang="fr-FR" sz="1100" baseline="0">
              <a:solidFill>
                <a:sysClr val="windowText" lastClr="000000"/>
              </a:solidFill>
            </a:rPr>
          </a:br>
          <a:br>
            <a:rPr lang="fr-FR" sz="1100" baseline="0">
              <a:solidFill>
                <a:sysClr val="windowText" lastClr="000000"/>
              </a:solidFill>
            </a:rPr>
          </a:br>
          <a:br>
            <a:rPr lang="fr-FR" sz="1100" baseline="0">
              <a:solidFill>
                <a:sysClr val="windowText" lastClr="000000"/>
              </a:solidFill>
            </a:rPr>
          </a:br>
          <a:br>
            <a:rPr lang="fr-FR" sz="1100" baseline="0">
              <a:solidFill>
                <a:sysClr val="windowText" lastClr="000000"/>
              </a:solidFill>
            </a:rPr>
          </a:br>
          <a:br>
            <a:rPr lang="fr-FR" sz="1100" baseline="0">
              <a:solidFill>
                <a:sysClr val="windowText" lastClr="000000"/>
              </a:solidFill>
            </a:rPr>
          </a:br>
          <a:br>
            <a:rPr lang="fr-FR" sz="1100" baseline="0">
              <a:solidFill>
                <a:sysClr val="windowText" lastClr="000000"/>
              </a:solidFill>
            </a:rPr>
          </a:br>
          <a:br>
            <a:rPr lang="fr-FR" sz="1100" baseline="0">
              <a:solidFill>
                <a:sysClr val="windowText" lastClr="000000"/>
              </a:solidFill>
            </a:rPr>
          </a:br>
          <a:br>
            <a:rPr lang="fr-FR" sz="1100" baseline="0">
              <a:solidFill>
                <a:sysClr val="windowText" lastClr="000000"/>
              </a:solidFill>
            </a:rPr>
          </a:br>
          <a:br>
            <a:rPr lang="fr-FR" sz="1100" baseline="0">
              <a:solidFill>
                <a:sysClr val="windowText" lastClr="000000"/>
              </a:solidFill>
            </a:rPr>
          </a:br>
          <a:br>
            <a:rPr lang="fr-FR" sz="1100" baseline="0">
              <a:solidFill>
                <a:sysClr val="windowText" lastClr="000000"/>
              </a:solidFill>
            </a:rPr>
          </a:br>
          <a:br>
            <a:rPr lang="fr-FR" sz="1100" baseline="0">
              <a:solidFill>
                <a:sysClr val="windowText" lastClr="000000"/>
              </a:solidFill>
            </a:rPr>
          </a:br>
          <a:br>
            <a:rPr lang="fr-FR" sz="1100" baseline="0">
              <a:solidFill>
                <a:sysClr val="windowText" lastClr="000000"/>
              </a:solidFill>
            </a:rPr>
          </a:br>
          <a:br>
            <a:rPr lang="fr-FR" sz="1100" baseline="0">
              <a:solidFill>
                <a:sysClr val="windowText" lastClr="000000"/>
              </a:solidFill>
            </a:rPr>
          </a:br>
          <a:br>
            <a:rPr lang="fr-FR" sz="1100" baseline="0">
              <a:solidFill>
                <a:sysClr val="windowText" lastClr="000000"/>
              </a:solidFill>
            </a:rPr>
          </a:br>
          <a:br>
            <a:rPr lang="fr-FR" sz="1100" baseline="0">
              <a:solidFill>
                <a:sysClr val="windowText" lastClr="000000"/>
              </a:solidFill>
            </a:rPr>
          </a:br>
          <a:r>
            <a:rPr lang="fr-FR" sz="1100" baseline="0">
              <a:solidFill>
                <a:sysClr val="windowText" lastClr="000000"/>
              </a:solidFill>
            </a:rPr>
            <a:t>Affiche tous les choix possibles, celà permet d'avoir une vue d'ensemble et de chiffrer des projets atypiques (par exemple avoir deux réseaux de collectes gravitaire/relevage)</a:t>
          </a:r>
        </a:p>
        <a:p>
          <a:pPr algn="l"/>
          <a:endParaRPr lang="fr-FR" sz="1100" baseline="0">
            <a:solidFill>
              <a:sysClr val="windowText" lastClr="000000"/>
            </a:solidFill>
          </a:endParaRPr>
        </a:p>
      </xdr:txBody>
    </xdr:sp>
    <xdr:clientData/>
  </xdr:twoCellAnchor>
  <xdr:twoCellAnchor>
    <xdr:from>
      <xdr:col>6</xdr:col>
      <xdr:colOff>488813</xdr:colOff>
      <xdr:row>66</xdr:row>
      <xdr:rowOff>285455</xdr:rowOff>
    </xdr:from>
    <xdr:to>
      <xdr:col>7</xdr:col>
      <xdr:colOff>579051</xdr:colOff>
      <xdr:row>67</xdr:row>
      <xdr:rowOff>257734</xdr:rowOff>
    </xdr:to>
    <xdr:sp macro="[0]!EPANDRAIN" textlink="">
      <xdr:nvSpPr>
        <xdr:cNvPr id="24" name="EPANDRAIN">
          <a:extLst>
            <a:ext uri="{FF2B5EF4-FFF2-40B4-BE49-F238E27FC236}">
              <a16:creationId xmlns:a16="http://schemas.microsoft.com/office/drawing/2014/main" id="{00000000-0008-0000-0300-000018000000}"/>
            </a:ext>
          </a:extLst>
        </xdr:cNvPr>
        <xdr:cNvSpPr/>
      </xdr:nvSpPr>
      <xdr:spPr>
        <a:xfrm>
          <a:off x="4892725" y="16646043"/>
          <a:ext cx="930679" cy="297250"/>
        </a:xfrm>
        <a:prstGeom prst="roundRect">
          <a:avLst/>
        </a:prstGeom>
        <a:solidFill>
          <a:schemeClr val="accent1">
            <a:lumMod val="85000"/>
            <a:lumOff val="1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EPANDRAIN</a:t>
          </a:r>
        </a:p>
      </xdr:txBody>
    </xdr:sp>
    <xdr:clientData/>
  </xdr:twoCellAnchor>
  <xdr:twoCellAnchor>
    <xdr:from>
      <xdr:col>11</xdr:col>
      <xdr:colOff>441158</xdr:colOff>
      <xdr:row>84</xdr:row>
      <xdr:rowOff>70184</xdr:rowOff>
    </xdr:from>
    <xdr:to>
      <xdr:col>15</xdr:col>
      <xdr:colOff>1002631</xdr:colOff>
      <xdr:row>85</xdr:row>
      <xdr:rowOff>230606</xdr:rowOff>
    </xdr:to>
    <xdr:sp macro="" textlink="">
      <xdr:nvSpPr>
        <xdr:cNvPr id="225" name="Légende : flèche courbée 224">
          <a:extLst>
            <a:ext uri="{FF2B5EF4-FFF2-40B4-BE49-F238E27FC236}">
              <a16:creationId xmlns:a16="http://schemas.microsoft.com/office/drawing/2014/main" id="{00000000-0008-0000-0300-0000E1000000}"/>
            </a:ext>
          </a:extLst>
        </xdr:cNvPr>
        <xdr:cNvSpPr/>
      </xdr:nvSpPr>
      <xdr:spPr>
        <a:xfrm>
          <a:off x="9144000" y="23080579"/>
          <a:ext cx="3248526" cy="621632"/>
        </a:xfrm>
        <a:prstGeom prst="borderCallout2">
          <a:avLst>
            <a:gd name="adj1" fmla="val 55847"/>
            <a:gd name="adj2" fmla="val 9877"/>
            <a:gd name="adj3" fmla="val 78427"/>
            <a:gd name="adj4" fmla="val -3704"/>
            <a:gd name="adj5" fmla="val 48021"/>
            <a:gd name="adj6" fmla="val -7750"/>
          </a:avLst>
        </a:prstGeom>
        <a:solidFill>
          <a:schemeClr val="bg2"/>
        </a:solidFill>
        <a:ln>
          <a:solidFill>
            <a:schemeClr val="bg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solidFill>
                <a:schemeClr val="tx1"/>
              </a:solidFill>
            </a:rPr>
            <a:t>Pour le moment epandrain et passage véhicule non pris en compte et estimés équivalent au prix d'une tranchée gravitaire classique</a:t>
          </a:r>
        </a:p>
      </xdr:txBody>
    </xdr:sp>
    <xdr:clientData/>
  </xdr:twoCellAnchor>
  <xdr:twoCellAnchor>
    <xdr:from>
      <xdr:col>56</xdr:col>
      <xdr:colOff>929588</xdr:colOff>
      <xdr:row>10</xdr:row>
      <xdr:rowOff>222577</xdr:rowOff>
    </xdr:from>
    <xdr:to>
      <xdr:col>57</xdr:col>
      <xdr:colOff>663135</xdr:colOff>
      <xdr:row>12</xdr:row>
      <xdr:rowOff>58917</xdr:rowOff>
    </xdr:to>
    <xdr:sp macro="[0]!ANALYSE_IMPRIMER" textlink="">
      <xdr:nvSpPr>
        <xdr:cNvPr id="211" name="Rectangle : coins arrondis 210">
          <a:extLst>
            <a:ext uri="{FF2B5EF4-FFF2-40B4-BE49-F238E27FC236}">
              <a16:creationId xmlns:a16="http://schemas.microsoft.com/office/drawing/2014/main" id="{00000000-0008-0000-0300-0000D3000000}"/>
            </a:ext>
          </a:extLst>
        </xdr:cNvPr>
        <xdr:cNvSpPr/>
      </xdr:nvSpPr>
      <xdr:spPr>
        <a:xfrm>
          <a:off x="48567681" y="3109536"/>
          <a:ext cx="1029732" cy="53680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b="1"/>
            <a:t>IMPRIMER ANALYSE</a:t>
          </a:r>
          <a:r>
            <a:rPr lang="fr-FR" sz="1100" b="1" baseline="0"/>
            <a:t>S</a:t>
          </a:r>
          <a:endParaRPr lang="fr-FR" sz="1100" b="1"/>
        </a:p>
      </xdr:txBody>
    </xdr:sp>
    <xdr:clientData/>
  </xdr:twoCellAnchor>
  <xdr:twoCellAnchor>
    <xdr:from>
      <xdr:col>3</xdr:col>
      <xdr:colOff>45530</xdr:colOff>
      <xdr:row>72</xdr:row>
      <xdr:rowOff>101779</xdr:rowOff>
    </xdr:from>
    <xdr:to>
      <xdr:col>5</xdr:col>
      <xdr:colOff>300670</xdr:colOff>
      <xdr:row>73</xdr:row>
      <xdr:rowOff>173396</xdr:rowOff>
    </xdr:to>
    <xdr:sp macro="" textlink="">
      <xdr:nvSpPr>
        <xdr:cNvPr id="36" name="Rectangle : coins arrondis 35" hidden="1">
          <a:extLst>
            <a:ext uri="{FF2B5EF4-FFF2-40B4-BE49-F238E27FC236}">
              <a16:creationId xmlns:a16="http://schemas.microsoft.com/office/drawing/2014/main" id="{00000000-0008-0000-0300-000024000000}"/>
            </a:ext>
          </a:extLst>
        </xdr:cNvPr>
        <xdr:cNvSpPr/>
      </xdr:nvSpPr>
      <xdr:spPr>
        <a:xfrm>
          <a:off x="2107412" y="18434603"/>
          <a:ext cx="1790346" cy="788793"/>
        </a:xfrm>
        <a:prstGeom prst="roundRect">
          <a:avLst/>
        </a:prstGeom>
        <a:solidFill>
          <a:schemeClr val="accent2">
            <a:lumMod val="60000"/>
            <a:lumOff val="40000"/>
          </a:schemeClr>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fr-FR" sz="900" b="1">
              <a:solidFill>
                <a:sysClr val="windowText" lastClr="000000"/>
              </a:solidFill>
            </a:rPr>
            <a:t>Retenue Gravitaire</a:t>
          </a:r>
        </a:p>
      </xdr:txBody>
    </xdr:sp>
    <xdr:clientData/>
  </xdr:twoCellAnchor>
  <xdr:twoCellAnchor>
    <xdr:from>
      <xdr:col>4</xdr:col>
      <xdr:colOff>206580</xdr:colOff>
      <xdr:row>72</xdr:row>
      <xdr:rowOff>345306</xdr:rowOff>
    </xdr:from>
    <xdr:to>
      <xdr:col>5</xdr:col>
      <xdr:colOff>55522</xdr:colOff>
      <xdr:row>73</xdr:row>
      <xdr:rowOff>70705</xdr:rowOff>
    </xdr:to>
    <xdr:sp macro="[0]!F3_Bastaings_grav" textlink="">
      <xdr:nvSpPr>
        <xdr:cNvPr id="49" name="F3grav" hidden="1">
          <a:extLst>
            <a:ext uri="{FF2B5EF4-FFF2-40B4-BE49-F238E27FC236}">
              <a16:creationId xmlns:a16="http://schemas.microsoft.com/office/drawing/2014/main" id="{00000000-0008-0000-0300-000031000000}"/>
            </a:ext>
          </a:extLst>
        </xdr:cNvPr>
        <xdr:cNvSpPr/>
      </xdr:nvSpPr>
      <xdr:spPr>
        <a:xfrm>
          <a:off x="2996845" y="18678130"/>
          <a:ext cx="655765" cy="44257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Bastaing bois V</a:t>
          </a:r>
        </a:p>
      </xdr:txBody>
    </xdr:sp>
    <xdr:clientData/>
  </xdr:twoCellAnchor>
  <xdr:twoCellAnchor>
    <xdr:from>
      <xdr:col>5</xdr:col>
      <xdr:colOff>11206</xdr:colOff>
      <xdr:row>74</xdr:row>
      <xdr:rowOff>53041</xdr:rowOff>
    </xdr:from>
    <xdr:to>
      <xdr:col>8</xdr:col>
      <xdr:colOff>2038</xdr:colOff>
      <xdr:row>78</xdr:row>
      <xdr:rowOff>152011</xdr:rowOff>
    </xdr:to>
    <xdr:sp macro="" textlink="">
      <xdr:nvSpPr>
        <xdr:cNvPr id="219" name="Rectangle : coins arrondis 218" hidden="1">
          <a:extLst>
            <a:ext uri="{FF2B5EF4-FFF2-40B4-BE49-F238E27FC236}">
              <a16:creationId xmlns:a16="http://schemas.microsoft.com/office/drawing/2014/main" id="{00000000-0008-0000-0300-0000DB000000}"/>
            </a:ext>
          </a:extLst>
        </xdr:cNvPr>
        <xdr:cNvSpPr/>
      </xdr:nvSpPr>
      <xdr:spPr>
        <a:xfrm>
          <a:off x="3608294" y="19293541"/>
          <a:ext cx="2489744" cy="1197146"/>
        </a:xfrm>
        <a:prstGeom prst="roundRect">
          <a:avLst/>
        </a:prstGeom>
        <a:solidFill>
          <a:schemeClr val="bg2">
            <a:lumMod val="25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fr-FR" sz="1100" b="1"/>
            <a:t>Bâchées</a:t>
          </a:r>
          <a:r>
            <a:rPr lang="fr-FR" sz="1100" b="1" baseline="0"/>
            <a:t> par :</a:t>
          </a:r>
          <a:endParaRPr lang="fr-FR" sz="1100" b="1"/>
        </a:p>
        <a:p>
          <a:pPr algn="l"/>
          <a:br>
            <a:rPr lang="fr-FR" sz="1100" b="1"/>
          </a:br>
          <a:br>
            <a:rPr lang="fr-FR" sz="1100" b="1"/>
          </a:br>
          <a:r>
            <a:rPr lang="fr-FR" sz="1100" b="1"/>
            <a:t>	OU</a:t>
          </a:r>
        </a:p>
      </xdr:txBody>
    </xdr:sp>
    <xdr:clientData/>
  </xdr:twoCellAnchor>
  <xdr:twoCellAnchor>
    <xdr:from>
      <xdr:col>3</xdr:col>
      <xdr:colOff>193915</xdr:colOff>
      <xdr:row>72</xdr:row>
      <xdr:rowOff>386578</xdr:rowOff>
    </xdr:from>
    <xdr:to>
      <xdr:col>4</xdr:col>
      <xdr:colOff>129699</xdr:colOff>
      <xdr:row>72</xdr:row>
      <xdr:rowOff>712770</xdr:rowOff>
    </xdr:to>
    <xdr:sp macro="[0]!F4_traverse_grav" textlink="">
      <xdr:nvSpPr>
        <xdr:cNvPr id="70" name="F4grav" hidden="1">
          <a:extLst>
            <a:ext uri="{FF2B5EF4-FFF2-40B4-BE49-F238E27FC236}">
              <a16:creationId xmlns:a16="http://schemas.microsoft.com/office/drawing/2014/main" id="{00000000-0008-0000-0300-000046000000}"/>
            </a:ext>
          </a:extLst>
        </xdr:cNvPr>
        <xdr:cNvSpPr/>
      </xdr:nvSpPr>
      <xdr:spPr>
        <a:xfrm>
          <a:off x="2255797" y="18719402"/>
          <a:ext cx="664167" cy="326192"/>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 Traverse Chêne</a:t>
          </a:r>
        </a:p>
      </xdr:txBody>
    </xdr:sp>
    <xdr:clientData/>
  </xdr:twoCellAnchor>
  <xdr:twoCellAnchor>
    <xdr:from>
      <xdr:col>6</xdr:col>
      <xdr:colOff>537883</xdr:colOff>
      <xdr:row>73</xdr:row>
      <xdr:rowOff>100853</xdr:rowOff>
    </xdr:from>
    <xdr:to>
      <xdr:col>8</xdr:col>
      <xdr:colOff>381001</xdr:colOff>
      <xdr:row>78</xdr:row>
      <xdr:rowOff>291353</xdr:rowOff>
    </xdr:to>
    <xdr:sp macro="" textlink="">
      <xdr:nvSpPr>
        <xdr:cNvPr id="18" name="Rectangle : coins arrondis 17" hidden="1">
          <a:extLst>
            <a:ext uri="{FF2B5EF4-FFF2-40B4-BE49-F238E27FC236}">
              <a16:creationId xmlns:a16="http://schemas.microsoft.com/office/drawing/2014/main" id="{00000000-0008-0000-0300-000012000000}"/>
            </a:ext>
          </a:extLst>
        </xdr:cNvPr>
        <xdr:cNvSpPr/>
      </xdr:nvSpPr>
      <xdr:spPr>
        <a:xfrm>
          <a:off x="4941795" y="19150853"/>
          <a:ext cx="1535206" cy="1479176"/>
        </a:xfrm>
        <a:prstGeom prst="roundRect">
          <a:avLst/>
        </a:prstGeom>
        <a:solidFill>
          <a:schemeClr val="tx2">
            <a:lumMod val="60000"/>
            <a:lumOff val="40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fr-FR" sz="1100" b="1"/>
            <a:t>CHASSES HYDRAULIQUES</a:t>
          </a:r>
        </a:p>
      </xdr:txBody>
    </xdr:sp>
    <xdr:clientData/>
  </xdr:twoCellAnchor>
  <xdr:twoCellAnchor>
    <xdr:from>
      <xdr:col>6</xdr:col>
      <xdr:colOff>651565</xdr:colOff>
      <xdr:row>75</xdr:row>
      <xdr:rowOff>191411</xdr:rowOff>
    </xdr:from>
    <xdr:to>
      <xdr:col>8</xdr:col>
      <xdr:colOff>257099</xdr:colOff>
      <xdr:row>76</xdr:row>
      <xdr:rowOff>213047</xdr:rowOff>
    </xdr:to>
    <xdr:sp macro="[0]!Chasse_AQUATIRIS" textlink="">
      <xdr:nvSpPr>
        <xdr:cNvPr id="76" name="Chasse AQUATIRIS" hidden="1">
          <a:extLst>
            <a:ext uri="{FF2B5EF4-FFF2-40B4-BE49-F238E27FC236}">
              <a16:creationId xmlns:a16="http://schemas.microsoft.com/office/drawing/2014/main" id="{00000000-0008-0000-0300-00004C000000}"/>
            </a:ext>
          </a:extLst>
        </xdr:cNvPr>
        <xdr:cNvSpPr/>
      </xdr:nvSpPr>
      <xdr:spPr>
        <a:xfrm>
          <a:off x="5055477" y="19622411"/>
          <a:ext cx="1297622" cy="29057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AQUATIRIS</a:t>
          </a:r>
          <a:r>
            <a:rPr lang="fr-FR" sz="900" b="1" i="0" u="none" strike="noStrike" kern="1200" spc="0" baseline="0">
              <a:solidFill>
                <a:srgbClr val="FFFFFF"/>
              </a:solidFill>
              <a:latin typeface="Calibri"/>
            </a:rPr>
            <a:t> 30L</a:t>
          </a:r>
          <a:endParaRPr lang="fr-FR" sz="900" b="1" i="0" u="none" strike="noStrike" kern="1200" spc="0">
            <a:solidFill>
              <a:srgbClr val="FFFFFF"/>
            </a:solidFill>
            <a:latin typeface="Calibri"/>
          </a:endParaRPr>
        </a:p>
      </xdr:txBody>
    </xdr:sp>
    <xdr:clientData/>
  </xdr:twoCellAnchor>
  <xdr:twoCellAnchor>
    <xdr:from>
      <xdr:col>6</xdr:col>
      <xdr:colOff>697531</xdr:colOff>
      <xdr:row>76</xdr:row>
      <xdr:rowOff>246523</xdr:rowOff>
    </xdr:from>
    <xdr:to>
      <xdr:col>8</xdr:col>
      <xdr:colOff>198622</xdr:colOff>
      <xdr:row>77</xdr:row>
      <xdr:rowOff>224387</xdr:rowOff>
    </xdr:to>
    <xdr:sp macro="[0]!Chasse_NAVES" textlink="">
      <xdr:nvSpPr>
        <xdr:cNvPr id="77" name="Chasse NAVES" hidden="1">
          <a:extLst>
            <a:ext uri="{FF2B5EF4-FFF2-40B4-BE49-F238E27FC236}">
              <a16:creationId xmlns:a16="http://schemas.microsoft.com/office/drawing/2014/main" id="{00000000-0008-0000-0300-00004D000000}"/>
            </a:ext>
          </a:extLst>
        </xdr:cNvPr>
        <xdr:cNvSpPr/>
      </xdr:nvSpPr>
      <xdr:spPr>
        <a:xfrm>
          <a:off x="5109110" y="20720260"/>
          <a:ext cx="1195538" cy="298706"/>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Frères </a:t>
          </a:r>
          <a:r>
            <a:rPr lang="fr-FR" sz="900" b="1" i="0" u="none" strike="noStrike" kern="1200" spc="0" baseline="0">
              <a:solidFill>
                <a:srgbClr val="FFFFFF"/>
              </a:solidFill>
              <a:latin typeface="Calibri"/>
            </a:rPr>
            <a:t>NAVES</a:t>
          </a:r>
          <a:endParaRPr lang="fr-FR" sz="900" b="1" i="0" u="none" strike="noStrike" kern="1200" spc="0">
            <a:solidFill>
              <a:srgbClr val="FFFFFF"/>
            </a:solidFill>
            <a:latin typeface="Calibri"/>
          </a:endParaRPr>
        </a:p>
      </xdr:txBody>
    </xdr:sp>
    <xdr:clientData/>
  </xdr:twoCellAnchor>
  <xdr:twoCellAnchor>
    <xdr:from>
      <xdr:col>5</xdr:col>
      <xdr:colOff>149943</xdr:colOff>
      <xdr:row>76</xdr:row>
      <xdr:rowOff>66837</xdr:rowOff>
    </xdr:from>
    <xdr:to>
      <xdr:col>6</xdr:col>
      <xdr:colOff>149146</xdr:colOff>
      <xdr:row>77</xdr:row>
      <xdr:rowOff>163179</xdr:rowOff>
    </xdr:to>
    <xdr:sp macro="[0]!Broyeur" textlink="">
      <xdr:nvSpPr>
        <xdr:cNvPr id="128" name="broyeur" hidden="1">
          <a:extLst>
            <a:ext uri="{FF2B5EF4-FFF2-40B4-BE49-F238E27FC236}">
              <a16:creationId xmlns:a16="http://schemas.microsoft.com/office/drawing/2014/main" id="{00000000-0008-0000-0300-000080000000}"/>
            </a:ext>
          </a:extLst>
        </xdr:cNvPr>
        <xdr:cNvSpPr/>
      </xdr:nvSpPr>
      <xdr:spPr>
        <a:xfrm>
          <a:off x="3747031" y="19766778"/>
          <a:ext cx="806027" cy="41010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BROYEUR EN  LIGNE</a:t>
          </a:r>
        </a:p>
      </xdr:txBody>
    </xdr:sp>
    <xdr:clientData/>
  </xdr:twoCellAnchor>
  <xdr:twoCellAnchor>
    <xdr:from>
      <xdr:col>6</xdr:col>
      <xdr:colOff>765874</xdr:colOff>
      <xdr:row>77</xdr:row>
      <xdr:rowOff>257147</xdr:rowOff>
    </xdr:from>
    <xdr:to>
      <xdr:col>8</xdr:col>
      <xdr:colOff>139291</xdr:colOff>
      <xdr:row>78</xdr:row>
      <xdr:rowOff>214544</xdr:rowOff>
    </xdr:to>
    <xdr:sp macro="[0]!Chasse_INEAUTECH" textlink="">
      <xdr:nvSpPr>
        <xdr:cNvPr id="209" name="Chasse INEAUTECH" hidden="1">
          <a:extLst>
            <a:ext uri="{FF2B5EF4-FFF2-40B4-BE49-F238E27FC236}">
              <a16:creationId xmlns:a16="http://schemas.microsoft.com/office/drawing/2014/main" id="{00000000-0008-0000-0300-0000D1000000}"/>
            </a:ext>
          </a:extLst>
        </xdr:cNvPr>
        <xdr:cNvSpPr/>
      </xdr:nvSpPr>
      <xdr:spPr>
        <a:xfrm>
          <a:off x="5169786" y="20270853"/>
          <a:ext cx="1065505" cy="28236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INEAUTECH 100L</a:t>
          </a:r>
        </a:p>
      </xdr:txBody>
    </xdr:sp>
    <xdr:clientData/>
  </xdr:twoCellAnchor>
  <xdr:twoCellAnchor>
    <xdr:from>
      <xdr:col>14</xdr:col>
      <xdr:colOff>119753</xdr:colOff>
      <xdr:row>51</xdr:row>
      <xdr:rowOff>134369</xdr:rowOff>
    </xdr:from>
    <xdr:to>
      <xdr:col>15</xdr:col>
      <xdr:colOff>1057970</xdr:colOff>
      <xdr:row>64</xdr:row>
      <xdr:rowOff>6023</xdr:rowOff>
    </xdr:to>
    <xdr:grpSp>
      <xdr:nvGrpSpPr>
        <xdr:cNvPr id="22" name="GroupFH" hidden="1">
          <a:extLst>
            <a:ext uri="{FF2B5EF4-FFF2-40B4-BE49-F238E27FC236}">
              <a16:creationId xmlns:a16="http://schemas.microsoft.com/office/drawing/2014/main" id="{00000000-0008-0000-0300-000016000000}"/>
            </a:ext>
          </a:extLst>
        </xdr:cNvPr>
        <xdr:cNvGrpSpPr/>
      </xdr:nvGrpSpPr>
      <xdr:grpSpPr>
        <a:xfrm>
          <a:off x="10446858" y="12406580"/>
          <a:ext cx="1940849" cy="3160285"/>
          <a:chOff x="10462782" y="12483251"/>
          <a:chExt cx="1935541" cy="3177390"/>
        </a:xfrm>
      </xdr:grpSpPr>
      <xdr:sp macro="[0]!BP_gravillonsFH" textlink="">
        <xdr:nvSpPr>
          <xdr:cNvPr id="99" name="BPFH" hidden="1">
            <a:extLst>
              <a:ext uri="{FF2B5EF4-FFF2-40B4-BE49-F238E27FC236}">
                <a16:creationId xmlns:a16="http://schemas.microsoft.com/office/drawing/2014/main" id="{00000000-0008-0000-0300-000063000000}"/>
              </a:ext>
            </a:extLst>
          </xdr:cNvPr>
          <xdr:cNvSpPr/>
        </xdr:nvSpPr>
        <xdr:spPr>
          <a:xfrm>
            <a:off x="11007987" y="13903415"/>
            <a:ext cx="882836" cy="48112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FH  Géotextile + gravillons</a:t>
            </a:r>
          </a:p>
        </xdr:txBody>
      </xdr:sp>
      <xdr:sp macro="[0]!B_plastiqueFH" textlink="">
        <xdr:nvSpPr>
          <xdr:cNvPr id="103" name="BFH" hidden="1">
            <a:extLst>
              <a:ext uri="{FF2B5EF4-FFF2-40B4-BE49-F238E27FC236}">
                <a16:creationId xmlns:a16="http://schemas.microsoft.com/office/drawing/2014/main" id="{00000000-0008-0000-0300-000067000000}"/>
              </a:ext>
            </a:extLst>
          </xdr:cNvPr>
          <xdr:cNvSpPr/>
        </xdr:nvSpPr>
        <xdr:spPr>
          <a:xfrm>
            <a:off x="11000186" y="15292273"/>
            <a:ext cx="755139" cy="36836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Ecolat plastiqueB</a:t>
            </a:r>
          </a:p>
        </xdr:txBody>
      </xdr:sp>
      <xdr:sp macro="[0]!F1_FHCadre_Bastaings" textlink="">
        <xdr:nvSpPr>
          <xdr:cNvPr id="106" name="F1FH" hidden="1">
            <a:extLst>
              <a:ext uri="{FF2B5EF4-FFF2-40B4-BE49-F238E27FC236}">
                <a16:creationId xmlns:a16="http://schemas.microsoft.com/office/drawing/2014/main" id="{00000000-0008-0000-0300-00006A000000}"/>
              </a:ext>
            </a:extLst>
          </xdr:cNvPr>
          <xdr:cNvSpPr/>
        </xdr:nvSpPr>
        <xdr:spPr>
          <a:xfrm>
            <a:off x="10462782" y="12483251"/>
            <a:ext cx="932577" cy="55656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 Cadre bastaings bois simple</a:t>
            </a:r>
          </a:p>
        </xdr:txBody>
      </xdr:sp>
      <xdr:sp macro="[0]!F5_FH_traverses" textlink="">
        <xdr:nvSpPr>
          <xdr:cNvPr id="108" name="F5FH" hidden="1">
            <a:extLst>
              <a:ext uri="{FF2B5EF4-FFF2-40B4-BE49-F238E27FC236}">
                <a16:creationId xmlns:a16="http://schemas.microsoft.com/office/drawing/2014/main" id="{00000000-0008-0000-0300-00006C000000}"/>
              </a:ext>
            </a:extLst>
          </xdr:cNvPr>
          <xdr:cNvSpPr/>
        </xdr:nvSpPr>
        <xdr:spPr>
          <a:xfrm>
            <a:off x="11465748" y="12529931"/>
            <a:ext cx="932575" cy="42123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Traverse Chêne</a:t>
            </a:r>
          </a:p>
        </xdr:txBody>
      </xdr:sp>
    </xdr:grpSp>
    <xdr:clientData/>
  </xdr:twoCellAnchor>
  <xdr:twoCellAnchor>
    <xdr:from>
      <xdr:col>6</xdr:col>
      <xdr:colOff>744184</xdr:colOff>
      <xdr:row>51</xdr:row>
      <xdr:rowOff>69220</xdr:rowOff>
    </xdr:from>
    <xdr:to>
      <xdr:col>7</xdr:col>
      <xdr:colOff>834174</xdr:colOff>
      <xdr:row>54</xdr:row>
      <xdr:rowOff>55576</xdr:rowOff>
    </xdr:to>
    <xdr:sp macro="[0]!F1_Cadre_Bastaings" textlink="">
      <xdr:nvSpPr>
        <xdr:cNvPr id="50" name="F1FV">
          <a:extLst>
            <a:ext uri="{FF2B5EF4-FFF2-40B4-BE49-F238E27FC236}">
              <a16:creationId xmlns:a16="http://schemas.microsoft.com/office/drawing/2014/main" id="{00000000-0008-0000-0300-000032000000}"/>
            </a:ext>
          </a:extLst>
        </xdr:cNvPr>
        <xdr:cNvSpPr/>
      </xdr:nvSpPr>
      <xdr:spPr>
        <a:xfrm>
          <a:off x="5148096" y="12418102"/>
          <a:ext cx="930431" cy="52423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 Cadre bastaings bois simple</a:t>
          </a:r>
        </a:p>
      </xdr:txBody>
    </xdr:sp>
    <xdr:clientData/>
  </xdr:twoCellAnchor>
  <xdr:twoCellAnchor>
    <xdr:from>
      <xdr:col>8</xdr:col>
      <xdr:colOff>106663</xdr:colOff>
      <xdr:row>51</xdr:row>
      <xdr:rowOff>135415</xdr:rowOff>
    </xdr:from>
    <xdr:to>
      <xdr:col>9</xdr:col>
      <xdr:colOff>219063</xdr:colOff>
      <xdr:row>54</xdr:row>
      <xdr:rowOff>27129</xdr:rowOff>
    </xdr:to>
    <xdr:sp macro="[0]!F5_traverses" textlink="">
      <xdr:nvSpPr>
        <xdr:cNvPr id="107" name="F5FV">
          <a:extLst>
            <a:ext uri="{FF2B5EF4-FFF2-40B4-BE49-F238E27FC236}">
              <a16:creationId xmlns:a16="http://schemas.microsoft.com/office/drawing/2014/main" id="{00000000-0008-0000-0300-00006B000000}"/>
            </a:ext>
          </a:extLst>
        </xdr:cNvPr>
        <xdr:cNvSpPr/>
      </xdr:nvSpPr>
      <xdr:spPr>
        <a:xfrm>
          <a:off x="6202663" y="12484297"/>
          <a:ext cx="930429" cy="42959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Traverse Chêne</a:t>
          </a:r>
        </a:p>
      </xdr:txBody>
    </xdr:sp>
    <xdr:clientData/>
  </xdr:twoCellAnchor>
  <xdr:twoCellAnchor>
    <xdr:from>
      <xdr:col>7</xdr:col>
      <xdr:colOff>543546</xdr:colOff>
      <xdr:row>41</xdr:row>
      <xdr:rowOff>56030</xdr:rowOff>
    </xdr:from>
    <xdr:to>
      <xdr:col>11</xdr:col>
      <xdr:colOff>694765</xdr:colOff>
      <xdr:row>46</xdr:row>
      <xdr:rowOff>123264</xdr:rowOff>
    </xdr:to>
    <xdr:grpSp>
      <xdr:nvGrpSpPr>
        <xdr:cNvPr id="3" name="GroupHFV" hidden="1">
          <a:extLst>
            <a:ext uri="{FF2B5EF4-FFF2-40B4-BE49-F238E27FC236}">
              <a16:creationId xmlns:a16="http://schemas.microsoft.com/office/drawing/2014/main" id="{00000000-0008-0000-0300-000003000000}"/>
            </a:ext>
          </a:extLst>
        </xdr:cNvPr>
        <xdr:cNvGrpSpPr/>
      </xdr:nvGrpSpPr>
      <xdr:grpSpPr>
        <a:xfrm>
          <a:off x="5787309" y="10974688"/>
          <a:ext cx="3570193" cy="448234"/>
          <a:chOff x="5787899" y="11049001"/>
          <a:chExt cx="3580219" cy="448234"/>
        </a:xfrm>
      </xdr:grpSpPr>
      <xdr:sp macro="[0]!habi4" textlink="">
        <xdr:nvSpPr>
          <xdr:cNvPr id="41" name="H4FV" hidden="1">
            <a:extLst>
              <a:ext uri="{FF2B5EF4-FFF2-40B4-BE49-F238E27FC236}">
                <a16:creationId xmlns:a16="http://schemas.microsoft.com/office/drawing/2014/main" id="{00000000-0008-0000-0300-000029000000}"/>
              </a:ext>
            </a:extLst>
          </xdr:cNvPr>
          <xdr:cNvSpPr/>
        </xdr:nvSpPr>
        <xdr:spPr>
          <a:xfrm>
            <a:off x="8381660" y="11049001"/>
            <a:ext cx="986458" cy="44823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Panneau pierres collées </a:t>
            </a:r>
          </a:p>
        </xdr:txBody>
      </xdr:sp>
      <xdr:sp macro="[0]!habi3" textlink="">
        <xdr:nvSpPr>
          <xdr:cNvPr id="42" name="H3FV" hidden="1">
            <a:extLst>
              <a:ext uri="{FF2B5EF4-FFF2-40B4-BE49-F238E27FC236}">
                <a16:creationId xmlns:a16="http://schemas.microsoft.com/office/drawing/2014/main" id="{00000000-0008-0000-0300-00002A000000}"/>
              </a:ext>
            </a:extLst>
          </xdr:cNvPr>
          <xdr:cNvSpPr/>
        </xdr:nvSpPr>
        <xdr:spPr>
          <a:xfrm>
            <a:off x="6601675" y="11077785"/>
            <a:ext cx="804014" cy="39101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Bardage bois</a:t>
            </a:r>
          </a:p>
        </xdr:txBody>
      </xdr:sp>
      <xdr:sp macro="[0]!habi5" textlink="">
        <xdr:nvSpPr>
          <xdr:cNvPr id="43" name="H5FV" hidden="1">
            <a:extLst>
              <a:ext uri="{FF2B5EF4-FFF2-40B4-BE49-F238E27FC236}">
                <a16:creationId xmlns:a16="http://schemas.microsoft.com/office/drawing/2014/main" id="{00000000-0008-0000-0300-00002B000000}"/>
              </a:ext>
            </a:extLst>
          </xdr:cNvPr>
          <xdr:cNvSpPr/>
        </xdr:nvSpPr>
        <xdr:spPr>
          <a:xfrm>
            <a:off x="7508496" y="11069807"/>
            <a:ext cx="713538" cy="40273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800" b="1" i="0" u="none" strike="noStrike" kern="1200" spc="0">
                <a:solidFill>
                  <a:srgbClr val="FFFFFF"/>
                </a:solidFill>
                <a:latin typeface="Calibri"/>
              </a:rPr>
              <a:t>Pierre moëllons</a:t>
            </a:r>
          </a:p>
        </xdr:txBody>
      </xdr:sp>
      <xdr:sp macro="[0]!habi1" textlink="">
        <xdr:nvSpPr>
          <xdr:cNvPr id="235" name="H1FV" hidden="1">
            <a:extLst>
              <a:ext uri="{FF2B5EF4-FFF2-40B4-BE49-F238E27FC236}">
                <a16:creationId xmlns:a16="http://schemas.microsoft.com/office/drawing/2014/main" id="{00000000-0008-0000-0300-0000EB000000}"/>
              </a:ext>
            </a:extLst>
          </xdr:cNvPr>
          <xdr:cNvSpPr/>
        </xdr:nvSpPr>
        <xdr:spPr>
          <a:xfrm>
            <a:off x="5787899" y="11071330"/>
            <a:ext cx="717391" cy="40694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Terre végétale</a:t>
            </a:r>
          </a:p>
        </xdr:txBody>
      </xdr:sp>
    </xdr:grpSp>
    <xdr:clientData/>
  </xdr:twoCellAnchor>
  <xdr:oneCellAnchor>
    <xdr:from>
      <xdr:col>10</xdr:col>
      <xdr:colOff>152667</xdr:colOff>
      <xdr:row>33</xdr:row>
      <xdr:rowOff>152748</xdr:rowOff>
    </xdr:from>
    <xdr:ext cx="934304" cy="447151"/>
    <xdr:sp macro="[0]!SCFV5" textlink="">
      <xdr:nvSpPr>
        <xdr:cNvPr id="223" name="FV5SE">
          <a:extLst>
            <a:ext uri="{FF2B5EF4-FFF2-40B4-BE49-F238E27FC236}">
              <a16:creationId xmlns:a16="http://schemas.microsoft.com/office/drawing/2014/main" id="{00000000-0008-0000-0300-0000DF000000}"/>
            </a:ext>
          </a:extLst>
        </xdr:cNvPr>
        <xdr:cNvSpPr/>
      </xdr:nvSpPr>
      <xdr:spPr>
        <a:xfrm>
          <a:off x="7940755" y="9307954"/>
          <a:ext cx="934304" cy="44715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Coffrage Plaques PVC + talus</a:t>
          </a:r>
        </a:p>
      </xdr:txBody>
    </xdr:sp>
    <xdr:clientData/>
  </xdr:oneCellAnchor>
  <xdr:oneCellAnchor>
    <xdr:from>
      <xdr:col>11</xdr:col>
      <xdr:colOff>686066</xdr:colOff>
      <xdr:row>33</xdr:row>
      <xdr:rowOff>114648</xdr:rowOff>
    </xdr:from>
    <xdr:ext cx="650786" cy="447151"/>
    <xdr:sp macro="[0]!SCFV9" textlink="">
      <xdr:nvSpPr>
        <xdr:cNvPr id="234" name="FV9E" hidden="1">
          <a:extLst>
            <a:ext uri="{FF2B5EF4-FFF2-40B4-BE49-F238E27FC236}">
              <a16:creationId xmlns:a16="http://schemas.microsoft.com/office/drawing/2014/main" id="{00000000-0008-0000-0300-0000EA000000}"/>
            </a:ext>
          </a:extLst>
        </xdr:cNvPr>
        <xdr:cNvSpPr/>
      </xdr:nvSpPr>
      <xdr:spPr>
        <a:xfrm>
          <a:off x="9359419" y="9393119"/>
          <a:ext cx="650786" cy="44715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Coffrage Plaques PVC</a:t>
          </a:r>
        </a:p>
      </xdr:txBody>
    </xdr:sp>
    <xdr:clientData/>
  </xdr:oneCellAnchor>
  <xdr:twoCellAnchor>
    <xdr:from>
      <xdr:col>0</xdr:col>
      <xdr:colOff>30116</xdr:colOff>
      <xdr:row>11</xdr:row>
      <xdr:rowOff>25310</xdr:rowOff>
    </xdr:from>
    <xdr:to>
      <xdr:col>3</xdr:col>
      <xdr:colOff>3807</xdr:colOff>
      <xdr:row>15</xdr:row>
      <xdr:rowOff>278130</xdr:rowOff>
    </xdr:to>
    <xdr:sp macro="[0]!Soleil240_Cliquer" textlink="">
      <xdr:nvSpPr>
        <xdr:cNvPr id="241" name="Soleil 240">
          <a:extLst>
            <a:ext uri="{FF2B5EF4-FFF2-40B4-BE49-F238E27FC236}">
              <a16:creationId xmlns:a16="http://schemas.microsoft.com/office/drawing/2014/main" id="{00000000-0008-0000-0300-0000F1000000}"/>
            </a:ext>
          </a:extLst>
        </xdr:cNvPr>
        <xdr:cNvSpPr/>
      </xdr:nvSpPr>
      <xdr:spPr>
        <a:xfrm>
          <a:off x="30116" y="3277417"/>
          <a:ext cx="2028370" cy="1559106"/>
        </a:xfrm>
        <a:prstGeom prst="sun">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50" b="1"/>
            <a:t>TOUT AFFICHER</a:t>
          </a:r>
        </a:p>
      </xdr:txBody>
    </xdr:sp>
    <xdr:clientData/>
  </xdr:twoCellAnchor>
  <xdr:twoCellAnchor>
    <xdr:from>
      <xdr:col>3</xdr:col>
      <xdr:colOff>132747</xdr:colOff>
      <xdr:row>74</xdr:row>
      <xdr:rowOff>56029</xdr:rowOff>
    </xdr:from>
    <xdr:to>
      <xdr:col>4</xdr:col>
      <xdr:colOff>752473</xdr:colOff>
      <xdr:row>79</xdr:row>
      <xdr:rowOff>134471</xdr:rowOff>
    </xdr:to>
    <xdr:sp macro="" textlink="">
      <xdr:nvSpPr>
        <xdr:cNvPr id="237" name="Relevage" hidden="1">
          <a:extLst>
            <a:ext uri="{FF2B5EF4-FFF2-40B4-BE49-F238E27FC236}">
              <a16:creationId xmlns:a16="http://schemas.microsoft.com/office/drawing/2014/main" id="{00000000-0008-0000-0300-0000ED000000}"/>
            </a:ext>
          </a:extLst>
        </xdr:cNvPr>
        <xdr:cNvSpPr/>
      </xdr:nvSpPr>
      <xdr:spPr>
        <a:xfrm>
          <a:off x="2194629" y="19296529"/>
          <a:ext cx="1348109" cy="155761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5">
            <a:lumMod val="75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600" b="1" i="0" u="none" strike="noStrike" kern="1200" spc="0">
              <a:solidFill>
                <a:srgbClr val="FFFFFF"/>
              </a:solidFill>
              <a:latin typeface="Calibri"/>
            </a:rPr>
            <a:t>Distribution</a:t>
          </a:r>
          <a:br>
            <a:rPr lang="fr-FR" sz="1600" b="1" i="0" u="none" strike="noStrike" kern="1200" spc="0">
              <a:solidFill>
                <a:srgbClr val="FFFFFF"/>
              </a:solidFill>
              <a:latin typeface="Calibri"/>
            </a:rPr>
          </a:br>
          <a:br>
            <a:rPr lang="fr-FR" sz="1600" b="1" i="0" u="none" strike="noStrike" kern="1200" spc="0">
              <a:solidFill>
                <a:srgbClr val="FFFFFF"/>
              </a:solidFill>
              <a:latin typeface="Calibri"/>
            </a:rPr>
          </a:br>
          <a:br>
            <a:rPr lang="fr-FR" sz="1600" b="1" i="0" u="none" strike="noStrike" kern="1200" spc="0">
              <a:solidFill>
                <a:srgbClr val="FFFFFF"/>
              </a:solidFill>
              <a:latin typeface="Calibri"/>
            </a:rPr>
          </a:br>
          <a:r>
            <a:rPr lang="fr-FR" sz="1600" b="1" i="0" u="none" strike="noStrike" kern="1200" spc="0">
              <a:solidFill>
                <a:srgbClr val="FFFFFF"/>
              </a:solidFill>
              <a:latin typeface="Calibri"/>
            </a:rPr>
            <a:t>OU</a:t>
          </a:r>
          <a:endParaRPr lang="fr-FR" sz="900" b="1" i="0" u="none" strike="noStrike" kern="1200" spc="0">
            <a:solidFill>
              <a:srgbClr val="FFFFFF"/>
            </a:solidFill>
            <a:latin typeface="Calibri"/>
          </a:endParaRPr>
        </a:p>
      </xdr:txBody>
    </xdr:sp>
    <xdr:clientData/>
  </xdr:twoCellAnchor>
  <xdr:twoCellAnchor>
    <xdr:from>
      <xdr:col>3</xdr:col>
      <xdr:colOff>310516</xdr:colOff>
      <xdr:row>78</xdr:row>
      <xdr:rowOff>78476</xdr:rowOff>
    </xdr:from>
    <xdr:to>
      <xdr:col>4</xdr:col>
      <xdr:colOff>583932</xdr:colOff>
      <xdr:row>78</xdr:row>
      <xdr:rowOff>363626</xdr:rowOff>
    </xdr:to>
    <xdr:sp macro="[0]!RD6_vannes_pelle" textlink="">
      <xdr:nvSpPr>
        <xdr:cNvPr id="115" name="Vannes pelles" hidden="1">
          <a:extLst>
            <a:ext uri="{FF2B5EF4-FFF2-40B4-BE49-F238E27FC236}">
              <a16:creationId xmlns:a16="http://schemas.microsoft.com/office/drawing/2014/main" id="{00000000-0008-0000-0300-000073000000}"/>
            </a:ext>
          </a:extLst>
        </xdr:cNvPr>
        <xdr:cNvSpPr/>
      </xdr:nvSpPr>
      <xdr:spPr>
        <a:xfrm>
          <a:off x="2372398" y="20417152"/>
          <a:ext cx="1001799" cy="28515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75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 Vannes pelles</a:t>
          </a:r>
        </a:p>
      </xdr:txBody>
    </xdr:sp>
    <xdr:clientData/>
  </xdr:twoCellAnchor>
  <xdr:twoCellAnchor>
    <xdr:from>
      <xdr:col>3</xdr:col>
      <xdr:colOff>271851</xdr:colOff>
      <xdr:row>76</xdr:row>
      <xdr:rowOff>63988</xdr:rowOff>
    </xdr:from>
    <xdr:to>
      <xdr:col>4</xdr:col>
      <xdr:colOff>656747</xdr:colOff>
      <xdr:row>77</xdr:row>
      <xdr:rowOff>130341</xdr:rowOff>
    </xdr:to>
    <xdr:sp macro="[0]!RD8_vannes_guillotines110" textlink="">
      <xdr:nvSpPr>
        <xdr:cNvPr id="218" name="Vannes guillotines DN110" hidden="1">
          <a:extLst>
            <a:ext uri="{FF2B5EF4-FFF2-40B4-BE49-F238E27FC236}">
              <a16:creationId xmlns:a16="http://schemas.microsoft.com/office/drawing/2014/main" id="{00000000-0008-0000-0300-0000DA000000}"/>
            </a:ext>
          </a:extLst>
        </xdr:cNvPr>
        <xdr:cNvSpPr/>
      </xdr:nvSpPr>
      <xdr:spPr>
        <a:xfrm>
          <a:off x="2333733" y="19763929"/>
          <a:ext cx="1113279" cy="38011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75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 Vannes guillotines DN110</a:t>
          </a:r>
        </a:p>
      </xdr:txBody>
    </xdr:sp>
    <xdr:clientData/>
  </xdr:twoCellAnchor>
  <xdr:twoCellAnchor>
    <xdr:from>
      <xdr:col>54</xdr:col>
      <xdr:colOff>723900</xdr:colOff>
      <xdr:row>14</xdr:row>
      <xdr:rowOff>38100</xdr:rowOff>
    </xdr:from>
    <xdr:to>
      <xdr:col>55</xdr:col>
      <xdr:colOff>2797464</xdr:colOff>
      <xdr:row>19</xdr:row>
      <xdr:rowOff>163108</xdr:rowOff>
    </xdr:to>
    <xdr:graphicFrame macro="">
      <xdr:nvGraphicFramePr>
        <xdr:cNvPr id="236" name="Graphique 235">
          <a:extLst>
            <a:ext uri="{FF2B5EF4-FFF2-40B4-BE49-F238E27FC236}">
              <a16:creationId xmlns:a16="http://schemas.microsoft.com/office/drawing/2014/main" id="{00000000-0008-0000-0300-0000E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xdr:col>
      <xdr:colOff>808566</xdr:colOff>
      <xdr:row>20</xdr:row>
      <xdr:rowOff>279400</xdr:rowOff>
    </xdr:from>
    <xdr:to>
      <xdr:col>55</xdr:col>
      <xdr:colOff>2876356</xdr:colOff>
      <xdr:row>26</xdr:row>
      <xdr:rowOff>4954</xdr:rowOff>
    </xdr:to>
    <xdr:graphicFrame macro="">
      <xdr:nvGraphicFramePr>
        <xdr:cNvPr id="178" name="Graphique 177">
          <a:extLst>
            <a:ext uri="{FF2B5EF4-FFF2-40B4-BE49-F238E27FC236}">
              <a16:creationId xmlns:a16="http://schemas.microsoft.com/office/drawing/2014/main" id="{00000000-0008-0000-0300-0000B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54</xdr:col>
      <xdr:colOff>631112</xdr:colOff>
      <xdr:row>4</xdr:row>
      <xdr:rowOff>166418</xdr:rowOff>
    </xdr:from>
    <xdr:to>
      <xdr:col>55</xdr:col>
      <xdr:colOff>3505200</xdr:colOff>
      <xdr:row>11</xdr:row>
      <xdr:rowOff>177800</xdr:rowOff>
    </xdr:to>
    <xdr:graphicFrame macro="">
      <xdr:nvGraphicFramePr>
        <xdr:cNvPr id="184" name="Graphique 183">
          <a:extLst>
            <a:ext uri="{FF2B5EF4-FFF2-40B4-BE49-F238E27FC236}">
              <a16:creationId xmlns:a16="http://schemas.microsoft.com/office/drawing/2014/main" id="{00000000-0008-0000-0300-0000B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55</xdr:col>
      <xdr:colOff>3200400</xdr:colOff>
      <xdr:row>20</xdr:row>
      <xdr:rowOff>279400</xdr:rowOff>
    </xdr:from>
    <xdr:to>
      <xdr:col>58</xdr:col>
      <xdr:colOff>61190</xdr:colOff>
      <xdr:row>26</xdr:row>
      <xdr:rowOff>13420</xdr:rowOff>
    </xdr:to>
    <xdr:graphicFrame macro="">
      <xdr:nvGraphicFramePr>
        <xdr:cNvPr id="185" name="Graphique 184">
          <a:extLst>
            <a:ext uri="{FF2B5EF4-FFF2-40B4-BE49-F238E27FC236}">
              <a16:creationId xmlns:a16="http://schemas.microsoft.com/office/drawing/2014/main" id="{00000000-0008-0000-0300-0000B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126426</xdr:colOff>
      <xdr:row>2</xdr:row>
      <xdr:rowOff>122959</xdr:rowOff>
    </xdr:from>
    <xdr:to>
      <xdr:col>1</xdr:col>
      <xdr:colOff>2250794</xdr:colOff>
      <xdr:row>8</xdr:row>
      <xdr:rowOff>3082</xdr:rowOff>
    </xdr:to>
    <xdr:pic>
      <xdr:nvPicPr>
        <xdr:cNvPr id="2" name="Imag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812" y="841664"/>
          <a:ext cx="2125638" cy="1287975"/>
        </a:xfrm>
        <a:prstGeom prst="rect">
          <a:avLst/>
        </a:prstGeom>
      </xdr:spPr>
    </xdr:pic>
    <xdr:clientData/>
  </xdr:twoCellAnchor>
  <xdr:twoCellAnchor editAs="absolute">
    <xdr:from>
      <xdr:col>0</xdr:col>
      <xdr:colOff>295099</xdr:colOff>
      <xdr:row>0</xdr:row>
      <xdr:rowOff>40928</xdr:rowOff>
    </xdr:from>
    <xdr:to>
      <xdr:col>1</xdr:col>
      <xdr:colOff>2428587</xdr:colOff>
      <xdr:row>8</xdr:row>
      <xdr:rowOff>48145</xdr:rowOff>
    </xdr:to>
    <xdr:sp macro="" textlink="" fLocksText="0">
      <xdr:nvSpPr>
        <xdr:cNvPr id="3" name="Rectangle : coins arrondis 2">
          <a:extLst>
            <a:ext uri="{FF2B5EF4-FFF2-40B4-BE49-F238E27FC236}">
              <a16:creationId xmlns:a16="http://schemas.microsoft.com/office/drawing/2014/main" id="{00000000-0008-0000-0400-000003000000}"/>
            </a:ext>
          </a:extLst>
        </xdr:cNvPr>
        <xdr:cNvSpPr/>
      </xdr:nvSpPr>
      <xdr:spPr>
        <a:xfrm>
          <a:off x="283669" y="47278"/>
          <a:ext cx="2452604" cy="2134813"/>
        </a:xfrm>
        <a:prstGeom prst="roundRect">
          <a:avLst/>
        </a:prstGeom>
        <a:solidFill>
          <a:schemeClr val="accent4">
            <a:lumMod val="60000"/>
            <a:lumOff val="40000"/>
            <a:alpha val="24000"/>
          </a:schemeClr>
        </a:solidFill>
        <a:ln w="28575">
          <a:solidFill>
            <a:schemeClr val="tx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fLocksWithSheet="0"/>
  </xdr:twoCellAnchor>
  <xdr:oneCellAnchor>
    <xdr:from>
      <xdr:col>11</xdr:col>
      <xdr:colOff>207897</xdr:colOff>
      <xdr:row>0</xdr:row>
      <xdr:rowOff>100197</xdr:rowOff>
    </xdr:from>
    <xdr:ext cx="1239235" cy="618507"/>
    <xdr:sp macro="[0]!Acceuil" textlink="">
      <xdr:nvSpPr>
        <xdr:cNvPr id="4" name="Rectangle : coins arrondis 1">
          <a:extLst>
            <a:ext uri="{FF2B5EF4-FFF2-40B4-BE49-F238E27FC236}">
              <a16:creationId xmlns:a16="http://schemas.microsoft.com/office/drawing/2014/main" id="{00000000-0008-0000-0400-000004000000}"/>
            </a:ext>
          </a:extLst>
        </xdr:cNvPr>
        <xdr:cNvSpPr/>
      </xdr:nvSpPr>
      <xdr:spPr>
        <a:xfrm>
          <a:off x="12272897" y="100197"/>
          <a:ext cx="1239235" cy="61850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400" b="1" i="0" u="none" strike="noStrike" kern="1200" spc="0">
              <a:solidFill>
                <a:srgbClr val="FFFFFF"/>
              </a:solidFill>
              <a:latin typeface="Calibri"/>
            </a:rPr>
            <a:t>Retour à l'acceuil</a:t>
          </a:r>
        </a:p>
      </xdr:txBody>
    </xdr:sp>
    <xdr:clientData/>
  </xdr:oneCellAnchor>
  <xdr:oneCellAnchor>
    <xdr:from>
      <xdr:col>11</xdr:col>
      <xdr:colOff>398319</xdr:colOff>
      <xdr:row>2</xdr:row>
      <xdr:rowOff>89148</xdr:rowOff>
    </xdr:from>
    <xdr:ext cx="952501" cy="441943"/>
    <xdr:sp macro="[0]!Simulation" textlink="">
      <xdr:nvSpPr>
        <xdr:cNvPr id="5" name="Rectangle : coins arrondis 2">
          <a:extLst>
            <a:ext uri="{FF2B5EF4-FFF2-40B4-BE49-F238E27FC236}">
              <a16:creationId xmlns:a16="http://schemas.microsoft.com/office/drawing/2014/main" id="{00000000-0008-0000-0400-000005000000}"/>
            </a:ext>
          </a:extLst>
        </xdr:cNvPr>
        <xdr:cNvSpPr/>
      </xdr:nvSpPr>
      <xdr:spPr>
        <a:xfrm>
          <a:off x="12463319" y="787648"/>
          <a:ext cx="952501" cy="441943"/>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00B05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200" b="1" i="0" u="none" strike="noStrike" kern="1200" spc="0">
              <a:solidFill>
                <a:srgbClr val="FFFFFF"/>
              </a:solidFill>
              <a:latin typeface="Calibri"/>
            </a:rPr>
            <a:t>Fiche de simulation  </a:t>
          </a:r>
        </a:p>
      </xdr:txBody>
    </xdr:sp>
    <xdr:clientData/>
  </xdr:oneCellAnchor>
  <xdr:twoCellAnchor>
    <xdr:from>
      <xdr:col>1</xdr:col>
      <xdr:colOff>4989426</xdr:colOff>
      <xdr:row>0</xdr:row>
      <xdr:rowOff>103221</xdr:rowOff>
    </xdr:from>
    <xdr:to>
      <xdr:col>6</xdr:col>
      <xdr:colOff>753341</xdr:colOff>
      <xdr:row>7</xdr:row>
      <xdr:rowOff>103910</xdr:rowOff>
    </xdr:to>
    <xdr:sp macro="[0]!Choix_clients" textlink="">
      <xdr:nvSpPr>
        <xdr:cNvPr id="6" name="Rectangle : coins arrondis 5">
          <a:extLst>
            <a:ext uri="{FF2B5EF4-FFF2-40B4-BE49-F238E27FC236}">
              <a16:creationId xmlns:a16="http://schemas.microsoft.com/office/drawing/2014/main" id="{00000000-0008-0000-0400-000006000000}"/>
            </a:ext>
          </a:extLst>
        </xdr:cNvPr>
        <xdr:cNvSpPr/>
      </xdr:nvSpPr>
      <xdr:spPr>
        <a:xfrm>
          <a:off x="5309812" y="103221"/>
          <a:ext cx="2751802" cy="1948984"/>
        </a:xfrm>
        <a:prstGeom prst="roundRect">
          <a:avLst/>
        </a:prstGeom>
        <a:solidFill>
          <a:schemeClr val="accent6">
            <a:lumMod val="60000"/>
            <a:lumOff val="40000"/>
            <a:alpha val="24000"/>
          </a:schemeClr>
        </a:solidFill>
        <a:ln w="28575">
          <a:solidFill>
            <a:schemeClr val="accent6">
              <a:lumMod val="50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363971</xdr:colOff>
      <xdr:row>5</xdr:row>
      <xdr:rowOff>94675</xdr:rowOff>
    </xdr:from>
    <xdr:to>
      <xdr:col>13</xdr:col>
      <xdr:colOff>90055</xdr:colOff>
      <xdr:row>7</xdr:row>
      <xdr:rowOff>48491</xdr:rowOff>
    </xdr:to>
    <xdr:sp macro="[0]!COUTS_IMPRIMER" textlink="">
      <xdr:nvSpPr>
        <xdr:cNvPr id="7" name="Rectangle : coins arrondis 6">
          <a:extLst>
            <a:ext uri="{FF2B5EF4-FFF2-40B4-BE49-F238E27FC236}">
              <a16:creationId xmlns:a16="http://schemas.microsoft.com/office/drawing/2014/main" id="{00000000-0008-0000-0400-000007000000}"/>
            </a:ext>
          </a:extLst>
        </xdr:cNvPr>
        <xdr:cNvSpPr/>
      </xdr:nvSpPr>
      <xdr:spPr>
        <a:xfrm>
          <a:off x="12417426" y="1306948"/>
          <a:ext cx="1347065" cy="30017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b="1"/>
            <a:t>IMPRIMER DETAILS</a:t>
          </a:r>
        </a:p>
      </xdr:txBody>
    </xdr:sp>
    <xdr:clientData/>
  </xdr:twoCellAnchor>
  <xdr:twoCellAnchor>
    <xdr:from>
      <xdr:col>11</xdr:col>
      <xdr:colOff>370898</xdr:colOff>
      <xdr:row>7</xdr:row>
      <xdr:rowOff>108530</xdr:rowOff>
    </xdr:from>
    <xdr:to>
      <xdr:col>13</xdr:col>
      <xdr:colOff>96982</xdr:colOff>
      <xdr:row>9</xdr:row>
      <xdr:rowOff>62345</xdr:rowOff>
    </xdr:to>
    <xdr:sp macro="[0]!COUTS_DEVIS_IMPRIMER" textlink="">
      <xdr:nvSpPr>
        <xdr:cNvPr id="8" name="Rectangle : coins arrondis 7">
          <a:extLst>
            <a:ext uri="{FF2B5EF4-FFF2-40B4-BE49-F238E27FC236}">
              <a16:creationId xmlns:a16="http://schemas.microsoft.com/office/drawing/2014/main" id="{00000000-0008-0000-0400-000008000000}"/>
            </a:ext>
          </a:extLst>
        </xdr:cNvPr>
        <xdr:cNvSpPr/>
      </xdr:nvSpPr>
      <xdr:spPr>
        <a:xfrm>
          <a:off x="12424353" y="1667166"/>
          <a:ext cx="1347065" cy="30017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b="1"/>
            <a:t>IMPRIMER DEVIS</a:t>
          </a:r>
        </a:p>
      </xdr:txBody>
    </xdr:sp>
    <xdr:clientData/>
  </xdr:twoCellAnchor>
  <xdr:twoCellAnchor>
    <xdr:from>
      <xdr:col>13</xdr:col>
      <xdr:colOff>121227</xdr:colOff>
      <xdr:row>2</xdr:row>
      <xdr:rowOff>86591</xdr:rowOff>
    </xdr:from>
    <xdr:to>
      <xdr:col>14</xdr:col>
      <xdr:colOff>446810</xdr:colOff>
      <xdr:row>4</xdr:row>
      <xdr:rowOff>138545</xdr:rowOff>
    </xdr:to>
    <xdr:sp macro="[0]!MISE_A_JOUR_BASE_CLIENTS" textlink="">
      <xdr:nvSpPr>
        <xdr:cNvPr id="9" name="Rectangle : coins arrondis 8">
          <a:extLst>
            <a:ext uri="{FF2B5EF4-FFF2-40B4-BE49-F238E27FC236}">
              <a16:creationId xmlns:a16="http://schemas.microsoft.com/office/drawing/2014/main" id="{00000000-0008-0000-0400-000009000000}"/>
            </a:ext>
          </a:extLst>
        </xdr:cNvPr>
        <xdr:cNvSpPr/>
      </xdr:nvSpPr>
      <xdr:spPr>
        <a:xfrm>
          <a:off x="13793932" y="805296"/>
          <a:ext cx="1139537" cy="519544"/>
        </a:xfrm>
        <a:prstGeom prst="round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Mettre à jour le fichier client</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2447062</xdr:colOff>
      <xdr:row>0</xdr:row>
      <xdr:rowOff>374073</xdr:rowOff>
    </xdr:from>
    <xdr:to>
      <xdr:col>1</xdr:col>
      <xdr:colOff>4572700</xdr:colOff>
      <xdr:row>7</xdr:row>
      <xdr:rowOff>22</xdr:rowOff>
    </xdr:to>
    <xdr:pic>
      <xdr:nvPicPr>
        <xdr:cNvPr id="8" name="Imag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79571" y="374073"/>
          <a:ext cx="2125638" cy="1171828"/>
        </a:xfrm>
        <a:prstGeom prst="rect">
          <a:avLst/>
        </a:prstGeom>
      </xdr:spPr>
    </xdr:pic>
    <xdr:clientData/>
  </xdr:twoCellAnchor>
  <xdr:twoCellAnchor>
    <xdr:from>
      <xdr:col>0</xdr:col>
      <xdr:colOff>253708</xdr:colOff>
      <xdr:row>0</xdr:row>
      <xdr:rowOff>458932</xdr:rowOff>
    </xdr:from>
    <xdr:to>
      <xdr:col>1</xdr:col>
      <xdr:colOff>1982930</xdr:colOff>
      <xdr:row>7</xdr:row>
      <xdr:rowOff>103909</xdr:rowOff>
    </xdr:to>
    <xdr:sp macro="" textlink="">
      <xdr:nvSpPr>
        <xdr:cNvPr id="11" name="Rectangle : coins arrondis 10">
          <a:extLst>
            <a:ext uri="{FF2B5EF4-FFF2-40B4-BE49-F238E27FC236}">
              <a16:creationId xmlns:a16="http://schemas.microsoft.com/office/drawing/2014/main" id="{00000000-0008-0000-0500-00000B000000}"/>
            </a:ext>
          </a:extLst>
        </xdr:cNvPr>
        <xdr:cNvSpPr/>
      </xdr:nvSpPr>
      <xdr:spPr>
        <a:xfrm>
          <a:off x="253708" y="458932"/>
          <a:ext cx="2049608" cy="1272886"/>
        </a:xfrm>
        <a:prstGeom prst="roundRect">
          <a:avLst/>
        </a:prstGeom>
        <a:solidFill>
          <a:schemeClr val="accent4">
            <a:lumMod val="60000"/>
            <a:lumOff val="40000"/>
            <a:alpha val="24000"/>
          </a:schemeClr>
        </a:solidFill>
        <a:ln w="28575">
          <a:solidFill>
            <a:schemeClr val="tx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xdr:oneCellAnchor>
    <xdr:from>
      <xdr:col>9</xdr:col>
      <xdr:colOff>375306</xdr:colOff>
      <xdr:row>7</xdr:row>
      <xdr:rowOff>7833</xdr:rowOff>
    </xdr:from>
    <xdr:ext cx="1239235" cy="618507"/>
    <xdr:sp macro="[0]!Acceuil" textlink="">
      <xdr:nvSpPr>
        <xdr:cNvPr id="12" name="Rectangle : coins arrondis 1">
          <a:extLst>
            <a:ext uri="{FF2B5EF4-FFF2-40B4-BE49-F238E27FC236}">
              <a16:creationId xmlns:a16="http://schemas.microsoft.com/office/drawing/2014/main" id="{00000000-0008-0000-0500-00000C000000}"/>
            </a:ext>
          </a:extLst>
        </xdr:cNvPr>
        <xdr:cNvSpPr/>
      </xdr:nvSpPr>
      <xdr:spPr>
        <a:xfrm>
          <a:off x="9230670" y="1601106"/>
          <a:ext cx="1239235" cy="61850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400" b="1" i="0" u="none" strike="noStrike" kern="1200" spc="0">
              <a:solidFill>
                <a:srgbClr val="FFFFFF"/>
              </a:solidFill>
              <a:latin typeface="Calibri"/>
            </a:rPr>
            <a:t>Retour à l'acceuil</a:t>
          </a:r>
        </a:p>
      </xdr:txBody>
    </xdr:sp>
    <xdr:clientData/>
  </xdr:oneCellAnchor>
  <xdr:oneCellAnchor>
    <xdr:from>
      <xdr:col>10</xdr:col>
      <xdr:colOff>23091</xdr:colOff>
      <xdr:row>0</xdr:row>
      <xdr:rowOff>181512</xdr:rowOff>
    </xdr:from>
    <xdr:ext cx="952501" cy="441943"/>
    <xdr:sp macro="[0]!Simulation" textlink="">
      <xdr:nvSpPr>
        <xdr:cNvPr id="13" name="Rectangle : coins arrondis 2">
          <a:extLst>
            <a:ext uri="{FF2B5EF4-FFF2-40B4-BE49-F238E27FC236}">
              <a16:creationId xmlns:a16="http://schemas.microsoft.com/office/drawing/2014/main" id="{00000000-0008-0000-0500-00000D000000}"/>
            </a:ext>
          </a:extLst>
        </xdr:cNvPr>
        <xdr:cNvSpPr/>
      </xdr:nvSpPr>
      <xdr:spPr>
        <a:xfrm>
          <a:off x="9675091" y="181512"/>
          <a:ext cx="952501" cy="441943"/>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00B05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200" b="1" i="0" u="none" strike="noStrike" kern="1200" spc="0">
              <a:solidFill>
                <a:srgbClr val="FFFFFF"/>
              </a:solidFill>
              <a:latin typeface="Calibri"/>
            </a:rPr>
            <a:t>Fiche de simulation  </a:t>
          </a:r>
        </a:p>
      </xdr:txBody>
    </xdr:sp>
    <xdr:clientData/>
  </xdr:oneCellAnchor>
  <xdr:twoCellAnchor>
    <xdr:from>
      <xdr:col>1</xdr:col>
      <xdr:colOff>4977822</xdr:colOff>
      <xdr:row>0</xdr:row>
      <xdr:rowOff>491839</xdr:rowOff>
    </xdr:from>
    <xdr:to>
      <xdr:col>6</xdr:col>
      <xdr:colOff>736022</xdr:colOff>
      <xdr:row>7</xdr:row>
      <xdr:rowOff>93521</xdr:rowOff>
    </xdr:to>
    <xdr:sp macro="[0]!Choix_clients" textlink="">
      <xdr:nvSpPr>
        <xdr:cNvPr id="14" name="Rectangle : coins arrondis 13">
          <a:extLst>
            <a:ext uri="{FF2B5EF4-FFF2-40B4-BE49-F238E27FC236}">
              <a16:creationId xmlns:a16="http://schemas.microsoft.com/office/drawing/2014/main" id="{00000000-0008-0000-0500-00000E000000}"/>
            </a:ext>
          </a:extLst>
        </xdr:cNvPr>
        <xdr:cNvSpPr/>
      </xdr:nvSpPr>
      <xdr:spPr>
        <a:xfrm>
          <a:off x="5298208" y="491839"/>
          <a:ext cx="2746087" cy="1229591"/>
        </a:xfrm>
        <a:prstGeom prst="roundRect">
          <a:avLst/>
        </a:prstGeom>
        <a:solidFill>
          <a:schemeClr val="accent6">
            <a:lumMod val="60000"/>
            <a:lumOff val="40000"/>
            <a:alpha val="24000"/>
          </a:schemeClr>
        </a:solidFill>
        <a:ln w="28575">
          <a:solidFill>
            <a:schemeClr val="accent6">
              <a:lumMod val="50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86880</xdr:colOff>
      <xdr:row>0</xdr:row>
      <xdr:rowOff>31175</xdr:rowOff>
    </xdr:from>
    <xdr:to>
      <xdr:col>10</xdr:col>
      <xdr:colOff>150092</xdr:colOff>
      <xdr:row>0</xdr:row>
      <xdr:rowOff>375228</xdr:rowOff>
    </xdr:to>
    <xdr:sp macro="[0]!DEVIS_IMPRIMER" textlink="">
      <xdr:nvSpPr>
        <xdr:cNvPr id="15" name="Rectangle : coins arrondis 14">
          <a:extLst>
            <a:ext uri="{FF2B5EF4-FFF2-40B4-BE49-F238E27FC236}">
              <a16:creationId xmlns:a16="http://schemas.microsoft.com/office/drawing/2014/main" id="{00000000-0008-0000-0500-00000F000000}"/>
            </a:ext>
          </a:extLst>
        </xdr:cNvPr>
        <xdr:cNvSpPr/>
      </xdr:nvSpPr>
      <xdr:spPr>
        <a:xfrm>
          <a:off x="8942244" y="31175"/>
          <a:ext cx="859848" cy="3440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b="1"/>
            <a:t>IMPRIMER</a:t>
          </a:r>
        </a:p>
      </xdr:txBody>
    </xdr:sp>
    <xdr:clientData/>
  </xdr:twoCellAnchor>
  <xdr:twoCellAnchor>
    <xdr:from>
      <xdr:col>9</xdr:col>
      <xdr:colOff>118918</xdr:colOff>
      <xdr:row>1</xdr:row>
      <xdr:rowOff>88901</xdr:rowOff>
    </xdr:from>
    <xdr:to>
      <xdr:col>10</xdr:col>
      <xdr:colOff>479137</xdr:colOff>
      <xdr:row>4</xdr:row>
      <xdr:rowOff>54264</xdr:rowOff>
    </xdr:to>
    <xdr:sp macro="[0]!MISE_A_JOUR_BASE_CLIENTS" textlink="">
      <xdr:nvSpPr>
        <xdr:cNvPr id="17" name="Rectangle : coins arrondis 16">
          <a:extLst>
            <a:ext uri="{FF2B5EF4-FFF2-40B4-BE49-F238E27FC236}">
              <a16:creationId xmlns:a16="http://schemas.microsoft.com/office/drawing/2014/main" id="{00000000-0008-0000-0500-000011000000}"/>
            </a:ext>
          </a:extLst>
        </xdr:cNvPr>
        <xdr:cNvSpPr/>
      </xdr:nvSpPr>
      <xdr:spPr>
        <a:xfrm>
          <a:off x="8974282" y="608446"/>
          <a:ext cx="1156855" cy="502227"/>
        </a:xfrm>
        <a:prstGeom prst="round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Mettre à jour le fichier client</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8</xdr:col>
      <xdr:colOff>838200</xdr:colOff>
      <xdr:row>0</xdr:row>
      <xdr:rowOff>38100</xdr:rowOff>
    </xdr:from>
    <xdr:ext cx="1115640" cy="754199"/>
    <xdr:sp macro="[0]!Acceuil" textlink="">
      <xdr:nvSpPr>
        <xdr:cNvPr id="2" name="Rectangle : coins arrondis 1">
          <a:extLst>
            <a:ext uri="{FF2B5EF4-FFF2-40B4-BE49-F238E27FC236}">
              <a16:creationId xmlns:a16="http://schemas.microsoft.com/office/drawing/2014/main" id="{00000000-0008-0000-0600-000002000000}"/>
            </a:ext>
          </a:extLst>
        </xdr:cNvPr>
        <xdr:cNvSpPr/>
      </xdr:nvSpPr>
      <xdr:spPr>
        <a:xfrm>
          <a:off x="9401175" y="38100"/>
          <a:ext cx="111564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7</xdr:col>
      <xdr:colOff>169108</xdr:colOff>
      <xdr:row>0</xdr:row>
      <xdr:rowOff>33017</xdr:rowOff>
    </xdr:from>
    <xdr:ext cx="1115640" cy="754199"/>
    <xdr:sp macro="[0]!Acceuil" textlink="">
      <xdr:nvSpPr>
        <xdr:cNvPr id="2" name="Rectangle : coins arrondis 1">
          <a:extLst>
            <a:ext uri="{FF2B5EF4-FFF2-40B4-BE49-F238E27FC236}">
              <a16:creationId xmlns:a16="http://schemas.microsoft.com/office/drawing/2014/main" id="{00000000-0008-0000-0700-000002000000}"/>
            </a:ext>
          </a:extLst>
        </xdr:cNvPr>
        <xdr:cNvSpPr/>
      </xdr:nvSpPr>
      <xdr:spPr>
        <a:xfrm>
          <a:off x="17001144" y="33017"/>
          <a:ext cx="111564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twoCellAnchor editAs="absolute">
    <xdr:from>
      <xdr:col>2</xdr:col>
      <xdr:colOff>99695</xdr:colOff>
      <xdr:row>0</xdr:row>
      <xdr:rowOff>24492</xdr:rowOff>
    </xdr:from>
    <xdr:to>
      <xdr:col>3</xdr:col>
      <xdr:colOff>129358</xdr:colOff>
      <xdr:row>1</xdr:row>
      <xdr:rowOff>0</xdr:rowOff>
    </xdr:to>
    <mc:AlternateContent xmlns:mc="http://schemas.openxmlformats.org/markup-compatibility/2006" xmlns:sle15="http://schemas.microsoft.com/office/drawing/2012/slicer">
      <mc:Choice Requires="sle15">
        <xdr:graphicFrame macro="">
          <xdr:nvGraphicFramePr>
            <xdr:cNvPr id="3" name="FOURNISSEURS">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FOURNISSEURS"/>
            </a:graphicData>
          </a:graphic>
        </xdr:graphicFrame>
      </mc:Choice>
      <mc:Fallback xmlns="">
        <xdr:sp macro="" textlink="">
          <xdr:nvSpPr>
            <xdr:cNvPr id="0" name=""/>
            <xdr:cNvSpPr>
              <a:spLocks noTextEdit="1"/>
            </xdr:cNvSpPr>
          </xdr:nvSpPr>
          <xdr:spPr>
            <a:xfrm>
              <a:off x="6677025" y="24492"/>
              <a:ext cx="1831521" cy="1472295"/>
            </a:xfrm>
            <a:prstGeom prst="rect">
              <a:avLst/>
            </a:prstGeom>
            <a:solidFill>
              <a:prstClr val="white"/>
            </a:solidFill>
            <a:ln w="1">
              <a:solidFill>
                <a:prstClr val="green"/>
              </a:solidFill>
            </a:ln>
          </xdr:spPr>
          <xdr:txBody>
            <a:bodyPr vertOverflow="clip" horzOverflow="clip"/>
            <a:lstStyle/>
            <a:p>
              <a:r>
                <a:rPr lang="fr-FR" sz="1100"/>
                <a:t>Cette forme représente un segment de table. Les segments de table sont pris en charge dans Excel ou version ultérieure.
En revanche, si la forme a été modifiée dans une version précédente d’Excel, ou si le classeur a été enregistré dans Excel 2007 ou une version précédente, vous ne pouvez pas utiliser le segment.</a:t>
              </a:r>
            </a:p>
          </xdr:txBody>
        </xdr:sp>
      </mc:Fallback>
    </mc:AlternateContent>
    <xdr:clientData/>
  </xdr:twoCellAnchor>
  <xdr:twoCellAnchor editAs="absolute">
    <xdr:from>
      <xdr:col>1</xdr:col>
      <xdr:colOff>35195</xdr:colOff>
      <xdr:row>0</xdr:row>
      <xdr:rowOff>13243</xdr:rowOff>
    </xdr:from>
    <xdr:to>
      <xdr:col>1</xdr:col>
      <xdr:colOff>1863994</xdr:colOff>
      <xdr:row>0</xdr:row>
      <xdr:rowOff>1485900</xdr:rowOff>
    </xdr:to>
    <mc:AlternateContent xmlns:mc="http://schemas.openxmlformats.org/markup-compatibility/2006" xmlns:sle15="http://schemas.microsoft.com/office/drawing/2012/slicer">
      <mc:Choice Requires="sle15">
        <xdr:graphicFrame macro="">
          <xdr:nvGraphicFramePr>
            <xdr:cNvPr id="4" name="Catégorie">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Catégorie"/>
            </a:graphicData>
          </a:graphic>
        </xdr:graphicFrame>
      </mc:Choice>
      <mc:Fallback xmlns="">
        <xdr:sp macro="" textlink="">
          <xdr:nvSpPr>
            <xdr:cNvPr id="0" name=""/>
            <xdr:cNvSpPr>
              <a:spLocks noTextEdit="1"/>
            </xdr:cNvSpPr>
          </xdr:nvSpPr>
          <xdr:spPr>
            <a:xfrm>
              <a:off x="4305298" y="8163"/>
              <a:ext cx="1828799" cy="1477737"/>
            </a:xfrm>
            <a:prstGeom prst="rect">
              <a:avLst/>
            </a:prstGeom>
            <a:solidFill>
              <a:prstClr val="white"/>
            </a:solidFill>
            <a:ln w="1">
              <a:solidFill>
                <a:prstClr val="green"/>
              </a:solidFill>
            </a:ln>
          </xdr:spPr>
          <xdr:txBody>
            <a:bodyPr vertOverflow="clip" horzOverflow="clip"/>
            <a:lstStyle/>
            <a:p>
              <a:r>
                <a:rPr lang="fr-FR" sz="1100"/>
                <a:t>Cette forme représente un segment de table. Les segments de table sont pris en charge dans Excel ou version ultérieure.
En revanche, si la forme a été modifiée dans une version précédente d’Excel, ou si le classeur a été enregistré dans Excel 2007 ou une version précédente, vous ne pouvez pas utiliser le segment.</a:t>
              </a:r>
            </a:p>
          </xdr:txBody>
        </xdr:sp>
      </mc:Fallback>
    </mc:AlternateContent>
    <xdr:clientData/>
  </xdr:twoCellAnchor>
  <xdr:oneCellAnchor>
    <xdr:from>
      <xdr:col>8</xdr:col>
      <xdr:colOff>577322</xdr:colOff>
      <xdr:row>0</xdr:row>
      <xdr:rowOff>243928</xdr:rowOff>
    </xdr:from>
    <xdr:ext cx="1055535" cy="1028340"/>
    <xdr:sp macro="[0]!catégorieMA" textlink="">
      <xdr:nvSpPr>
        <xdr:cNvPr id="5" name="Rectangle : coins arrondis 1">
          <a:extLst>
            <a:ext uri="{FF2B5EF4-FFF2-40B4-BE49-F238E27FC236}">
              <a16:creationId xmlns:a16="http://schemas.microsoft.com/office/drawing/2014/main" id="{00000000-0008-0000-0700-000005000000}"/>
            </a:ext>
          </a:extLst>
        </xdr:cNvPr>
        <xdr:cNvSpPr/>
      </xdr:nvSpPr>
      <xdr:spPr>
        <a:xfrm>
          <a:off x="18389072" y="243928"/>
          <a:ext cx="1055535" cy="102834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400" b="1" i="0" u="none" strike="noStrike" kern="1200" spc="0">
              <a:solidFill>
                <a:sysClr val="windowText" lastClr="000000"/>
              </a:solidFill>
              <a:latin typeface="Calibri"/>
            </a:rPr>
            <a:t>Mettre à jour les catégories</a:t>
          </a:r>
        </a:p>
      </xdr:txBody>
    </xdr:sp>
    <xdr:clientData/>
  </xdr:oneCellAnchor>
  <xdr:absoluteAnchor>
    <xdr:pos x="23532191" y="76199"/>
    <xdr:ext cx="1828799" cy="1480458"/>
    <mc:AlternateContent xmlns:mc="http://schemas.openxmlformats.org/markup-compatibility/2006" xmlns:sle15="http://schemas.microsoft.com/office/drawing/2012/slicer">
      <mc:Choice Requires="sle15">
        <xdr:graphicFrame macro="">
          <xdr:nvGraphicFramePr>
            <xdr:cNvPr id="6" name="Catégorie 1">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microsoft.com/office/drawing/2010/slicer">
              <sle:slicer xmlns:sle="http://schemas.microsoft.com/office/drawing/2010/slicer" name="Catégorie 1"/>
            </a:graphicData>
          </a:graphic>
        </xdr:graphicFrame>
      </mc:Choice>
      <mc:Fallback xmlns="">
        <xdr:sp macro="" textlink="">
          <xdr:nvSpPr>
            <xdr:cNvPr id="0" name=""/>
            <xdr:cNvSpPr>
              <a:spLocks noTextEdit="1"/>
            </xdr:cNvSpPr>
          </xdr:nvSpPr>
          <xdr:spPr>
            <a:xfrm>
              <a:off x="23532191" y="76199"/>
              <a:ext cx="1828799" cy="1480458"/>
            </a:xfrm>
            <a:prstGeom prst="rect">
              <a:avLst/>
            </a:prstGeom>
            <a:solidFill>
              <a:prstClr val="white"/>
            </a:solidFill>
            <a:ln w="1">
              <a:solidFill>
                <a:prstClr val="green"/>
              </a:solidFill>
            </a:ln>
          </xdr:spPr>
          <xdr:txBody>
            <a:bodyPr vertOverflow="clip" horzOverflow="clip"/>
            <a:lstStyle/>
            <a:p>
              <a:r>
                <a:rPr lang="fr-FR" sz="1100"/>
                <a:t>Cette forme représente un segment de table. Les segments de table sont pris en charge dans Excel ou version ultérieure.
En revanche, si la forme a été modifiée dans une version précédente d’Excel, ou si le classeur a été enregistré dans Excel 2007 ou une version précédente, vous ne pouvez pas utiliser le segment.</a:t>
              </a:r>
            </a:p>
          </xdr:txBody>
        </xdr:sp>
      </mc:Fallback>
    </mc:AlternateContent>
    <xdr:clientData/>
  </xdr:absoluteAnchor>
</xdr:wsDr>
</file>

<file path=xl/drawings/drawing9.xml><?xml version="1.0" encoding="utf-8"?>
<xdr:wsDr xmlns:xdr="http://schemas.openxmlformats.org/drawingml/2006/spreadsheetDrawing" xmlns:a="http://schemas.openxmlformats.org/drawingml/2006/main">
  <xdr:oneCellAnchor>
    <xdr:from>
      <xdr:col>6</xdr:col>
      <xdr:colOff>289665</xdr:colOff>
      <xdr:row>0</xdr:row>
      <xdr:rowOff>66540</xdr:rowOff>
    </xdr:from>
    <xdr:ext cx="1139085" cy="781185"/>
    <xdr:sp macro="[0]!Acceuil" textlink="">
      <xdr:nvSpPr>
        <xdr:cNvPr id="2" name="Rectangle : coins arrondis 1">
          <a:extLst>
            <a:ext uri="{FF2B5EF4-FFF2-40B4-BE49-F238E27FC236}">
              <a16:creationId xmlns:a16="http://schemas.microsoft.com/office/drawing/2014/main" id="{00000000-0008-0000-0800-000002000000}"/>
            </a:ext>
          </a:extLst>
        </xdr:cNvPr>
        <xdr:cNvSpPr/>
      </xdr:nvSpPr>
      <xdr:spPr>
        <a:xfrm>
          <a:off x="11510115" y="66540"/>
          <a:ext cx="1139085" cy="78118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twoCellAnchor editAs="absolute">
    <xdr:from>
      <xdr:col>6</xdr:col>
      <xdr:colOff>171450</xdr:colOff>
      <xdr:row>4</xdr:row>
      <xdr:rowOff>286022</xdr:rowOff>
    </xdr:from>
    <xdr:to>
      <xdr:col>8</xdr:col>
      <xdr:colOff>342900</xdr:colOff>
      <xdr:row>11</xdr:row>
      <xdr:rowOff>73380</xdr:rowOff>
    </xdr:to>
    <mc:AlternateContent xmlns:mc="http://schemas.openxmlformats.org/markup-compatibility/2006" xmlns:sle15="http://schemas.microsoft.com/office/drawing/2012/slicer">
      <mc:Choice Requires="sle15">
        <xdr:graphicFrame macro="">
          <xdr:nvGraphicFramePr>
            <xdr:cNvPr id="3" name="CatégorieMP">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0/slicer">
              <sle:slicer xmlns:sle="http://schemas.microsoft.com/office/drawing/2010/slicer" name="CatégorieMP"/>
            </a:graphicData>
          </a:graphic>
        </xdr:graphicFrame>
      </mc:Choice>
      <mc:Fallback xmlns="">
        <xdr:sp macro="" textlink="">
          <xdr:nvSpPr>
            <xdr:cNvPr id="0" name=""/>
            <xdr:cNvSpPr>
              <a:spLocks noTextEdit="1"/>
            </xdr:cNvSpPr>
          </xdr:nvSpPr>
          <xdr:spPr>
            <a:xfrm>
              <a:off x="11391900" y="2181225"/>
              <a:ext cx="1828800" cy="2343150"/>
            </a:xfrm>
            <a:prstGeom prst="rect">
              <a:avLst/>
            </a:prstGeom>
            <a:solidFill>
              <a:prstClr val="white"/>
            </a:solidFill>
            <a:ln w="1">
              <a:solidFill>
                <a:prstClr val="green"/>
              </a:solidFill>
            </a:ln>
          </xdr:spPr>
          <xdr:txBody>
            <a:bodyPr vertOverflow="clip" horzOverflow="clip"/>
            <a:lstStyle/>
            <a:p>
              <a:r>
                <a:rPr lang="fr-FR" sz="1100"/>
                <a:t>Cette forme représente un segment de table. Les segments de table sont pris en charge dans Excel ou version ultérieure.
En revanche, si la forme a été modifiée dans une version précédente d’Excel, ou si le classeur a été enregistré dans Excel 2007 ou une version précédente, vous ne pouvez pas utiliser le segment.</a:t>
              </a:r>
            </a:p>
          </xdr:txBody>
        </xdr:sp>
      </mc:Fallback>
    </mc:AlternateContent>
    <xdr:clientData/>
  </xdr:twoCellAnchor>
  <xdr:oneCellAnchor>
    <xdr:from>
      <xdr:col>6</xdr:col>
      <xdr:colOff>337290</xdr:colOff>
      <xdr:row>2</xdr:row>
      <xdr:rowOff>85590</xdr:rowOff>
    </xdr:from>
    <xdr:ext cx="1139085" cy="781185"/>
    <xdr:sp macro="[0]!catégoriemp" textlink="">
      <xdr:nvSpPr>
        <xdr:cNvPr id="4" name="Rectangle : coins arrondis 1">
          <a:extLst>
            <a:ext uri="{FF2B5EF4-FFF2-40B4-BE49-F238E27FC236}">
              <a16:creationId xmlns:a16="http://schemas.microsoft.com/office/drawing/2014/main" id="{00000000-0008-0000-0800-000004000000}"/>
            </a:ext>
          </a:extLst>
        </xdr:cNvPr>
        <xdr:cNvSpPr/>
      </xdr:nvSpPr>
      <xdr:spPr>
        <a:xfrm>
          <a:off x="11557740" y="1238115"/>
          <a:ext cx="1139085" cy="78118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4"/>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1" i="0" u="none" strike="noStrike" kern="1200" spc="0">
              <a:solidFill>
                <a:sysClr val="windowText" lastClr="000000"/>
              </a:solidFill>
              <a:latin typeface="Calibri"/>
            </a:rPr>
            <a:t>Mettre à jour la liste de catégories</a:t>
          </a:r>
        </a:p>
      </xdr:txBody>
    </xdr:sp>
    <xdr:clientData/>
  </xdr:oneCellAnchor>
  <xdr:oneCellAnchor>
    <xdr:from>
      <xdr:col>6</xdr:col>
      <xdr:colOff>337290</xdr:colOff>
      <xdr:row>2</xdr:row>
      <xdr:rowOff>85590</xdr:rowOff>
    </xdr:from>
    <xdr:ext cx="1139085" cy="781185"/>
    <xdr:sp macro="[0]!catégoriemp" textlink="">
      <xdr:nvSpPr>
        <xdr:cNvPr id="5" name="Rectangle : coins arrondis 1">
          <a:extLst>
            <a:ext uri="{FF2B5EF4-FFF2-40B4-BE49-F238E27FC236}">
              <a16:creationId xmlns:a16="http://schemas.microsoft.com/office/drawing/2014/main" id="{00000000-0008-0000-0800-000005000000}"/>
            </a:ext>
          </a:extLst>
        </xdr:cNvPr>
        <xdr:cNvSpPr/>
      </xdr:nvSpPr>
      <xdr:spPr>
        <a:xfrm>
          <a:off x="11557740" y="1238115"/>
          <a:ext cx="1139085" cy="78118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4">
            <a:lumMod val="10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200" b="1" i="0" u="none" strike="noStrike" kern="1200" spc="0">
              <a:solidFill>
                <a:sysClr val="windowText" lastClr="000000"/>
              </a:solidFill>
              <a:latin typeface="Calibri"/>
            </a:rPr>
            <a:t>Mettre</a:t>
          </a:r>
          <a:r>
            <a:rPr lang="fr-FR" sz="1200" b="1" i="0" u="none" strike="noStrike" kern="1200" spc="0" baseline="0">
              <a:solidFill>
                <a:sysClr val="windowText" lastClr="000000"/>
              </a:solidFill>
              <a:latin typeface="Calibri"/>
            </a:rPr>
            <a:t> à jour la liste de catégorie</a:t>
          </a:r>
          <a:endParaRPr lang="fr-FR" sz="1200" b="1" i="0" u="none" strike="noStrike" kern="1200" spc="0">
            <a:solidFill>
              <a:sysClr val="windowText" lastClr="000000"/>
            </a:solidFill>
            <a:latin typeface="Calibri"/>
          </a:endParaRPr>
        </a:p>
      </xdr:txBody>
    </xdr:sp>
    <xdr:clientData/>
  </xdr:oneCellAnchor>
</xdr:wsDr>
</file>

<file path=xl/drawings/drawing10.xml><?xml version="1.0" encoding="utf-8"?>
<xdr:wsDr xmlns:xdr="http://schemas.openxmlformats.org/drawingml/2006/spreadsheetDrawing" xmlns:a="http://schemas.openxmlformats.org/drawingml/2006/main">
  <xdr:oneCellAnchor>
    <xdr:from>
      <xdr:col>5</xdr:col>
      <xdr:colOff>223410</xdr:colOff>
      <xdr:row>0</xdr:row>
      <xdr:rowOff>360</xdr:rowOff>
    </xdr:from>
    <xdr:ext cx="1138665" cy="780690"/>
    <xdr:sp macro="[0]!Acceuil" textlink="">
      <xdr:nvSpPr>
        <xdr:cNvPr id="2" name="Rectangle : coins arrondis 1">
          <a:extLst>
            <a:ext uri="{FF2B5EF4-FFF2-40B4-BE49-F238E27FC236}">
              <a16:creationId xmlns:a16="http://schemas.microsoft.com/office/drawing/2014/main" id="{00000000-0008-0000-0900-000002000000}"/>
            </a:ext>
          </a:extLst>
        </xdr:cNvPr>
        <xdr:cNvSpPr/>
      </xdr:nvSpPr>
      <xdr:spPr>
        <a:xfrm>
          <a:off x="11434335" y="360"/>
          <a:ext cx="1138665" cy="78069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twoCellAnchor editAs="absolute">
    <xdr:from>
      <xdr:col>5</xdr:col>
      <xdr:colOff>167864</xdr:colOff>
      <xdr:row>5</xdr:row>
      <xdr:rowOff>342527</xdr:rowOff>
    </xdr:from>
    <xdr:to>
      <xdr:col>6</xdr:col>
      <xdr:colOff>548640</xdr:colOff>
      <xdr:row>18</xdr:row>
      <xdr:rowOff>17071</xdr:rowOff>
    </xdr:to>
    <mc:AlternateContent xmlns:mc="http://schemas.openxmlformats.org/markup-compatibility/2006" xmlns:sle15="http://schemas.microsoft.com/office/drawing/2012/slicer">
      <mc:Choice Requires="sle15">
        <xdr:graphicFrame macro="">
          <xdr:nvGraphicFramePr>
            <xdr:cNvPr id="3" name="Catégorie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Catégorie 2"/>
            </a:graphicData>
          </a:graphic>
        </xdr:graphicFrame>
      </mc:Choice>
      <mc:Fallback xmlns="">
        <xdr:sp macro="" textlink="">
          <xdr:nvSpPr>
            <xdr:cNvPr id="0" name=""/>
            <xdr:cNvSpPr>
              <a:spLocks noTextEdit="1"/>
            </xdr:cNvSpPr>
          </xdr:nvSpPr>
          <xdr:spPr>
            <a:xfrm>
              <a:off x="13103935" y="1950944"/>
              <a:ext cx="1827343" cy="2730762"/>
            </a:xfrm>
            <a:prstGeom prst="rect">
              <a:avLst/>
            </a:prstGeom>
            <a:solidFill>
              <a:prstClr val="white"/>
            </a:solidFill>
            <a:ln w="1">
              <a:solidFill>
                <a:prstClr val="green"/>
              </a:solidFill>
            </a:ln>
          </xdr:spPr>
          <xdr:txBody>
            <a:bodyPr vertOverflow="clip" horzOverflow="clip"/>
            <a:lstStyle/>
            <a:p>
              <a:r>
                <a:rPr lang="fr-FR" sz="1100"/>
                <a:t>Cette forme représente un segment de table. Les segments de table sont pris en charge dans Excel ou version ultérieure.
En revanche, si la forme a été modifiée dans une version précédente d’Excel, ou si le classeur a été enregistré dans Excel 2007 ou une version précédente, vous ne pouvez pas utiliser le segment.</a:t>
              </a:r>
            </a:p>
          </xdr:txBody>
        </xdr:sp>
      </mc:Fallback>
    </mc:AlternateContent>
    <xdr:clientData/>
  </xdr:twoCellAnchor>
  <xdr:oneCellAnchor>
    <xdr:from>
      <xdr:col>5</xdr:col>
      <xdr:colOff>261510</xdr:colOff>
      <xdr:row>1</xdr:row>
      <xdr:rowOff>57510</xdr:rowOff>
    </xdr:from>
    <xdr:ext cx="1138665" cy="552090"/>
    <xdr:sp macro="[0]!catégorieMOC" textlink="">
      <xdr:nvSpPr>
        <xdr:cNvPr id="4" name="Rectangle : coins arrondis 1">
          <a:extLst>
            <a:ext uri="{FF2B5EF4-FFF2-40B4-BE49-F238E27FC236}">
              <a16:creationId xmlns:a16="http://schemas.microsoft.com/office/drawing/2014/main" id="{00000000-0008-0000-0900-000004000000}"/>
            </a:ext>
          </a:extLst>
        </xdr:cNvPr>
        <xdr:cNvSpPr/>
      </xdr:nvSpPr>
      <xdr:spPr>
        <a:xfrm>
          <a:off x="11472435" y="933810"/>
          <a:ext cx="1138665" cy="55209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200" b="1" i="0" u="none" strike="noStrike" kern="1200" spc="0">
              <a:solidFill>
                <a:sysClr val="windowText" lastClr="000000"/>
              </a:solidFill>
              <a:latin typeface="Calibri"/>
            </a:rPr>
            <a:t>Mettre à jour les catégories</a:t>
          </a:r>
        </a:p>
      </xdr:txBody>
    </xdr:sp>
    <xdr:clientData/>
  </xdr:oneCellAnchor>
</xdr:wsDr>
</file>

<file path=xl/drawings/drawing11.xml><?xml version="1.0" encoding="utf-8"?>
<xdr:wsDr xmlns:xdr="http://schemas.openxmlformats.org/drawingml/2006/spreadsheetDrawing" xmlns:a="http://schemas.openxmlformats.org/drawingml/2006/main">
  <xdr:oneCellAnchor>
    <xdr:from>
      <xdr:col>6</xdr:col>
      <xdr:colOff>228600</xdr:colOff>
      <xdr:row>0</xdr:row>
      <xdr:rowOff>9525</xdr:rowOff>
    </xdr:from>
    <xdr:ext cx="1088571" cy="698046"/>
    <xdr:sp macro="[0]!Acceuil" textlink="">
      <xdr:nvSpPr>
        <xdr:cNvPr id="3" name="Rectangle : coins arrondis 1">
          <a:extLst>
            <a:ext uri="{FF2B5EF4-FFF2-40B4-BE49-F238E27FC236}">
              <a16:creationId xmlns:a16="http://schemas.microsoft.com/office/drawing/2014/main" id="{00000000-0008-0000-0A00-000003000000}"/>
            </a:ext>
          </a:extLst>
        </xdr:cNvPr>
        <xdr:cNvSpPr/>
      </xdr:nvSpPr>
      <xdr:spPr>
        <a:xfrm>
          <a:off x="14227629" y="9525"/>
          <a:ext cx="1088571" cy="698046"/>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twoCellAnchor editAs="absolute">
    <xdr:from>
      <xdr:col>6</xdr:col>
      <xdr:colOff>142876</xdr:colOff>
      <xdr:row>82</xdr:row>
      <xdr:rowOff>137704</xdr:rowOff>
    </xdr:from>
    <xdr:to>
      <xdr:col>6</xdr:col>
      <xdr:colOff>1969772</xdr:colOff>
      <xdr:row>98</xdr:row>
      <xdr:rowOff>60144</xdr:rowOff>
    </xdr:to>
    <mc:AlternateContent xmlns:mc="http://schemas.openxmlformats.org/markup-compatibility/2006" xmlns:sle15="http://schemas.microsoft.com/office/drawing/2012/slicer">
      <mc:Choice Requires="sle15">
        <xdr:graphicFrame macro="">
          <xdr:nvGraphicFramePr>
            <xdr:cNvPr id="4" name="Catégorie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microsoft.com/office/drawing/2010/slicer">
              <sle:slicer xmlns:sle="http://schemas.microsoft.com/office/drawing/2010/slicer" name="Catégorie 3"/>
            </a:graphicData>
          </a:graphic>
        </xdr:graphicFrame>
      </mc:Choice>
      <mc:Fallback xmlns="">
        <xdr:sp macro="" textlink="">
          <xdr:nvSpPr>
            <xdr:cNvPr id="0" name=""/>
            <xdr:cNvSpPr>
              <a:spLocks noTextEdit="1"/>
            </xdr:cNvSpPr>
          </xdr:nvSpPr>
          <xdr:spPr>
            <a:xfrm>
              <a:off x="18456457" y="1684020"/>
              <a:ext cx="1826896" cy="2445748"/>
            </a:xfrm>
            <a:prstGeom prst="rect">
              <a:avLst/>
            </a:prstGeom>
            <a:solidFill>
              <a:prstClr val="white"/>
            </a:solidFill>
            <a:ln w="1">
              <a:solidFill>
                <a:prstClr val="green"/>
              </a:solidFill>
            </a:ln>
          </xdr:spPr>
          <xdr:txBody>
            <a:bodyPr vertOverflow="clip" horzOverflow="clip"/>
            <a:lstStyle/>
            <a:p>
              <a:r>
                <a:rPr lang="fr-FR" sz="1100"/>
                <a:t>Cette forme représente un segment de table. Les segments de table sont pris en charge dans Excel ou version ultérieure.
En revanche, si la forme a été modifiée dans une version précédente d’Excel, ou si le classeur a été enregistré dans Excel 2007 ou une version précédente, vous ne pouvez pas utiliser le segment.</a:t>
              </a:r>
            </a:p>
          </xdr:txBody>
        </xdr:sp>
      </mc:Fallback>
    </mc:AlternateContent>
    <xdr:clientData/>
  </xdr:twoCellAnchor>
  <xdr:oneCellAnchor>
    <xdr:from>
      <xdr:col>6</xdr:col>
      <xdr:colOff>219075</xdr:colOff>
      <xdr:row>1</xdr:row>
      <xdr:rowOff>95250</xdr:rowOff>
    </xdr:from>
    <xdr:ext cx="1138665" cy="780690"/>
    <xdr:sp macro="[0]!catégorieMOA" textlink="">
      <xdr:nvSpPr>
        <xdr:cNvPr id="5" name="Rectangle : coins arrondis 1">
          <a:extLst>
            <a:ext uri="{FF2B5EF4-FFF2-40B4-BE49-F238E27FC236}">
              <a16:creationId xmlns:a16="http://schemas.microsoft.com/office/drawing/2014/main" id="{00000000-0008-0000-0A00-000005000000}"/>
            </a:ext>
          </a:extLst>
        </xdr:cNvPr>
        <xdr:cNvSpPr/>
      </xdr:nvSpPr>
      <xdr:spPr>
        <a:xfrm>
          <a:off x="10791825" y="847725"/>
          <a:ext cx="1138665" cy="78069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400" b="1" i="0" u="none" strike="noStrike" kern="1200" spc="0">
              <a:solidFill>
                <a:sysClr val="windowText" lastClr="000000"/>
              </a:solidFill>
              <a:latin typeface="Calibri"/>
            </a:rPr>
            <a:t>Mettre à jour les catégories</a:t>
          </a:r>
        </a:p>
      </xdr:txBody>
    </xdr:sp>
    <xdr:clientData/>
  </xdr:oneCellAnchor>
</xdr:wsDr>
</file>

<file path=xl/drawings/drawing12.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0B00-000002000000}"/>
            </a:ext>
          </a:extLst>
        </xdr:cNvPr>
        <xdr:cNvSpPr/>
      </xdr:nvSpPr>
      <xdr:spPr>
        <a:xfrm>
          <a:off x="129810" y="251070"/>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13.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0C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14.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0D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15.xml><?xml version="1.0" encoding="utf-8"?>
<xdr:wsDr xmlns:xdr="http://schemas.openxmlformats.org/drawingml/2006/spreadsheetDrawing" xmlns:a="http://schemas.openxmlformats.org/drawingml/2006/main">
  <xdr:oneCellAnchor>
    <xdr:from>
      <xdr:col>0</xdr:col>
      <xdr:colOff>75240</xdr:colOff>
      <xdr:row>1</xdr:row>
      <xdr:rowOff>79560</xdr:rowOff>
    </xdr:from>
    <xdr:ext cx="1062000" cy="754199"/>
    <xdr:sp macro="[0]!Acceuil" textlink="">
      <xdr:nvSpPr>
        <xdr:cNvPr id="2" name="Rectangle : coins arrondis 1">
          <a:extLst>
            <a:ext uri="{FF2B5EF4-FFF2-40B4-BE49-F238E27FC236}">
              <a16:creationId xmlns:a16="http://schemas.microsoft.com/office/drawing/2014/main" id="{00000000-0008-0000-0E00-000002000000}"/>
            </a:ext>
          </a:extLst>
        </xdr:cNvPr>
        <xdr:cNvSpPr/>
      </xdr:nvSpPr>
      <xdr:spPr>
        <a:xfrm>
          <a:off x="75240" y="222435"/>
          <a:ext cx="106200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16.xml><?xml version="1.0" encoding="utf-8"?>
<xdr:wsDr xmlns:xdr="http://schemas.openxmlformats.org/drawingml/2006/spreadsheetDrawing" xmlns:a="http://schemas.openxmlformats.org/drawingml/2006/main">
  <xdr:oneCellAnchor>
    <xdr:from>
      <xdr:col>0</xdr:col>
      <xdr:colOff>500743</xdr:colOff>
      <xdr:row>10</xdr:row>
      <xdr:rowOff>68881</xdr:rowOff>
    </xdr:from>
    <xdr:ext cx="1115640" cy="754199"/>
    <xdr:sp macro="[0]!Acceuil" textlink="">
      <xdr:nvSpPr>
        <xdr:cNvPr id="2" name="Rectangle : coins arrondis 1">
          <a:extLst>
            <a:ext uri="{FF2B5EF4-FFF2-40B4-BE49-F238E27FC236}">
              <a16:creationId xmlns:a16="http://schemas.microsoft.com/office/drawing/2014/main" id="{00000000-0008-0000-0F00-000002000000}"/>
            </a:ext>
          </a:extLst>
        </xdr:cNvPr>
        <xdr:cNvSpPr/>
      </xdr:nvSpPr>
      <xdr:spPr>
        <a:xfrm>
          <a:off x="500743" y="2387538"/>
          <a:ext cx="111564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17.xml><?xml version="1.0" encoding="utf-8"?>
<xdr:wsDr xmlns:xdr="http://schemas.openxmlformats.org/drawingml/2006/spreadsheetDrawing" xmlns:a="http://schemas.openxmlformats.org/drawingml/2006/main">
  <xdr:oneCellAnchor>
    <xdr:from>
      <xdr:col>0</xdr:col>
      <xdr:colOff>360</xdr:colOff>
      <xdr:row>0</xdr:row>
      <xdr:rowOff>360</xdr:rowOff>
    </xdr:from>
    <xdr:ext cx="1115640" cy="754199"/>
    <xdr:sp macro="[0]!Acceuil" textlink="">
      <xdr:nvSpPr>
        <xdr:cNvPr id="2" name="Rectangle : coins arrondis 1">
          <a:extLst>
            <a:ext uri="{FF2B5EF4-FFF2-40B4-BE49-F238E27FC236}">
              <a16:creationId xmlns:a16="http://schemas.microsoft.com/office/drawing/2014/main" id="{00000000-0008-0000-1000-000002000000}"/>
            </a:ext>
          </a:extLst>
        </xdr:cNvPr>
        <xdr:cNvSpPr/>
      </xdr:nvSpPr>
      <xdr:spPr>
        <a:xfrm>
          <a:off x="360" y="360"/>
          <a:ext cx="111564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18.xml><?xml version="1.0" encoding="utf-8"?>
<xdr:wsDr xmlns:xdr="http://schemas.openxmlformats.org/drawingml/2006/spreadsheetDrawing" xmlns:a="http://schemas.openxmlformats.org/drawingml/2006/main">
  <xdr:oneCellAnchor>
    <xdr:from>
      <xdr:col>5</xdr:col>
      <xdr:colOff>57600</xdr:colOff>
      <xdr:row>16</xdr:row>
      <xdr:rowOff>25560</xdr:rowOff>
    </xdr:from>
    <xdr:ext cx="712800" cy="87480"/>
    <xdr:sp macro="" textlink="">
      <xdr:nvSpPr>
        <xdr:cNvPr id="15" name="Forme libre : forme 13">
          <a:extLst>
            <a:ext uri="{FF2B5EF4-FFF2-40B4-BE49-F238E27FC236}">
              <a16:creationId xmlns:a16="http://schemas.microsoft.com/office/drawing/2014/main" id="{00000000-0008-0000-1100-00000F000000}"/>
            </a:ext>
          </a:extLst>
        </xdr:cNvPr>
        <xdr:cNvSpPr/>
      </xdr:nvSpPr>
      <xdr:spPr>
        <a:xfrm>
          <a:off x="6439350" y="3492660"/>
          <a:ext cx="71280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33FF99"/>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3</xdr:col>
      <xdr:colOff>84240</xdr:colOff>
      <xdr:row>16</xdr:row>
      <xdr:rowOff>98640</xdr:rowOff>
    </xdr:from>
    <xdr:ext cx="888480" cy="87480"/>
    <xdr:sp macro="" textlink="">
      <xdr:nvSpPr>
        <xdr:cNvPr id="14" name="Forme libre : forme 12">
          <a:extLst>
            <a:ext uri="{FF2B5EF4-FFF2-40B4-BE49-F238E27FC236}">
              <a16:creationId xmlns:a16="http://schemas.microsoft.com/office/drawing/2014/main" id="{00000000-0008-0000-1100-00000E000000}"/>
            </a:ext>
          </a:extLst>
        </xdr:cNvPr>
        <xdr:cNvSpPr/>
      </xdr:nvSpPr>
      <xdr:spPr>
        <a:xfrm>
          <a:off x="3503715" y="3565740"/>
          <a:ext cx="88848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FF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7</xdr:col>
      <xdr:colOff>79560</xdr:colOff>
      <xdr:row>16</xdr:row>
      <xdr:rowOff>32400</xdr:rowOff>
    </xdr:from>
    <xdr:ext cx="3724920" cy="173880"/>
    <xdr:sp macro="" textlink="">
      <xdr:nvSpPr>
        <xdr:cNvPr id="16" name="Forme libre : forme 14">
          <a:extLst>
            <a:ext uri="{FF2B5EF4-FFF2-40B4-BE49-F238E27FC236}">
              <a16:creationId xmlns:a16="http://schemas.microsoft.com/office/drawing/2014/main" id="{00000000-0008-0000-1100-000010000000}"/>
            </a:ext>
          </a:extLst>
        </xdr:cNvPr>
        <xdr:cNvSpPr/>
      </xdr:nvSpPr>
      <xdr:spPr>
        <a:xfrm>
          <a:off x="9223560" y="3499500"/>
          <a:ext cx="3724920" cy="173880"/>
        </a:xfrm>
        <a:custGeom>
          <a:avLst>
            <a:gd name="f8" fmla="val 19181"/>
            <a:gd name="f9" fmla="val 7214"/>
          </a:avLst>
          <a:gdLst>
            <a:gd name="f2" fmla="val w"/>
            <a:gd name="f3" fmla="val h"/>
            <a:gd name="f4" fmla="val 0"/>
            <a:gd name="f5" fmla="val 21600"/>
            <a:gd name="f6" fmla="val 10800"/>
            <a:gd name="f7" fmla="+- 21600 0 0"/>
            <a:gd name="f8" fmla="val 19181"/>
            <a:gd name="f9" fmla="val 7214"/>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66FF"/>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11</xdr:col>
      <xdr:colOff>124200</xdr:colOff>
      <xdr:row>16</xdr:row>
      <xdr:rowOff>103680</xdr:rowOff>
    </xdr:from>
    <xdr:ext cx="712800" cy="87480"/>
    <xdr:sp macro="" textlink="">
      <xdr:nvSpPr>
        <xdr:cNvPr id="17" name="Forme libre : forme 15">
          <a:extLst>
            <a:ext uri="{FF2B5EF4-FFF2-40B4-BE49-F238E27FC236}">
              <a16:creationId xmlns:a16="http://schemas.microsoft.com/office/drawing/2014/main" id="{00000000-0008-0000-1100-000011000000}"/>
            </a:ext>
          </a:extLst>
        </xdr:cNvPr>
        <xdr:cNvSpPr/>
      </xdr:nvSpPr>
      <xdr:spPr>
        <a:xfrm>
          <a:off x="14630775" y="3570780"/>
          <a:ext cx="71280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FF3333"/>
        </a:solidFill>
        <a:ln w="25560">
          <a:solidFill>
            <a:srgbClr val="FF3333"/>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5</xdr:col>
      <xdr:colOff>79200</xdr:colOff>
      <xdr:row>8</xdr:row>
      <xdr:rowOff>92880</xdr:rowOff>
    </xdr:from>
    <xdr:ext cx="712800" cy="87480"/>
    <xdr:sp macro="" textlink="">
      <xdr:nvSpPr>
        <xdr:cNvPr id="4" name="Forme libre : forme 2">
          <a:extLst>
            <a:ext uri="{FF2B5EF4-FFF2-40B4-BE49-F238E27FC236}">
              <a16:creationId xmlns:a16="http://schemas.microsoft.com/office/drawing/2014/main" id="{00000000-0008-0000-1100-000004000000}"/>
            </a:ext>
          </a:extLst>
        </xdr:cNvPr>
        <xdr:cNvSpPr/>
      </xdr:nvSpPr>
      <xdr:spPr>
        <a:xfrm>
          <a:off x="6460950" y="1721655"/>
          <a:ext cx="71280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FF66"/>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3</xdr:col>
      <xdr:colOff>74520</xdr:colOff>
      <xdr:row>8</xdr:row>
      <xdr:rowOff>86040</xdr:rowOff>
    </xdr:from>
    <xdr:ext cx="888480" cy="87480"/>
    <xdr:sp macro="" textlink="">
      <xdr:nvSpPr>
        <xdr:cNvPr id="3" name="Forme libre : forme 1">
          <a:extLst>
            <a:ext uri="{FF2B5EF4-FFF2-40B4-BE49-F238E27FC236}">
              <a16:creationId xmlns:a16="http://schemas.microsoft.com/office/drawing/2014/main" id="{00000000-0008-0000-1100-000003000000}"/>
            </a:ext>
          </a:extLst>
        </xdr:cNvPr>
        <xdr:cNvSpPr/>
      </xdr:nvSpPr>
      <xdr:spPr>
        <a:xfrm>
          <a:off x="3493995" y="1714815"/>
          <a:ext cx="88848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FF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7</xdr:col>
      <xdr:colOff>143640</xdr:colOff>
      <xdr:row>8</xdr:row>
      <xdr:rowOff>72720</xdr:rowOff>
    </xdr:from>
    <xdr:ext cx="684720" cy="83880"/>
    <xdr:sp macro="" textlink="">
      <xdr:nvSpPr>
        <xdr:cNvPr id="5" name="Forme libre : forme 3">
          <a:extLst>
            <a:ext uri="{FF2B5EF4-FFF2-40B4-BE49-F238E27FC236}">
              <a16:creationId xmlns:a16="http://schemas.microsoft.com/office/drawing/2014/main" id="{00000000-0008-0000-1100-000005000000}"/>
            </a:ext>
          </a:extLst>
        </xdr:cNvPr>
        <xdr:cNvSpPr/>
      </xdr:nvSpPr>
      <xdr:spPr>
        <a:xfrm>
          <a:off x="9287640" y="1701495"/>
          <a:ext cx="684720" cy="838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66FF"/>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9</xdr:col>
      <xdr:colOff>102600</xdr:colOff>
      <xdr:row>8</xdr:row>
      <xdr:rowOff>113760</xdr:rowOff>
    </xdr:from>
    <xdr:ext cx="712800" cy="92520"/>
    <xdr:sp macro="" textlink="">
      <xdr:nvSpPr>
        <xdr:cNvPr id="6" name="Forme libre : forme 4">
          <a:extLst>
            <a:ext uri="{FF2B5EF4-FFF2-40B4-BE49-F238E27FC236}">
              <a16:creationId xmlns:a16="http://schemas.microsoft.com/office/drawing/2014/main" id="{00000000-0008-0000-1100-000006000000}"/>
            </a:ext>
          </a:extLst>
        </xdr:cNvPr>
        <xdr:cNvSpPr/>
      </xdr:nvSpPr>
      <xdr:spPr>
        <a:xfrm>
          <a:off x="12294600" y="1742535"/>
          <a:ext cx="712800" cy="9252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CCFF"/>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5</xdr:col>
      <xdr:colOff>79200</xdr:colOff>
      <xdr:row>11</xdr:row>
      <xdr:rowOff>46080</xdr:rowOff>
    </xdr:from>
    <xdr:ext cx="712800" cy="110880"/>
    <xdr:sp macro="" textlink="">
      <xdr:nvSpPr>
        <xdr:cNvPr id="10" name="Forme libre : forme 8">
          <a:extLst>
            <a:ext uri="{FF2B5EF4-FFF2-40B4-BE49-F238E27FC236}">
              <a16:creationId xmlns:a16="http://schemas.microsoft.com/office/drawing/2014/main" id="{00000000-0008-0000-1100-00000A000000}"/>
            </a:ext>
          </a:extLst>
        </xdr:cNvPr>
        <xdr:cNvSpPr/>
      </xdr:nvSpPr>
      <xdr:spPr>
        <a:xfrm>
          <a:off x="6460950" y="2474955"/>
          <a:ext cx="712800" cy="1108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FF66"/>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3</xdr:col>
      <xdr:colOff>74520</xdr:colOff>
      <xdr:row>11</xdr:row>
      <xdr:rowOff>42120</xdr:rowOff>
    </xdr:from>
    <xdr:ext cx="888480" cy="101160"/>
    <xdr:sp macro="" textlink="">
      <xdr:nvSpPr>
        <xdr:cNvPr id="9" name="Forme libre : forme 7">
          <a:extLst>
            <a:ext uri="{FF2B5EF4-FFF2-40B4-BE49-F238E27FC236}">
              <a16:creationId xmlns:a16="http://schemas.microsoft.com/office/drawing/2014/main" id="{00000000-0008-0000-1100-000009000000}"/>
            </a:ext>
          </a:extLst>
        </xdr:cNvPr>
        <xdr:cNvSpPr/>
      </xdr:nvSpPr>
      <xdr:spPr>
        <a:xfrm>
          <a:off x="3493995" y="2470995"/>
          <a:ext cx="888480" cy="10116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FF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7</xdr:col>
      <xdr:colOff>143640</xdr:colOff>
      <xdr:row>11</xdr:row>
      <xdr:rowOff>6120</xdr:rowOff>
    </xdr:from>
    <xdr:ext cx="684720" cy="91080"/>
    <xdr:sp macro="" textlink="">
      <xdr:nvSpPr>
        <xdr:cNvPr id="11" name="Forme libre : forme 9">
          <a:extLst>
            <a:ext uri="{FF2B5EF4-FFF2-40B4-BE49-F238E27FC236}">
              <a16:creationId xmlns:a16="http://schemas.microsoft.com/office/drawing/2014/main" id="{00000000-0008-0000-1100-00000B000000}"/>
            </a:ext>
          </a:extLst>
        </xdr:cNvPr>
        <xdr:cNvSpPr/>
      </xdr:nvSpPr>
      <xdr:spPr>
        <a:xfrm>
          <a:off x="9287640" y="2434995"/>
          <a:ext cx="684720" cy="910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66FF"/>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9</xdr:col>
      <xdr:colOff>87480</xdr:colOff>
      <xdr:row>11</xdr:row>
      <xdr:rowOff>28800</xdr:rowOff>
    </xdr:from>
    <xdr:ext cx="2962439" cy="172080"/>
    <xdr:sp macro="" textlink="">
      <xdr:nvSpPr>
        <xdr:cNvPr id="12" name="Forme libre : forme 10">
          <a:extLst>
            <a:ext uri="{FF2B5EF4-FFF2-40B4-BE49-F238E27FC236}">
              <a16:creationId xmlns:a16="http://schemas.microsoft.com/office/drawing/2014/main" id="{00000000-0008-0000-1100-00000C000000}"/>
            </a:ext>
          </a:extLst>
        </xdr:cNvPr>
        <xdr:cNvSpPr/>
      </xdr:nvSpPr>
      <xdr:spPr>
        <a:xfrm>
          <a:off x="12279480" y="2457675"/>
          <a:ext cx="2962439" cy="1720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CCFF"/>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5</xdr:col>
      <xdr:colOff>79200</xdr:colOff>
      <xdr:row>22</xdr:row>
      <xdr:rowOff>22680</xdr:rowOff>
    </xdr:from>
    <xdr:ext cx="712800" cy="63720"/>
    <xdr:sp macro="" textlink="">
      <xdr:nvSpPr>
        <xdr:cNvPr id="20" name="Forme libre : forme 18">
          <a:extLst>
            <a:ext uri="{FF2B5EF4-FFF2-40B4-BE49-F238E27FC236}">
              <a16:creationId xmlns:a16="http://schemas.microsoft.com/office/drawing/2014/main" id="{00000000-0008-0000-1100-000014000000}"/>
            </a:ext>
          </a:extLst>
        </xdr:cNvPr>
        <xdr:cNvSpPr/>
      </xdr:nvSpPr>
      <xdr:spPr>
        <a:xfrm>
          <a:off x="6460950" y="4766130"/>
          <a:ext cx="712800" cy="6372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33FF99"/>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3</xdr:col>
      <xdr:colOff>74520</xdr:colOff>
      <xdr:row>22</xdr:row>
      <xdr:rowOff>20880</xdr:rowOff>
    </xdr:from>
    <xdr:ext cx="683640" cy="103680"/>
    <xdr:sp macro="" textlink="">
      <xdr:nvSpPr>
        <xdr:cNvPr id="19" name="Forme libre : forme 17">
          <a:extLst>
            <a:ext uri="{FF2B5EF4-FFF2-40B4-BE49-F238E27FC236}">
              <a16:creationId xmlns:a16="http://schemas.microsoft.com/office/drawing/2014/main" id="{00000000-0008-0000-1100-000013000000}"/>
            </a:ext>
          </a:extLst>
        </xdr:cNvPr>
        <xdr:cNvSpPr/>
      </xdr:nvSpPr>
      <xdr:spPr>
        <a:xfrm>
          <a:off x="3493995" y="4764330"/>
          <a:ext cx="683640" cy="1036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FF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7</xdr:col>
      <xdr:colOff>129600</xdr:colOff>
      <xdr:row>22</xdr:row>
      <xdr:rowOff>16920</xdr:rowOff>
    </xdr:from>
    <xdr:ext cx="5915519" cy="133200"/>
    <xdr:sp macro="" textlink="">
      <xdr:nvSpPr>
        <xdr:cNvPr id="21" name="Forme libre : forme 19">
          <a:extLst>
            <a:ext uri="{FF2B5EF4-FFF2-40B4-BE49-F238E27FC236}">
              <a16:creationId xmlns:a16="http://schemas.microsoft.com/office/drawing/2014/main" id="{00000000-0008-0000-1100-000015000000}"/>
            </a:ext>
          </a:extLst>
        </xdr:cNvPr>
        <xdr:cNvSpPr/>
      </xdr:nvSpPr>
      <xdr:spPr>
        <a:xfrm>
          <a:off x="9273600" y="4760370"/>
          <a:ext cx="5915519" cy="133200"/>
        </a:xfrm>
        <a:custGeom>
          <a:avLst>
            <a:gd name="f8" fmla="val 20312"/>
            <a:gd name="f9" fmla="val 5806"/>
          </a:avLst>
          <a:gdLst>
            <a:gd name="f2" fmla="val w"/>
            <a:gd name="f3" fmla="val h"/>
            <a:gd name="f4" fmla="val 0"/>
            <a:gd name="f5" fmla="val 21600"/>
            <a:gd name="f6" fmla="val 10800"/>
            <a:gd name="f7" fmla="+- 21600 0 0"/>
            <a:gd name="f8" fmla="val 20312"/>
            <a:gd name="f9" fmla="val 5806"/>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66FF"/>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3</xdr:col>
      <xdr:colOff>78840</xdr:colOff>
      <xdr:row>26</xdr:row>
      <xdr:rowOff>59760</xdr:rowOff>
    </xdr:from>
    <xdr:ext cx="3431880" cy="133560"/>
    <xdr:sp macro="" textlink="">
      <xdr:nvSpPr>
        <xdr:cNvPr id="23" name="Forme libre : forme 21">
          <a:extLst>
            <a:ext uri="{FF2B5EF4-FFF2-40B4-BE49-F238E27FC236}">
              <a16:creationId xmlns:a16="http://schemas.microsoft.com/office/drawing/2014/main" id="{00000000-0008-0000-1100-000017000000}"/>
            </a:ext>
          </a:extLst>
        </xdr:cNvPr>
        <xdr:cNvSpPr/>
      </xdr:nvSpPr>
      <xdr:spPr>
        <a:xfrm>
          <a:off x="3498315" y="5727135"/>
          <a:ext cx="3431880" cy="13356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FF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7</xdr:col>
      <xdr:colOff>178920</xdr:colOff>
      <xdr:row>29</xdr:row>
      <xdr:rowOff>47880</xdr:rowOff>
    </xdr:from>
    <xdr:ext cx="984600" cy="126720"/>
    <xdr:sp macro="" textlink="">
      <xdr:nvSpPr>
        <xdr:cNvPr id="29" name="Forme libre : forme 27">
          <a:extLst>
            <a:ext uri="{FF2B5EF4-FFF2-40B4-BE49-F238E27FC236}">
              <a16:creationId xmlns:a16="http://schemas.microsoft.com/office/drawing/2014/main" id="{00000000-0008-0000-1100-00001D000000}"/>
            </a:ext>
          </a:extLst>
        </xdr:cNvPr>
        <xdr:cNvSpPr/>
      </xdr:nvSpPr>
      <xdr:spPr>
        <a:xfrm>
          <a:off x="9322920" y="6353430"/>
          <a:ext cx="984600" cy="126720"/>
        </a:xfrm>
        <a:custGeom>
          <a:avLst>
            <a:gd name="f8" fmla="val 16604"/>
            <a:gd name="f9" fmla="val 6467"/>
          </a:avLst>
          <a:gdLst>
            <a:gd name="f2" fmla="val w"/>
            <a:gd name="f3" fmla="val h"/>
            <a:gd name="f4" fmla="val 0"/>
            <a:gd name="f5" fmla="val 21600"/>
            <a:gd name="f6" fmla="val 10800"/>
            <a:gd name="f7" fmla="+- 21600 0 0"/>
            <a:gd name="f8" fmla="val 16604"/>
            <a:gd name="f9" fmla="val 6467"/>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66FF"/>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9</xdr:col>
      <xdr:colOff>84240</xdr:colOff>
      <xdr:row>29</xdr:row>
      <xdr:rowOff>75240</xdr:rowOff>
    </xdr:from>
    <xdr:ext cx="3056760" cy="97920"/>
    <xdr:sp macro="" textlink="">
      <xdr:nvSpPr>
        <xdr:cNvPr id="30" name="Forme libre : forme 28">
          <a:extLst>
            <a:ext uri="{FF2B5EF4-FFF2-40B4-BE49-F238E27FC236}">
              <a16:creationId xmlns:a16="http://schemas.microsoft.com/office/drawing/2014/main" id="{00000000-0008-0000-1100-00001E000000}"/>
            </a:ext>
          </a:extLst>
        </xdr:cNvPr>
        <xdr:cNvSpPr/>
      </xdr:nvSpPr>
      <xdr:spPr>
        <a:xfrm>
          <a:off x="12276240" y="6380790"/>
          <a:ext cx="3056760" cy="97920"/>
        </a:xfrm>
        <a:custGeom>
          <a:avLst>
            <a:gd name="f8" fmla="val 18511"/>
            <a:gd name="f9" fmla="val 5991"/>
          </a:avLst>
          <a:gdLst>
            <a:gd name="f2" fmla="val w"/>
            <a:gd name="f3" fmla="val h"/>
            <a:gd name="f4" fmla="val 0"/>
            <a:gd name="f5" fmla="val 21600"/>
            <a:gd name="f6" fmla="val 10800"/>
            <a:gd name="f7" fmla="+- 21600 0 0"/>
            <a:gd name="f8" fmla="val 18511"/>
            <a:gd name="f9" fmla="val 5991"/>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CCFF"/>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0</xdr:col>
      <xdr:colOff>-3098160</xdr:colOff>
      <xdr:row>30</xdr:row>
      <xdr:rowOff>45360</xdr:rowOff>
    </xdr:from>
    <xdr:ext cx="3990960" cy="124920"/>
    <xdr:sp macro="" textlink="">
      <xdr:nvSpPr>
        <xdr:cNvPr id="32" name="Forme libre : forme 31">
          <a:extLst>
            <a:ext uri="{FF2B5EF4-FFF2-40B4-BE49-F238E27FC236}">
              <a16:creationId xmlns:a16="http://schemas.microsoft.com/office/drawing/2014/main" id="{00000000-0008-0000-1100-000020000000}"/>
            </a:ext>
          </a:extLst>
        </xdr:cNvPr>
        <xdr:cNvSpPr/>
      </xdr:nvSpPr>
      <xdr:spPr>
        <a:xfrm flipV="1">
          <a:off x="-3098160" y="6608085"/>
          <a:ext cx="3990960" cy="124920"/>
        </a:xfrm>
        <a:custGeom>
          <a:avLst>
            <a:gd name="f8" fmla="val 18428"/>
            <a:gd name="f9" fmla="val 5956"/>
          </a:avLst>
          <a:gdLst>
            <a:gd name="f2" fmla="val w"/>
            <a:gd name="f3" fmla="val h"/>
            <a:gd name="f4" fmla="val 0"/>
            <a:gd name="f5" fmla="val 21600"/>
            <a:gd name="f6" fmla="val 10800"/>
            <a:gd name="f7" fmla="+- 21600 0 0"/>
            <a:gd name="f8" fmla="val 18428"/>
            <a:gd name="f9" fmla="val 5956"/>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66FF"/>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7</xdr:col>
      <xdr:colOff>235440</xdr:colOff>
      <xdr:row>34</xdr:row>
      <xdr:rowOff>73080</xdr:rowOff>
    </xdr:from>
    <xdr:ext cx="5636520" cy="339120"/>
    <xdr:sp macro="" textlink="">
      <xdr:nvSpPr>
        <xdr:cNvPr id="37" name="Forme libre : forme 35">
          <a:extLst>
            <a:ext uri="{FF2B5EF4-FFF2-40B4-BE49-F238E27FC236}">
              <a16:creationId xmlns:a16="http://schemas.microsoft.com/office/drawing/2014/main" id="{00000000-0008-0000-1100-000025000000}"/>
            </a:ext>
          </a:extLst>
        </xdr:cNvPr>
        <xdr:cNvSpPr/>
      </xdr:nvSpPr>
      <xdr:spPr>
        <a:xfrm>
          <a:off x="9379440" y="7435905"/>
          <a:ext cx="5636520" cy="339120"/>
        </a:xfrm>
        <a:custGeom>
          <a:avLst>
            <a:gd name="f8" fmla="val 19538"/>
            <a:gd name="f9" fmla="val 5508"/>
          </a:avLst>
          <a:gdLst>
            <a:gd name="f2" fmla="val w"/>
            <a:gd name="f3" fmla="val h"/>
            <a:gd name="f4" fmla="val 0"/>
            <a:gd name="f5" fmla="val 21600"/>
            <a:gd name="f6" fmla="val 10800"/>
            <a:gd name="f7" fmla="+- 21600 0 0"/>
            <a:gd name="f8" fmla="val 19538"/>
            <a:gd name="f9" fmla="val 5508"/>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66FF"/>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13</xdr:col>
      <xdr:colOff>108360</xdr:colOff>
      <xdr:row>16</xdr:row>
      <xdr:rowOff>135000</xdr:rowOff>
    </xdr:from>
    <xdr:ext cx="712800" cy="87480"/>
    <xdr:sp macro="" textlink="">
      <xdr:nvSpPr>
        <xdr:cNvPr id="18" name="Forme libre : forme 16">
          <a:extLst>
            <a:ext uri="{FF2B5EF4-FFF2-40B4-BE49-F238E27FC236}">
              <a16:creationId xmlns:a16="http://schemas.microsoft.com/office/drawing/2014/main" id="{00000000-0008-0000-1100-000012000000}"/>
            </a:ext>
          </a:extLst>
        </xdr:cNvPr>
        <xdr:cNvSpPr/>
      </xdr:nvSpPr>
      <xdr:spPr>
        <a:xfrm>
          <a:off x="16291335" y="3602100"/>
          <a:ext cx="71280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99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13</xdr:col>
      <xdr:colOff>100080</xdr:colOff>
      <xdr:row>22</xdr:row>
      <xdr:rowOff>79560</xdr:rowOff>
    </xdr:from>
    <xdr:ext cx="712800" cy="87480"/>
    <xdr:sp macro="" textlink="">
      <xdr:nvSpPr>
        <xdr:cNvPr id="22" name="Forme libre : forme 20">
          <a:extLst>
            <a:ext uri="{FF2B5EF4-FFF2-40B4-BE49-F238E27FC236}">
              <a16:creationId xmlns:a16="http://schemas.microsoft.com/office/drawing/2014/main" id="{00000000-0008-0000-1100-000016000000}"/>
            </a:ext>
          </a:extLst>
        </xdr:cNvPr>
        <xdr:cNvSpPr/>
      </xdr:nvSpPr>
      <xdr:spPr>
        <a:xfrm>
          <a:off x="16283055" y="4823010"/>
          <a:ext cx="71280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99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13</xdr:col>
      <xdr:colOff>108360</xdr:colOff>
      <xdr:row>26</xdr:row>
      <xdr:rowOff>95760</xdr:rowOff>
    </xdr:from>
    <xdr:ext cx="712800" cy="87480"/>
    <xdr:sp macro="" textlink="">
      <xdr:nvSpPr>
        <xdr:cNvPr id="27" name="Forme libre : forme 25">
          <a:extLst>
            <a:ext uri="{FF2B5EF4-FFF2-40B4-BE49-F238E27FC236}">
              <a16:creationId xmlns:a16="http://schemas.microsoft.com/office/drawing/2014/main" id="{00000000-0008-0000-1100-00001B000000}"/>
            </a:ext>
          </a:extLst>
        </xdr:cNvPr>
        <xdr:cNvSpPr/>
      </xdr:nvSpPr>
      <xdr:spPr>
        <a:xfrm>
          <a:off x="16291335" y="5763135"/>
          <a:ext cx="71280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99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13</xdr:col>
      <xdr:colOff>81720</xdr:colOff>
      <xdr:row>29</xdr:row>
      <xdr:rowOff>93600</xdr:rowOff>
    </xdr:from>
    <xdr:ext cx="712800" cy="87480"/>
    <xdr:sp macro="" textlink="">
      <xdr:nvSpPr>
        <xdr:cNvPr id="31" name="Forme libre : forme 29">
          <a:extLst>
            <a:ext uri="{FF2B5EF4-FFF2-40B4-BE49-F238E27FC236}">
              <a16:creationId xmlns:a16="http://schemas.microsoft.com/office/drawing/2014/main" id="{00000000-0008-0000-1100-00001F000000}"/>
            </a:ext>
          </a:extLst>
        </xdr:cNvPr>
        <xdr:cNvSpPr/>
      </xdr:nvSpPr>
      <xdr:spPr>
        <a:xfrm>
          <a:off x="16264695" y="6399150"/>
          <a:ext cx="71280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99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13</xdr:col>
      <xdr:colOff>108360</xdr:colOff>
      <xdr:row>32</xdr:row>
      <xdr:rowOff>42840</xdr:rowOff>
    </xdr:from>
    <xdr:ext cx="712800" cy="87480"/>
    <xdr:sp macro="" textlink="">
      <xdr:nvSpPr>
        <xdr:cNvPr id="35" name="Forme libre : forme 33">
          <a:extLst>
            <a:ext uri="{FF2B5EF4-FFF2-40B4-BE49-F238E27FC236}">
              <a16:creationId xmlns:a16="http://schemas.microsoft.com/office/drawing/2014/main" id="{00000000-0008-0000-1100-000023000000}"/>
            </a:ext>
          </a:extLst>
        </xdr:cNvPr>
        <xdr:cNvSpPr/>
      </xdr:nvSpPr>
      <xdr:spPr>
        <a:xfrm>
          <a:off x="16291335" y="7043715"/>
          <a:ext cx="71280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99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13</xdr:col>
      <xdr:colOff>90000</xdr:colOff>
      <xdr:row>34</xdr:row>
      <xdr:rowOff>101160</xdr:rowOff>
    </xdr:from>
    <xdr:ext cx="712800" cy="281160"/>
    <xdr:sp macro="" textlink="">
      <xdr:nvSpPr>
        <xdr:cNvPr id="38" name="Forme libre : forme 36">
          <a:extLst>
            <a:ext uri="{FF2B5EF4-FFF2-40B4-BE49-F238E27FC236}">
              <a16:creationId xmlns:a16="http://schemas.microsoft.com/office/drawing/2014/main" id="{00000000-0008-0000-1100-000026000000}"/>
            </a:ext>
          </a:extLst>
        </xdr:cNvPr>
        <xdr:cNvSpPr/>
      </xdr:nvSpPr>
      <xdr:spPr>
        <a:xfrm>
          <a:off x="16272975" y="7463985"/>
          <a:ext cx="712800" cy="28116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99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9</xdr:col>
      <xdr:colOff>109080</xdr:colOff>
      <xdr:row>26</xdr:row>
      <xdr:rowOff>61560</xdr:rowOff>
    </xdr:from>
    <xdr:ext cx="1036800" cy="97200"/>
    <xdr:sp macro="" textlink="">
      <xdr:nvSpPr>
        <xdr:cNvPr id="25" name="Forme libre : forme 23">
          <a:extLst>
            <a:ext uri="{FF2B5EF4-FFF2-40B4-BE49-F238E27FC236}">
              <a16:creationId xmlns:a16="http://schemas.microsoft.com/office/drawing/2014/main" id="{00000000-0008-0000-1100-000019000000}"/>
            </a:ext>
          </a:extLst>
        </xdr:cNvPr>
        <xdr:cNvSpPr/>
      </xdr:nvSpPr>
      <xdr:spPr>
        <a:xfrm>
          <a:off x="12301080" y="5728935"/>
          <a:ext cx="1036800" cy="9720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CCFF"/>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11</xdr:col>
      <xdr:colOff>95040</xdr:colOff>
      <xdr:row>26</xdr:row>
      <xdr:rowOff>104400</xdr:rowOff>
    </xdr:from>
    <xdr:ext cx="712800" cy="54360"/>
    <xdr:sp macro="" textlink="">
      <xdr:nvSpPr>
        <xdr:cNvPr id="26" name="Forme libre : forme 24">
          <a:extLst>
            <a:ext uri="{FF2B5EF4-FFF2-40B4-BE49-F238E27FC236}">
              <a16:creationId xmlns:a16="http://schemas.microsoft.com/office/drawing/2014/main" id="{00000000-0008-0000-1100-00001A000000}"/>
            </a:ext>
          </a:extLst>
        </xdr:cNvPr>
        <xdr:cNvSpPr/>
      </xdr:nvSpPr>
      <xdr:spPr>
        <a:xfrm>
          <a:off x="14601615" y="5771775"/>
          <a:ext cx="712800" cy="5436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FF3333"/>
        </a:solidFill>
        <a:ln w="25560">
          <a:solidFill>
            <a:srgbClr val="FF3333"/>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3</xdr:col>
      <xdr:colOff>76320</xdr:colOff>
      <xdr:row>29</xdr:row>
      <xdr:rowOff>65160</xdr:rowOff>
    </xdr:from>
    <xdr:ext cx="3431880" cy="133560"/>
    <xdr:sp macro="" textlink="">
      <xdr:nvSpPr>
        <xdr:cNvPr id="28" name="Forme libre : forme 26">
          <a:extLst>
            <a:ext uri="{FF2B5EF4-FFF2-40B4-BE49-F238E27FC236}">
              <a16:creationId xmlns:a16="http://schemas.microsoft.com/office/drawing/2014/main" id="{00000000-0008-0000-1100-00001C000000}"/>
            </a:ext>
          </a:extLst>
        </xdr:cNvPr>
        <xdr:cNvSpPr/>
      </xdr:nvSpPr>
      <xdr:spPr>
        <a:xfrm>
          <a:off x="3495795" y="6370710"/>
          <a:ext cx="3431880" cy="13356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FF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3</xdr:col>
      <xdr:colOff>39960</xdr:colOff>
      <xdr:row>32</xdr:row>
      <xdr:rowOff>1080</xdr:rowOff>
    </xdr:from>
    <xdr:ext cx="3431880" cy="133560"/>
    <xdr:sp macro="" textlink="">
      <xdr:nvSpPr>
        <xdr:cNvPr id="33" name="Forme libre : forme 30">
          <a:extLst>
            <a:ext uri="{FF2B5EF4-FFF2-40B4-BE49-F238E27FC236}">
              <a16:creationId xmlns:a16="http://schemas.microsoft.com/office/drawing/2014/main" id="{00000000-0008-0000-1100-000021000000}"/>
            </a:ext>
          </a:extLst>
        </xdr:cNvPr>
        <xdr:cNvSpPr/>
      </xdr:nvSpPr>
      <xdr:spPr>
        <a:xfrm>
          <a:off x="3459435" y="7001955"/>
          <a:ext cx="3431880" cy="13356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FF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3</xdr:col>
      <xdr:colOff>39960</xdr:colOff>
      <xdr:row>33</xdr:row>
      <xdr:rowOff>159480</xdr:rowOff>
    </xdr:from>
    <xdr:ext cx="3431880" cy="148680"/>
    <xdr:sp macro="" textlink="">
      <xdr:nvSpPr>
        <xdr:cNvPr id="36" name="Forme libre : forme 34">
          <a:extLst>
            <a:ext uri="{FF2B5EF4-FFF2-40B4-BE49-F238E27FC236}">
              <a16:creationId xmlns:a16="http://schemas.microsoft.com/office/drawing/2014/main" id="{00000000-0008-0000-1100-000024000000}"/>
            </a:ext>
          </a:extLst>
        </xdr:cNvPr>
        <xdr:cNvSpPr/>
      </xdr:nvSpPr>
      <xdr:spPr>
        <a:xfrm>
          <a:off x="3459435" y="7341330"/>
          <a:ext cx="3431880" cy="1486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FF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13</xdr:col>
      <xdr:colOff>126720</xdr:colOff>
      <xdr:row>8</xdr:row>
      <xdr:rowOff>72720</xdr:rowOff>
    </xdr:from>
    <xdr:ext cx="712800" cy="87480"/>
    <xdr:sp macro="" textlink="">
      <xdr:nvSpPr>
        <xdr:cNvPr id="8" name="Forme libre : forme 6">
          <a:extLst>
            <a:ext uri="{FF2B5EF4-FFF2-40B4-BE49-F238E27FC236}">
              <a16:creationId xmlns:a16="http://schemas.microsoft.com/office/drawing/2014/main" id="{00000000-0008-0000-1100-000008000000}"/>
            </a:ext>
          </a:extLst>
        </xdr:cNvPr>
        <xdr:cNvSpPr/>
      </xdr:nvSpPr>
      <xdr:spPr>
        <a:xfrm>
          <a:off x="16309695" y="1701495"/>
          <a:ext cx="71280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99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13</xdr:col>
      <xdr:colOff>118440</xdr:colOff>
      <xdr:row>11</xdr:row>
      <xdr:rowOff>97920</xdr:rowOff>
    </xdr:from>
    <xdr:ext cx="712800" cy="87480"/>
    <xdr:sp macro="" textlink="">
      <xdr:nvSpPr>
        <xdr:cNvPr id="13" name="Forme libre : forme 11">
          <a:extLst>
            <a:ext uri="{FF2B5EF4-FFF2-40B4-BE49-F238E27FC236}">
              <a16:creationId xmlns:a16="http://schemas.microsoft.com/office/drawing/2014/main" id="{00000000-0008-0000-1100-00000D000000}"/>
            </a:ext>
          </a:extLst>
        </xdr:cNvPr>
        <xdr:cNvSpPr/>
      </xdr:nvSpPr>
      <xdr:spPr>
        <a:xfrm>
          <a:off x="16301415" y="2526795"/>
          <a:ext cx="71280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99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11</xdr:col>
      <xdr:colOff>113400</xdr:colOff>
      <xdr:row>8</xdr:row>
      <xdr:rowOff>91080</xdr:rowOff>
    </xdr:from>
    <xdr:ext cx="712800" cy="87480"/>
    <xdr:sp macro="" textlink="">
      <xdr:nvSpPr>
        <xdr:cNvPr id="7" name="Forme libre : forme 5">
          <a:extLst>
            <a:ext uri="{FF2B5EF4-FFF2-40B4-BE49-F238E27FC236}">
              <a16:creationId xmlns:a16="http://schemas.microsoft.com/office/drawing/2014/main" id="{00000000-0008-0000-1100-000007000000}"/>
            </a:ext>
          </a:extLst>
        </xdr:cNvPr>
        <xdr:cNvSpPr/>
      </xdr:nvSpPr>
      <xdr:spPr>
        <a:xfrm>
          <a:off x="14619975" y="1719855"/>
          <a:ext cx="71280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FF3333"/>
        </a:solidFill>
        <a:ln w="25560">
          <a:solidFill>
            <a:srgbClr val="FF3333"/>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7</xdr:col>
      <xdr:colOff>162000</xdr:colOff>
      <xdr:row>26</xdr:row>
      <xdr:rowOff>79920</xdr:rowOff>
    </xdr:from>
    <xdr:ext cx="984600" cy="126720"/>
    <xdr:sp macro="" textlink="">
      <xdr:nvSpPr>
        <xdr:cNvPr id="24" name="Forme libre : forme 22">
          <a:extLst>
            <a:ext uri="{FF2B5EF4-FFF2-40B4-BE49-F238E27FC236}">
              <a16:creationId xmlns:a16="http://schemas.microsoft.com/office/drawing/2014/main" id="{00000000-0008-0000-1100-000018000000}"/>
            </a:ext>
          </a:extLst>
        </xdr:cNvPr>
        <xdr:cNvSpPr/>
      </xdr:nvSpPr>
      <xdr:spPr>
        <a:xfrm>
          <a:off x="9306000" y="5747295"/>
          <a:ext cx="984600" cy="126720"/>
        </a:xfrm>
        <a:custGeom>
          <a:avLst>
            <a:gd name="f8" fmla="val 16604"/>
            <a:gd name="f9" fmla="val 6467"/>
          </a:avLst>
          <a:gdLst>
            <a:gd name="f2" fmla="val w"/>
            <a:gd name="f3" fmla="val h"/>
            <a:gd name="f4" fmla="val 0"/>
            <a:gd name="f5" fmla="val 21600"/>
            <a:gd name="f6" fmla="val 10800"/>
            <a:gd name="f7" fmla="+- 21600 0 0"/>
            <a:gd name="f8" fmla="val 16604"/>
            <a:gd name="f9" fmla="val 6467"/>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66FF"/>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11</xdr:col>
      <xdr:colOff>48960</xdr:colOff>
      <xdr:row>32</xdr:row>
      <xdr:rowOff>13320</xdr:rowOff>
    </xdr:from>
    <xdr:ext cx="712800" cy="54360"/>
    <xdr:sp macro="" textlink="">
      <xdr:nvSpPr>
        <xdr:cNvPr id="34" name="Forme libre : forme 32">
          <a:extLst>
            <a:ext uri="{FF2B5EF4-FFF2-40B4-BE49-F238E27FC236}">
              <a16:creationId xmlns:a16="http://schemas.microsoft.com/office/drawing/2014/main" id="{00000000-0008-0000-1100-000022000000}"/>
            </a:ext>
          </a:extLst>
        </xdr:cNvPr>
        <xdr:cNvSpPr/>
      </xdr:nvSpPr>
      <xdr:spPr>
        <a:xfrm>
          <a:off x="14555535" y="7014195"/>
          <a:ext cx="712800" cy="5436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FF3333"/>
        </a:solidFill>
        <a:ln w="25560">
          <a:solidFill>
            <a:srgbClr val="FF3333"/>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5</xdr:col>
      <xdr:colOff>12240</xdr:colOff>
      <xdr:row>0</xdr:row>
      <xdr:rowOff>360</xdr:rowOff>
    </xdr:from>
    <xdr:ext cx="1115640" cy="754199"/>
    <xdr:sp macro="[0]!Acceuil" textlink="">
      <xdr:nvSpPr>
        <xdr:cNvPr id="2" name="Rectangle : coins arrondis 1">
          <a:extLst>
            <a:ext uri="{FF2B5EF4-FFF2-40B4-BE49-F238E27FC236}">
              <a16:creationId xmlns:a16="http://schemas.microsoft.com/office/drawing/2014/main" id="{00000000-0008-0000-1100-000002000000}"/>
            </a:ext>
          </a:extLst>
        </xdr:cNvPr>
        <xdr:cNvSpPr/>
      </xdr:nvSpPr>
      <xdr:spPr>
        <a:xfrm>
          <a:off x="6393990" y="360"/>
          <a:ext cx="111564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19.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1200-000002000000}"/>
            </a:ext>
          </a:extLst>
        </xdr:cNvPr>
        <xdr:cNvSpPr/>
      </xdr:nvSpPr>
      <xdr:spPr>
        <a:xfrm>
          <a:off x="126000" y="254880"/>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20.xml><?xml version="1.0" encoding="utf-8"?>
<xdr:wsDr xmlns:xdr="http://schemas.openxmlformats.org/drawingml/2006/spreadsheetDrawing" xmlns:a="http://schemas.openxmlformats.org/drawingml/2006/main">
  <xdr:oneCellAnchor>
    <xdr:from>
      <xdr:col>0</xdr:col>
      <xdr:colOff>75240</xdr:colOff>
      <xdr:row>1</xdr:row>
      <xdr:rowOff>79560</xdr:rowOff>
    </xdr:from>
    <xdr:ext cx="1062000" cy="754199"/>
    <xdr:sp macro="[0]!Acceuil" textlink="">
      <xdr:nvSpPr>
        <xdr:cNvPr id="2" name="Rectangle : coins arrondis 1">
          <a:extLst>
            <a:ext uri="{FF2B5EF4-FFF2-40B4-BE49-F238E27FC236}">
              <a16:creationId xmlns:a16="http://schemas.microsoft.com/office/drawing/2014/main" id="{00000000-0008-0000-1300-000002000000}"/>
            </a:ext>
          </a:extLst>
        </xdr:cNvPr>
        <xdr:cNvSpPr/>
      </xdr:nvSpPr>
      <xdr:spPr>
        <a:xfrm>
          <a:off x="75240" y="224340"/>
          <a:ext cx="106200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21.xml><?xml version="1.0" encoding="utf-8"?>
<xdr:wsDr xmlns:xdr="http://schemas.openxmlformats.org/drawingml/2006/spreadsheetDrawing" xmlns:a="http://schemas.openxmlformats.org/drawingml/2006/main">
  <xdr:oneCellAnchor>
    <xdr:from>
      <xdr:col>0</xdr:col>
      <xdr:colOff>75240</xdr:colOff>
      <xdr:row>1</xdr:row>
      <xdr:rowOff>79560</xdr:rowOff>
    </xdr:from>
    <xdr:ext cx="1062000" cy="754199"/>
    <xdr:sp macro="[0]!Acceuil" textlink="">
      <xdr:nvSpPr>
        <xdr:cNvPr id="2" name="Rectangle : coins arrondis 1">
          <a:extLst>
            <a:ext uri="{FF2B5EF4-FFF2-40B4-BE49-F238E27FC236}">
              <a16:creationId xmlns:a16="http://schemas.microsoft.com/office/drawing/2014/main" id="{00000000-0008-0000-1400-000002000000}"/>
            </a:ext>
          </a:extLst>
        </xdr:cNvPr>
        <xdr:cNvSpPr/>
      </xdr:nvSpPr>
      <xdr:spPr>
        <a:xfrm>
          <a:off x="75240" y="222435"/>
          <a:ext cx="106200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22.xml><?xml version="1.0" encoding="utf-8"?>
<xdr:wsDr xmlns:xdr="http://schemas.openxmlformats.org/drawingml/2006/spreadsheetDrawing" xmlns:a="http://schemas.openxmlformats.org/drawingml/2006/main">
  <xdr:oneCellAnchor>
    <xdr:from>
      <xdr:col>0</xdr:col>
      <xdr:colOff>75240</xdr:colOff>
      <xdr:row>1</xdr:row>
      <xdr:rowOff>79560</xdr:rowOff>
    </xdr:from>
    <xdr:ext cx="1062000" cy="754199"/>
    <xdr:sp macro="[0]!Acceuil" textlink="">
      <xdr:nvSpPr>
        <xdr:cNvPr id="2" name="Rectangle : coins arrondis 1">
          <a:extLst>
            <a:ext uri="{FF2B5EF4-FFF2-40B4-BE49-F238E27FC236}">
              <a16:creationId xmlns:a16="http://schemas.microsoft.com/office/drawing/2014/main" id="{00000000-0008-0000-1500-000002000000}"/>
            </a:ext>
          </a:extLst>
        </xdr:cNvPr>
        <xdr:cNvSpPr/>
      </xdr:nvSpPr>
      <xdr:spPr>
        <a:xfrm>
          <a:off x="75240" y="222435"/>
          <a:ext cx="106200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23.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16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twoCellAnchor>
    <xdr:from>
      <xdr:col>0</xdr:col>
      <xdr:colOff>895350</xdr:colOff>
      <xdr:row>43</xdr:row>
      <xdr:rowOff>0</xdr:rowOff>
    </xdr:from>
    <xdr:to>
      <xdr:col>1</xdr:col>
      <xdr:colOff>676275</xdr:colOff>
      <xdr:row>44</xdr:row>
      <xdr:rowOff>333375</xdr:rowOff>
    </xdr:to>
    <xdr:sp macro="[0]!Signededivision2_Cliquer" textlink="">
      <xdr:nvSpPr>
        <xdr:cNvPr id="3" name="Signe de division 2">
          <a:extLst>
            <a:ext uri="{FF2B5EF4-FFF2-40B4-BE49-F238E27FC236}">
              <a16:creationId xmlns:a16="http://schemas.microsoft.com/office/drawing/2014/main" id="{00000000-0008-0000-1600-000003000000}"/>
            </a:ext>
          </a:extLst>
        </xdr:cNvPr>
        <xdr:cNvSpPr/>
      </xdr:nvSpPr>
      <xdr:spPr>
        <a:xfrm>
          <a:off x="895350" y="10010775"/>
          <a:ext cx="1171575" cy="685800"/>
        </a:xfrm>
        <a:prstGeom prst="mathDivid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24.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17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25.xml><?xml version="1.0" encoding="utf-8"?>
<xdr:wsDr xmlns:xdr="http://schemas.openxmlformats.org/drawingml/2006/spreadsheetDrawing" xmlns:a="http://schemas.openxmlformats.org/drawingml/2006/main">
  <xdr:oneCellAnchor>
    <xdr:from>
      <xdr:col>0</xdr:col>
      <xdr:colOff>126000</xdr:colOff>
      <xdr:row>1</xdr:row>
      <xdr:rowOff>72000</xdr:rowOff>
    </xdr:from>
    <xdr:ext cx="1061824" cy="754199"/>
    <xdr:sp macro="[0]!Acceuil" textlink="">
      <xdr:nvSpPr>
        <xdr:cNvPr id="2" name="Rectangle : coins arrondis 1">
          <a:extLst>
            <a:ext uri="{FF2B5EF4-FFF2-40B4-BE49-F238E27FC236}">
              <a16:creationId xmlns:a16="http://schemas.microsoft.com/office/drawing/2014/main" id="{00000000-0008-0000-1800-000002000000}"/>
            </a:ext>
          </a:extLst>
        </xdr:cNvPr>
        <xdr:cNvSpPr/>
      </xdr:nvSpPr>
      <xdr:spPr>
        <a:xfrm>
          <a:off x="126000" y="251294"/>
          <a:ext cx="1061824"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26.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19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27.xml><?xml version="1.0" encoding="utf-8"?>
<xdr:wsDr xmlns:xdr="http://schemas.openxmlformats.org/drawingml/2006/spreadsheetDrawing" xmlns:a="http://schemas.openxmlformats.org/drawingml/2006/main">
  <xdr:oneCellAnchor>
    <xdr:from>
      <xdr:col>0</xdr:col>
      <xdr:colOff>126000</xdr:colOff>
      <xdr:row>1</xdr:row>
      <xdr:rowOff>72000</xdr:rowOff>
    </xdr:from>
    <xdr:ext cx="1061824" cy="754199"/>
    <xdr:sp macro="[0]!Acceuil" textlink="">
      <xdr:nvSpPr>
        <xdr:cNvPr id="2" name="Rectangle : coins arrondis 1">
          <a:extLst>
            <a:ext uri="{FF2B5EF4-FFF2-40B4-BE49-F238E27FC236}">
              <a16:creationId xmlns:a16="http://schemas.microsoft.com/office/drawing/2014/main" id="{00000000-0008-0000-1A00-000002000000}"/>
            </a:ext>
          </a:extLst>
        </xdr:cNvPr>
        <xdr:cNvSpPr/>
      </xdr:nvSpPr>
      <xdr:spPr>
        <a:xfrm>
          <a:off x="126000" y="254880"/>
          <a:ext cx="1061824"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28.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1B00-000002000000}"/>
            </a:ext>
          </a:extLst>
        </xdr:cNvPr>
        <xdr:cNvSpPr/>
      </xdr:nvSpPr>
      <xdr:spPr>
        <a:xfrm>
          <a:off x="126000" y="254880"/>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29.xml><?xml version="1.0" encoding="utf-8"?>
<xdr:wsDr xmlns:xdr="http://schemas.openxmlformats.org/drawingml/2006/spreadsheetDrawing" xmlns:a="http://schemas.openxmlformats.org/drawingml/2006/main">
  <xdr:oneCellAnchor>
    <xdr:from>
      <xdr:col>0</xdr:col>
      <xdr:colOff>126000</xdr:colOff>
      <xdr:row>1</xdr:row>
      <xdr:rowOff>72000</xdr:rowOff>
    </xdr:from>
    <xdr:ext cx="1061824" cy="754199"/>
    <xdr:sp macro="[0]!Acceuil" textlink="">
      <xdr:nvSpPr>
        <xdr:cNvPr id="2" name="Rectangle : coins arrondis 1">
          <a:extLst>
            <a:ext uri="{FF2B5EF4-FFF2-40B4-BE49-F238E27FC236}">
              <a16:creationId xmlns:a16="http://schemas.microsoft.com/office/drawing/2014/main" id="{00000000-0008-0000-1C00-000002000000}"/>
            </a:ext>
          </a:extLst>
        </xdr:cNvPr>
        <xdr:cNvSpPr/>
      </xdr:nvSpPr>
      <xdr:spPr>
        <a:xfrm>
          <a:off x="126000" y="254880"/>
          <a:ext cx="1061824"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30.xml><?xml version="1.0" encoding="utf-8"?>
<xdr:wsDr xmlns:xdr="http://schemas.openxmlformats.org/drawingml/2006/spreadsheetDrawing" xmlns:a="http://schemas.openxmlformats.org/drawingml/2006/main">
  <xdr:oneCellAnchor>
    <xdr:from>
      <xdr:col>0</xdr:col>
      <xdr:colOff>126000</xdr:colOff>
      <xdr:row>1</xdr:row>
      <xdr:rowOff>72000</xdr:rowOff>
    </xdr:from>
    <xdr:ext cx="1061824" cy="754199"/>
    <xdr:sp macro="[0]!Acceuil" textlink="">
      <xdr:nvSpPr>
        <xdr:cNvPr id="2" name="Rectangle : coins arrondis 1">
          <a:extLst>
            <a:ext uri="{FF2B5EF4-FFF2-40B4-BE49-F238E27FC236}">
              <a16:creationId xmlns:a16="http://schemas.microsoft.com/office/drawing/2014/main" id="{00000000-0008-0000-1D00-000002000000}"/>
            </a:ext>
          </a:extLst>
        </xdr:cNvPr>
        <xdr:cNvSpPr/>
      </xdr:nvSpPr>
      <xdr:spPr>
        <a:xfrm>
          <a:off x="126000" y="254880"/>
          <a:ext cx="1061824"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31.xml><?xml version="1.0" encoding="utf-8"?>
<xdr:wsDr xmlns:xdr="http://schemas.openxmlformats.org/drawingml/2006/spreadsheetDrawing" xmlns:a="http://schemas.openxmlformats.org/drawingml/2006/main">
  <xdr:oneCellAnchor>
    <xdr:from>
      <xdr:col>0</xdr:col>
      <xdr:colOff>126000</xdr:colOff>
      <xdr:row>1</xdr:row>
      <xdr:rowOff>72000</xdr:rowOff>
    </xdr:from>
    <xdr:ext cx="1061824" cy="754199"/>
    <xdr:sp macro="[0]!Acceuil" textlink="">
      <xdr:nvSpPr>
        <xdr:cNvPr id="2" name="Rectangle : coins arrondis 1">
          <a:extLst>
            <a:ext uri="{FF2B5EF4-FFF2-40B4-BE49-F238E27FC236}">
              <a16:creationId xmlns:a16="http://schemas.microsoft.com/office/drawing/2014/main" id="{00000000-0008-0000-1E00-000002000000}"/>
            </a:ext>
          </a:extLst>
        </xdr:cNvPr>
        <xdr:cNvSpPr/>
      </xdr:nvSpPr>
      <xdr:spPr>
        <a:xfrm>
          <a:off x="126000" y="254880"/>
          <a:ext cx="1061824"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32.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1F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33.xml><?xml version="1.0" encoding="utf-8"?>
<xdr:wsDr xmlns:xdr="http://schemas.openxmlformats.org/drawingml/2006/spreadsheetDrawing" xmlns:a="http://schemas.openxmlformats.org/drawingml/2006/main">
  <xdr:oneCellAnchor>
    <xdr:from>
      <xdr:col>0</xdr:col>
      <xdr:colOff>126000</xdr:colOff>
      <xdr:row>1</xdr:row>
      <xdr:rowOff>72001</xdr:rowOff>
    </xdr:from>
    <xdr:ext cx="1084235" cy="723618"/>
    <xdr:sp macro="[0]!Acceuil" textlink="">
      <xdr:nvSpPr>
        <xdr:cNvPr id="2" name="Rectangle : coins arrondis 1">
          <a:extLst>
            <a:ext uri="{FF2B5EF4-FFF2-40B4-BE49-F238E27FC236}">
              <a16:creationId xmlns:a16="http://schemas.microsoft.com/office/drawing/2014/main" id="{00000000-0008-0000-2000-000002000000}"/>
            </a:ext>
          </a:extLst>
        </xdr:cNvPr>
        <xdr:cNvSpPr/>
      </xdr:nvSpPr>
      <xdr:spPr>
        <a:xfrm>
          <a:off x="126000" y="251295"/>
          <a:ext cx="1084235" cy="72361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34.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1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oneCellAnchor>
    <xdr:from>
      <xdr:col>0</xdr:col>
      <xdr:colOff>126000</xdr:colOff>
      <xdr:row>1</xdr:row>
      <xdr:rowOff>72001</xdr:rowOff>
    </xdr:from>
    <xdr:ext cx="1084235" cy="723618"/>
    <xdr:sp macro="[0]!Acceuil" textlink="">
      <xdr:nvSpPr>
        <xdr:cNvPr id="3" name="Rectangle : coins arrondis 1">
          <a:extLst>
            <a:ext uri="{FF2B5EF4-FFF2-40B4-BE49-F238E27FC236}">
              <a16:creationId xmlns:a16="http://schemas.microsoft.com/office/drawing/2014/main" id="{00000000-0008-0000-2100-000003000000}"/>
            </a:ext>
          </a:extLst>
        </xdr:cNvPr>
        <xdr:cNvSpPr/>
      </xdr:nvSpPr>
      <xdr:spPr>
        <a:xfrm>
          <a:off x="126000" y="252976"/>
          <a:ext cx="1084235" cy="72361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35.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2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36.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3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37.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4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38.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5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39.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6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40.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7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41.xml><?xml version="1.0" encoding="utf-8"?>
<xdr:wsDr xmlns:xdr="http://schemas.openxmlformats.org/drawingml/2006/spreadsheetDrawing" xmlns:a="http://schemas.openxmlformats.org/drawingml/2006/main">
  <xdr:oneCellAnchor>
    <xdr:from>
      <xdr:col>0</xdr:col>
      <xdr:colOff>126000</xdr:colOff>
      <xdr:row>1</xdr:row>
      <xdr:rowOff>72000</xdr:rowOff>
    </xdr:from>
    <xdr:ext cx="1061824" cy="754199"/>
    <xdr:sp macro="[0]!Acceuil" textlink="">
      <xdr:nvSpPr>
        <xdr:cNvPr id="2" name="Rectangle : coins arrondis 1">
          <a:extLst>
            <a:ext uri="{FF2B5EF4-FFF2-40B4-BE49-F238E27FC236}">
              <a16:creationId xmlns:a16="http://schemas.microsoft.com/office/drawing/2014/main" id="{00000000-0008-0000-2800-000002000000}"/>
            </a:ext>
          </a:extLst>
        </xdr:cNvPr>
        <xdr:cNvSpPr/>
      </xdr:nvSpPr>
      <xdr:spPr>
        <a:xfrm>
          <a:off x="126000" y="254880"/>
          <a:ext cx="1061824"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42.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9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43.xml><?xml version="1.0" encoding="utf-8"?>
<xdr:wsDr xmlns:xdr="http://schemas.openxmlformats.org/drawingml/2006/spreadsheetDrawing" xmlns:a="http://schemas.openxmlformats.org/drawingml/2006/main">
  <xdr:oneCellAnchor>
    <xdr:from>
      <xdr:col>0</xdr:col>
      <xdr:colOff>126000</xdr:colOff>
      <xdr:row>2</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A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44.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B00-000002000000}"/>
            </a:ext>
          </a:extLst>
        </xdr:cNvPr>
        <xdr:cNvSpPr/>
      </xdr:nvSpPr>
      <xdr:spPr>
        <a:xfrm>
          <a:off x="126000" y="254880"/>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45.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C00-000002000000}"/>
            </a:ext>
          </a:extLst>
        </xdr:cNvPr>
        <xdr:cNvSpPr/>
      </xdr:nvSpPr>
      <xdr:spPr>
        <a:xfrm>
          <a:off x="126000" y="254880"/>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46.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D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47.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E00-000002000000}"/>
            </a:ext>
          </a:extLst>
        </xdr:cNvPr>
        <xdr:cNvSpPr/>
      </xdr:nvSpPr>
      <xdr:spPr>
        <a:xfrm>
          <a:off x="126000" y="254880"/>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twoCellAnchor>
    <xdr:from>
      <xdr:col>6</xdr:col>
      <xdr:colOff>129540</xdr:colOff>
      <xdr:row>0</xdr:row>
      <xdr:rowOff>0</xdr:rowOff>
    </xdr:from>
    <xdr:to>
      <xdr:col>10</xdr:col>
      <xdr:colOff>371475</xdr:colOff>
      <xdr:row>6</xdr:row>
      <xdr:rowOff>74295</xdr:rowOff>
    </xdr:to>
    <xdr:sp macro="" textlink="">
      <xdr:nvSpPr>
        <xdr:cNvPr id="3" name="Bulle narrative : ronde 2">
          <a:extLst>
            <a:ext uri="{FF2B5EF4-FFF2-40B4-BE49-F238E27FC236}">
              <a16:creationId xmlns:a16="http://schemas.microsoft.com/office/drawing/2014/main" id="{00000000-0008-0000-2E00-000003000000}"/>
            </a:ext>
          </a:extLst>
        </xdr:cNvPr>
        <xdr:cNvSpPr/>
      </xdr:nvSpPr>
      <xdr:spPr>
        <a:xfrm>
          <a:off x="5911215" y="0"/>
          <a:ext cx="1718310" cy="1703070"/>
        </a:xfrm>
        <a:prstGeom prst="wedgeEllipse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ATTENTION ICI LA QUANTITE EST CONDITIONNEE</a:t>
          </a:r>
          <a:r>
            <a:rPr lang="fr-FR" sz="1100" baseline="0"/>
            <a:t> PAR LE CHOIX DU DIAMETRE</a:t>
          </a:r>
          <a:endParaRPr lang="fr-FR" sz="1100"/>
        </a:p>
      </xdr:txBody>
    </xdr:sp>
    <xdr:clientData/>
  </xdr:twoCellAnchor>
</xdr:wsDr>
</file>

<file path=xl/drawings/drawing48.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F00-000002000000}"/>
            </a:ext>
          </a:extLst>
        </xdr:cNvPr>
        <xdr:cNvSpPr/>
      </xdr:nvSpPr>
      <xdr:spPr>
        <a:xfrm>
          <a:off x="126000" y="254880"/>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49.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30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50.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3100-000002000000}"/>
            </a:ext>
          </a:extLst>
        </xdr:cNvPr>
        <xdr:cNvSpPr/>
      </xdr:nvSpPr>
      <xdr:spPr>
        <a:xfrm>
          <a:off x="126000" y="254880"/>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51.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3200-000002000000}"/>
            </a:ext>
          </a:extLst>
        </xdr:cNvPr>
        <xdr:cNvSpPr/>
      </xdr:nvSpPr>
      <xdr:spPr>
        <a:xfrm>
          <a:off x="126000" y="254880"/>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52.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33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53.xml><?xml version="1.0" encoding="utf-8"?>
<xdr:wsDr xmlns:xdr="http://schemas.openxmlformats.org/drawingml/2006/spreadsheetDrawing" xmlns:a="http://schemas.openxmlformats.org/drawingml/2006/main">
  <xdr:twoCellAnchor>
    <xdr:from>
      <xdr:col>4</xdr:col>
      <xdr:colOff>259593</xdr:colOff>
      <xdr:row>0</xdr:row>
      <xdr:rowOff>96985</xdr:rowOff>
    </xdr:from>
    <xdr:to>
      <xdr:col>7</xdr:col>
      <xdr:colOff>195943</xdr:colOff>
      <xdr:row>0</xdr:row>
      <xdr:rowOff>478972</xdr:rowOff>
    </xdr:to>
    <xdr:sp macro="[0]!PROFILMACRO" textlink="">
      <xdr:nvSpPr>
        <xdr:cNvPr id="8" name="Rectangle : coins arrondis 7">
          <a:extLst>
            <a:ext uri="{FF2B5EF4-FFF2-40B4-BE49-F238E27FC236}">
              <a16:creationId xmlns:a16="http://schemas.microsoft.com/office/drawing/2014/main" id="{00000000-0008-0000-3400-000008000000}"/>
            </a:ext>
          </a:extLst>
        </xdr:cNvPr>
        <xdr:cNvSpPr/>
      </xdr:nvSpPr>
      <xdr:spPr>
        <a:xfrm>
          <a:off x="3046336" y="96985"/>
          <a:ext cx="1830464" cy="38198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a:t>Créer Profil</a:t>
          </a:r>
        </a:p>
      </xdr:txBody>
    </xdr:sp>
    <xdr:clientData/>
  </xdr:twoCellAnchor>
  <xdr:twoCellAnchor>
    <xdr:from>
      <xdr:col>1</xdr:col>
      <xdr:colOff>24493</xdr:colOff>
      <xdr:row>46</xdr:row>
      <xdr:rowOff>0</xdr:rowOff>
    </xdr:from>
    <xdr:to>
      <xdr:col>2</xdr:col>
      <xdr:colOff>2722</xdr:colOff>
      <xdr:row>55</xdr:row>
      <xdr:rowOff>46718</xdr:rowOff>
    </xdr:to>
    <xdr:sp macro="" textlink="$O$1">
      <xdr:nvSpPr>
        <xdr:cNvPr id="60567" name="Hab">
          <a:extLst>
            <a:ext uri="{FF2B5EF4-FFF2-40B4-BE49-F238E27FC236}">
              <a16:creationId xmlns:a16="http://schemas.microsoft.com/office/drawing/2014/main" id="{00000000-0008-0000-3400-000097EC0000}"/>
            </a:ext>
          </a:extLst>
        </xdr:cNvPr>
        <xdr:cNvSpPr/>
      </xdr:nvSpPr>
      <xdr:spPr>
        <a:xfrm>
          <a:off x="786493" y="4422321"/>
          <a:ext cx="740229" cy="536576"/>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fld id="{7A381A03-D851-4566-A650-7A37EBF8242E}" type="TxLink">
            <a:rPr lang="en-US" sz="900" b="0" i="0" u="none" strike="noStrike">
              <a:solidFill>
                <a:srgbClr val="000000"/>
              </a:solidFill>
              <a:latin typeface="Arial"/>
              <a:cs typeface="Arial"/>
            </a:rPr>
            <a:pPr algn="ctr"/>
            <a:t>Habitation      5 EH</a:t>
          </a:fld>
          <a:endParaRPr lang="fr-FR" sz="2000"/>
        </a:p>
      </xdr:txBody>
    </xdr:sp>
    <xdr:clientData/>
  </xdr:twoCellAnchor>
  <xdr:twoCellAnchor>
    <xdr:from>
      <xdr:col>2</xdr:col>
      <xdr:colOff>54942</xdr:colOff>
      <xdr:row>0</xdr:row>
      <xdr:rowOff>119743</xdr:rowOff>
    </xdr:from>
    <xdr:to>
      <xdr:col>4</xdr:col>
      <xdr:colOff>97971</xdr:colOff>
      <xdr:row>1</xdr:row>
      <xdr:rowOff>413657</xdr:rowOff>
    </xdr:to>
    <xdr:sp macro="[0]!entréededonnées" textlink="">
      <xdr:nvSpPr>
        <xdr:cNvPr id="394" name="Rectangle : coins arrondis 393">
          <a:extLst>
            <a:ext uri="{FF2B5EF4-FFF2-40B4-BE49-F238E27FC236}">
              <a16:creationId xmlns:a16="http://schemas.microsoft.com/office/drawing/2014/main" id="{00000000-0008-0000-3400-00008A010000}"/>
            </a:ext>
          </a:extLst>
        </xdr:cNvPr>
        <xdr:cNvSpPr/>
      </xdr:nvSpPr>
      <xdr:spPr>
        <a:xfrm>
          <a:off x="1578942" y="119743"/>
          <a:ext cx="1305772" cy="816428"/>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Aide</a:t>
          </a:r>
          <a:r>
            <a:rPr lang="fr-FR" sz="1400" b="1" baseline="0"/>
            <a:t> à l'entée de données</a:t>
          </a:r>
          <a:endParaRPr lang="fr-FR" sz="1100" b="0" baseline="0"/>
        </a:p>
      </xdr:txBody>
    </xdr:sp>
    <xdr:clientData/>
  </xdr:twoCellAnchor>
  <mc:AlternateContent xmlns:mc="http://schemas.openxmlformats.org/markup-compatibility/2006">
    <mc:Choice xmlns:a14="http://schemas.microsoft.com/office/drawing/2010/main" Requires="a14">
      <xdr:twoCellAnchor editAs="oneCell">
        <xdr:from>
          <xdr:col>12</xdr:col>
          <xdr:colOff>304800</xdr:colOff>
          <xdr:row>100</xdr:row>
          <xdr:rowOff>28575</xdr:rowOff>
        </xdr:from>
        <xdr:to>
          <xdr:col>14</xdr:col>
          <xdr:colOff>419100</xdr:colOff>
          <xdr:row>101</xdr:row>
          <xdr:rowOff>152400</xdr:rowOff>
        </xdr:to>
        <xdr:sp macro="" textlink="">
          <xdr:nvSpPr>
            <xdr:cNvPr id="51202" name="Case à cocher 2" hidden="1">
              <a:extLst>
                <a:ext uri="{63B3BB69-23CF-44E3-9099-C40C66FF867C}">
                  <a14:compatExt spid="_x0000_s51202"/>
                </a:ext>
                <a:ext uri="{FF2B5EF4-FFF2-40B4-BE49-F238E27FC236}">
                  <a16:creationId xmlns:a16="http://schemas.microsoft.com/office/drawing/2014/main" id="{00000000-0008-0000-3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Réhausse sortie FH</a:t>
              </a:r>
            </a:p>
          </xdr:txBody>
        </xdr:sp>
        <xdr:clientData/>
      </xdr:twoCellAnchor>
    </mc:Choice>
    <mc:Fallback/>
  </mc:AlternateContent>
  <xdr:twoCellAnchor>
    <xdr:from>
      <xdr:col>4</xdr:col>
      <xdr:colOff>244836</xdr:colOff>
      <xdr:row>1</xdr:row>
      <xdr:rowOff>15427</xdr:rowOff>
    </xdr:from>
    <xdr:to>
      <xdr:col>7</xdr:col>
      <xdr:colOff>195943</xdr:colOff>
      <xdr:row>1</xdr:row>
      <xdr:rowOff>391887</xdr:rowOff>
    </xdr:to>
    <xdr:sp macro="[0]!cotesprofil" textlink="">
      <xdr:nvSpPr>
        <xdr:cNvPr id="533" name="Rectangle : coins arrondis 532">
          <a:extLst>
            <a:ext uri="{FF2B5EF4-FFF2-40B4-BE49-F238E27FC236}">
              <a16:creationId xmlns:a16="http://schemas.microsoft.com/office/drawing/2014/main" id="{00000000-0008-0000-3400-000015020000}"/>
            </a:ext>
          </a:extLst>
        </xdr:cNvPr>
        <xdr:cNvSpPr/>
      </xdr:nvSpPr>
      <xdr:spPr>
        <a:xfrm>
          <a:off x="3031579" y="537941"/>
          <a:ext cx="1845221" cy="376460"/>
        </a:xfrm>
        <a:prstGeom prst="roundRect">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a:t>Créer</a:t>
          </a:r>
          <a:r>
            <a:rPr lang="fr-FR" sz="1800" b="1" baseline="0"/>
            <a:t> c</a:t>
          </a:r>
          <a:r>
            <a:rPr lang="fr-FR" sz="1800" b="1"/>
            <a:t>ôtes</a:t>
          </a:r>
        </a:p>
        <a:p>
          <a:pPr algn="ctr"/>
          <a:endParaRPr lang="fr-FR" sz="1050"/>
        </a:p>
      </xdr:txBody>
    </xdr:sp>
    <xdr:clientData/>
  </xdr:twoCellAnchor>
  <xdr:oneCellAnchor>
    <xdr:from>
      <xdr:col>0</xdr:col>
      <xdr:colOff>141515</xdr:colOff>
      <xdr:row>0</xdr:row>
      <xdr:rowOff>108858</xdr:rowOff>
    </xdr:from>
    <xdr:ext cx="1186542" cy="751113"/>
    <xdr:sp macro="[0]!Acceuil" textlink="">
      <xdr:nvSpPr>
        <xdr:cNvPr id="51" name="Rectangle : coins arrondis 1">
          <a:extLst>
            <a:ext uri="{FF2B5EF4-FFF2-40B4-BE49-F238E27FC236}">
              <a16:creationId xmlns:a16="http://schemas.microsoft.com/office/drawing/2014/main" id="{00000000-0008-0000-3400-000033000000}"/>
            </a:ext>
          </a:extLst>
        </xdr:cNvPr>
        <xdr:cNvSpPr/>
      </xdr:nvSpPr>
      <xdr:spPr>
        <a:xfrm>
          <a:off x="141515" y="108858"/>
          <a:ext cx="1186542" cy="751113"/>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2000" b="1" i="0" u="none" strike="noStrike" kern="1200" spc="0">
              <a:solidFill>
                <a:srgbClr val="FFFFFF"/>
              </a:solidFill>
              <a:latin typeface="Calibri"/>
            </a:rPr>
            <a:t>Retour à l'acceuil</a:t>
          </a:r>
        </a:p>
      </xdr:txBody>
    </xdr:sp>
    <xdr:clientData/>
  </xdr:oneCellAnchor>
  <xdr:twoCellAnchor>
    <xdr:from>
      <xdr:col>2</xdr:col>
      <xdr:colOff>0</xdr:colOff>
      <xdr:row>49</xdr:row>
      <xdr:rowOff>3175</xdr:rowOff>
    </xdr:from>
    <xdr:to>
      <xdr:col>7</xdr:col>
      <xdr:colOff>238125</xdr:colOff>
      <xdr:row>65</xdr:row>
      <xdr:rowOff>23495</xdr:rowOff>
    </xdr:to>
    <xdr:sp macro="" textlink="">
      <xdr:nvSpPr>
        <xdr:cNvPr id="32" name="TNcourbe">
          <a:extLst>
            <a:ext uri="{FF2B5EF4-FFF2-40B4-BE49-F238E27FC236}">
              <a16:creationId xmlns:a16="http://schemas.microsoft.com/office/drawing/2014/main" id="{00000000-0008-0000-3400-000020000000}"/>
            </a:ext>
          </a:extLst>
        </xdr:cNvPr>
        <xdr:cNvSpPr/>
      </xdr:nvSpPr>
      <xdr:spPr>
        <a:xfrm>
          <a:off x="1524000" y="4699000"/>
          <a:ext cx="3429000" cy="934720"/>
        </a:xfrm>
        <a:custGeom>
          <a:avLst/>
          <a:gdLst>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3429000" h="934720">
              <a:moveTo>
                <a:pt x="0" y="0"/>
              </a:moveTo>
              <a:cubicBezTo>
                <a:pt x="42333" y="88900"/>
                <a:pt x="-42333" y="410633"/>
                <a:pt x="254000" y="533400"/>
              </a:cubicBezTo>
              <a:cubicBezTo>
                <a:pt x="550333" y="656167"/>
                <a:pt x="1481667" y="697653"/>
                <a:pt x="1778000" y="736600"/>
              </a:cubicBezTo>
              <a:cubicBezTo>
                <a:pt x="2074333" y="775547"/>
                <a:pt x="1862667" y="734060"/>
                <a:pt x="2032000" y="767080"/>
              </a:cubicBezTo>
              <a:cubicBezTo>
                <a:pt x="2201333" y="800100"/>
                <a:pt x="2667000" y="906780"/>
                <a:pt x="2794000" y="934720"/>
              </a:cubicBezTo>
              <a:lnTo>
                <a:pt x="2794000" y="934720"/>
              </a:lnTo>
              <a:lnTo>
                <a:pt x="2794000" y="934720"/>
              </a:lnTo>
              <a:lnTo>
                <a:pt x="2794000" y="934720"/>
              </a:lnTo>
              <a:lnTo>
                <a:pt x="2794000" y="934720"/>
              </a:lnTo>
              <a:lnTo>
                <a:pt x="3429000" y="812800"/>
              </a:lnTo>
              <a:lnTo>
                <a:pt x="3429000" y="812800"/>
              </a:lnTo>
              <a:lnTo>
                <a:pt x="3429000" y="812800"/>
              </a:lnTo>
              <a:lnTo>
                <a:pt x="3429000" y="812800"/>
              </a:lnTo>
              <a:lnTo>
                <a:pt x="3429000" y="812800"/>
              </a:lnTo>
              <a:lnTo>
                <a:pt x="3429000" y="812800"/>
              </a:lnTo>
              <a:lnTo>
                <a:pt x="3429000" y="812800"/>
              </a:lnTo>
            </a:path>
          </a:pathLst>
        </a:custGeom>
        <a:ln w="25400" cap="flat" cmpd="sng" algn="ctr">
          <a:solidFill>
            <a:schemeClr val="accent6">
              <a:lumMod val="75000"/>
            </a:schemeClr>
          </a:solidFill>
          <a:prstDash val="dash"/>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FR" sz="1100"/>
        </a:p>
      </xdr:txBody>
    </xdr:sp>
    <xdr:clientData/>
  </xdr:twoCellAnchor>
  <xdr:twoCellAnchor>
    <xdr:from>
      <xdr:col>2</xdr:col>
      <xdr:colOff>0</xdr:colOff>
      <xdr:row>59</xdr:row>
      <xdr:rowOff>41275</xdr:rowOff>
    </xdr:from>
    <xdr:to>
      <xdr:col>7</xdr:col>
      <xdr:colOff>238126</xdr:colOff>
      <xdr:row>68</xdr:row>
      <xdr:rowOff>45086</xdr:rowOff>
    </xdr:to>
    <xdr:sp macro="" textlink="">
      <xdr:nvSpPr>
        <xdr:cNvPr id="33" name="lFE">
          <a:extLst>
            <a:ext uri="{FF2B5EF4-FFF2-40B4-BE49-F238E27FC236}">
              <a16:creationId xmlns:a16="http://schemas.microsoft.com/office/drawing/2014/main" id="{00000000-0008-0000-3400-000021000000}"/>
            </a:ext>
          </a:extLst>
        </xdr:cNvPr>
        <xdr:cNvSpPr/>
      </xdr:nvSpPr>
      <xdr:spPr>
        <a:xfrm>
          <a:off x="1524000" y="5308600"/>
          <a:ext cx="3429001" cy="518161"/>
        </a:xfrm>
        <a:custGeom>
          <a:avLst/>
          <a:gdLst/>
          <a:ahLst/>
          <a:cxnLst/>
          <a:rect l="0" t="0" r="0" b="0"/>
          <a:pathLst>
            <a:path w="3429001" h="518161">
              <a:moveTo>
                <a:pt x="0" y="0"/>
              </a:moveTo>
              <a:lnTo>
                <a:pt x="254000" y="25400"/>
              </a:lnTo>
              <a:lnTo>
                <a:pt x="1714500" y="228600"/>
              </a:lnTo>
              <a:lnTo>
                <a:pt x="1778000" y="0"/>
              </a:lnTo>
              <a:lnTo>
                <a:pt x="2032000" y="406400"/>
              </a:lnTo>
              <a:lnTo>
                <a:pt x="2794000" y="436880"/>
              </a:lnTo>
              <a:lnTo>
                <a:pt x="2794000" y="436880"/>
              </a:lnTo>
              <a:lnTo>
                <a:pt x="2794000" y="436880"/>
              </a:lnTo>
              <a:lnTo>
                <a:pt x="2794000" y="436880"/>
              </a:lnTo>
              <a:lnTo>
                <a:pt x="2794000" y="436880"/>
              </a:lnTo>
              <a:lnTo>
                <a:pt x="2794000" y="436880"/>
              </a:lnTo>
              <a:lnTo>
                <a:pt x="2794000" y="436880"/>
              </a:lnTo>
              <a:lnTo>
                <a:pt x="3429000" y="518160"/>
              </a:lnTo>
              <a:lnTo>
                <a:pt x="3429000" y="518160"/>
              </a:lnTo>
              <a:lnTo>
                <a:pt x="3429000" y="518160"/>
              </a:lnTo>
              <a:lnTo>
                <a:pt x="3429000" y="518160"/>
              </a:lnTo>
              <a:lnTo>
                <a:pt x="3429000" y="518160"/>
              </a:lnTo>
              <a:lnTo>
                <a:pt x="3429000" y="518160"/>
              </a:lnTo>
            </a:path>
          </a:pathLst>
        </a:custGeom>
        <a:ln w="25400" cmpd="sng">
          <a:solidFill>
            <a:srgbClr val="000096"/>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FR" sz="1100"/>
        </a:p>
      </xdr:txBody>
    </xdr:sp>
    <xdr:clientData/>
  </xdr:twoCellAnchor>
  <xdr:twoCellAnchor>
    <xdr:from>
      <xdr:col>4</xdr:col>
      <xdr:colOff>501650</xdr:colOff>
      <xdr:row>58</xdr:row>
      <xdr:rowOff>47625</xdr:rowOff>
    </xdr:from>
    <xdr:to>
      <xdr:col>5</xdr:col>
      <xdr:colOff>117475</xdr:colOff>
      <xdr:row>66</xdr:row>
      <xdr:rowOff>47625</xdr:rowOff>
    </xdr:to>
    <xdr:sp macro="" textlink="">
      <xdr:nvSpPr>
        <xdr:cNvPr id="34" name="FVprofil">
          <a:extLst>
            <a:ext uri="{FF2B5EF4-FFF2-40B4-BE49-F238E27FC236}">
              <a16:creationId xmlns:a16="http://schemas.microsoft.com/office/drawing/2014/main" id="{00000000-0008-0000-3400-000022000000}"/>
            </a:ext>
          </a:extLst>
        </xdr:cNvPr>
        <xdr:cNvSpPr/>
      </xdr:nvSpPr>
      <xdr:spPr>
        <a:xfrm>
          <a:off x="3302000" y="5257800"/>
          <a:ext cx="254000" cy="457200"/>
        </a:xfrm>
        <a:prstGeom prst="rect">
          <a:avLst/>
        </a:prstGeom>
        <a:solidFill>
          <a:srgbClr val="99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indent="0" algn="ctr"/>
          <a:r>
            <a:rPr lang="fr-FR" sz="1100"/>
            <a:t>FV</a:t>
          </a:r>
        </a:p>
      </xdr:txBody>
    </xdr:sp>
    <xdr:clientData/>
  </xdr:twoCellAnchor>
  <xdr:twoCellAnchor>
    <xdr:from>
      <xdr:col>6</xdr:col>
      <xdr:colOff>241300</xdr:colOff>
      <xdr:row>66</xdr:row>
      <xdr:rowOff>27305</xdr:rowOff>
    </xdr:from>
    <xdr:to>
      <xdr:col>7</xdr:col>
      <xdr:colOff>238125</xdr:colOff>
      <xdr:row>70</xdr:row>
      <xdr:rowOff>52705</xdr:rowOff>
    </xdr:to>
    <xdr:sp macro="" textlink="">
      <xdr:nvSpPr>
        <xdr:cNvPr id="35" name="ZI1profil">
          <a:extLst>
            <a:ext uri="{FF2B5EF4-FFF2-40B4-BE49-F238E27FC236}">
              <a16:creationId xmlns:a16="http://schemas.microsoft.com/office/drawing/2014/main" id="{00000000-0008-0000-3400-000023000000}"/>
            </a:ext>
          </a:extLst>
        </xdr:cNvPr>
        <xdr:cNvSpPr/>
      </xdr:nvSpPr>
      <xdr:spPr>
        <a:xfrm>
          <a:off x="4318000" y="5694680"/>
          <a:ext cx="635000" cy="254000"/>
        </a:xfrm>
        <a:prstGeom prst="rect">
          <a:avLst/>
        </a:prstGeom>
        <a:solidFill>
          <a:srgbClr val="3399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indent="0" algn="ctr"/>
          <a:r>
            <a:rPr lang="fr-FR" sz="1100"/>
            <a:t>ZRV</a:t>
          </a:r>
        </a:p>
      </xdr:txBody>
    </xdr:sp>
    <xdr:clientData/>
  </xdr:twoCellAnchor>
  <xdr:twoCellAnchor>
    <xdr:from>
      <xdr:col>2</xdr:col>
      <xdr:colOff>222250</xdr:colOff>
      <xdr:row>58</xdr:row>
      <xdr:rowOff>19685</xdr:rowOff>
    </xdr:from>
    <xdr:to>
      <xdr:col>2</xdr:col>
      <xdr:colOff>285750</xdr:colOff>
      <xdr:row>67</xdr:row>
      <xdr:rowOff>13335</xdr:rowOff>
    </xdr:to>
    <xdr:sp macro="" textlink="">
      <xdr:nvSpPr>
        <xdr:cNvPr id="36" name="PR1profil">
          <a:extLst>
            <a:ext uri="{FF2B5EF4-FFF2-40B4-BE49-F238E27FC236}">
              <a16:creationId xmlns:a16="http://schemas.microsoft.com/office/drawing/2014/main" id="{00000000-0008-0000-3400-000024000000}"/>
            </a:ext>
          </a:extLst>
        </xdr:cNvPr>
        <xdr:cNvSpPr/>
      </xdr:nvSpPr>
      <xdr:spPr>
        <a:xfrm>
          <a:off x="1746250" y="5229860"/>
          <a:ext cx="63500" cy="50800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indent="0" algn="ctr"/>
          <a:r>
            <a:rPr lang="fr-FR" sz="1100"/>
            <a:t>PR1</a:t>
          </a:r>
        </a:p>
      </xdr:txBody>
    </xdr:sp>
    <xdr:clientData/>
  </xdr:twoCellAnchor>
  <xdr:twoCellAnchor>
    <xdr:from>
      <xdr:col>2</xdr:col>
      <xdr:colOff>0</xdr:colOff>
      <xdr:row>2</xdr:row>
      <xdr:rowOff>352425</xdr:rowOff>
    </xdr:from>
    <xdr:to>
      <xdr:col>2</xdr:col>
      <xdr:colOff>0</xdr:colOff>
      <xdr:row>97</xdr:row>
      <xdr:rowOff>180975</xdr:rowOff>
    </xdr:to>
    <xdr:cxnSp macro="">
      <xdr:nvCxnSpPr>
        <xdr:cNvPr id="42" name="coupehab">
          <a:extLst>
            <a:ext uri="{FF2B5EF4-FFF2-40B4-BE49-F238E27FC236}">
              <a16:creationId xmlns:a16="http://schemas.microsoft.com/office/drawing/2014/main" id="{00000000-0008-0000-3400-00002A000000}"/>
            </a:ext>
          </a:extLst>
        </xdr:cNvPr>
        <xdr:cNvCxnSpPr/>
      </xdr:nvCxnSpPr>
      <xdr:spPr>
        <a:xfrm>
          <a:off x="1524000" y="1524000"/>
          <a:ext cx="0" cy="6096000"/>
        </a:xfrm>
        <a:prstGeom prst="line">
          <a:avLst/>
        </a:prstGeom>
        <a:ln w="19050">
          <a:solidFill>
            <a:srgbClr val="425B8A">
              <a:lumMod val="100000"/>
            </a:srgb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254000</xdr:colOff>
      <xdr:row>2</xdr:row>
      <xdr:rowOff>340179</xdr:rowOff>
    </xdr:from>
    <xdr:to>
      <xdr:col>2</xdr:col>
      <xdr:colOff>254000</xdr:colOff>
      <xdr:row>97</xdr:row>
      <xdr:rowOff>168729</xdr:rowOff>
    </xdr:to>
    <xdr:cxnSp macro="">
      <xdr:nvCxnSpPr>
        <xdr:cNvPr id="157" name="coupePR">
          <a:extLst>
            <a:ext uri="{FF2B5EF4-FFF2-40B4-BE49-F238E27FC236}">
              <a16:creationId xmlns:a16="http://schemas.microsoft.com/office/drawing/2014/main" id="{00000000-0008-0000-3400-00009D000000}"/>
            </a:ext>
          </a:extLst>
        </xdr:cNvPr>
        <xdr:cNvCxnSpPr/>
      </xdr:nvCxnSpPr>
      <xdr:spPr>
        <a:xfrm>
          <a:off x="1778000" y="1511754"/>
          <a:ext cx="0" cy="6096000"/>
        </a:xfrm>
        <a:prstGeom prst="line">
          <a:avLst/>
        </a:prstGeom>
        <a:ln w="19050">
          <a:solidFill>
            <a:srgbClr val="425B8A">
              <a:lumMod val="100000"/>
            </a:srgb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501650</xdr:colOff>
      <xdr:row>2</xdr:row>
      <xdr:rowOff>340179</xdr:rowOff>
    </xdr:from>
    <xdr:to>
      <xdr:col>4</xdr:col>
      <xdr:colOff>501650</xdr:colOff>
      <xdr:row>97</xdr:row>
      <xdr:rowOff>168729</xdr:rowOff>
    </xdr:to>
    <xdr:cxnSp macro="">
      <xdr:nvCxnSpPr>
        <xdr:cNvPr id="158" name="coupeFVe">
          <a:extLst>
            <a:ext uri="{FF2B5EF4-FFF2-40B4-BE49-F238E27FC236}">
              <a16:creationId xmlns:a16="http://schemas.microsoft.com/office/drawing/2014/main" id="{00000000-0008-0000-3400-00009E000000}"/>
            </a:ext>
          </a:extLst>
        </xdr:cNvPr>
        <xdr:cNvCxnSpPr/>
      </xdr:nvCxnSpPr>
      <xdr:spPr>
        <a:xfrm>
          <a:off x="3302000" y="1511754"/>
          <a:ext cx="0" cy="6096000"/>
        </a:xfrm>
        <a:prstGeom prst="line">
          <a:avLst/>
        </a:prstGeom>
        <a:ln w="19050">
          <a:solidFill>
            <a:srgbClr val="425B8A">
              <a:lumMod val="100000"/>
            </a:srgb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117475</xdr:colOff>
      <xdr:row>2</xdr:row>
      <xdr:rowOff>340179</xdr:rowOff>
    </xdr:from>
    <xdr:to>
      <xdr:col>5</xdr:col>
      <xdr:colOff>117475</xdr:colOff>
      <xdr:row>97</xdr:row>
      <xdr:rowOff>168729</xdr:rowOff>
    </xdr:to>
    <xdr:cxnSp macro="">
      <xdr:nvCxnSpPr>
        <xdr:cNvPr id="159" name="coupeFVs">
          <a:extLst>
            <a:ext uri="{FF2B5EF4-FFF2-40B4-BE49-F238E27FC236}">
              <a16:creationId xmlns:a16="http://schemas.microsoft.com/office/drawing/2014/main" id="{00000000-0008-0000-3400-00009F000000}"/>
            </a:ext>
          </a:extLst>
        </xdr:cNvPr>
        <xdr:cNvCxnSpPr/>
      </xdr:nvCxnSpPr>
      <xdr:spPr>
        <a:xfrm>
          <a:off x="3556000" y="1511754"/>
          <a:ext cx="0" cy="6096000"/>
        </a:xfrm>
        <a:prstGeom prst="line">
          <a:avLst/>
        </a:prstGeom>
        <a:ln w="19050">
          <a:solidFill>
            <a:srgbClr val="425B8A">
              <a:lumMod val="100000"/>
            </a:srgb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241300</xdr:colOff>
      <xdr:row>2</xdr:row>
      <xdr:rowOff>340179</xdr:rowOff>
    </xdr:from>
    <xdr:to>
      <xdr:col>6</xdr:col>
      <xdr:colOff>241300</xdr:colOff>
      <xdr:row>97</xdr:row>
      <xdr:rowOff>168729</xdr:rowOff>
    </xdr:to>
    <xdr:cxnSp macro="">
      <xdr:nvCxnSpPr>
        <xdr:cNvPr id="160" name="coupeZIe">
          <a:extLst>
            <a:ext uri="{FF2B5EF4-FFF2-40B4-BE49-F238E27FC236}">
              <a16:creationId xmlns:a16="http://schemas.microsoft.com/office/drawing/2014/main" id="{00000000-0008-0000-3400-0000A0000000}"/>
            </a:ext>
          </a:extLst>
        </xdr:cNvPr>
        <xdr:cNvCxnSpPr/>
      </xdr:nvCxnSpPr>
      <xdr:spPr>
        <a:xfrm>
          <a:off x="4318000" y="1511754"/>
          <a:ext cx="0" cy="6096000"/>
        </a:xfrm>
        <a:prstGeom prst="line">
          <a:avLst/>
        </a:prstGeom>
        <a:ln w="19050">
          <a:solidFill>
            <a:srgbClr val="425B8A">
              <a:lumMod val="100000"/>
            </a:srgb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238125</xdr:colOff>
      <xdr:row>2</xdr:row>
      <xdr:rowOff>340179</xdr:rowOff>
    </xdr:from>
    <xdr:to>
      <xdr:col>7</xdr:col>
      <xdr:colOff>238125</xdr:colOff>
      <xdr:row>97</xdr:row>
      <xdr:rowOff>168729</xdr:rowOff>
    </xdr:to>
    <xdr:cxnSp macro="">
      <xdr:nvCxnSpPr>
        <xdr:cNvPr id="161" name="coupeZIs">
          <a:extLst>
            <a:ext uri="{FF2B5EF4-FFF2-40B4-BE49-F238E27FC236}">
              <a16:creationId xmlns:a16="http://schemas.microsoft.com/office/drawing/2014/main" id="{00000000-0008-0000-3400-0000A1000000}"/>
            </a:ext>
          </a:extLst>
        </xdr:cNvPr>
        <xdr:cNvCxnSpPr/>
      </xdr:nvCxnSpPr>
      <xdr:spPr>
        <a:xfrm>
          <a:off x="4953000" y="1511754"/>
          <a:ext cx="0" cy="6096000"/>
        </a:xfrm>
        <a:prstGeom prst="line">
          <a:avLst/>
        </a:prstGeom>
        <a:ln w="19050">
          <a:solidFill>
            <a:srgbClr val="425B8A">
              <a:lumMod val="100000"/>
            </a:srgb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238125</xdr:colOff>
      <xdr:row>2</xdr:row>
      <xdr:rowOff>340179</xdr:rowOff>
    </xdr:from>
    <xdr:to>
      <xdr:col>7</xdr:col>
      <xdr:colOff>238125</xdr:colOff>
      <xdr:row>97</xdr:row>
      <xdr:rowOff>168729</xdr:rowOff>
    </xdr:to>
    <xdr:cxnSp macro="">
      <xdr:nvCxnSpPr>
        <xdr:cNvPr id="162" name="coupefosse">
          <a:extLst>
            <a:ext uri="{FF2B5EF4-FFF2-40B4-BE49-F238E27FC236}">
              <a16:creationId xmlns:a16="http://schemas.microsoft.com/office/drawing/2014/main" id="{00000000-0008-0000-3400-0000A2000000}"/>
            </a:ext>
          </a:extLst>
        </xdr:cNvPr>
        <xdr:cNvCxnSpPr/>
      </xdr:nvCxnSpPr>
      <xdr:spPr>
        <a:xfrm>
          <a:off x="4953000" y="1511754"/>
          <a:ext cx="0" cy="6096000"/>
        </a:xfrm>
        <a:prstGeom prst="line">
          <a:avLst/>
        </a:prstGeom>
        <a:ln w="19050">
          <a:solidFill>
            <a:srgbClr val="425B8A">
              <a:lumMod val="100000"/>
            </a:srgb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xdr:row>
      <xdr:rowOff>352425</xdr:rowOff>
    </xdr:from>
    <xdr:to>
      <xdr:col>2</xdr:col>
      <xdr:colOff>254000</xdr:colOff>
      <xdr:row>2</xdr:row>
      <xdr:rowOff>352425</xdr:rowOff>
    </xdr:to>
    <xdr:cxnSp macro="">
      <xdr:nvCxnSpPr>
        <xdr:cNvPr id="49" name="dist">
          <a:extLst>
            <a:ext uri="{FF2B5EF4-FFF2-40B4-BE49-F238E27FC236}">
              <a16:creationId xmlns:a16="http://schemas.microsoft.com/office/drawing/2014/main" id="{00000000-0008-0000-3400-000031000000}"/>
            </a:ext>
          </a:extLst>
        </xdr:cNvPr>
        <xdr:cNvCxnSpPr/>
      </xdr:nvCxnSpPr>
      <xdr:spPr>
        <a:xfrm>
          <a:off x="1524000" y="1524000"/>
          <a:ext cx="254000" cy="0"/>
        </a:xfrm>
        <a:prstGeom prst="straightConnector1">
          <a:avLst/>
        </a:prstGeom>
        <a:ln w="19050" cap="flat" cmpd="sng" algn="ctr">
          <a:solidFill>
            <a:schemeClr val="tx2">
              <a:lumMod val="75000"/>
            </a:schemeClr>
          </a:solidFill>
          <a:prstDash val="solid"/>
          <a:miter lim="800000"/>
          <a:headEnd type="arrow"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254000</xdr:colOff>
      <xdr:row>2</xdr:row>
      <xdr:rowOff>340179</xdr:rowOff>
    </xdr:from>
    <xdr:to>
      <xdr:col>4</xdr:col>
      <xdr:colOff>501650</xdr:colOff>
      <xdr:row>2</xdr:row>
      <xdr:rowOff>340179</xdr:rowOff>
    </xdr:to>
    <xdr:cxnSp macro="">
      <xdr:nvCxnSpPr>
        <xdr:cNvPr id="164" name="distPR">
          <a:extLst>
            <a:ext uri="{FF2B5EF4-FFF2-40B4-BE49-F238E27FC236}">
              <a16:creationId xmlns:a16="http://schemas.microsoft.com/office/drawing/2014/main" id="{00000000-0008-0000-3400-0000A4000000}"/>
            </a:ext>
          </a:extLst>
        </xdr:cNvPr>
        <xdr:cNvCxnSpPr/>
      </xdr:nvCxnSpPr>
      <xdr:spPr>
        <a:xfrm>
          <a:off x="1778000" y="1511754"/>
          <a:ext cx="1524000" cy="0"/>
        </a:xfrm>
        <a:prstGeom prst="straightConnector1">
          <a:avLst/>
        </a:prstGeom>
        <a:ln w="19050" cap="flat" cmpd="sng" algn="ctr">
          <a:solidFill>
            <a:schemeClr val="tx2">
              <a:lumMod val="75000"/>
            </a:schemeClr>
          </a:solidFill>
          <a:prstDash val="solid"/>
          <a:miter lim="800000"/>
          <a:headEnd type="arrow"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501650</xdr:colOff>
      <xdr:row>2</xdr:row>
      <xdr:rowOff>340179</xdr:rowOff>
    </xdr:from>
    <xdr:to>
      <xdr:col>5</xdr:col>
      <xdr:colOff>117475</xdr:colOff>
      <xdr:row>2</xdr:row>
      <xdr:rowOff>340179</xdr:rowOff>
    </xdr:to>
    <xdr:cxnSp macro="">
      <xdr:nvCxnSpPr>
        <xdr:cNvPr id="165" name="distFVe">
          <a:extLst>
            <a:ext uri="{FF2B5EF4-FFF2-40B4-BE49-F238E27FC236}">
              <a16:creationId xmlns:a16="http://schemas.microsoft.com/office/drawing/2014/main" id="{00000000-0008-0000-3400-0000A5000000}"/>
            </a:ext>
          </a:extLst>
        </xdr:cNvPr>
        <xdr:cNvCxnSpPr/>
      </xdr:nvCxnSpPr>
      <xdr:spPr>
        <a:xfrm>
          <a:off x="3302000" y="1511754"/>
          <a:ext cx="254000" cy="0"/>
        </a:xfrm>
        <a:prstGeom prst="straightConnector1">
          <a:avLst/>
        </a:prstGeom>
        <a:ln w="19050" cap="flat" cmpd="sng" algn="ctr">
          <a:solidFill>
            <a:schemeClr val="tx2">
              <a:lumMod val="75000"/>
            </a:schemeClr>
          </a:solidFill>
          <a:prstDash val="solid"/>
          <a:miter lim="800000"/>
          <a:headEnd type="arrow"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117475</xdr:colOff>
      <xdr:row>2</xdr:row>
      <xdr:rowOff>340179</xdr:rowOff>
    </xdr:from>
    <xdr:to>
      <xdr:col>6</xdr:col>
      <xdr:colOff>241300</xdr:colOff>
      <xdr:row>2</xdr:row>
      <xdr:rowOff>340179</xdr:rowOff>
    </xdr:to>
    <xdr:cxnSp macro="">
      <xdr:nvCxnSpPr>
        <xdr:cNvPr id="166" name="distFVs">
          <a:extLst>
            <a:ext uri="{FF2B5EF4-FFF2-40B4-BE49-F238E27FC236}">
              <a16:creationId xmlns:a16="http://schemas.microsoft.com/office/drawing/2014/main" id="{00000000-0008-0000-3400-0000A6000000}"/>
            </a:ext>
          </a:extLst>
        </xdr:cNvPr>
        <xdr:cNvCxnSpPr/>
      </xdr:nvCxnSpPr>
      <xdr:spPr>
        <a:xfrm>
          <a:off x="3556000" y="1511754"/>
          <a:ext cx="762000" cy="0"/>
        </a:xfrm>
        <a:prstGeom prst="straightConnector1">
          <a:avLst/>
        </a:prstGeom>
        <a:ln w="19050" cap="flat" cmpd="sng" algn="ctr">
          <a:solidFill>
            <a:schemeClr val="tx2">
              <a:lumMod val="75000"/>
            </a:schemeClr>
          </a:solidFill>
          <a:prstDash val="solid"/>
          <a:miter lim="800000"/>
          <a:headEnd type="arrow"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241300</xdr:colOff>
      <xdr:row>2</xdr:row>
      <xdr:rowOff>340179</xdr:rowOff>
    </xdr:from>
    <xdr:to>
      <xdr:col>7</xdr:col>
      <xdr:colOff>238125</xdr:colOff>
      <xdr:row>2</xdr:row>
      <xdr:rowOff>340179</xdr:rowOff>
    </xdr:to>
    <xdr:cxnSp macro="">
      <xdr:nvCxnSpPr>
        <xdr:cNvPr id="167" name="distZIe">
          <a:extLst>
            <a:ext uri="{FF2B5EF4-FFF2-40B4-BE49-F238E27FC236}">
              <a16:creationId xmlns:a16="http://schemas.microsoft.com/office/drawing/2014/main" id="{00000000-0008-0000-3400-0000A7000000}"/>
            </a:ext>
          </a:extLst>
        </xdr:cNvPr>
        <xdr:cNvCxnSpPr/>
      </xdr:nvCxnSpPr>
      <xdr:spPr>
        <a:xfrm>
          <a:off x="4318000" y="1511754"/>
          <a:ext cx="635000" cy="0"/>
        </a:xfrm>
        <a:prstGeom prst="straightConnector1">
          <a:avLst/>
        </a:prstGeom>
        <a:ln w="19050" cap="flat" cmpd="sng" algn="ctr">
          <a:solidFill>
            <a:schemeClr val="tx2">
              <a:lumMod val="75000"/>
            </a:schemeClr>
          </a:solidFill>
          <a:prstDash val="solid"/>
          <a:miter lim="800000"/>
          <a:headEnd type="arrow"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238125</xdr:colOff>
      <xdr:row>2</xdr:row>
      <xdr:rowOff>340179</xdr:rowOff>
    </xdr:from>
    <xdr:to>
      <xdr:col>7</xdr:col>
      <xdr:colOff>238125</xdr:colOff>
      <xdr:row>2</xdr:row>
      <xdr:rowOff>340179</xdr:rowOff>
    </xdr:to>
    <xdr:cxnSp macro="">
      <xdr:nvCxnSpPr>
        <xdr:cNvPr id="168" name="distZIs">
          <a:extLst>
            <a:ext uri="{FF2B5EF4-FFF2-40B4-BE49-F238E27FC236}">
              <a16:creationId xmlns:a16="http://schemas.microsoft.com/office/drawing/2014/main" id="{00000000-0008-0000-3400-0000A8000000}"/>
            </a:ext>
          </a:extLst>
        </xdr:cNvPr>
        <xdr:cNvCxnSpPr/>
      </xdr:nvCxnSpPr>
      <xdr:spPr>
        <a:xfrm>
          <a:off x="4953000" y="1511754"/>
          <a:ext cx="0" cy="0"/>
        </a:xfrm>
        <a:prstGeom prst="straightConnector1">
          <a:avLst/>
        </a:prstGeom>
        <a:ln w="19050" cap="flat" cmpd="sng" algn="ctr">
          <a:solidFill>
            <a:schemeClr val="tx2">
              <a:lumMod val="75000"/>
            </a:schemeClr>
          </a:solidFill>
          <a:prstDash val="solid"/>
          <a:miter lim="800000"/>
          <a:headEnd type="arrow"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4</xdr:row>
      <xdr:rowOff>34925</xdr:rowOff>
    </xdr:from>
    <xdr:to>
      <xdr:col>2</xdr:col>
      <xdr:colOff>508000</xdr:colOff>
      <xdr:row>10</xdr:row>
      <xdr:rowOff>9525</xdr:rowOff>
    </xdr:to>
    <xdr:sp macro="" textlink="TNhab">
      <xdr:nvSpPr>
        <xdr:cNvPr id="60544" name="cotesTNhab">
          <a:extLst>
            <a:ext uri="{FF2B5EF4-FFF2-40B4-BE49-F238E27FC236}">
              <a16:creationId xmlns:a16="http://schemas.microsoft.com/office/drawing/2014/main" id="{00000000-0008-0000-3400-000080EC0000}"/>
            </a:ext>
          </a:extLst>
        </xdr:cNvPr>
        <xdr:cNvSpPr/>
      </xdr:nvSpPr>
      <xdr:spPr>
        <a:xfrm>
          <a:off x="1524000" y="2159000"/>
          <a:ext cx="508000" cy="317500"/>
        </a:xfrm>
        <a:prstGeom prst="roundRect">
          <a:avLst/>
        </a:prstGeom>
        <a:solidFill>
          <a:srgbClr val="B0F2B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182F1F0-C331-417D-B5B5-A0F48AF01289}" type="TxLink">
            <a:rPr lang="en-US" sz="1000" b="1" i="0" u="none" strike="noStrike">
              <a:solidFill>
                <a:srgbClr val="375623"/>
              </a:solidFill>
              <a:latin typeface="Arial"/>
              <a:cs typeface="Arial"/>
            </a:rPr>
            <a:pPr algn="ctr"/>
            <a:t>0</a:t>
          </a:fld>
          <a:endParaRPr lang="fr-FR" sz="1100"/>
        </a:p>
      </xdr:txBody>
    </xdr:sp>
    <xdr:clientData/>
  </xdr:twoCellAnchor>
  <xdr:twoCellAnchor>
    <xdr:from>
      <xdr:col>2</xdr:col>
      <xdr:colOff>0</xdr:colOff>
      <xdr:row>10</xdr:row>
      <xdr:rowOff>9525</xdr:rowOff>
    </xdr:from>
    <xdr:to>
      <xdr:col>2</xdr:col>
      <xdr:colOff>508000</xdr:colOff>
      <xdr:row>15</xdr:row>
      <xdr:rowOff>41275</xdr:rowOff>
    </xdr:to>
    <xdr:sp macro="" textlink="FEhabv">
      <xdr:nvSpPr>
        <xdr:cNvPr id="60545" name="cotesFEhab">
          <a:extLst>
            <a:ext uri="{FF2B5EF4-FFF2-40B4-BE49-F238E27FC236}">
              <a16:creationId xmlns:a16="http://schemas.microsoft.com/office/drawing/2014/main" id="{00000000-0008-0000-3400-000081EC0000}"/>
            </a:ext>
          </a:extLst>
        </xdr:cNvPr>
        <xdr:cNvSpPr/>
      </xdr:nvSpPr>
      <xdr:spPr>
        <a:xfrm>
          <a:off x="1524000" y="2476500"/>
          <a:ext cx="508000" cy="317500"/>
        </a:xfrm>
        <a:prstGeom prst="roundRect">
          <a:avLst/>
        </a:prstGeom>
        <a:solidFill>
          <a:srgbClr val="A9EAF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7D6CF57-8569-4AED-B181-24CE40A98270}" type="TxLink">
            <a:rPr lang="en-US" sz="1000" b="1" i="0" u="none" strike="noStrike">
              <a:solidFill>
                <a:srgbClr val="203764"/>
              </a:solidFill>
              <a:latin typeface="Arial"/>
              <a:cs typeface="Arial"/>
            </a:rPr>
            <a:pPr algn="ctr"/>
            <a:t> </a:t>
          </a:fld>
          <a:endParaRPr lang="fr-FR" sz="1100"/>
        </a:p>
      </xdr:txBody>
    </xdr:sp>
    <xdr:clientData/>
  </xdr:twoCellAnchor>
  <xdr:twoCellAnchor>
    <xdr:from>
      <xdr:col>2</xdr:col>
      <xdr:colOff>254000</xdr:colOff>
      <xdr:row>15</xdr:row>
      <xdr:rowOff>29029</xdr:rowOff>
    </xdr:from>
    <xdr:to>
      <xdr:col>3</xdr:col>
      <xdr:colOff>123825</xdr:colOff>
      <xdr:row>21</xdr:row>
      <xdr:rowOff>908</xdr:rowOff>
    </xdr:to>
    <xdr:sp macro="" textlink="TNPR1">
      <xdr:nvSpPr>
        <xdr:cNvPr id="172" name="cotesTNPR">
          <a:extLst>
            <a:ext uri="{FF2B5EF4-FFF2-40B4-BE49-F238E27FC236}">
              <a16:creationId xmlns:a16="http://schemas.microsoft.com/office/drawing/2014/main" id="{00000000-0008-0000-3400-0000AC000000}"/>
            </a:ext>
          </a:extLst>
        </xdr:cNvPr>
        <xdr:cNvSpPr/>
      </xdr:nvSpPr>
      <xdr:spPr>
        <a:xfrm>
          <a:off x="1778000" y="2781754"/>
          <a:ext cx="508000" cy="314779"/>
        </a:xfrm>
        <a:prstGeom prst="roundRect">
          <a:avLst/>
        </a:prstGeom>
        <a:solidFill>
          <a:srgbClr val="B0F2B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80471FF-FB6C-4834-AD81-C3CD7820CFFF}" type="TxLink">
            <a:rPr lang="en-US" sz="1000" b="1" i="0" u="none" strike="noStrike">
              <a:solidFill>
                <a:srgbClr val="375623"/>
              </a:solidFill>
              <a:latin typeface="Arial"/>
              <a:cs typeface="Arial"/>
            </a:rPr>
            <a:pPr algn="ctr"/>
            <a:t>-105</a:t>
          </a:fld>
          <a:endParaRPr lang="fr-FR" sz="1100"/>
        </a:p>
      </xdr:txBody>
    </xdr:sp>
    <xdr:clientData/>
  </xdr:twoCellAnchor>
  <xdr:twoCellAnchor>
    <xdr:from>
      <xdr:col>4</xdr:col>
      <xdr:colOff>501650</xdr:colOff>
      <xdr:row>4</xdr:row>
      <xdr:rowOff>22679</xdr:rowOff>
    </xdr:from>
    <xdr:to>
      <xdr:col>5</xdr:col>
      <xdr:colOff>371475</xdr:colOff>
      <xdr:row>9</xdr:row>
      <xdr:rowOff>51708</xdr:rowOff>
    </xdr:to>
    <xdr:sp macro="" textlink="TNFVe">
      <xdr:nvSpPr>
        <xdr:cNvPr id="173" name="cotesTNFVe">
          <a:extLst>
            <a:ext uri="{FF2B5EF4-FFF2-40B4-BE49-F238E27FC236}">
              <a16:creationId xmlns:a16="http://schemas.microsoft.com/office/drawing/2014/main" id="{00000000-0008-0000-3400-0000AD000000}"/>
            </a:ext>
          </a:extLst>
        </xdr:cNvPr>
        <xdr:cNvSpPr/>
      </xdr:nvSpPr>
      <xdr:spPr>
        <a:xfrm>
          <a:off x="3302000" y="2146754"/>
          <a:ext cx="508000" cy="314779"/>
        </a:xfrm>
        <a:prstGeom prst="roundRect">
          <a:avLst/>
        </a:prstGeom>
        <a:solidFill>
          <a:srgbClr val="B0F2B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62BC7F6-2579-4FCE-B251-4662A56B796F}" type="TxLink">
            <a:rPr lang="en-US" sz="1000" b="1" i="0" u="none" strike="noStrike">
              <a:solidFill>
                <a:srgbClr val="375623"/>
              </a:solidFill>
              <a:latin typeface="Arial"/>
              <a:cs typeface="Arial"/>
            </a:rPr>
            <a:pPr algn="ctr"/>
            <a:t>-145</a:t>
          </a:fld>
          <a:endParaRPr lang="fr-FR" sz="1100"/>
        </a:p>
      </xdr:txBody>
    </xdr:sp>
    <xdr:clientData/>
  </xdr:twoCellAnchor>
  <xdr:twoCellAnchor>
    <xdr:from>
      <xdr:col>5</xdr:col>
      <xdr:colOff>117475</xdr:colOff>
      <xdr:row>15</xdr:row>
      <xdr:rowOff>29029</xdr:rowOff>
    </xdr:from>
    <xdr:to>
      <xdr:col>5</xdr:col>
      <xdr:colOff>625475</xdr:colOff>
      <xdr:row>21</xdr:row>
      <xdr:rowOff>908</xdr:rowOff>
    </xdr:to>
    <xdr:sp macro="" textlink="TNFVs">
      <xdr:nvSpPr>
        <xdr:cNvPr id="174" name="cotesTNFVs">
          <a:extLst>
            <a:ext uri="{FF2B5EF4-FFF2-40B4-BE49-F238E27FC236}">
              <a16:creationId xmlns:a16="http://schemas.microsoft.com/office/drawing/2014/main" id="{00000000-0008-0000-3400-0000AE000000}"/>
            </a:ext>
          </a:extLst>
        </xdr:cNvPr>
        <xdr:cNvSpPr/>
      </xdr:nvSpPr>
      <xdr:spPr>
        <a:xfrm>
          <a:off x="3556000" y="2781754"/>
          <a:ext cx="508000" cy="314779"/>
        </a:xfrm>
        <a:prstGeom prst="roundRect">
          <a:avLst/>
        </a:prstGeom>
        <a:solidFill>
          <a:srgbClr val="B0F2B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6DB8929-F9CD-4E86-A566-5C41CC144524}" type="TxLink">
            <a:rPr lang="en-US" sz="1000" b="1" i="0" u="none" strike="noStrike">
              <a:solidFill>
                <a:srgbClr val="375623"/>
              </a:solidFill>
              <a:latin typeface="Arial"/>
              <a:cs typeface="Arial"/>
            </a:rPr>
            <a:pPr algn="ctr"/>
            <a:t>-151</a:t>
          </a:fld>
          <a:endParaRPr lang="fr-FR" sz="1100"/>
        </a:p>
      </xdr:txBody>
    </xdr:sp>
    <xdr:clientData/>
  </xdr:twoCellAnchor>
  <xdr:twoCellAnchor>
    <xdr:from>
      <xdr:col>6</xdr:col>
      <xdr:colOff>241300</xdr:colOff>
      <xdr:row>4</xdr:row>
      <xdr:rowOff>22679</xdr:rowOff>
    </xdr:from>
    <xdr:to>
      <xdr:col>7</xdr:col>
      <xdr:colOff>111125</xdr:colOff>
      <xdr:row>9</xdr:row>
      <xdr:rowOff>51708</xdr:rowOff>
    </xdr:to>
    <xdr:sp macro="" textlink="">
      <xdr:nvSpPr>
        <xdr:cNvPr id="175" name="cotesTNPR2">
          <a:extLst>
            <a:ext uri="{FF2B5EF4-FFF2-40B4-BE49-F238E27FC236}">
              <a16:creationId xmlns:a16="http://schemas.microsoft.com/office/drawing/2014/main" id="{00000000-0008-0000-3400-0000AF000000}"/>
            </a:ext>
          </a:extLst>
        </xdr:cNvPr>
        <xdr:cNvSpPr/>
      </xdr:nvSpPr>
      <xdr:spPr>
        <a:xfrm>
          <a:off x="4318000" y="2146754"/>
          <a:ext cx="508000" cy="314779"/>
        </a:xfrm>
        <a:prstGeom prst="roundRect">
          <a:avLst/>
        </a:prstGeom>
        <a:solidFill>
          <a:srgbClr val="B0F2B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fr-FR" sz="1100"/>
        </a:p>
      </xdr:txBody>
    </xdr:sp>
    <xdr:clientData/>
  </xdr:twoCellAnchor>
  <xdr:twoCellAnchor>
    <xdr:from>
      <xdr:col>6</xdr:col>
      <xdr:colOff>241300</xdr:colOff>
      <xdr:row>4</xdr:row>
      <xdr:rowOff>22679</xdr:rowOff>
    </xdr:from>
    <xdr:to>
      <xdr:col>7</xdr:col>
      <xdr:colOff>111125</xdr:colOff>
      <xdr:row>9</xdr:row>
      <xdr:rowOff>51708</xdr:rowOff>
    </xdr:to>
    <xdr:sp macro="" textlink="TNZIe">
      <xdr:nvSpPr>
        <xdr:cNvPr id="176" name="cotesTNZIe">
          <a:extLst>
            <a:ext uri="{FF2B5EF4-FFF2-40B4-BE49-F238E27FC236}">
              <a16:creationId xmlns:a16="http://schemas.microsoft.com/office/drawing/2014/main" id="{00000000-0008-0000-3400-0000B0000000}"/>
            </a:ext>
          </a:extLst>
        </xdr:cNvPr>
        <xdr:cNvSpPr/>
      </xdr:nvSpPr>
      <xdr:spPr>
        <a:xfrm>
          <a:off x="4318000" y="2146754"/>
          <a:ext cx="508000" cy="314779"/>
        </a:xfrm>
        <a:prstGeom prst="roundRect">
          <a:avLst/>
        </a:prstGeom>
        <a:solidFill>
          <a:srgbClr val="B0F2B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8E1F975-1DAB-4345-931D-22612EA4253C}" type="TxLink">
            <a:rPr lang="en-US" sz="1000" b="1" i="0" u="none" strike="noStrike">
              <a:solidFill>
                <a:srgbClr val="375623"/>
              </a:solidFill>
              <a:latin typeface="Arial"/>
              <a:cs typeface="Arial"/>
            </a:rPr>
            <a:pPr algn="ctr"/>
            <a:t>-184</a:t>
          </a:fld>
          <a:endParaRPr lang="fr-FR" sz="1100"/>
        </a:p>
      </xdr:txBody>
    </xdr:sp>
    <xdr:clientData/>
  </xdr:twoCellAnchor>
  <xdr:twoCellAnchor>
    <xdr:from>
      <xdr:col>7</xdr:col>
      <xdr:colOff>238125</xdr:colOff>
      <xdr:row>4</xdr:row>
      <xdr:rowOff>22679</xdr:rowOff>
    </xdr:from>
    <xdr:to>
      <xdr:col>8</xdr:col>
      <xdr:colOff>107950</xdr:colOff>
      <xdr:row>9</xdr:row>
      <xdr:rowOff>51708</xdr:rowOff>
    </xdr:to>
    <xdr:sp macro="" textlink="TNZIs">
      <xdr:nvSpPr>
        <xdr:cNvPr id="177" name="cotesTNZIs">
          <a:extLst>
            <a:ext uri="{FF2B5EF4-FFF2-40B4-BE49-F238E27FC236}">
              <a16:creationId xmlns:a16="http://schemas.microsoft.com/office/drawing/2014/main" id="{00000000-0008-0000-3400-0000B1000000}"/>
            </a:ext>
          </a:extLst>
        </xdr:cNvPr>
        <xdr:cNvSpPr/>
      </xdr:nvSpPr>
      <xdr:spPr>
        <a:xfrm>
          <a:off x="4953000" y="2146754"/>
          <a:ext cx="508000" cy="314779"/>
        </a:xfrm>
        <a:prstGeom prst="roundRect">
          <a:avLst/>
        </a:prstGeom>
        <a:solidFill>
          <a:srgbClr val="B0F2B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7809A84-FBCF-45AB-B8D0-1D75C7ED40DA}" type="TxLink">
            <a:rPr lang="en-US" sz="1000" b="1" i="0" u="none" strike="noStrike">
              <a:solidFill>
                <a:srgbClr val="375623"/>
              </a:solidFill>
              <a:latin typeface="Arial"/>
              <a:cs typeface="Arial"/>
            </a:rPr>
            <a:pPr algn="ctr"/>
            <a:t>-160</a:t>
          </a:fld>
          <a:endParaRPr lang="fr-FR" sz="1100"/>
        </a:p>
      </xdr:txBody>
    </xdr:sp>
    <xdr:clientData/>
  </xdr:twoCellAnchor>
  <xdr:twoCellAnchor>
    <xdr:from>
      <xdr:col>2</xdr:col>
      <xdr:colOff>254000</xdr:colOff>
      <xdr:row>21</xdr:row>
      <xdr:rowOff>19957</xdr:rowOff>
    </xdr:from>
    <xdr:to>
      <xdr:col>3</xdr:col>
      <xdr:colOff>123825</xdr:colOff>
      <xdr:row>26</xdr:row>
      <xdr:rowOff>51707</xdr:rowOff>
    </xdr:to>
    <xdr:sp macro="" textlink="FEPR1v">
      <xdr:nvSpPr>
        <xdr:cNvPr id="179" name="cotesFEPR">
          <a:extLst>
            <a:ext uri="{FF2B5EF4-FFF2-40B4-BE49-F238E27FC236}">
              <a16:creationId xmlns:a16="http://schemas.microsoft.com/office/drawing/2014/main" id="{00000000-0008-0000-3400-0000B3000000}"/>
            </a:ext>
          </a:extLst>
        </xdr:cNvPr>
        <xdr:cNvSpPr/>
      </xdr:nvSpPr>
      <xdr:spPr>
        <a:xfrm>
          <a:off x="1778000" y="3115582"/>
          <a:ext cx="508000" cy="317500"/>
        </a:xfrm>
        <a:prstGeom prst="roundRect">
          <a:avLst/>
        </a:prstGeom>
        <a:solidFill>
          <a:srgbClr val="A9EAF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1578F10-57B0-4ECF-A9E2-5C47E78FF705}" type="TxLink">
            <a:rPr lang="en-US" sz="1000" b="1" i="0" u="none" strike="noStrike">
              <a:solidFill>
                <a:srgbClr val="203764"/>
              </a:solidFill>
              <a:latin typeface="Arial"/>
              <a:cs typeface="Arial"/>
            </a:rPr>
            <a:pPr algn="ctr"/>
            <a:t>0</a:t>
          </a:fld>
          <a:endParaRPr lang="fr-FR" sz="1100"/>
        </a:p>
      </xdr:txBody>
    </xdr:sp>
    <xdr:clientData/>
  </xdr:twoCellAnchor>
  <xdr:twoCellAnchor>
    <xdr:from>
      <xdr:col>4</xdr:col>
      <xdr:colOff>501650</xdr:colOff>
      <xdr:row>10</xdr:row>
      <xdr:rowOff>13607</xdr:rowOff>
    </xdr:from>
    <xdr:to>
      <xdr:col>5</xdr:col>
      <xdr:colOff>371475</xdr:colOff>
      <xdr:row>15</xdr:row>
      <xdr:rowOff>45357</xdr:rowOff>
    </xdr:to>
    <xdr:sp macro="" textlink="FEFVev">
      <xdr:nvSpPr>
        <xdr:cNvPr id="180" name="cotesFEFVe">
          <a:extLst>
            <a:ext uri="{FF2B5EF4-FFF2-40B4-BE49-F238E27FC236}">
              <a16:creationId xmlns:a16="http://schemas.microsoft.com/office/drawing/2014/main" id="{00000000-0008-0000-3400-0000B4000000}"/>
            </a:ext>
          </a:extLst>
        </xdr:cNvPr>
        <xdr:cNvSpPr/>
      </xdr:nvSpPr>
      <xdr:spPr>
        <a:xfrm>
          <a:off x="3302000" y="2480582"/>
          <a:ext cx="508000" cy="317500"/>
        </a:xfrm>
        <a:prstGeom prst="roundRect">
          <a:avLst/>
        </a:prstGeom>
        <a:solidFill>
          <a:srgbClr val="A9EAF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D38D9E3-4A25-42B0-AC9A-954A38316C95}" type="TxLink">
            <a:rPr lang="en-US" sz="1000" b="1" i="0" u="none" strike="noStrike">
              <a:solidFill>
                <a:srgbClr val="203764"/>
              </a:solidFill>
              <a:latin typeface="Arial"/>
              <a:cs typeface="Arial"/>
            </a:rPr>
            <a:pPr algn="ctr"/>
            <a:t>0</a:t>
          </a:fld>
          <a:endParaRPr lang="fr-FR" sz="1100"/>
        </a:p>
      </xdr:txBody>
    </xdr:sp>
    <xdr:clientData/>
  </xdr:twoCellAnchor>
  <xdr:twoCellAnchor>
    <xdr:from>
      <xdr:col>5</xdr:col>
      <xdr:colOff>117475</xdr:colOff>
      <xdr:row>21</xdr:row>
      <xdr:rowOff>19957</xdr:rowOff>
    </xdr:from>
    <xdr:to>
      <xdr:col>5</xdr:col>
      <xdr:colOff>625475</xdr:colOff>
      <xdr:row>26</xdr:row>
      <xdr:rowOff>51707</xdr:rowOff>
    </xdr:to>
    <xdr:sp macro="" textlink="FEFVsv">
      <xdr:nvSpPr>
        <xdr:cNvPr id="181" name="cotesFEFVs">
          <a:extLst>
            <a:ext uri="{FF2B5EF4-FFF2-40B4-BE49-F238E27FC236}">
              <a16:creationId xmlns:a16="http://schemas.microsoft.com/office/drawing/2014/main" id="{00000000-0008-0000-3400-0000B5000000}"/>
            </a:ext>
          </a:extLst>
        </xdr:cNvPr>
        <xdr:cNvSpPr/>
      </xdr:nvSpPr>
      <xdr:spPr>
        <a:xfrm>
          <a:off x="3556000" y="3115582"/>
          <a:ext cx="508000" cy="317500"/>
        </a:xfrm>
        <a:prstGeom prst="roundRect">
          <a:avLst/>
        </a:prstGeom>
        <a:solidFill>
          <a:srgbClr val="A9EAF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C6AC8B4-1BE5-4EA1-A882-5FA93007CF95}" type="TxLink">
            <a:rPr lang="en-US" sz="1000" b="1" i="0" u="none" strike="noStrike">
              <a:solidFill>
                <a:srgbClr val="203764"/>
              </a:solidFill>
              <a:latin typeface="Arial"/>
              <a:cs typeface="Arial"/>
            </a:rPr>
            <a:pPr algn="ctr"/>
            <a:t>0</a:t>
          </a:fld>
          <a:endParaRPr lang="fr-FR" sz="1100"/>
        </a:p>
      </xdr:txBody>
    </xdr:sp>
    <xdr:clientData/>
  </xdr:twoCellAnchor>
  <xdr:twoCellAnchor>
    <xdr:from>
      <xdr:col>6</xdr:col>
      <xdr:colOff>241300</xdr:colOff>
      <xdr:row>10</xdr:row>
      <xdr:rowOff>13607</xdr:rowOff>
    </xdr:from>
    <xdr:to>
      <xdr:col>7</xdr:col>
      <xdr:colOff>111125</xdr:colOff>
      <xdr:row>15</xdr:row>
      <xdr:rowOff>45357</xdr:rowOff>
    </xdr:to>
    <xdr:sp macro="" textlink="FEZIev">
      <xdr:nvSpPr>
        <xdr:cNvPr id="182" name="cotesFEZIe">
          <a:extLst>
            <a:ext uri="{FF2B5EF4-FFF2-40B4-BE49-F238E27FC236}">
              <a16:creationId xmlns:a16="http://schemas.microsoft.com/office/drawing/2014/main" id="{00000000-0008-0000-3400-0000B6000000}"/>
            </a:ext>
          </a:extLst>
        </xdr:cNvPr>
        <xdr:cNvSpPr/>
      </xdr:nvSpPr>
      <xdr:spPr>
        <a:xfrm>
          <a:off x="4318000" y="2480582"/>
          <a:ext cx="508000" cy="317500"/>
        </a:xfrm>
        <a:prstGeom prst="roundRect">
          <a:avLst/>
        </a:prstGeom>
        <a:solidFill>
          <a:srgbClr val="A9EAF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5EA1CC-0EA3-4B96-8625-E9D4960CA3E5}" type="TxLink">
            <a:rPr lang="en-US" sz="1000" b="1" i="0" u="none" strike="noStrike">
              <a:solidFill>
                <a:srgbClr val="203764"/>
              </a:solidFill>
              <a:latin typeface="Arial"/>
              <a:cs typeface="Arial"/>
            </a:rPr>
            <a:pPr algn="ctr"/>
            <a:t>0</a:t>
          </a:fld>
          <a:endParaRPr lang="fr-FR" sz="1100"/>
        </a:p>
      </xdr:txBody>
    </xdr:sp>
    <xdr:clientData/>
  </xdr:twoCellAnchor>
  <xdr:twoCellAnchor>
    <xdr:from>
      <xdr:col>7</xdr:col>
      <xdr:colOff>238125</xdr:colOff>
      <xdr:row>10</xdr:row>
      <xdr:rowOff>13607</xdr:rowOff>
    </xdr:from>
    <xdr:to>
      <xdr:col>8</xdr:col>
      <xdr:colOff>107950</xdr:colOff>
      <xdr:row>15</xdr:row>
      <xdr:rowOff>45357</xdr:rowOff>
    </xdr:to>
    <xdr:sp macro="" textlink="FEZIsv">
      <xdr:nvSpPr>
        <xdr:cNvPr id="183" name="cotesFEZIs">
          <a:extLst>
            <a:ext uri="{FF2B5EF4-FFF2-40B4-BE49-F238E27FC236}">
              <a16:creationId xmlns:a16="http://schemas.microsoft.com/office/drawing/2014/main" id="{00000000-0008-0000-3400-0000B7000000}"/>
            </a:ext>
          </a:extLst>
        </xdr:cNvPr>
        <xdr:cNvSpPr/>
      </xdr:nvSpPr>
      <xdr:spPr>
        <a:xfrm>
          <a:off x="4953000" y="2480582"/>
          <a:ext cx="508000" cy="317500"/>
        </a:xfrm>
        <a:prstGeom prst="roundRect">
          <a:avLst/>
        </a:prstGeom>
        <a:solidFill>
          <a:srgbClr val="A9EAF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9FF28D2-948C-4F05-AB46-9765ADC534EE}" type="TxLink">
            <a:rPr lang="en-US" sz="1000" b="1" i="0" u="none" strike="noStrike">
              <a:solidFill>
                <a:srgbClr val="203764"/>
              </a:solidFill>
              <a:latin typeface="Arial"/>
              <a:cs typeface="Arial"/>
            </a:rPr>
            <a:pPr algn="ctr"/>
            <a:t>0</a:t>
          </a:fld>
          <a:endParaRPr lang="fr-FR" sz="1100"/>
        </a:p>
      </xdr:txBody>
    </xdr:sp>
    <xdr:clientData/>
  </xdr:twoCellAnchor>
  <xdr:twoCellAnchor>
    <xdr:from>
      <xdr:col>1</xdr:col>
      <xdr:colOff>698500</xdr:colOff>
      <xdr:row>2</xdr:row>
      <xdr:rowOff>34925</xdr:rowOff>
    </xdr:from>
    <xdr:to>
      <xdr:col>2</xdr:col>
      <xdr:colOff>317500</xdr:colOff>
      <xdr:row>2</xdr:row>
      <xdr:rowOff>225425</xdr:rowOff>
    </xdr:to>
    <xdr:sp macro="" textlink="xhab">
      <xdr:nvSpPr>
        <xdr:cNvPr id="60546" name="cotedisthab">
          <a:extLst>
            <a:ext uri="{FF2B5EF4-FFF2-40B4-BE49-F238E27FC236}">
              <a16:creationId xmlns:a16="http://schemas.microsoft.com/office/drawing/2014/main" id="{00000000-0008-0000-3400-000082EC0000}"/>
            </a:ext>
          </a:extLst>
        </xdr:cNvPr>
        <xdr:cNvSpPr txBox="1"/>
      </xdr:nvSpPr>
      <xdr:spPr>
        <a:xfrm>
          <a:off x="1460500" y="1206500"/>
          <a:ext cx="381000"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22494FBA-A3AF-434D-9A88-E2CD82B1D9EF}" type="TxLink">
            <a:rPr lang="en-US" sz="1000" b="1" i="0" u="none" strike="noStrike">
              <a:solidFill>
                <a:srgbClr val="000000"/>
              </a:solidFill>
              <a:latin typeface="Arial"/>
              <a:cs typeface="Arial"/>
            </a:rPr>
            <a:pPr algn="ctr"/>
            <a:t>0</a:t>
          </a:fld>
          <a:endParaRPr lang="fr-FR" sz="1100" b="1">
            <a:solidFill>
              <a:schemeClr val="tx2">
                <a:lumMod val="75000"/>
              </a:schemeClr>
            </a:solidFill>
          </a:endParaRPr>
        </a:p>
      </xdr:txBody>
    </xdr:sp>
    <xdr:clientData/>
  </xdr:twoCellAnchor>
  <xdr:twoCellAnchor>
    <xdr:from>
      <xdr:col>3</xdr:col>
      <xdr:colOff>187325</xdr:colOff>
      <xdr:row>2</xdr:row>
      <xdr:rowOff>22679</xdr:rowOff>
    </xdr:from>
    <xdr:to>
      <xdr:col>3</xdr:col>
      <xdr:colOff>568325</xdr:colOff>
      <xdr:row>2</xdr:row>
      <xdr:rowOff>213179</xdr:rowOff>
    </xdr:to>
    <xdr:sp macro="" textlink="xPR1">
      <xdr:nvSpPr>
        <xdr:cNvPr id="186" name="cotedistPR1">
          <a:extLst>
            <a:ext uri="{FF2B5EF4-FFF2-40B4-BE49-F238E27FC236}">
              <a16:creationId xmlns:a16="http://schemas.microsoft.com/office/drawing/2014/main" id="{00000000-0008-0000-3400-0000BA000000}"/>
            </a:ext>
          </a:extLst>
        </xdr:cNvPr>
        <xdr:cNvSpPr txBox="1"/>
      </xdr:nvSpPr>
      <xdr:spPr>
        <a:xfrm>
          <a:off x="2349500" y="1194254"/>
          <a:ext cx="381000"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86FEE2D2-3949-4D6D-9B3F-D40F74E1BCCA}" type="TxLink">
            <a:rPr lang="en-US" sz="1000" b="1" i="0" u="none" strike="noStrike">
              <a:solidFill>
                <a:srgbClr val="000000"/>
              </a:solidFill>
              <a:latin typeface="Arial"/>
              <a:cs typeface="Arial"/>
            </a:rPr>
            <a:pPr algn="ctr"/>
            <a:t>0</a:t>
          </a:fld>
          <a:endParaRPr lang="fr-FR" sz="1100" b="1">
            <a:solidFill>
              <a:schemeClr val="tx2">
                <a:lumMod val="75000"/>
              </a:schemeClr>
            </a:solidFill>
          </a:endParaRPr>
        </a:p>
      </xdr:txBody>
    </xdr:sp>
    <xdr:clientData/>
  </xdr:twoCellAnchor>
  <xdr:twoCellAnchor>
    <xdr:from>
      <xdr:col>4</xdr:col>
      <xdr:colOff>438150</xdr:colOff>
      <xdr:row>2</xdr:row>
      <xdr:rowOff>22679</xdr:rowOff>
    </xdr:from>
    <xdr:to>
      <xdr:col>5</xdr:col>
      <xdr:colOff>180975</xdr:colOff>
      <xdr:row>2</xdr:row>
      <xdr:rowOff>213179</xdr:rowOff>
    </xdr:to>
    <xdr:sp macro="" textlink="xFVe">
      <xdr:nvSpPr>
        <xdr:cNvPr id="187" name="cotedistFVe">
          <a:extLst>
            <a:ext uri="{FF2B5EF4-FFF2-40B4-BE49-F238E27FC236}">
              <a16:creationId xmlns:a16="http://schemas.microsoft.com/office/drawing/2014/main" id="{00000000-0008-0000-3400-0000BB000000}"/>
            </a:ext>
          </a:extLst>
        </xdr:cNvPr>
        <xdr:cNvSpPr txBox="1"/>
      </xdr:nvSpPr>
      <xdr:spPr>
        <a:xfrm>
          <a:off x="3238500" y="1194254"/>
          <a:ext cx="381000"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6F00AD21-554C-48F5-AE7C-9BBDB74DD798}" type="TxLink">
            <a:rPr lang="en-US" sz="1000" b="1" i="0" u="none" strike="noStrike">
              <a:solidFill>
                <a:srgbClr val="000000"/>
              </a:solidFill>
              <a:latin typeface="Arial"/>
              <a:cs typeface="Arial"/>
            </a:rPr>
            <a:pPr algn="ctr"/>
            <a:t>0</a:t>
          </a:fld>
          <a:endParaRPr lang="fr-FR" sz="1100" b="1">
            <a:solidFill>
              <a:schemeClr val="tx2">
                <a:lumMod val="75000"/>
              </a:schemeClr>
            </a:solidFill>
          </a:endParaRPr>
        </a:p>
      </xdr:txBody>
    </xdr:sp>
    <xdr:clientData/>
  </xdr:twoCellAnchor>
  <xdr:twoCellAnchor>
    <xdr:from>
      <xdr:col>5</xdr:col>
      <xdr:colOff>307975</xdr:colOff>
      <xdr:row>2</xdr:row>
      <xdr:rowOff>22679</xdr:rowOff>
    </xdr:from>
    <xdr:to>
      <xdr:col>6</xdr:col>
      <xdr:colOff>50800</xdr:colOff>
      <xdr:row>2</xdr:row>
      <xdr:rowOff>213179</xdr:rowOff>
    </xdr:to>
    <xdr:sp macro="" textlink="xFVs">
      <xdr:nvSpPr>
        <xdr:cNvPr id="188" name="cotedistFVs">
          <a:extLst>
            <a:ext uri="{FF2B5EF4-FFF2-40B4-BE49-F238E27FC236}">
              <a16:creationId xmlns:a16="http://schemas.microsoft.com/office/drawing/2014/main" id="{00000000-0008-0000-3400-0000BC000000}"/>
            </a:ext>
          </a:extLst>
        </xdr:cNvPr>
        <xdr:cNvSpPr txBox="1"/>
      </xdr:nvSpPr>
      <xdr:spPr>
        <a:xfrm>
          <a:off x="3746500" y="1194254"/>
          <a:ext cx="381000"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32F24347-467A-41FF-81C2-D6D4B602A662}" type="TxLink">
            <a:rPr lang="en-US" sz="1000" b="1" i="0" u="none" strike="noStrike">
              <a:solidFill>
                <a:srgbClr val="000000"/>
              </a:solidFill>
              <a:latin typeface="Arial"/>
              <a:cs typeface="Arial"/>
            </a:rPr>
            <a:pPr algn="ctr"/>
            <a:t>0</a:t>
          </a:fld>
          <a:endParaRPr lang="fr-FR" sz="1100" b="1">
            <a:solidFill>
              <a:schemeClr val="tx2">
                <a:lumMod val="75000"/>
              </a:schemeClr>
            </a:solidFill>
          </a:endParaRPr>
        </a:p>
      </xdr:txBody>
    </xdr:sp>
    <xdr:clientData/>
  </xdr:twoCellAnchor>
  <xdr:twoCellAnchor>
    <xdr:from>
      <xdr:col>6</xdr:col>
      <xdr:colOff>368300</xdr:colOff>
      <xdr:row>2</xdr:row>
      <xdr:rowOff>22679</xdr:rowOff>
    </xdr:from>
    <xdr:to>
      <xdr:col>7</xdr:col>
      <xdr:colOff>111125</xdr:colOff>
      <xdr:row>2</xdr:row>
      <xdr:rowOff>213179</xdr:rowOff>
    </xdr:to>
    <xdr:sp macro="" textlink="xZIe">
      <xdr:nvSpPr>
        <xdr:cNvPr id="189" name="cotedistZIe">
          <a:extLst>
            <a:ext uri="{FF2B5EF4-FFF2-40B4-BE49-F238E27FC236}">
              <a16:creationId xmlns:a16="http://schemas.microsoft.com/office/drawing/2014/main" id="{00000000-0008-0000-3400-0000BD000000}"/>
            </a:ext>
          </a:extLst>
        </xdr:cNvPr>
        <xdr:cNvSpPr txBox="1"/>
      </xdr:nvSpPr>
      <xdr:spPr>
        <a:xfrm>
          <a:off x="4445000" y="1194254"/>
          <a:ext cx="381000"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DA947533-5AFC-45A4-90BE-C45CF614FA1B}" type="TxLink">
            <a:rPr lang="en-US" sz="1000" b="1" i="0" u="none" strike="noStrike">
              <a:solidFill>
                <a:srgbClr val="000000"/>
              </a:solidFill>
              <a:latin typeface="Arial"/>
              <a:cs typeface="Arial"/>
            </a:rPr>
            <a:pPr algn="ctr"/>
            <a:t>0</a:t>
          </a:fld>
          <a:endParaRPr lang="fr-FR" sz="1100" b="1">
            <a:solidFill>
              <a:schemeClr val="tx2">
                <a:lumMod val="75000"/>
              </a:schemeClr>
            </a:solidFill>
          </a:endParaRPr>
        </a:p>
      </xdr:txBody>
    </xdr:sp>
    <xdr:clientData/>
  </xdr:twoCellAnchor>
  <xdr:twoCellAnchor>
    <xdr:from>
      <xdr:col>7</xdr:col>
      <xdr:colOff>47625</xdr:colOff>
      <xdr:row>2</xdr:row>
      <xdr:rowOff>22679</xdr:rowOff>
    </xdr:from>
    <xdr:to>
      <xdr:col>7</xdr:col>
      <xdr:colOff>428625</xdr:colOff>
      <xdr:row>2</xdr:row>
      <xdr:rowOff>213179</xdr:rowOff>
    </xdr:to>
    <xdr:sp macro="" textlink="xZIs">
      <xdr:nvSpPr>
        <xdr:cNvPr id="190" name="cotedistZIs">
          <a:extLst>
            <a:ext uri="{FF2B5EF4-FFF2-40B4-BE49-F238E27FC236}">
              <a16:creationId xmlns:a16="http://schemas.microsoft.com/office/drawing/2014/main" id="{00000000-0008-0000-3400-0000BE000000}"/>
            </a:ext>
          </a:extLst>
        </xdr:cNvPr>
        <xdr:cNvSpPr txBox="1"/>
      </xdr:nvSpPr>
      <xdr:spPr>
        <a:xfrm>
          <a:off x="4762500" y="1194254"/>
          <a:ext cx="381000"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78AA79B6-01A2-4742-9E50-C34E6605774E}" type="TxLink">
            <a:rPr lang="en-US" sz="1000" b="1" i="0" u="none" strike="noStrike">
              <a:solidFill>
                <a:srgbClr val="000000"/>
              </a:solidFill>
              <a:latin typeface="Arial"/>
              <a:cs typeface="Arial"/>
            </a:rPr>
            <a:pPr algn="ctr"/>
            <a:t>0</a:t>
          </a:fld>
          <a:endParaRPr lang="fr-FR" sz="1100" b="1">
            <a:solidFill>
              <a:schemeClr val="tx2">
                <a:lumMod val="75000"/>
              </a:schemeClr>
            </a:solidFill>
          </a:endParaRPr>
        </a:p>
      </xdr:txBody>
    </xdr:sp>
    <xdr:clientData/>
  </xdr:twoCellAnchor>
</xdr:wsDr>
</file>

<file path=xl/drawings/drawing54.xml><?xml version="1.0" encoding="utf-8"?>
<xdr:wsDr xmlns:xdr="http://schemas.openxmlformats.org/drawingml/2006/spreadsheetDrawing" xmlns:a="http://schemas.openxmlformats.org/drawingml/2006/main">
  <xdr:oneCellAnchor>
    <xdr:from>
      <xdr:col>1</xdr:col>
      <xdr:colOff>1308239</xdr:colOff>
      <xdr:row>0</xdr:row>
      <xdr:rowOff>0</xdr:rowOff>
    </xdr:from>
    <xdr:ext cx="1082535" cy="657225"/>
    <xdr:sp macro="[0]!Acceuil" textlink="">
      <xdr:nvSpPr>
        <xdr:cNvPr id="2" name="Rectangle : coins arrondis 1">
          <a:extLst>
            <a:ext uri="{FF2B5EF4-FFF2-40B4-BE49-F238E27FC236}">
              <a16:creationId xmlns:a16="http://schemas.microsoft.com/office/drawing/2014/main" id="{00000000-0008-0000-3500-000002000000}"/>
            </a:ext>
          </a:extLst>
        </xdr:cNvPr>
        <xdr:cNvSpPr/>
      </xdr:nvSpPr>
      <xdr:spPr>
        <a:xfrm>
          <a:off x="1908314" y="0"/>
          <a:ext cx="1082535" cy="65722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defRPr sz="1800"/>
          </a:pPr>
          <a:r>
            <a:rPr lang="fr-FR" sz="1800" b="1" i="0" u="none" strike="noStrike" kern="1200" spc="0">
              <a:solidFill>
                <a:srgbClr val="FFFFFF"/>
              </a:solidFill>
              <a:latin typeface="Calibri"/>
            </a:rPr>
            <a:t>Retour à l'acceuil</a:t>
          </a:r>
        </a:p>
      </xdr:txBody>
    </xdr:sp>
    <xdr:clientData/>
  </xdr:oneCellAnchor>
  <xdr:twoCellAnchor>
    <xdr:from>
      <xdr:col>25</xdr:col>
      <xdr:colOff>723901</xdr:colOff>
      <xdr:row>102</xdr:row>
      <xdr:rowOff>54429</xdr:rowOff>
    </xdr:from>
    <xdr:to>
      <xdr:col>25</xdr:col>
      <xdr:colOff>6814457</xdr:colOff>
      <xdr:row>119</xdr:row>
      <xdr:rowOff>141514</xdr:rowOff>
    </xdr:to>
    <xdr:graphicFrame macro="">
      <xdr:nvGraphicFramePr>
        <xdr:cNvPr id="3" name="Graphique 2">
          <a:extLst>
            <a:ext uri="{FF2B5EF4-FFF2-40B4-BE49-F238E27FC236}">
              <a16:creationId xmlns:a16="http://schemas.microsoft.com/office/drawing/2014/main" id="{00000000-0008-0000-3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5.xml><?xml version="1.0" encoding="utf-8"?>
<xdr:wsDr xmlns:xdr="http://schemas.openxmlformats.org/drawingml/2006/spreadsheetDrawing" xmlns:a="http://schemas.openxmlformats.org/drawingml/2006/main">
  <xdr:oneCellAnchor>
    <xdr:from>
      <xdr:col>1</xdr:col>
      <xdr:colOff>1308239</xdr:colOff>
      <xdr:row>0</xdr:row>
      <xdr:rowOff>0</xdr:rowOff>
    </xdr:from>
    <xdr:ext cx="1082535" cy="657225"/>
    <xdr:sp macro="[0]!Acceuil" textlink="">
      <xdr:nvSpPr>
        <xdr:cNvPr id="4" name="Rectangle : coins arrondis 1">
          <a:extLst>
            <a:ext uri="{FF2B5EF4-FFF2-40B4-BE49-F238E27FC236}">
              <a16:creationId xmlns:a16="http://schemas.microsoft.com/office/drawing/2014/main" id="{00000000-0008-0000-3600-000004000000}"/>
            </a:ext>
          </a:extLst>
        </xdr:cNvPr>
        <xdr:cNvSpPr/>
      </xdr:nvSpPr>
      <xdr:spPr>
        <a:xfrm>
          <a:off x="1910219" y="0"/>
          <a:ext cx="1082535" cy="65722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defRPr sz="1800"/>
          </a:pPr>
          <a:r>
            <a:rPr lang="fr-FR" sz="1800" b="1" i="0" u="none" strike="noStrike" kern="1200" spc="0">
              <a:solidFill>
                <a:srgbClr val="FFFFFF"/>
              </a:solidFill>
              <a:latin typeface="Calibri"/>
            </a:rPr>
            <a:t>Retour à l'acceuil</a:t>
          </a:r>
        </a:p>
      </xdr:txBody>
    </xdr:sp>
    <xdr:clientData/>
  </xdr:oneCellAnchor>
</xdr:wsDr>
</file>

<file path=xl/drawings/drawing56.xml><?xml version="1.0" encoding="utf-8"?>
<xdr:wsDr xmlns:xdr="http://schemas.openxmlformats.org/drawingml/2006/spreadsheetDrawing" xmlns:a="http://schemas.openxmlformats.org/drawingml/2006/main">
  <xdr:oneCellAnchor>
    <xdr:from>
      <xdr:col>1</xdr:col>
      <xdr:colOff>1308239</xdr:colOff>
      <xdr:row>0</xdr:row>
      <xdr:rowOff>0</xdr:rowOff>
    </xdr:from>
    <xdr:ext cx="1082535" cy="657225"/>
    <xdr:sp macro="[0]!Acceuil" textlink="">
      <xdr:nvSpPr>
        <xdr:cNvPr id="4" name="Rectangle : coins arrondis 1">
          <a:extLst>
            <a:ext uri="{FF2B5EF4-FFF2-40B4-BE49-F238E27FC236}">
              <a16:creationId xmlns:a16="http://schemas.microsoft.com/office/drawing/2014/main" id="{00000000-0008-0000-3700-000004000000}"/>
            </a:ext>
          </a:extLst>
        </xdr:cNvPr>
        <xdr:cNvSpPr/>
      </xdr:nvSpPr>
      <xdr:spPr>
        <a:xfrm>
          <a:off x="1910219" y="0"/>
          <a:ext cx="1082535" cy="65722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defRPr sz="1800"/>
          </a:pPr>
          <a:r>
            <a:rPr lang="fr-FR" sz="1800" b="1" i="0" u="none" strike="noStrike" kern="1200" spc="0">
              <a:solidFill>
                <a:srgbClr val="FFFFFF"/>
              </a:solidFill>
              <a:latin typeface="Calibri"/>
            </a:rPr>
            <a:t>Retour à l'acceuil</a:t>
          </a:r>
        </a:p>
      </xdr:txBody>
    </xdr:sp>
    <xdr:clientData/>
  </xdr:oneCellAnchor>
  <xdr:oneCellAnchor>
    <xdr:from>
      <xdr:col>1</xdr:col>
      <xdr:colOff>1308239</xdr:colOff>
      <xdr:row>0</xdr:row>
      <xdr:rowOff>0</xdr:rowOff>
    </xdr:from>
    <xdr:ext cx="1082535" cy="657225"/>
    <xdr:sp macro="[0]!Acceuil" textlink="">
      <xdr:nvSpPr>
        <xdr:cNvPr id="5" name="Rectangle : coins arrondis 1">
          <a:extLst>
            <a:ext uri="{FF2B5EF4-FFF2-40B4-BE49-F238E27FC236}">
              <a16:creationId xmlns:a16="http://schemas.microsoft.com/office/drawing/2014/main" id="{00000000-0008-0000-3700-000005000000}"/>
            </a:ext>
          </a:extLst>
        </xdr:cNvPr>
        <xdr:cNvSpPr/>
      </xdr:nvSpPr>
      <xdr:spPr>
        <a:xfrm>
          <a:off x="1910219" y="0"/>
          <a:ext cx="1082535" cy="65722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defRPr sz="1800"/>
          </a:pPr>
          <a:r>
            <a:rPr lang="fr-FR" sz="1800" b="1" i="0" u="none" strike="noStrike" kern="1200" spc="0">
              <a:solidFill>
                <a:srgbClr val="FFFFFF"/>
              </a:solidFill>
              <a:latin typeface="Calibri"/>
            </a:rPr>
            <a:t>Retour à l'acceuil</a:t>
          </a:r>
        </a:p>
      </xdr:txBody>
    </xdr:sp>
    <xdr:clientData/>
  </xdr:oneCellAnchor>
</xdr:wsDr>
</file>

<file path=xl/drawings/drawing57.xml><?xml version="1.0" encoding="utf-8"?>
<xdr:wsDr xmlns:xdr="http://schemas.openxmlformats.org/drawingml/2006/spreadsheetDrawing" xmlns:a="http://schemas.openxmlformats.org/drawingml/2006/main">
  <xdr:oneCellAnchor>
    <xdr:from>
      <xdr:col>1</xdr:col>
      <xdr:colOff>1308239</xdr:colOff>
      <xdr:row>0</xdr:row>
      <xdr:rowOff>0</xdr:rowOff>
    </xdr:from>
    <xdr:ext cx="1082535" cy="657225"/>
    <xdr:sp macro="[0]!Acceuil" textlink="">
      <xdr:nvSpPr>
        <xdr:cNvPr id="3" name="Rectangle : coins arrondis 1">
          <a:extLst>
            <a:ext uri="{FF2B5EF4-FFF2-40B4-BE49-F238E27FC236}">
              <a16:creationId xmlns:a16="http://schemas.microsoft.com/office/drawing/2014/main" id="{00000000-0008-0000-3800-000003000000}"/>
            </a:ext>
          </a:extLst>
        </xdr:cNvPr>
        <xdr:cNvSpPr/>
      </xdr:nvSpPr>
      <xdr:spPr>
        <a:xfrm>
          <a:off x="1910219" y="0"/>
          <a:ext cx="1082535" cy="65722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defRPr sz="1800"/>
          </a:pPr>
          <a:r>
            <a:rPr lang="fr-FR" sz="1800" b="1" i="0" u="none" strike="noStrike" kern="1200" spc="0">
              <a:solidFill>
                <a:srgbClr val="FFFFFF"/>
              </a:solidFill>
              <a:latin typeface="Calibri"/>
            </a:rPr>
            <a:t>Retour à l'acceuil</a:t>
          </a:r>
        </a:p>
      </xdr:txBody>
    </xdr:sp>
    <xdr:clientData/>
  </xdr:oneCellAnchor>
</xdr:wsDr>
</file>

<file path=xl/drawings/drawing58.xml><?xml version="1.0" encoding="utf-8"?>
<xdr:wsDr xmlns:xdr="http://schemas.openxmlformats.org/drawingml/2006/spreadsheetDrawing" xmlns:a="http://schemas.openxmlformats.org/drawingml/2006/main">
  <xdr:oneCellAnchor>
    <xdr:from>
      <xdr:col>1</xdr:col>
      <xdr:colOff>1136520</xdr:colOff>
      <xdr:row>0</xdr:row>
      <xdr:rowOff>0</xdr:rowOff>
    </xdr:from>
    <xdr:ext cx="1058400" cy="692279"/>
    <xdr:sp macro="[0]!Acceuil" textlink="">
      <xdr:nvSpPr>
        <xdr:cNvPr id="2" name="Rectangle : coins arrondis 1">
          <a:extLst>
            <a:ext uri="{FF2B5EF4-FFF2-40B4-BE49-F238E27FC236}">
              <a16:creationId xmlns:a16="http://schemas.microsoft.com/office/drawing/2014/main" id="{00000000-0008-0000-3900-000002000000}"/>
            </a:ext>
          </a:extLst>
        </xdr:cNvPr>
        <xdr:cNvSpPr/>
      </xdr:nvSpPr>
      <xdr:spPr>
        <a:xfrm>
          <a:off x="1736595" y="0"/>
          <a:ext cx="1058400" cy="69227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oneCellAnchor>
    <xdr:from>
      <xdr:col>1</xdr:col>
      <xdr:colOff>1079280</xdr:colOff>
      <xdr:row>0</xdr:row>
      <xdr:rowOff>0</xdr:rowOff>
    </xdr:from>
    <xdr:ext cx="1115640" cy="727200"/>
    <xdr:sp macro="[0]!Acceuil" textlink="">
      <xdr:nvSpPr>
        <xdr:cNvPr id="3" name="Rectangle : coins arrondis 1">
          <a:extLst>
            <a:ext uri="{FF2B5EF4-FFF2-40B4-BE49-F238E27FC236}">
              <a16:creationId xmlns:a16="http://schemas.microsoft.com/office/drawing/2014/main" id="{00000000-0008-0000-3900-000003000000}"/>
            </a:ext>
          </a:extLst>
        </xdr:cNvPr>
        <xdr:cNvSpPr/>
      </xdr:nvSpPr>
      <xdr:spPr>
        <a:xfrm>
          <a:off x="1681260" y="0"/>
          <a:ext cx="1115640" cy="72720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59.xml><?xml version="1.0" encoding="utf-8"?>
<xdr:wsDr xmlns:xdr="http://schemas.openxmlformats.org/drawingml/2006/spreadsheetDrawing" xmlns:a="http://schemas.openxmlformats.org/drawingml/2006/main">
  <xdr:oneCellAnchor>
    <xdr:from>
      <xdr:col>27</xdr:col>
      <xdr:colOff>773704</xdr:colOff>
      <xdr:row>0</xdr:row>
      <xdr:rowOff>1905</xdr:rowOff>
    </xdr:from>
    <xdr:ext cx="1864178" cy="394608"/>
    <xdr:sp macro="[0]!Acceuil" textlink="">
      <xdr:nvSpPr>
        <xdr:cNvPr id="2" name="Rectangle : coins arrondis 1">
          <a:extLst>
            <a:ext uri="{FF2B5EF4-FFF2-40B4-BE49-F238E27FC236}">
              <a16:creationId xmlns:a16="http://schemas.microsoft.com/office/drawing/2014/main" id="{00000000-0008-0000-3A00-000002000000}"/>
            </a:ext>
          </a:extLst>
        </xdr:cNvPr>
        <xdr:cNvSpPr/>
      </xdr:nvSpPr>
      <xdr:spPr>
        <a:xfrm>
          <a:off x="17388025" y="1905"/>
          <a:ext cx="1864178" cy="39460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60.xml><?xml version="1.0" encoding="utf-8"?>
<xdr:wsDr xmlns:xdr="http://schemas.openxmlformats.org/drawingml/2006/spreadsheetDrawing" xmlns:a="http://schemas.openxmlformats.org/drawingml/2006/main">
  <xdr:oneCellAnchor>
    <xdr:from>
      <xdr:col>3</xdr:col>
      <xdr:colOff>0</xdr:colOff>
      <xdr:row>24</xdr:row>
      <xdr:rowOff>0</xdr:rowOff>
    </xdr:from>
    <xdr:ext cx="1090080" cy="754199"/>
    <xdr:sp macro="[0]!Acceuil" textlink="">
      <xdr:nvSpPr>
        <xdr:cNvPr id="2" name="Rectangle : coins arrondis 1">
          <a:extLst>
            <a:ext uri="{FF2B5EF4-FFF2-40B4-BE49-F238E27FC236}">
              <a16:creationId xmlns:a16="http://schemas.microsoft.com/office/drawing/2014/main" id="{00000000-0008-0000-3B00-000002000000}"/>
            </a:ext>
          </a:extLst>
        </xdr:cNvPr>
        <xdr:cNvSpPr/>
      </xdr:nvSpPr>
      <xdr:spPr>
        <a:xfrm>
          <a:off x="2521324" y="5289176"/>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est%20adaptation%20factornet.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est%20formulair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Proprietaire/Documents/2%20-%20AQUATIRIS/BASE%20FACTOOR/Clients2.xlsx.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euil2"/>
      <sheetName val="Listes simu"/>
      <sheetName val="Liste matos"/>
      <sheetName val="Prix variables"/>
      <sheetName val="Feuil3"/>
      <sheetName val="RECAP"/>
    </sheetNames>
    <sheetDataSet>
      <sheetData sheetId="0"/>
      <sheetData sheetId="1">
        <row r="2">
          <cell r="A2" t="str">
            <v>FV1</v>
          </cell>
          <cell r="B2" t="str">
            <v>Enterré</v>
          </cell>
          <cell r="C2" t="str">
            <v>H1</v>
          </cell>
          <cell r="D2" t="str">
            <v>F1</v>
          </cell>
          <cell r="E2" t="str">
            <v>BP1</v>
          </cell>
          <cell r="F2" t="str">
            <v>B1</v>
          </cell>
        </row>
        <row r="3">
          <cell r="A3" t="str">
            <v>FV2</v>
          </cell>
          <cell r="B3" t="str">
            <v>Hors-sol</v>
          </cell>
          <cell r="C3" t="str">
            <v>H2</v>
          </cell>
          <cell r="D3" t="str">
            <v>F2</v>
          </cell>
          <cell r="E3" t="str">
            <v>BP2</v>
          </cell>
          <cell r="F3" t="str">
            <v>B2</v>
          </cell>
        </row>
        <row r="4">
          <cell r="A4" t="str">
            <v>FV3</v>
          </cell>
          <cell r="C4" t="str">
            <v>H3</v>
          </cell>
          <cell r="D4" t="str">
            <v>F3</v>
          </cell>
          <cell r="E4" t="str">
            <v>BP3</v>
          </cell>
          <cell r="F4" t="str">
            <v>B3</v>
          </cell>
        </row>
        <row r="5">
          <cell r="A5" t="str">
            <v>FV4</v>
          </cell>
          <cell r="C5" t="str">
            <v>H4</v>
          </cell>
          <cell r="D5" t="str">
            <v>F4</v>
          </cell>
          <cell r="E5" t="str">
            <v>BP4</v>
          </cell>
          <cell r="F5" t="str">
            <v>B4</v>
          </cell>
        </row>
        <row r="6">
          <cell r="A6" t="str">
            <v>FV5</v>
          </cell>
          <cell r="C6" t="str">
            <v>H5</v>
          </cell>
          <cell r="F6" t="str">
            <v>B5</v>
          </cell>
        </row>
        <row r="7">
          <cell r="A7" t="str">
            <v>FV6</v>
          </cell>
        </row>
        <row r="8">
          <cell r="A8" t="str">
            <v>FV7</v>
          </cell>
        </row>
        <row r="9">
          <cell r="A9" t="str">
            <v>FV8</v>
          </cell>
        </row>
        <row r="10">
          <cell r="A10" t="str">
            <v>FVB1</v>
          </cell>
        </row>
        <row r="11">
          <cell r="A11" t="str">
            <v>FVB2</v>
          </cell>
        </row>
        <row r="12">
          <cell r="A12" t="str">
            <v>FVB3</v>
          </cell>
        </row>
      </sheetData>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ceuil"/>
      <sheetName val="Ancien outil"/>
      <sheetName val="granulats"/>
      <sheetName val="MATIERES"/>
      <sheetName val="MINIPELLE"/>
      <sheetName val="CHANTIER"/>
      <sheetName val="ATELIER"/>
      <sheetName val="TCFV"/>
      <sheetName val="TCFH"/>
      <sheetName val="TCBACS"/>
      <sheetName val="Méthode calculs"/>
      <sheetName val="Filières"/>
      <sheetName val="PS1"/>
      <sheetName val="FVB1"/>
      <sheetName val="FVB2"/>
      <sheetName val="FVB3"/>
      <sheetName val="FV1"/>
      <sheetName val="FV2"/>
      <sheetName val="FV3"/>
      <sheetName val="FV4"/>
      <sheetName val="FV5"/>
      <sheetName val="FV6"/>
      <sheetName val="FV7"/>
      <sheetName val="FV8"/>
      <sheetName val="FV9"/>
      <sheetName val="FV10"/>
      <sheetName val="FH1"/>
      <sheetName val="FH2"/>
      <sheetName val="FH3"/>
      <sheetName val="FH4"/>
      <sheetName val="FH5"/>
      <sheetName val="FH6"/>
      <sheetName val="FH7"/>
      <sheetName val="FH8"/>
      <sheetName val="FH9"/>
      <sheetName val="collecte-exutoire"/>
      <sheetName val="Habillage"/>
      <sheetName val="Bandes de propreté"/>
      <sheetName val="Zones d'infiltration"/>
      <sheetName val="Estimatif Q"/>
      <sheetName val="Simulation"/>
      <sheetName val="DEVIS 3"/>
      <sheetName val="Finitions"/>
      <sheetName val="ALIM BAC relevage"/>
      <sheetName val="ALIM BAC Gravitaire"/>
      <sheetName val="ALIM FV-FH grav"/>
      <sheetName val="ALIM FV-FH relevage"/>
      <sheetName val="Distribution"/>
      <sheetName val="Bordures"/>
      <sheetName val="Outils de calculs"/>
      <sheetName val="Tableau de prix"/>
      <sheetName val=" BILAN MA"/>
      <sheetName val="BILAN MOA"/>
      <sheetName val="BILAN MOC"/>
      <sheetName val=" BILAN M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ients"/>
    </sheetNames>
    <sheetDataSet>
      <sheetData sheetId="0">
        <row r="2">
          <cell r="B2" t="str">
            <v xml:space="preserve"> LEPENNETIER Julien </v>
          </cell>
          <cell r="C2" t="str">
            <v xml:space="preserve"> MICHINIAU Marion</v>
          </cell>
          <cell r="D2" t="str">
            <v>Saint-M'Hervé</v>
          </cell>
          <cell r="E2">
            <v>35500</v>
          </cell>
          <cell r="F2" t="str">
            <v>Lieu-dit La Touche</v>
          </cell>
          <cell r="H2" t="str">
            <v>06 18 33 20 74</v>
          </cell>
          <cell r="I2" t="str">
            <v>audrey.michiniau@laposte.net</v>
          </cell>
          <cell r="J2" t="str">
            <v>Vergéal</v>
          </cell>
          <cell r="K2">
            <v>35680</v>
          </cell>
          <cell r="L2" t="str">
            <v>1 place des Marronniers</v>
          </cell>
          <cell r="N2" t="str">
            <v>Mr et Mlle</v>
          </cell>
        </row>
        <row r="3">
          <cell r="B3" t="str">
            <v>ABBE</v>
          </cell>
          <cell r="C3" t="str">
            <v>Daniel</v>
          </cell>
          <cell r="D3" t="str">
            <v>Hénanbihen</v>
          </cell>
          <cell r="E3">
            <v>22550</v>
          </cell>
          <cell r="F3" t="str">
            <v>La Perrière</v>
          </cell>
          <cell r="G3" t="str">
            <v>02 96 75 93 58</v>
          </cell>
          <cell r="H3" t="str">
            <v>06 63 33 66 43</v>
          </cell>
          <cell r="I3" t="str">
            <v>daniel.abbe@free.fr</v>
          </cell>
          <cell r="N3" t="str">
            <v>M.</v>
          </cell>
        </row>
        <row r="4">
          <cell r="B4" t="str">
            <v>ABRAHAM</v>
          </cell>
          <cell r="C4" t="str">
            <v>Patrick</v>
          </cell>
          <cell r="D4" t="str">
            <v>Cancale</v>
          </cell>
          <cell r="E4">
            <v>35260</v>
          </cell>
          <cell r="F4" t="str">
            <v>La Bretonnière</v>
          </cell>
          <cell r="G4">
            <v>223151162</v>
          </cell>
          <cell r="H4">
            <v>676494225</v>
          </cell>
          <cell r="I4" t="str">
            <v>abraham.p@wanadoo.fr</v>
          </cell>
          <cell r="N4" t="str">
            <v>M.</v>
          </cell>
        </row>
        <row r="5">
          <cell r="B5" t="str">
            <v>ADAM</v>
          </cell>
          <cell r="D5" t="str">
            <v>Québriac</v>
          </cell>
          <cell r="E5">
            <v>35190</v>
          </cell>
          <cell r="F5" t="str">
            <v>6, La ville Thébault</v>
          </cell>
          <cell r="N5" t="str">
            <v>Mme</v>
          </cell>
        </row>
        <row r="6">
          <cell r="B6" t="str">
            <v>ADGNOT</v>
          </cell>
          <cell r="D6" t="str">
            <v>Québriac</v>
          </cell>
          <cell r="E6">
            <v>35190</v>
          </cell>
          <cell r="F6" t="str">
            <v>L EPINETTE</v>
          </cell>
          <cell r="H6" t="str">
            <v>06 87 07 19 50</v>
          </cell>
          <cell r="I6" t="str">
            <v>menuiserieadgnot@free.fr</v>
          </cell>
          <cell r="J6" t="str">
            <v>Saint-Brieuc-des-Iffs</v>
          </cell>
          <cell r="K6">
            <v>35630</v>
          </cell>
          <cell r="L6" t="str">
            <v>LA BEAUCHERAIS</v>
          </cell>
          <cell r="N6" t="str">
            <v>M.et Mme</v>
          </cell>
        </row>
        <row r="7">
          <cell r="B7" t="str">
            <v>ADRIAENSSENS</v>
          </cell>
          <cell r="C7" t="str">
            <v>Alexandre</v>
          </cell>
          <cell r="D7" t="str">
            <v>Plélo</v>
          </cell>
          <cell r="E7">
            <v>22170</v>
          </cell>
          <cell r="F7" t="str">
            <v>1, Le petit pré</v>
          </cell>
          <cell r="H7" t="str">
            <v>06 63 32 68 37</v>
          </cell>
          <cell r="I7" t="str">
            <v>alexadri@orange.fr</v>
          </cell>
          <cell r="N7" t="str">
            <v>M.</v>
          </cell>
        </row>
        <row r="8">
          <cell r="B8" t="str">
            <v>Allioux</v>
          </cell>
          <cell r="C8" t="str">
            <v>Yohann</v>
          </cell>
          <cell r="D8" t="str">
            <v>Melesse</v>
          </cell>
          <cell r="E8">
            <v>35520</v>
          </cell>
          <cell r="F8" t="str">
            <v>Carel</v>
          </cell>
          <cell r="G8">
            <v>674491692</v>
          </cell>
          <cell r="I8" t="str">
            <v>yohannallioux@me.com</v>
          </cell>
          <cell r="J8" t="str">
            <v>Rennes</v>
          </cell>
          <cell r="K8">
            <v>35000</v>
          </cell>
          <cell r="L8" t="str">
            <v>29 rue du Bois Labbé</v>
          </cell>
          <cell r="N8" t="str">
            <v>M.</v>
          </cell>
        </row>
        <row r="9">
          <cell r="B9" t="str">
            <v>ALLO</v>
          </cell>
          <cell r="C9" t="str">
            <v>Matthieu</v>
          </cell>
          <cell r="D9" t="str">
            <v>Plourhan</v>
          </cell>
          <cell r="E9">
            <v>22410</v>
          </cell>
          <cell r="F9" t="str">
            <v>Le pont Morvan</v>
          </cell>
          <cell r="G9">
            <v>631745335</v>
          </cell>
          <cell r="I9" t="str">
            <v>matthieuallo@orange.fr</v>
          </cell>
          <cell r="N9" t="str">
            <v xml:space="preserve">Mr </v>
          </cell>
        </row>
        <row r="10">
          <cell r="B10" t="str">
            <v>ALVAREZ-MARTIN</v>
          </cell>
          <cell r="C10" t="str">
            <v>Raquel</v>
          </cell>
          <cell r="D10" t="str">
            <v>Louvigné-du-Désert</v>
          </cell>
          <cell r="E10">
            <v>35420</v>
          </cell>
          <cell r="F10" t="str">
            <v>Les basses courts</v>
          </cell>
          <cell r="G10" t="str">
            <v>02 33 59 29 34</v>
          </cell>
          <cell r="I10" t="str">
            <v>cbretin@orange.fr</v>
          </cell>
          <cell r="J10" t="str">
            <v>Saint-Hilaire-du-Harcouët</v>
          </cell>
          <cell r="K10">
            <v>50600</v>
          </cell>
          <cell r="L10" t="str">
            <v>40 résidence tournebride2</v>
          </cell>
          <cell r="N10" t="str">
            <v>Mlle</v>
          </cell>
        </row>
        <row r="11">
          <cell r="B11" t="str">
            <v>Amelin</v>
          </cell>
          <cell r="C11" t="str">
            <v>Pierre</v>
          </cell>
          <cell r="D11" t="str">
            <v>Combourg</v>
          </cell>
          <cell r="E11">
            <v>35270</v>
          </cell>
          <cell r="F11" t="str">
            <v>23 rue Chatillon 35000 Renens</v>
          </cell>
          <cell r="G11">
            <v>612909946</v>
          </cell>
          <cell r="I11" t="str">
            <v>pierreamelin@laposte.net</v>
          </cell>
          <cell r="N11" t="str">
            <v>M.</v>
          </cell>
        </row>
        <row r="12">
          <cell r="B12" t="str">
            <v>AMILHON</v>
          </cell>
          <cell r="C12" t="str">
            <v>Vinciane</v>
          </cell>
          <cell r="D12" t="str">
            <v>Vieux-Vy-sur-Couesnon</v>
          </cell>
          <cell r="E12">
            <v>35490</v>
          </cell>
          <cell r="F12" t="str">
            <v>Le Moulin d'Orange</v>
          </cell>
          <cell r="I12" t="str">
            <v>vinciane.amilhon@hotmail.fr</v>
          </cell>
          <cell r="N12" t="str">
            <v>Mme</v>
          </cell>
        </row>
        <row r="13">
          <cell r="B13" t="str">
            <v>ANDERSON</v>
          </cell>
          <cell r="C13" t="str">
            <v>Stuart</v>
          </cell>
          <cell r="D13" t="str">
            <v>Saint-Maden</v>
          </cell>
          <cell r="E13">
            <v>22350</v>
          </cell>
          <cell r="F13" t="str">
            <v>La Haute Houssais</v>
          </cell>
          <cell r="G13" t="str">
            <v>02 96 27 44 65</v>
          </cell>
          <cell r="I13" t="str">
            <v>stuart@mail22.net</v>
          </cell>
          <cell r="N13" t="str">
            <v>M.et Mme</v>
          </cell>
        </row>
        <row r="14">
          <cell r="B14" t="str">
            <v>ANDRE</v>
          </cell>
          <cell r="D14" t="str">
            <v>Tinténiac</v>
          </cell>
          <cell r="E14">
            <v>35190</v>
          </cell>
          <cell r="F14" t="str">
            <v>La moucherie</v>
          </cell>
          <cell r="G14" t="str">
            <v>09 53 69 05 92</v>
          </cell>
          <cell r="N14" t="str">
            <v>M. et Mme</v>
          </cell>
        </row>
        <row r="15">
          <cell r="B15" t="str">
            <v>ANDRIAMADY</v>
          </cell>
          <cell r="C15" t="str">
            <v>Faniry</v>
          </cell>
          <cell r="D15" t="str">
            <v>Ercé-près-Liffré</v>
          </cell>
          <cell r="E15">
            <v>35340</v>
          </cell>
          <cell r="F15" t="str">
            <v>17, La Couloncerie</v>
          </cell>
          <cell r="G15" t="str">
            <v>06 99 56 69 74</v>
          </cell>
          <cell r="H15" t="str">
            <v>06 99 03 88 57</v>
          </cell>
          <cell r="I15" t="str">
            <v>m.andriamady@gmail.com</v>
          </cell>
          <cell r="J15" t="str">
            <v>Thorigné-Fouillard</v>
          </cell>
          <cell r="K15">
            <v>35235</v>
          </cell>
          <cell r="L15" t="str">
            <v>1A Rue Claude Debussy</v>
          </cell>
          <cell r="N15" t="str">
            <v>Mme</v>
          </cell>
        </row>
        <row r="16">
          <cell r="B16" t="str">
            <v>ANGLAIS</v>
          </cell>
          <cell r="D16" t="str">
            <v>Tréfumel</v>
          </cell>
          <cell r="E16">
            <v>22630</v>
          </cell>
          <cell r="F16" t="str">
            <v>La Ville Isabelle</v>
          </cell>
          <cell r="G16">
            <v>757502127</v>
          </cell>
          <cell r="I16" t="str">
            <v>anglais.c@hotmail.fr</v>
          </cell>
          <cell r="N16" t="str">
            <v>M.</v>
          </cell>
        </row>
        <row r="17">
          <cell r="B17" t="str">
            <v>ARANDA</v>
          </cell>
          <cell r="C17" t="str">
            <v>Régis</v>
          </cell>
          <cell r="D17" t="str">
            <v>Québriac</v>
          </cell>
          <cell r="E17">
            <v>35190</v>
          </cell>
          <cell r="F17" t="str">
            <v>La Pilais</v>
          </cell>
          <cell r="H17">
            <v>682346903</v>
          </cell>
          <cell r="I17" t="str">
            <v>regis.aranda@orange.fr</v>
          </cell>
          <cell r="J17" t="str">
            <v>Québriac</v>
          </cell>
          <cell r="K17">
            <v>35190</v>
          </cell>
          <cell r="L17" t="str">
            <v>La Basse Croix</v>
          </cell>
        </row>
        <row r="18">
          <cell r="B18" t="str">
            <v>AUBERT</v>
          </cell>
          <cell r="C18" t="str">
            <v>Yves Marie</v>
          </cell>
          <cell r="D18" t="str">
            <v>Saint-Léger-des-Prés</v>
          </cell>
          <cell r="E18">
            <v>35270</v>
          </cell>
          <cell r="F18" t="str">
            <v>Chenille</v>
          </cell>
          <cell r="G18" t="str">
            <v>02 99 73 62 78</v>
          </cell>
          <cell r="I18" t="str">
            <v>yvaubert@laposte.net</v>
          </cell>
          <cell r="N18" t="str">
            <v>M. et Mme</v>
          </cell>
        </row>
        <row r="19">
          <cell r="B19" t="str">
            <v>AUBREE</v>
          </cell>
          <cell r="D19" t="str">
            <v>Chapelle-Thouarault (La)</v>
          </cell>
          <cell r="E19">
            <v>35590</v>
          </cell>
          <cell r="F19" t="str">
            <v>La Hinache</v>
          </cell>
          <cell r="G19">
            <v>299641044</v>
          </cell>
          <cell r="H19">
            <v>637605430</v>
          </cell>
          <cell r="I19" t="str">
            <v>mmp.aubree@laposte.net</v>
          </cell>
          <cell r="N19" t="str">
            <v>M. et Mme</v>
          </cell>
        </row>
        <row r="20">
          <cell r="B20" t="str">
            <v>AUBRY</v>
          </cell>
          <cell r="C20" t="str">
            <v>Jean-François</v>
          </cell>
          <cell r="D20" t="str">
            <v>IFFENDIC</v>
          </cell>
          <cell r="E20">
            <v>35750</v>
          </cell>
          <cell r="F20" t="str">
            <v>319 le houssay les 4 routes</v>
          </cell>
          <cell r="G20" t="str">
            <v>02.99.07.43.81</v>
          </cell>
          <cell r="H20" t="str">
            <v>06.10.43.70.21</v>
          </cell>
          <cell r="I20" t="str">
            <v>sarl.jf.aubry@gmail.com</v>
          </cell>
          <cell r="M20" t="str">
            <v>SARL JF AUBRY</v>
          </cell>
        </row>
        <row r="21">
          <cell r="B21" t="str">
            <v>AUDEBRAND</v>
          </cell>
          <cell r="D21" t="str">
            <v>Plumaudan</v>
          </cell>
          <cell r="E21">
            <v>22350</v>
          </cell>
          <cell r="F21" t="str">
            <v>La petite Métairie</v>
          </cell>
          <cell r="H21">
            <v>683020107</v>
          </cell>
          <cell r="I21" t="str">
            <v>mcaudebrand@hotmail.fr</v>
          </cell>
          <cell r="J21" t="str">
            <v>Sarcelles</v>
          </cell>
          <cell r="K21">
            <v>95200</v>
          </cell>
          <cell r="L21" t="str">
            <v>1, avenue Anna de Noailles</v>
          </cell>
          <cell r="N21" t="str">
            <v>Mme</v>
          </cell>
        </row>
        <row r="22">
          <cell r="B22" t="str">
            <v>AUDEFROY</v>
          </cell>
          <cell r="C22" t="str">
            <v>Marc</v>
          </cell>
          <cell r="D22" t="str">
            <v>Livré-sur-Changeon</v>
          </cell>
          <cell r="E22">
            <v>35450</v>
          </cell>
          <cell r="F22" t="str">
            <v>Pres les gendereaux</v>
          </cell>
          <cell r="G22" t="str">
            <v>06 19 29 52 31</v>
          </cell>
          <cell r="I22" t="str">
            <v>audefroy.marc@gmail.com</v>
          </cell>
          <cell r="N22" t="str">
            <v>M.</v>
          </cell>
        </row>
        <row r="23">
          <cell r="B23" t="str">
            <v>AUDIN-VINOLO</v>
          </cell>
          <cell r="D23" t="str">
            <v>Miniac-Morvan</v>
          </cell>
          <cell r="E23">
            <v>35540</v>
          </cell>
          <cell r="F23" t="str">
            <v>La Binellerie</v>
          </cell>
          <cell r="H23">
            <v>682627536</v>
          </cell>
          <cell r="I23" t="str">
            <v>anne.lise.audin@gmail.com</v>
          </cell>
          <cell r="J23" t="str">
            <v>Châteauneuf-d'Ille-et-Vilaine</v>
          </cell>
          <cell r="K23">
            <v>35430</v>
          </cell>
          <cell r="L23" t="str">
            <v>11, rue le petit village</v>
          </cell>
          <cell r="N23" t="str">
            <v>M.et Mme</v>
          </cell>
        </row>
        <row r="24">
          <cell r="B24" t="str">
            <v>AUFFRAY</v>
          </cell>
          <cell r="D24" t="str">
            <v>Guipel</v>
          </cell>
          <cell r="E24">
            <v>35440</v>
          </cell>
          <cell r="F24" t="str">
            <v>La ville morin</v>
          </cell>
          <cell r="H24">
            <v>648681484</v>
          </cell>
          <cell r="I24" t="str">
            <v>julienauf@hotmail.fr</v>
          </cell>
          <cell r="N24" t="str">
            <v>M.et Mme</v>
          </cell>
        </row>
        <row r="25">
          <cell r="B25" t="str">
            <v>AUFFRET</v>
          </cell>
          <cell r="C25" t="str">
            <v>Axel</v>
          </cell>
          <cell r="D25" t="str">
            <v>Saint-Pierre-de-Plesguen</v>
          </cell>
          <cell r="E25">
            <v>35720</v>
          </cell>
          <cell r="F25" t="str">
            <v>Les renardières</v>
          </cell>
          <cell r="G25">
            <v>299738017</v>
          </cell>
          <cell r="H25">
            <v>624436396</v>
          </cell>
          <cell r="I25" t="str">
            <v>axel-vero@hotmail.fr</v>
          </cell>
          <cell r="N25" t="str">
            <v>M. et Mme</v>
          </cell>
        </row>
        <row r="26">
          <cell r="B26" t="str">
            <v xml:space="preserve">AUFFRET </v>
          </cell>
          <cell r="C26" t="str">
            <v>Sven</v>
          </cell>
          <cell r="D26" t="str">
            <v>Pleudihen-sur-Rance</v>
          </cell>
          <cell r="E26">
            <v>22690</v>
          </cell>
          <cell r="F26" t="str">
            <v>La ville Ger - Les potagers de la Rance</v>
          </cell>
          <cell r="G26">
            <v>296833703</v>
          </cell>
          <cell r="I26" t="str">
            <v>sven.auffret@yahoo.fr</v>
          </cell>
          <cell r="J26" t="str">
            <v>Baguer-Morvan</v>
          </cell>
          <cell r="K26">
            <v>35120</v>
          </cell>
          <cell r="L26" t="str">
            <v>15 la Ville Richeux</v>
          </cell>
          <cell r="N26" t="str">
            <v>M.</v>
          </cell>
        </row>
        <row r="27">
          <cell r="B27" t="str">
            <v>AUTORS</v>
          </cell>
          <cell r="C27" t="str">
            <v>Philippe</v>
          </cell>
          <cell r="D27" t="str">
            <v>Saint-Cast-le-Guildo</v>
          </cell>
          <cell r="E27">
            <v>22380</v>
          </cell>
          <cell r="F27" t="str">
            <v>7 rue Sainte Brigitte</v>
          </cell>
          <cell r="G27">
            <v>296411032</v>
          </cell>
          <cell r="H27" t="str">
            <v>07 50 49 51 87</v>
          </cell>
          <cell r="I27" t="str">
            <v>philippeautors@orange.fr</v>
          </cell>
          <cell r="J27" t="str">
            <v>Créhen</v>
          </cell>
          <cell r="K27">
            <v>22130</v>
          </cell>
          <cell r="L27" t="str">
            <v>6,place gilles de bretagne</v>
          </cell>
          <cell r="N27" t="str">
            <v>M.</v>
          </cell>
        </row>
        <row r="28">
          <cell r="B28" t="str">
            <v>AZZIS</v>
          </cell>
          <cell r="C28" t="str">
            <v>Pablo</v>
          </cell>
          <cell r="D28" t="str">
            <v>Betton</v>
          </cell>
          <cell r="E28">
            <v>35830</v>
          </cell>
          <cell r="F28" t="str">
            <v>Le Champ Roussel</v>
          </cell>
          <cell r="H28" t="str">
            <v>06 71 18 99 30</v>
          </cell>
          <cell r="J28" t="str">
            <v>Thorigné-Fouillard</v>
          </cell>
          <cell r="K28">
            <v>35235</v>
          </cell>
          <cell r="L28" t="str">
            <v>29A Le Placis Vert</v>
          </cell>
          <cell r="N28" t="str">
            <v>M.</v>
          </cell>
        </row>
        <row r="29">
          <cell r="B29" t="str">
            <v>AZZIS</v>
          </cell>
          <cell r="C29" t="str">
            <v>Pablo</v>
          </cell>
          <cell r="D29" t="str">
            <v>Betton</v>
          </cell>
          <cell r="E29">
            <v>35830</v>
          </cell>
          <cell r="F29" t="str">
            <v>Le Champ Roussel</v>
          </cell>
          <cell r="H29" t="str">
            <v>06 71 18 99 30</v>
          </cell>
          <cell r="I29" t="str">
            <v>azzisp@gmail.com</v>
          </cell>
          <cell r="J29" t="str">
            <v>Thorigné-Fouillard</v>
          </cell>
          <cell r="K29">
            <v>35235</v>
          </cell>
          <cell r="L29" t="str">
            <v>29A Le Placis Vert</v>
          </cell>
          <cell r="N29" t="str">
            <v>M.</v>
          </cell>
        </row>
        <row r="30">
          <cell r="B30" t="str">
            <v>BALAIS</v>
          </cell>
          <cell r="C30" t="str">
            <v>Romuald</v>
          </cell>
          <cell r="D30" t="str">
            <v>Dingé</v>
          </cell>
          <cell r="E30">
            <v>35440</v>
          </cell>
          <cell r="F30" t="str">
            <v>20, Le Pontrucher</v>
          </cell>
          <cell r="H30" t="str">
            <v>06 74 08 74 90</v>
          </cell>
          <cell r="I30" t="str">
            <v>romualdbalais@hotmail.fr</v>
          </cell>
          <cell r="J30" t="str">
            <v>Hédé</v>
          </cell>
          <cell r="K30">
            <v>35630</v>
          </cell>
          <cell r="L30" t="str">
            <v>9, la parfraire</v>
          </cell>
          <cell r="N30" t="str">
            <v>M.</v>
          </cell>
        </row>
        <row r="31">
          <cell r="B31" t="str">
            <v>BALAN</v>
          </cell>
          <cell r="D31" t="str">
            <v>Ploubalay</v>
          </cell>
          <cell r="E31">
            <v>22650</v>
          </cell>
          <cell r="F31" t="str">
            <v>La Duché</v>
          </cell>
          <cell r="G31">
            <v>770006233</v>
          </cell>
          <cell r="I31" t="str">
            <v>regis.balan@gmail.com</v>
          </cell>
          <cell r="N31" t="str">
            <v>M. et Mme</v>
          </cell>
        </row>
        <row r="32">
          <cell r="B32" t="str">
            <v>BANGERT</v>
          </cell>
          <cell r="D32" t="str">
            <v>Cohiniac</v>
          </cell>
          <cell r="E32">
            <v>22800</v>
          </cell>
          <cell r="F32" t="str">
            <v>2, Le Rumain</v>
          </cell>
          <cell r="H32">
            <v>629600543</v>
          </cell>
          <cell r="I32" t="str">
            <v>clairebangert@gmail.com</v>
          </cell>
          <cell r="N32" t="str">
            <v>M.et Mme</v>
          </cell>
        </row>
        <row r="33">
          <cell r="B33" t="str">
            <v>BARAZER</v>
          </cell>
          <cell r="D33" t="str">
            <v>Rheu (Le)</v>
          </cell>
          <cell r="E33">
            <v>35650</v>
          </cell>
          <cell r="F33" t="str">
            <v>la Coudray</v>
          </cell>
          <cell r="G33">
            <v>299609396</v>
          </cell>
          <cell r="H33">
            <v>683050553</v>
          </cell>
          <cell r="I33" t="str">
            <v>georges.barazer@wanadoo.fr</v>
          </cell>
          <cell r="N33" t="str">
            <v>M. et Mme</v>
          </cell>
        </row>
        <row r="34">
          <cell r="B34" t="str">
            <v>BARBOTIN</v>
          </cell>
          <cell r="D34" t="str">
            <v>Vieux-Vy-sur-Couesnon</v>
          </cell>
          <cell r="E34">
            <v>35490</v>
          </cell>
          <cell r="N34" t="str">
            <v>M.</v>
          </cell>
        </row>
        <row r="35">
          <cell r="B35" t="str">
            <v>BARIL</v>
          </cell>
          <cell r="D35" t="str">
            <v>Saint-Cast-le-Guildo</v>
          </cell>
          <cell r="E35">
            <v>22380</v>
          </cell>
          <cell r="F35" t="str">
            <v>66, rue de la croix chavel</v>
          </cell>
          <cell r="H35">
            <v>695046252</v>
          </cell>
          <cell r="N35" t="str">
            <v>M. et Mme</v>
          </cell>
        </row>
        <row r="36">
          <cell r="B36" t="str">
            <v>BARON</v>
          </cell>
          <cell r="D36" t="str">
            <v>Saint-Thual</v>
          </cell>
          <cell r="E36">
            <v>35190</v>
          </cell>
          <cell r="F36" t="str">
            <v>Le mezeray</v>
          </cell>
          <cell r="G36">
            <v>299832702</v>
          </cell>
          <cell r="H36">
            <v>684544625</v>
          </cell>
          <cell r="I36" t="str">
            <v>gerard.baron@orange.fr</v>
          </cell>
          <cell r="N36" t="str">
            <v>M.</v>
          </cell>
        </row>
        <row r="37">
          <cell r="B37" t="str">
            <v>BARON-KUSHNIR</v>
          </cell>
          <cell r="C37" t="str">
            <v>Ivanna</v>
          </cell>
          <cell r="D37" t="str">
            <v>Guipel</v>
          </cell>
          <cell r="E37">
            <v>35440</v>
          </cell>
          <cell r="F37" t="str">
            <v>La Rouale</v>
          </cell>
          <cell r="H37" t="str">
            <v>06 14 02 08 30</v>
          </cell>
          <cell r="I37" t="str">
            <v>kushnir.ivanna@gmail.com</v>
          </cell>
          <cell r="J37" t="str">
            <v>Rennes</v>
          </cell>
          <cell r="K37">
            <v>35000</v>
          </cell>
          <cell r="L37" t="str">
            <v>3 Rue de la Piquetiere</v>
          </cell>
          <cell r="N37" t="str">
            <v>M. ou Mme</v>
          </cell>
        </row>
        <row r="38">
          <cell r="B38" t="str">
            <v>BARRASSIN</v>
          </cell>
          <cell r="C38" t="str">
            <v>Geoffrey</v>
          </cell>
          <cell r="D38" t="str">
            <v>Hénanbihen</v>
          </cell>
          <cell r="E38">
            <v>22550</v>
          </cell>
          <cell r="F38" t="str">
            <v>Les Grands Clos</v>
          </cell>
          <cell r="H38" t="str">
            <v>06 14 50 55 25</v>
          </cell>
          <cell r="I38" t="str">
            <v>geoffrey.barrassin@orange.fr</v>
          </cell>
          <cell r="J38" t="str">
            <v>Tauxigny</v>
          </cell>
          <cell r="K38">
            <v>37310</v>
          </cell>
          <cell r="L38" t="str">
            <v>15 La Croix d'Ouault</v>
          </cell>
          <cell r="N38" t="str">
            <v>M.</v>
          </cell>
        </row>
        <row r="39">
          <cell r="B39" t="str">
            <v xml:space="preserve">BARRON </v>
          </cell>
          <cell r="C39" t="str">
            <v>Thierry</v>
          </cell>
          <cell r="D39" t="str">
            <v>Mordelles</v>
          </cell>
          <cell r="E39">
            <v>35310</v>
          </cell>
          <cell r="F39" t="str">
            <v>La Bidenais</v>
          </cell>
          <cell r="N39" t="str">
            <v>M. et Mme</v>
          </cell>
        </row>
        <row r="40">
          <cell r="B40" t="str">
            <v>BARROUX</v>
          </cell>
          <cell r="D40" t="str">
            <v>Plédran</v>
          </cell>
          <cell r="E40">
            <v>22960</v>
          </cell>
          <cell r="F40" t="str">
            <v>St Volon</v>
          </cell>
          <cell r="H40" t="str">
            <v>06 80 59 14 65</v>
          </cell>
          <cell r="I40" t="str">
            <v>mbarroux@hotmail.com</v>
          </cell>
          <cell r="J40" t="str">
            <v>Saint-Brieuc</v>
          </cell>
          <cell r="K40">
            <v>22000</v>
          </cell>
          <cell r="L40" t="str">
            <v>2 rue de Lisbonne</v>
          </cell>
          <cell r="N40" t="str">
            <v>M.et Mme</v>
          </cell>
        </row>
        <row r="41">
          <cell r="B41" t="str">
            <v>BATAILLE</v>
          </cell>
          <cell r="C41" t="str">
            <v>Arnaud</v>
          </cell>
          <cell r="D41" t="str">
            <v>Plouaret</v>
          </cell>
          <cell r="E41">
            <v>22420</v>
          </cell>
          <cell r="G41">
            <v>663054312</v>
          </cell>
          <cell r="I41" t="str">
            <v>arnaud_bataille@yahoo.fr</v>
          </cell>
          <cell r="N41" t="str">
            <v>M.</v>
          </cell>
        </row>
        <row r="42">
          <cell r="B42" t="str">
            <v>BAUBION / GASNIER</v>
          </cell>
          <cell r="C42" t="str">
            <v>Enora et Renaud</v>
          </cell>
          <cell r="D42" t="str">
            <v>Saint-Brieuc-des-Iffs</v>
          </cell>
          <cell r="E42">
            <v>35630</v>
          </cell>
          <cell r="F42" t="str">
            <v>Le champ Drouet</v>
          </cell>
          <cell r="G42">
            <v>623507309</v>
          </cell>
          <cell r="H42" t="str">
            <v>06 60 45 02 73</v>
          </cell>
          <cell r="I42" t="str">
            <v>enora.b@gmail.com</v>
          </cell>
          <cell r="J42" t="str">
            <v>Richardais (La)</v>
          </cell>
          <cell r="K42">
            <v>35780</v>
          </cell>
          <cell r="L42" t="str">
            <v>11 rue de la Villais</v>
          </cell>
          <cell r="N42" t="str">
            <v>M. et Mme</v>
          </cell>
        </row>
        <row r="43">
          <cell r="B43" t="str">
            <v>BAUDE</v>
          </cell>
          <cell r="C43" t="str">
            <v>Thierry</v>
          </cell>
          <cell r="D43" t="str">
            <v>Hédé</v>
          </cell>
          <cell r="E43">
            <v>35630</v>
          </cell>
          <cell r="F43" t="str">
            <v>?</v>
          </cell>
          <cell r="H43" t="str">
            <v>06 07 02 79 74</v>
          </cell>
          <cell r="I43" t="str">
            <v>baudethierry@orange.fr</v>
          </cell>
          <cell r="N43" t="str">
            <v>M.</v>
          </cell>
        </row>
        <row r="44">
          <cell r="B44" t="str">
            <v>BAUDRIER</v>
          </cell>
          <cell r="C44" t="str">
            <v>Vincent</v>
          </cell>
          <cell r="D44" t="str">
            <v>Melesse</v>
          </cell>
          <cell r="E44">
            <v>35520</v>
          </cell>
          <cell r="F44" t="str">
            <v>Le haut Chemin</v>
          </cell>
          <cell r="H44" t="str">
            <v xml:space="preserve">06 23 49 20 14 </v>
          </cell>
          <cell r="I44" t="str">
            <v>vincent.baudrier@orange.fr</v>
          </cell>
          <cell r="J44" t="str">
            <v>Melesse</v>
          </cell>
          <cell r="K44">
            <v>35520</v>
          </cell>
          <cell r="L44" t="str">
            <v>11, rue gille ridard</v>
          </cell>
          <cell r="N44" t="str">
            <v>M.et Mme</v>
          </cell>
        </row>
        <row r="45">
          <cell r="B45" t="str">
            <v>BAUSSAN</v>
          </cell>
          <cell r="C45" t="str">
            <v>Marion</v>
          </cell>
          <cell r="D45" t="str">
            <v>Vieux-Vy-sur-Couesnon</v>
          </cell>
          <cell r="E45">
            <v>35490</v>
          </cell>
          <cell r="F45" t="str">
            <v>Le Clos Vallée</v>
          </cell>
          <cell r="H45" t="str">
            <v>06 52 69 44 87</v>
          </cell>
          <cell r="N45" t="str">
            <v>Mme</v>
          </cell>
        </row>
        <row r="46">
          <cell r="B46" t="str">
            <v>BAZUREAU</v>
          </cell>
          <cell r="D46" t="str">
            <v>Chapelle-des-Fougeretz (La)</v>
          </cell>
          <cell r="E46">
            <v>35520</v>
          </cell>
          <cell r="F46" t="str">
            <v>26, les 4 Vents</v>
          </cell>
          <cell r="G46">
            <v>299130263</v>
          </cell>
          <cell r="I46" t="str">
            <v>anavon@wanadoo.fr</v>
          </cell>
          <cell r="M46" t="str">
            <v>Centre d'accueil permacole</v>
          </cell>
          <cell r="N46" t="str">
            <v>Mme</v>
          </cell>
        </row>
        <row r="47">
          <cell r="B47" t="str">
            <v>BAZY - LE QUELLEC</v>
          </cell>
          <cell r="C47" t="str">
            <v>Vincent et Jeannie</v>
          </cell>
          <cell r="D47" t="str">
            <v>Plouasne</v>
          </cell>
          <cell r="E47">
            <v>22830</v>
          </cell>
          <cell r="F47" t="str">
            <v>Le Champ ferron</v>
          </cell>
          <cell r="G47">
            <v>290202084</v>
          </cell>
          <cell r="I47" t="str">
            <v>tybaz@live.fr</v>
          </cell>
          <cell r="J47" t="str">
            <v>Plouasne</v>
          </cell>
          <cell r="K47">
            <v>22830</v>
          </cell>
          <cell r="L47" t="str">
            <v>La ville es Neveu</v>
          </cell>
          <cell r="N47" t="str">
            <v>M. et Mme</v>
          </cell>
        </row>
        <row r="48">
          <cell r="B48" t="str">
            <v>BEAUFILS</v>
          </cell>
          <cell r="C48" t="str">
            <v>Philippe et Michelle</v>
          </cell>
          <cell r="D48" t="str">
            <v>Rimou</v>
          </cell>
          <cell r="E48">
            <v>35560</v>
          </cell>
          <cell r="F48" t="str">
            <v>La Nouillerie</v>
          </cell>
          <cell r="G48">
            <v>299170230</v>
          </cell>
          <cell r="H48">
            <v>686782444</v>
          </cell>
          <cell r="N48" t="str">
            <v>M. et Mme</v>
          </cell>
        </row>
        <row r="49">
          <cell r="B49" t="str">
            <v>BEAUJAUT</v>
          </cell>
          <cell r="D49" t="str">
            <v>Saint-Domineuc</v>
          </cell>
          <cell r="E49">
            <v>35190</v>
          </cell>
          <cell r="F49" t="str">
            <v>Clairville</v>
          </cell>
          <cell r="H49">
            <v>608818641</v>
          </cell>
          <cell r="I49" t="str">
            <v>jdbeaujaut@hotmail.com</v>
          </cell>
          <cell r="J49" t="str">
            <v>Rennes</v>
          </cell>
          <cell r="K49">
            <v>35000</v>
          </cell>
          <cell r="L49" t="str">
            <v>27 bvd Delattre de Tassigny</v>
          </cell>
          <cell r="N49" t="str">
            <v>M.</v>
          </cell>
        </row>
        <row r="50">
          <cell r="B50" t="str">
            <v>Beaussire</v>
          </cell>
          <cell r="C50" t="str">
            <v>Melanie</v>
          </cell>
          <cell r="D50" t="str">
            <v>Feins</v>
          </cell>
          <cell r="E50">
            <v>35440</v>
          </cell>
          <cell r="F50" t="str">
            <v>Les brosses de posté</v>
          </cell>
          <cell r="G50">
            <v>783813845</v>
          </cell>
          <cell r="I50" t="str">
            <v>melaniebeaussire@hotmail.fr</v>
          </cell>
          <cell r="J50" t="str">
            <v>Feins</v>
          </cell>
          <cell r="K50">
            <v>35440</v>
          </cell>
          <cell r="L50" t="str">
            <v>10, rue Alcide roullois</v>
          </cell>
          <cell r="N50" t="str">
            <v>Mme</v>
          </cell>
        </row>
        <row r="51">
          <cell r="B51" t="str">
            <v>BECHET</v>
          </cell>
          <cell r="D51" t="str">
            <v>Le Val-Saint-Père</v>
          </cell>
          <cell r="E51">
            <v>50300</v>
          </cell>
          <cell r="F51" t="str">
            <v>La grande nonnerie</v>
          </cell>
          <cell r="G51">
            <v>233582028</v>
          </cell>
          <cell r="I51" t="str">
            <v>Etienne.bechet@sfr.fr</v>
          </cell>
          <cell r="N51" t="str">
            <v>M. et Mme</v>
          </cell>
        </row>
        <row r="52">
          <cell r="B52" t="str">
            <v>BECHTEL</v>
          </cell>
          <cell r="C52" t="str">
            <v>Vincent</v>
          </cell>
          <cell r="D52" t="str">
            <v>Paimpont</v>
          </cell>
          <cell r="E52">
            <v>35380</v>
          </cell>
          <cell r="F52" t="str">
            <v>b</v>
          </cell>
          <cell r="H52">
            <v>607600158</v>
          </cell>
          <cell r="I52" t="str">
            <v>vincent.bechtel@capsugel.com</v>
          </cell>
          <cell r="N52" t="str">
            <v>M.</v>
          </cell>
        </row>
        <row r="53">
          <cell r="B53" t="str">
            <v>BELLOIR</v>
          </cell>
          <cell r="C53" t="str">
            <v>Yann</v>
          </cell>
          <cell r="D53" t="str">
            <v>Saint-Broladre</v>
          </cell>
          <cell r="E53">
            <v>35120</v>
          </cell>
          <cell r="F53" t="str">
            <v>La Ginclais</v>
          </cell>
          <cell r="H53">
            <v>689398716</v>
          </cell>
          <cell r="I53" t="str">
            <v>belloiry@yahoo.fr</v>
          </cell>
          <cell r="J53" t="str">
            <v>Velaines</v>
          </cell>
          <cell r="K53">
            <v>55500</v>
          </cell>
          <cell r="L53" t="str">
            <v>45 rue Ligny</v>
          </cell>
          <cell r="N53" t="str">
            <v>M.</v>
          </cell>
        </row>
        <row r="54">
          <cell r="B54" t="str">
            <v>BENEDETI</v>
          </cell>
          <cell r="C54" t="str">
            <v>Stéphane</v>
          </cell>
          <cell r="D54" t="str">
            <v>Bonnemain</v>
          </cell>
          <cell r="E54">
            <v>35270</v>
          </cell>
          <cell r="F54" t="str">
            <v>9 la faverais</v>
          </cell>
          <cell r="H54" t="str">
            <v>06 18 73 60 23</v>
          </cell>
          <cell r="N54" t="str">
            <v>M.</v>
          </cell>
        </row>
        <row r="55">
          <cell r="B55" t="str">
            <v>BENN</v>
          </cell>
          <cell r="C55" t="str">
            <v>David</v>
          </cell>
          <cell r="D55" t="str">
            <v>Gomené</v>
          </cell>
          <cell r="E55">
            <v>22230</v>
          </cell>
          <cell r="F55" t="str">
            <v>Fayet</v>
          </cell>
          <cell r="G55" t="str">
            <v>02 96 28 48 41</v>
          </cell>
          <cell r="H55" t="str">
            <v>06 27 62 05 49</v>
          </cell>
          <cell r="I55" t="str">
            <v>david.benn@club-internet.fr</v>
          </cell>
          <cell r="J55" t="str">
            <v>Gomené</v>
          </cell>
          <cell r="K55">
            <v>22230</v>
          </cell>
          <cell r="L55" t="str">
            <v>Les Noes</v>
          </cell>
          <cell r="N55" t="str">
            <v>M. et Mme</v>
          </cell>
        </row>
        <row r="56">
          <cell r="B56" t="str">
            <v>BENNER</v>
          </cell>
          <cell r="C56" t="str">
            <v>Jacques</v>
          </cell>
          <cell r="D56" t="str">
            <v>Sens-de-Bretagne</v>
          </cell>
          <cell r="E56">
            <v>35490</v>
          </cell>
          <cell r="F56" t="str">
            <v xml:space="preserve">Le Bois Guyon </v>
          </cell>
          <cell r="H56">
            <v>621503814</v>
          </cell>
          <cell r="I56" t="str">
            <v>jackbenner@yahoo.fr</v>
          </cell>
          <cell r="N56" t="str">
            <v>M.et Mme</v>
          </cell>
        </row>
        <row r="57">
          <cell r="B57" t="str">
            <v>Benoît</v>
          </cell>
          <cell r="C57" t="str">
            <v>Benoît</v>
          </cell>
          <cell r="D57" t="str">
            <v>Saint-Grégoire</v>
          </cell>
          <cell r="E57">
            <v>35760</v>
          </cell>
          <cell r="F57" t="str">
            <v>12 Boulevard de la robiquette</v>
          </cell>
          <cell r="G57">
            <v>676294470</v>
          </cell>
          <cell r="I57" t="str">
            <v>benoitmorinpro@gmail.com</v>
          </cell>
          <cell r="N57" t="str">
            <v>M.</v>
          </cell>
        </row>
        <row r="58">
          <cell r="B58" t="str">
            <v>BERNARD</v>
          </cell>
          <cell r="C58" t="str">
            <v>Olivier</v>
          </cell>
          <cell r="D58" t="str">
            <v>Trévérien</v>
          </cell>
          <cell r="E58">
            <v>35190</v>
          </cell>
          <cell r="F58" t="str">
            <v>Trenois</v>
          </cell>
          <cell r="H58">
            <v>684228945</v>
          </cell>
          <cell r="I58" t="str">
            <v>ddlingenierie@yahoo.fr</v>
          </cell>
          <cell r="N58" t="str">
            <v>M.et Mme</v>
          </cell>
        </row>
        <row r="59">
          <cell r="B59" t="str">
            <v>BERNARD</v>
          </cell>
          <cell r="C59" t="str">
            <v>Rodolphe</v>
          </cell>
          <cell r="D59" t="str">
            <v>Saint-Gilles</v>
          </cell>
          <cell r="E59">
            <v>35590</v>
          </cell>
          <cell r="F59" t="str">
            <v>La poterne</v>
          </cell>
          <cell r="G59">
            <v>954139646</v>
          </cell>
          <cell r="H59">
            <v>695046865</v>
          </cell>
          <cell r="I59" t="str">
            <v>freesnowpetrel@yahoo.fr</v>
          </cell>
          <cell r="J59" t="str">
            <v>Vezin-le-Coquet</v>
          </cell>
          <cell r="K59">
            <v>35132</v>
          </cell>
          <cell r="L59" t="str">
            <v>32 rue de Montfort</v>
          </cell>
        </row>
        <row r="60">
          <cell r="B60" t="str">
            <v>BERNARD-AMATHIEU</v>
          </cell>
          <cell r="C60" t="str">
            <v>Benoit-Eloise</v>
          </cell>
          <cell r="D60" t="str">
            <v>Tréfumel</v>
          </cell>
          <cell r="E60">
            <v>22630</v>
          </cell>
          <cell r="F60" t="str">
            <v>Le Liée</v>
          </cell>
          <cell r="G60">
            <v>669505218</v>
          </cell>
          <cell r="H60">
            <v>661006791</v>
          </cell>
          <cell r="I60" t="str">
            <v>ben22@live.fr</v>
          </cell>
          <cell r="J60" t="str">
            <v>Tréfumel</v>
          </cell>
          <cell r="K60">
            <v>22630</v>
          </cell>
          <cell r="L60" t="str">
            <v>La Ville Hervé</v>
          </cell>
          <cell r="N60" t="str">
            <v>M.et Mme</v>
          </cell>
        </row>
        <row r="61">
          <cell r="B61" t="str">
            <v>BERTHELEU</v>
          </cell>
          <cell r="D61" t="str">
            <v>Châtillon-en-Vendelais</v>
          </cell>
          <cell r="E61">
            <v>35210</v>
          </cell>
          <cell r="F61" t="str">
            <v>La Maison neuve</v>
          </cell>
          <cell r="G61">
            <v>299760226</v>
          </cell>
          <cell r="I61" t="str">
            <v>yves.bertheleu@club-internet.fr</v>
          </cell>
          <cell r="J61" t="str">
            <v>Châtillon-en-Vendelais</v>
          </cell>
          <cell r="K61">
            <v>35210</v>
          </cell>
          <cell r="L61" t="str">
            <v>Les Rouxières</v>
          </cell>
          <cell r="N61" t="str">
            <v>M et Mme</v>
          </cell>
        </row>
        <row r="62">
          <cell r="B62" t="str">
            <v>BERTHELOT</v>
          </cell>
          <cell r="C62" t="str">
            <v>Isabelle</v>
          </cell>
          <cell r="D62" t="str">
            <v>Saint-Brice-en-Coglès</v>
          </cell>
          <cell r="E62">
            <v>35460</v>
          </cell>
          <cell r="F62" t="str">
            <v>La Croix Etetee</v>
          </cell>
          <cell r="G62">
            <v>299977016</v>
          </cell>
          <cell r="H62">
            <v>662335911</v>
          </cell>
          <cell r="I62" t="str">
            <v>isabelleberthelot@orange.fr</v>
          </cell>
          <cell r="N62" t="str">
            <v>Mme</v>
          </cell>
        </row>
        <row r="63">
          <cell r="B63" t="str">
            <v>BERTHELOT</v>
          </cell>
          <cell r="D63" t="str">
            <v>Chavagne</v>
          </cell>
          <cell r="E63">
            <v>35310</v>
          </cell>
          <cell r="F63" t="str">
            <v>La Riaudiere</v>
          </cell>
          <cell r="N63" t="str">
            <v>M. et Mme</v>
          </cell>
        </row>
        <row r="64">
          <cell r="B64" t="str">
            <v>BERTHELOT</v>
          </cell>
          <cell r="C64" t="str">
            <v>Jean</v>
          </cell>
          <cell r="D64" t="str">
            <v>Vignoc</v>
          </cell>
          <cell r="E64">
            <v>35630</v>
          </cell>
          <cell r="F64" t="str">
            <v>2, La Longrais</v>
          </cell>
          <cell r="G64" t="str">
            <v>02 99 59 12 19</v>
          </cell>
          <cell r="H64" t="str">
            <v>06 84 20 51 12</v>
          </cell>
          <cell r="I64" t="str">
            <v>ajean.berthelot@orange.fr</v>
          </cell>
          <cell r="N64" t="str">
            <v>M.</v>
          </cell>
        </row>
        <row r="65">
          <cell r="B65" t="str">
            <v>BERTHELOT</v>
          </cell>
          <cell r="C65" t="str">
            <v>Guillaume</v>
          </cell>
          <cell r="D65" t="str">
            <v>Selle-en-Coglès (La)</v>
          </cell>
          <cell r="E65">
            <v>35460</v>
          </cell>
          <cell r="F65" t="str">
            <v>La Pichonnais</v>
          </cell>
          <cell r="H65" t="str">
            <v>06 73 37 16 37</v>
          </cell>
          <cell r="I65" t="str">
            <v>gberthelot@hotmail.fr</v>
          </cell>
          <cell r="N65" t="str">
            <v>M.</v>
          </cell>
        </row>
        <row r="66">
          <cell r="B66" t="str">
            <v>BERTIN</v>
          </cell>
          <cell r="D66" t="str">
            <v>Vendel</v>
          </cell>
          <cell r="E66">
            <v>35140</v>
          </cell>
          <cell r="F66" t="str">
            <v>Blot</v>
          </cell>
          <cell r="G66">
            <v>299976358</v>
          </cell>
          <cell r="I66" t="str">
            <v>nicolas.bertin.07@free.fr</v>
          </cell>
          <cell r="N66" t="str">
            <v>Mme</v>
          </cell>
        </row>
        <row r="67">
          <cell r="B67" t="str">
            <v>BERTIN</v>
          </cell>
          <cell r="C67" t="str">
            <v>Daniel</v>
          </cell>
          <cell r="D67" t="str">
            <v>Montauban-de-Bretagne</v>
          </cell>
          <cell r="E67">
            <v>35360</v>
          </cell>
          <cell r="F67" t="str">
            <v>LA VILLE ALLAIRE</v>
          </cell>
          <cell r="G67">
            <v>299066575</v>
          </cell>
          <cell r="H67">
            <v>673514907</v>
          </cell>
          <cell r="I67" t="str">
            <v>daniel.bertin3558@gmail.com</v>
          </cell>
          <cell r="M67" t="str">
            <v>BERTIN DANIEL</v>
          </cell>
        </row>
        <row r="68">
          <cell r="B68" t="str">
            <v>BERTRON</v>
          </cell>
          <cell r="D68" t="str">
            <v>Saint-Lunaire</v>
          </cell>
          <cell r="E68">
            <v>35800</v>
          </cell>
          <cell r="F68" t="str">
            <v>La Jaunais</v>
          </cell>
          <cell r="G68">
            <v>607670655</v>
          </cell>
          <cell r="I68" t="str">
            <v>eric-bertron@orange.fr</v>
          </cell>
          <cell r="N68" t="str">
            <v>M.</v>
          </cell>
        </row>
        <row r="69">
          <cell r="B69" t="str">
            <v>BERVILLE</v>
          </cell>
          <cell r="D69" t="str">
            <v>Pluduno</v>
          </cell>
          <cell r="E69">
            <v>22130</v>
          </cell>
          <cell r="F69" t="str">
            <v>Les Villes Briend</v>
          </cell>
          <cell r="G69">
            <v>296840973</v>
          </cell>
          <cell r="I69" t="str">
            <v>roland.berville@laposte.net</v>
          </cell>
          <cell r="N69" t="str">
            <v>M.et Mme</v>
          </cell>
        </row>
        <row r="70">
          <cell r="B70" t="str">
            <v>BESNARD</v>
          </cell>
          <cell r="C70" t="str">
            <v>GLENN</v>
          </cell>
          <cell r="D70" t="str">
            <v>Plénée-Jugon</v>
          </cell>
          <cell r="E70">
            <v>22640</v>
          </cell>
          <cell r="F70" t="str">
            <v>Bel Air</v>
          </cell>
          <cell r="H70" t="str">
            <v>06 82 58 44 74</v>
          </cell>
          <cell r="I70" t="str">
            <v>glenn.besnard@gmail.com</v>
          </cell>
          <cell r="J70" t="str">
            <v>Saint-Glen</v>
          </cell>
          <cell r="K70">
            <v>22510</v>
          </cell>
          <cell r="L70" t="str">
            <v>10, bis rue de la métairie</v>
          </cell>
          <cell r="N70" t="str">
            <v>M.et Mme</v>
          </cell>
        </row>
        <row r="71">
          <cell r="B71" t="str">
            <v>BESNARD</v>
          </cell>
          <cell r="C71" t="str">
            <v>Léo</v>
          </cell>
          <cell r="D71" t="str">
            <v>Mordelles</v>
          </cell>
          <cell r="E71">
            <v>35310</v>
          </cell>
          <cell r="F71" t="str">
            <v>Le bois Chaulet</v>
          </cell>
          <cell r="J71" t="str">
            <v>Rheu (Le)</v>
          </cell>
          <cell r="K71">
            <v>35650</v>
          </cell>
          <cell r="L71" t="str">
            <v>7, place du petit Verger</v>
          </cell>
          <cell r="N71" t="str">
            <v>M.</v>
          </cell>
        </row>
        <row r="72">
          <cell r="B72" t="str">
            <v>BESRETS</v>
          </cell>
          <cell r="D72" t="str">
            <v>Hinglé (Le)</v>
          </cell>
          <cell r="E72">
            <v>22100</v>
          </cell>
          <cell r="F72" t="str">
            <v>2,impasse du champde bie</v>
          </cell>
          <cell r="H72">
            <v>679102446</v>
          </cell>
          <cell r="I72" t="str">
            <v>besrets@wanadoo.fr</v>
          </cell>
          <cell r="N72" t="str">
            <v>M.</v>
          </cell>
        </row>
        <row r="73">
          <cell r="B73" t="str">
            <v>BETHENCOURT</v>
          </cell>
          <cell r="C73" t="str">
            <v>Bruno</v>
          </cell>
          <cell r="D73" t="str">
            <v>Plénée-Jugon</v>
          </cell>
          <cell r="E73">
            <v>22640</v>
          </cell>
          <cell r="F73" t="str">
            <v>Les Touches</v>
          </cell>
          <cell r="G73">
            <v>296345506</v>
          </cell>
          <cell r="H73">
            <v>674094817</v>
          </cell>
          <cell r="I73" t="str">
            <v>utensia@orange.fr</v>
          </cell>
          <cell r="N73" t="str">
            <v>M.</v>
          </cell>
        </row>
        <row r="74">
          <cell r="B74" t="str">
            <v>BEURIER</v>
          </cell>
          <cell r="C74" t="str">
            <v>Emmanuel</v>
          </cell>
          <cell r="D74" t="str">
            <v>Gahard</v>
          </cell>
          <cell r="E74">
            <v>35490</v>
          </cell>
          <cell r="F74" t="str">
            <v>La Penaudais</v>
          </cell>
          <cell r="G74" t="str">
            <v>09 54 59 17 59</v>
          </cell>
          <cell r="H74" t="str">
            <v>06 62 84 99 86</v>
          </cell>
          <cell r="I74" t="str">
            <v>emmanuel.beurier@free.fr</v>
          </cell>
          <cell r="J74" t="str">
            <v>Rennes</v>
          </cell>
          <cell r="K74">
            <v>35000</v>
          </cell>
          <cell r="L74" t="str">
            <v>35 Rue Francis Mariotte</v>
          </cell>
          <cell r="N74" t="str">
            <v>M.</v>
          </cell>
        </row>
        <row r="75">
          <cell r="B75" t="str">
            <v>BIEGAJLO</v>
          </cell>
          <cell r="D75" t="str">
            <v>Saint-Pôtan</v>
          </cell>
          <cell r="E75">
            <v>22550</v>
          </cell>
          <cell r="F75" t="str">
            <v>La rue</v>
          </cell>
          <cell r="G75" t="str">
            <v>02 96 83 71 48</v>
          </cell>
          <cell r="N75" t="str">
            <v>M.et Mme</v>
          </cell>
        </row>
        <row r="76">
          <cell r="B76" t="str">
            <v>BIGAUT</v>
          </cell>
          <cell r="D76" t="str">
            <v>Saint-Pôtan</v>
          </cell>
          <cell r="E76">
            <v>22550</v>
          </cell>
          <cell r="F76" t="str">
            <v>La retenue</v>
          </cell>
          <cell r="H76">
            <v>676719278</v>
          </cell>
          <cell r="I76" t="str">
            <v>charlotte.ripoll@yahoo.com</v>
          </cell>
          <cell r="J76" t="str">
            <v>Alby-sur-Chéran</v>
          </cell>
          <cell r="K76">
            <v>74540</v>
          </cell>
          <cell r="L76" t="str">
            <v>265,chem des Moulins</v>
          </cell>
          <cell r="N76" t="str">
            <v>Mme</v>
          </cell>
        </row>
        <row r="77">
          <cell r="B77" t="str">
            <v>BIGOT / BIOMEZ</v>
          </cell>
          <cell r="C77" t="str">
            <v>Hélène</v>
          </cell>
          <cell r="D77" t="str">
            <v>Gahard</v>
          </cell>
          <cell r="E77">
            <v>35490</v>
          </cell>
          <cell r="F77" t="str">
            <v>20, les Tessardières</v>
          </cell>
          <cell r="G77" t="str">
            <v>06 46 03 40 69</v>
          </cell>
          <cell r="H77" t="str">
            <v>06 52 75 69 08</v>
          </cell>
          <cell r="I77" t="str">
            <v>biomezhelene@hotmail.com</v>
          </cell>
          <cell r="J77" t="str">
            <v>Andouillé-Neuville</v>
          </cell>
          <cell r="K77">
            <v>35250</v>
          </cell>
          <cell r="L77" t="str">
            <v>4, Le Rocher</v>
          </cell>
          <cell r="N77" t="str">
            <v>M. et Mme</v>
          </cell>
        </row>
        <row r="78">
          <cell r="B78" t="str">
            <v>BIHI RENAUD</v>
          </cell>
          <cell r="D78" t="str">
            <v>Pleurtuit</v>
          </cell>
          <cell r="E78">
            <v>35730</v>
          </cell>
          <cell r="F78" t="str">
            <v>La Gallais</v>
          </cell>
          <cell r="H78" t="str">
            <v xml:space="preserve">06 83 36 13 17 </v>
          </cell>
          <cell r="I78" t="str">
            <v>renodorian@orange.fr</v>
          </cell>
          <cell r="J78" t="str">
            <v>Saint-Briac-sur-Mer</v>
          </cell>
          <cell r="K78">
            <v>35800</v>
          </cell>
          <cell r="L78" t="str">
            <v>36, rue de la fosse</v>
          </cell>
          <cell r="N78" t="str">
            <v>M.</v>
          </cell>
        </row>
        <row r="79">
          <cell r="B79" t="str">
            <v>BILLAUD</v>
          </cell>
          <cell r="C79" t="str">
            <v>Nathalie</v>
          </cell>
          <cell r="D79" t="str">
            <v>Saint-Gonlay</v>
          </cell>
          <cell r="E79">
            <v>35750</v>
          </cell>
          <cell r="F79" t="str">
            <v xml:space="preserve">9 trecie </v>
          </cell>
          <cell r="G79">
            <v>676962793</v>
          </cell>
          <cell r="I79" t="str">
            <v>nathanice@orange.fr</v>
          </cell>
          <cell r="N79" t="str">
            <v>M.</v>
          </cell>
        </row>
        <row r="80">
          <cell r="B80" t="str">
            <v>BILLOIS</v>
          </cell>
          <cell r="C80" t="str">
            <v>Delphine</v>
          </cell>
          <cell r="D80" t="str">
            <v>Sens-de-Bretagne</v>
          </cell>
          <cell r="E80">
            <v>35490</v>
          </cell>
          <cell r="F80" t="str">
            <v>La Belle Etoile</v>
          </cell>
          <cell r="H80" t="str">
            <v>06 79 18 95 21</v>
          </cell>
          <cell r="J80" t="str">
            <v>Feins</v>
          </cell>
          <cell r="K80">
            <v>35440</v>
          </cell>
          <cell r="L80" t="str">
            <v>13 rue des Cours Roussel</v>
          </cell>
          <cell r="N80" t="str">
            <v>Mme</v>
          </cell>
        </row>
        <row r="81">
          <cell r="B81" t="str">
            <v>BINET</v>
          </cell>
          <cell r="D81" t="str">
            <v>Dinan</v>
          </cell>
          <cell r="E81">
            <v>22100</v>
          </cell>
          <cell r="F81" t="str">
            <v>19, les Combournaises</v>
          </cell>
          <cell r="H81">
            <v>684936566</v>
          </cell>
          <cell r="I81" t="str">
            <v>alain.binet7@wanadoo.fr</v>
          </cell>
          <cell r="N81" t="str">
            <v>M.</v>
          </cell>
        </row>
        <row r="82">
          <cell r="B82" t="str">
            <v>BLIE</v>
          </cell>
          <cell r="D82" t="str">
            <v>Motte (La)</v>
          </cell>
          <cell r="E82">
            <v>22600</v>
          </cell>
          <cell r="F82" t="str">
            <v>Le Pas Pedeuc</v>
          </cell>
          <cell r="G82">
            <v>296267102</v>
          </cell>
          <cell r="I82" t="str">
            <v>blie.mickael@orange.fr</v>
          </cell>
          <cell r="N82" t="str">
            <v>M.</v>
          </cell>
        </row>
        <row r="83">
          <cell r="B83" t="str">
            <v>BOAGLIO</v>
          </cell>
          <cell r="C83" t="str">
            <v>Vincent</v>
          </cell>
          <cell r="D83" t="str">
            <v>Quévert</v>
          </cell>
          <cell r="E83">
            <v>22100</v>
          </cell>
          <cell r="F83" t="str">
            <v>Le Haut Nonchaux</v>
          </cell>
          <cell r="H83">
            <v>698228353</v>
          </cell>
          <cell r="I83" t="str">
            <v>boagliov@hotmail.com</v>
          </cell>
          <cell r="N83" t="str">
            <v>M.</v>
          </cell>
        </row>
        <row r="84">
          <cell r="B84" t="str">
            <v>BOBO</v>
          </cell>
          <cell r="C84" t="str">
            <v>Julien</v>
          </cell>
          <cell r="D84" t="str">
            <v>Bazouges-la-Pérouse</v>
          </cell>
          <cell r="E84">
            <v>35560</v>
          </cell>
          <cell r="F84" t="str">
            <v>Les Loges</v>
          </cell>
          <cell r="G84">
            <v>299183893</v>
          </cell>
          <cell r="I84" t="str">
            <v>dorothee_piffard@hotmail.fr</v>
          </cell>
          <cell r="N84" t="str">
            <v>M.</v>
          </cell>
        </row>
        <row r="85">
          <cell r="B85" t="str">
            <v>BOHUON</v>
          </cell>
          <cell r="D85" t="str">
            <v>Plouër-sur-Rance</v>
          </cell>
          <cell r="E85">
            <v>22490</v>
          </cell>
          <cell r="F85" t="str">
            <v>Beauregard</v>
          </cell>
          <cell r="G85">
            <v>296869101</v>
          </cell>
          <cell r="H85">
            <v>616664766</v>
          </cell>
          <cell r="I85" t="str">
            <v>jm.bohuon@pinault-bio.com</v>
          </cell>
          <cell r="N85" t="str">
            <v>M.et Mme</v>
          </cell>
        </row>
        <row r="86">
          <cell r="B86" t="str">
            <v>BOISTEL</v>
          </cell>
          <cell r="C86" t="str">
            <v>Arnaud</v>
          </cell>
          <cell r="D86" t="str">
            <v>Crest</v>
          </cell>
          <cell r="E86">
            <v>26400</v>
          </cell>
          <cell r="F86" t="str">
            <v>Rue Andé Hérold - Bât. F</v>
          </cell>
          <cell r="H86" t="str">
            <v>06.77.19.36.69</v>
          </cell>
          <cell r="I86" t="str">
            <v>arnaud.boistel@gmail.com</v>
          </cell>
        </row>
        <row r="87">
          <cell r="B87" t="str">
            <v xml:space="preserve">Bonenfant </v>
          </cell>
          <cell r="D87" t="str">
            <v>Saint-Lormel</v>
          </cell>
          <cell r="E87">
            <v>22130</v>
          </cell>
          <cell r="F87" t="str">
            <v>Le Bouillon</v>
          </cell>
          <cell r="H87">
            <v>643888621</v>
          </cell>
          <cell r="I87" t="str">
            <v>y.bonenfant@wanadoo.fr</v>
          </cell>
          <cell r="J87" t="str">
            <v>Plumaugat</v>
          </cell>
          <cell r="K87">
            <v>22250</v>
          </cell>
          <cell r="L87" t="str">
            <v>Boudelan</v>
          </cell>
          <cell r="N87" t="str">
            <v>M. et Mme</v>
          </cell>
        </row>
        <row r="88">
          <cell r="B88" t="str">
            <v>BONNAIRE</v>
          </cell>
          <cell r="C88" t="str">
            <v>Nicolas</v>
          </cell>
          <cell r="D88" t="str">
            <v>Saint-Juvat</v>
          </cell>
          <cell r="E88">
            <v>22630</v>
          </cell>
          <cell r="F88" t="str">
            <v>La Hautière</v>
          </cell>
          <cell r="G88">
            <v>296881792</v>
          </cell>
          <cell r="I88" t="str">
            <v>nicolas.bonnaire@club-internet.fr</v>
          </cell>
          <cell r="N88" t="str">
            <v>M.</v>
          </cell>
        </row>
        <row r="89">
          <cell r="B89" t="str">
            <v>BONNEAU - ROMME</v>
          </cell>
          <cell r="D89" t="str">
            <v>Bréal-sous-Montfort</v>
          </cell>
          <cell r="E89">
            <v>35310</v>
          </cell>
          <cell r="F89" t="str">
            <v>La croix mace</v>
          </cell>
          <cell r="H89">
            <v>672690423</v>
          </cell>
          <cell r="I89" t="str">
            <v>bonneauromme@free.fr</v>
          </cell>
          <cell r="N89" t="str">
            <v>M.et Mme</v>
          </cell>
        </row>
        <row r="90">
          <cell r="B90" t="str">
            <v>BONTEMPS</v>
          </cell>
          <cell r="C90" t="str">
            <v>François</v>
          </cell>
          <cell r="D90" t="str">
            <v>Landec (La)</v>
          </cell>
          <cell r="E90">
            <v>22980</v>
          </cell>
          <cell r="F90" t="str">
            <v>12 Le Vieux Bourg</v>
          </cell>
          <cell r="H90" t="str">
            <v>06 22 13 78 60</v>
          </cell>
          <cell r="I90" t="str">
            <v>francobtps@yahoo.fr</v>
          </cell>
          <cell r="N90" t="str">
            <v>M.</v>
          </cell>
        </row>
        <row r="91">
          <cell r="B91" t="str">
            <v>BOQUELET</v>
          </cell>
          <cell r="D91" t="str">
            <v>Meillac</v>
          </cell>
          <cell r="E91">
            <v>35270</v>
          </cell>
          <cell r="F91" t="str">
            <v>La ville d'ahaut</v>
          </cell>
          <cell r="G91">
            <v>783211612</v>
          </cell>
          <cell r="H91">
            <v>954921776</v>
          </cell>
          <cell r="I91" t="str">
            <v>ju.boquelet@iiiha.com</v>
          </cell>
          <cell r="J91" t="str">
            <v>Saint-Coulomb</v>
          </cell>
          <cell r="K91">
            <v>35350</v>
          </cell>
          <cell r="L91" t="str">
            <v>3, residence bonne accueil</v>
          </cell>
          <cell r="N91" t="str">
            <v>M.</v>
          </cell>
        </row>
        <row r="92">
          <cell r="B92" t="str">
            <v>BORDIER</v>
          </cell>
          <cell r="D92" t="str">
            <v>Roz-sur-Couesnon</v>
          </cell>
          <cell r="E92">
            <v>35610</v>
          </cell>
          <cell r="F92" t="str">
            <v>Les quatres salines</v>
          </cell>
          <cell r="H92" t="str">
            <v>06 64 17 41 93</v>
          </cell>
          <cell r="I92" t="str">
            <v>christinebordier@hotmail.fr</v>
          </cell>
          <cell r="N92" t="str">
            <v>Mme</v>
          </cell>
        </row>
        <row r="93">
          <cell r="B93" t="str">
            <v>BOSCHER</v>
          </cell>
          <cell r="C93" t="str">
            <v>Francois</v>
          </cell>
          <cell r="D93" t="str">
            <v>Bréhand</v>
          </cell>
          <cell r="E93">
            <v>22510</v>
          </cell>
          <cell r="F93" t="str">
            <v>9,rue la place</v>
          </cell>
          <cell r="G93">
            <v>296426627</v>
          </cell>
          <cell r="H93">
            <v>680783910</v>
          </cell>
          <cell r="I93" t="str">
            <v>boscher.francois0296@orange.fr</v>
          </cell>
          <cell r="J93" t="str">
            <v>Lamballe</v>
          </cell>
          <cell r="K93">
            <v>22400</v>
          </cell>
          <cell r="L93" t="str">
            <v>12 rue du dr calmette</v>
          </cell>
          <cell r="N93" t="str">
            <v>M. et Mme</v>
          </cell>
        </row>
        <row r="94">
          <cell r="B94" t="str">
            <v>BOSSARD</v>
          </cell>
          <cell r="D94" t="str">
            <v>Saint-Péran</v>
          </cell>
          <cell r="E94">
            <v>35380</v>
          </cell>
          <cell r="F94" t="str">
            <v>Le Bourg</v>
          </cell>
          <cell r="G94">
            <v>299610524</v>
          </cell>
          <cell r="H94">
            <v>685721438</v>
          </cell>
          <cell r="I94" t="str">
            <v>lanadalie1@gmail.com</v>
          </cell>
          <cell r="J94" t="str">
            <v>Treffendel</v>
          </cell>
          <cell r="K94">
            <v>35380</v>
          </cell>
          <cell r="L94" t="str">
            <v>4, rue de haute bretagne</v>
          </cell>
          <cell r="N94" t="str">
            <v>M.</v>
          </cell>
        </row>
        <row r="95">
          <cell r="B95" t="str">
            <v>Bouchard</v>
          </cell>
          <cell r="C95" t="str">
            <v xml:space="preserve">Christophe </v>
          </cell>
          <cell r="D95" t="str">
            <v>Mellé</v>
          </cell>
          <cell r="E95">
            <v>35420</v>
          </cell>
          <cell r="F95" t="str">
            <v>88 rue de la foret 35300 Fougeres</v>
          </cell>
          <cell r="G95" t="str">
            <v>06 17 46 72 45</v>
          </cell>
          <cell r="I95" t="str">
            <v>kristof17100@gmail.com</v>
          </cell>
          <cell r="N95" t="str">
            <v>M.</v>
          </cell>
        </row>
        <row r="96">
          <cell r="B96" t="str">
            <v>BOUCHERON</v>
          </cell>
          <cell r="C96" t="str">
            <v>Thomas</v>
          </cell>
          <cell r="D96" t="str">
            <v>Vieux-Viel</v>
          </cell>
          <cell r="E96">
            <v>35610</v>
          </cell>
          <cell r="F96" t="str">
            <v>9 la Chenolais</v>
          </cell>
          <cell r="G96">
            <v>299402926</v>
          </cell>
          <cell r="I96" t="str">
            <v>boucheron.thomas@gmail.com</v>
          </cell>
          <cell r="N96" t="str">
            <v>M.</v>
          </cell>
        </row>
        <row r="97">
          <cell r="B97" t="str">
            <v>BOUCLE</v>
          </cell>
          <cell r="D97" t="str">
            <v>Chevaigné</v>
          </cell>
          <cell r="E97">
            <v>35250</v>
          </cell>
          <cell r="F97" t="str">
            <v>8, Quenon</v>
          </cell>
          <cell r="G97" t="str">
            <v xml:space="preserve"> 02 99 55 46 51 </v>
          </cell>
          <cell r="N97" t="str">
            <v>M.et Mme</v>
          </cell>
        </row>
        <row r="98">
          <cell r="B98" t="str">
            <v>BOUGEARD</v>
          </cell>
          <cell r="D98" t="str">
            <v>Talensac</v>
          </cell>
          <cell r="E98">
            <v>35160</v>
          </cell>
          <cell r="F98" t="str">
            <v>Le Casset</v>
          </cell>
          <cell r="H98">
            <v>621804665</v>
          </cell>
          <cell r="I98" t="str">
            <v>adrienbougeard@rocketmail.com</v>
          </cell>
          <cell r="N98" t="str">
            <v>M.</v>
          </cell>
        </row>
        <row r="99">
          <cell r="B99" t="str">
            <v>BOUGEARD-HORVAIS</v>
          </cell>
          <cell r="D99" t="str">
            <v>Plédéliac</v>
          </cell>
          <cell r="E99">
            <v>22270</v>
          </cell>
          <cell r="F99" t="str">
            <v>SAINT MALEU DU VAL</v>
          </cell>
          <cell r="G99">
            <v>296317513</v>
          </cell>
          <cell r="I99" t="str">
            <v>pierre-yvesbougeard@orange.fr</v>
          </cell>
          <cell r="N99" t="str">
            <v>M. et Mme</v>
          </cell>
        </row>
        <row r="100">
          <cell r="B100" t="str">
            <v>BOUGERE</v>
          </cell>
          <cell r="C100" t="str">
            <v>Joseph</v>
          </cell>
          <cell r="D100" t="str">
            <v>Antrain</v>
          </cell>
          <cell r="E100">
            <v>35560</v>
          </cell>
          <cell r="F100" t="str">
            <v>La Folie</v>
          </cell>
          <cell r="G100" t="str">
            <v>09 54 58 18 89</v>
          </cell>
          <cell r="I100" t="str">
            <v>joseph.bougere@gmail.com</v>
          </cell>
          <cell r="N100" t="str">
            <v>M.</v>
          </cell>
        </row>
        <row r="101">
          <cell r="B101" t="str">
            <v>BOUILLIS</v>
          </cell>
          <cell r="D101" t="str">
            <v>Epiniac</v>
          </cell>
          <cell r="E101">
            <v>35120</v>
          </cell>
          <cell r="F101" t="str">
            <v>La provotais</v>
          </cell>
          <cell r="H101">
            <v>683988538</v>
          </cell>
          <cell r="I101" t="str">
            <v>wallas35120@hotmail.fr</v>
          </cell>
          <cell r="N101" t="str">
            <v>M.</v>
          </cell>
        </row>
        <row r="102">
          <cell r="B102" t="str">
            <v>BOULEAU</v>
          </cell>
          <cell r="C102" t="str">
            <v>Aurélien</v>
          </cell>
          <cell r="D102" t="str">
            <v>Montreuil-sur-Ille</v>
          </cell>
          <cell r="E102">
            <v>35440</v>
          </cell>
          <cell r="F102" t="str">
            <v>21 le Bas Commun</v>
          </cell>
          <cell r="H102" t="str">
            <v>06 37 08 83 27</v>
          </cell>
          <cell r="I102" t="str">
            <v>aurelien.bouleau@gmail.com</v>
          </cell>
          <cell r="N102" t="str">
            <v>M.</v>
          </cell>
        </row>
        <row r="103">
          <cell r="B103" t="str">
            <v>Boulin</v>
          </cell>
          <cell r="C103" t="str">
            <v>Benoit</v>
          </cell>
          <cell r="D103" t="str">
            <v>Chapelle-du-Lou (La)</v>
          </cell>
          <cell r="E103">
            <v>35360</v>
          </cell>
          <cell r="F103" t="str">
            <v>6, le labour</v>
          </cell>
          <cell r="G103">
            <v>777349091</v>
          </cell>
          <cell r="I103" t="str">
            <v>benoit.boulin@gmail.com</v>
          </cell>
          <cell r="N103" t="str">
            <v>M.</v>
          </cell>
        </row>
        <row r="104">
          <cell r="B104" t="str">
            <v>BOURHIS</v>
          </cell>
          <cell r="D104" t="str">
            <v>Landéhen</v>
          </cell>
          <cell r="E104">
            <v>22400</v>
          </cell>
          <cell r="F104" t="str">
            <v>5, Ragodin</v>
          </cell>
          <cell r="G104">
            <v>296300740</v>
          </cell>
          <cell r="I104" t="str">
            <v>geobourhis@cegetel.net</v>
          </cell>
          <cell r="N104" t="str">
            <v>M.</v>
          </cell>
        </row>
        <row r="105">
          <cell r="B105" t="str">
            <v>BOURLET</v>
          </cell>
          <cell r="D105" t="str">
            <v>Saint-Briac-sur-Mer</v>
          </cell>
          <cell r="E105">
            <v>35800</v>
          </cell>
          <cell r="F105" t="str">
            <v>Le bois Pertuit</v>
          </cell>
          <cell r="H105" t="str">
            <v>0681582352 MmeFievet</v>
          </cell>
          <cell r="I105" t="str">
            <v>sophie.fievet@wanadoo.fr</v>
          </cell>
          <cell r="N105" t="str">
            <v>Copropriété M.et Mme</v>
          </cell>
        </row>
        <row r="106">
          <cell r="B106" t="str">
            <v>BOURVA</v>
          </cell>
          <cell r="D106" t="str">
            <v>Plouasne</v>
          </cell>
          <cell r="E106">
            <v>22830</v>
          </cell>
          <cell r="F106" t="str">
            <v>La villaise</v>
          </cell>
          <cell r="H106" t="str">
            <v>06 72 68 84 29</v>
          </cell>
          <cell r="I106" t="str">
            <v>bourva.christophe@hotmail.fr</v>
          </cell>
          <cell r="N106" t="str">
            <v>M.</v>
          </cell>
        </row>
        <row r="107">
          <cell r="B107" t="str">
            <v>BOUSSEAU</v>
          </cell>
          <cell r="D107" t="str">
            <v>Bécherel</v>
          </cell>
          <cell r="E107">
            <v>35190</v>
          </cell>
          <cell r="F107" t="str">
            <v>3, Rte de Montfort</v>
          </cell>
          <cell r="H107">
            <v>630055782</v>
          </cell>
          <cell r="I107" t="str">
            <v>kerannik@orange.fr</v>
          </cell>
          <cell r="N107" t="str">
            <v>Mme</v>
          </cell>
        </row>
        <row r="108">
          <cell r="B108" t="str">
            <v>BOUSSION</v>
          </cell>
          <cell r="C108" t="str">
            <v>Corinne</v>
          </cell>
          <cell r="D108" t="str">
            <v>Noyal-sous-Bazouges</v>
          </cell>
          <cell r="E108">
            <v>35560</v>
          </cell>
          <cell r="F108" t="str">
            <v>1, La Vieuville</v>
          </cell>
          <cell r="H108">
            <v>677302593</v>
          </cell>
          <cell r="I108" t="str">
            <v>fan.choco@hotmail.fr</v>
          </cell>
          <cell r="J108" t="str">
            <v>Hinglé (Le)</v>
          </cell>
          <cell r="K108">
            <v>22100</v>
          </cell>
          <cell r="L108" t="str">
            <v>2 impasse George Bessis</v>
          </cell>
          <cell r="N108" t="str">
            <v>M.</v>
          </cell>
        </row>
        <row r="109">
          <cell r="B109" t="str">
            <v>Boutier</v>
          </cell>
          <cell r="C109" t="str">
            <v>Laura</v>
          </cell>
          <cell r="D109" t="str">
            <v>Guipel</v>
          </cell>
          <cell r="E109">
            <v>35440</v>
          </cell>
          <cell r="F109" t="str">
            <v>26 rue jules duval</v>
          </cell>
          <cell r="G109">
            <v>624675549</v>
          </cell>
          <cell r="I109" t="str">
            <v>letourfl@gmail.com</v>
          </cell>
          <cell r="N109" t="str">
            <v>M.</v>
          </cell>
        </row>
        <row r="110">
          <cell r="B110" t="str">
            <v>BOUVERET</v>
          </cell>
          <cell r="C110" t="str">
            <v>Marie Christine</v>
          </cell>
          <cell r="D110" t="str">
            <v>Bonnemain</v>
          </cell>
          <cell r="E110">
            <v>35270</v>
          </cell>
          <cell r="F110" t="str">
            <v>32 La Moignerie  35270 BONNEMAIN</v>
          </cell>
          <cell r="G110">
            <v>616561987</v>
          </cell>
          <cell r="I110" t="str">
            <v>mariec.bouveret@orange.fr</v>
          </cell>
          <cell r="N110" t="str">
            <v>M.</v>
          </cell>
        </row>
        <row r="111">
          <cell r="B111" t="str">
            <v>BOUVIER</v>
          </cell>
          <cell r="C111" t="str">
            <v>Erick et Annie</v>
          </cell>
          <cell r="D111" t="str">
            <v>Erdeven</v>
          </cell>
          <cell r="E111">
            <v>56410</v>
          </cell>
          <cell r="F111" t="str">
            <v>Kerouriec</v>
          </cell>
          <cell r="G111">
            <v>296252446</v>
          </cell>
          <cell r="I111" t="str">
            <v>eric.bouvier7@wanadoo.fr</v>
          </cell>
          <cell r="J111" t="str">
            <v>Trémorel</v>
          </cell>
          <cell r="K111">
            <v>22230</v>
          </cell>
          <cell r="L111" t="str">
            <v>La brousse au billard</v>
          </cell>
          <cell r="N111" t="str">
            <v>M. et Mme</v>
          </cell>
        </row>
        <row r="112">
          <cell r="B112" t="str">
            <v>BOUVIER</v>
          </cell>
          <cell r="C112" t="str">
            <v>Annie et Eric</v>
          </cell>
          <cell r="D112" t="str">
            <v>Trémorel</v>
          </cell>
          <cell r="E112">
            <v>22230</v>
          </cell>
          <cell r="F112" t="str">
            <v>Meuron</v>
          </cell>
          <cell r="H112">
            <v>675726086</v>
          </cell>
          <cell r="N112" t="str">
            <v>M.et Mme</v>
          </cell>
        </row>
        <row r="113">
          <cell r="B113" t="str">
            <v>BRANDELET</v>
          </cell>
          <cell r="C113" t="str">
            <v>Michel</v>
          </cell>
          <cell r="D113" t="str">
            <v>Planguenoual</v>
          </cell>
          <cell r="E113">
            <v>22400</v>
          </cell>
          <cell r="F113" t="str">
            <v>13, rue de la côte d'Emeraude</v>
          </cell>
          <cell r="G113">
            <v>296327510</v>
          </cell>
          <cell r="H113">
            <v>607558822</v>
          </cell>
          <cell r="I113" t="str">
            <v>Michel.brandelet@orange.fr</v>
          </cell>
          <cell r="N113" t="str">
            <v>M. et Mme</v>
          </cell>
        </row>
        <row r="114">
          <cell r="B114" t="str">
            <v>BRAULT</v>
          </cell>
          <cell r="D114" t="str">
            <v>Saint-Sauveur-des-Landes</v>
          </cell>
          <cell r="E114">
            <v>35133</v>
          </cell>
          <cell r="F114" t="str">
            <v xml:space="preserve">Le petit bois </v>
          </cell>
          <cell r="G114">
            <v>299187267</v>
          </cell>
          <cell r="I114" t="str">
            <v>r.kristell@yahoo.fr</v>
          </cell>
          <cell r="N114" t="str">
            <v>M.et Mme</v>
          </cell>
        </row>
        <row r="115">
          <cell r="B115" t="str">
            <v>BRAUN</v>
          </cell>
          <cell r="C115" t="str">
            <v>Jean-Philippe</v>
          </cell>
          <cell r="D115" t="str">
            <v>Gosné</v>
          </cell>
          <cell r="E115">
            <v>35140</v>
          </cell>
          <cell r="F115" t="str">
            <v>10, Le Haut Vaurion</v>
          </cell>
          <cell r="H115">
            <v>621346596</v>
          </cell>
          <cell r="I115" t="str">
            <v>eon@patapon.info</v>
          </cell>
          <cell r="N115" t="str">
            <v>M.</v>
          </cell>
        </row>
        <row r="116">
          <cell r="B116" t="str">
            <v>BREFORT-MOISON</v>
          </cell>
          <cell r="C116" t="str">
            <v>Solange</v>
          </cell>
          <cell r="D116" t="str">
            <v>Pleurtuit</v>
          </cell>
          <cell r="E116">
            <v>35730</v>
          </cell>
          <cell r="F116" t="str">
            <v>La Ville ès Sauvés</v>
          </cell>
          <cell r="G116">
            <v>237264921</v>
          </cell>
          <cell r="H116">
            <v>681035817</v>
          </cell>
          <cell r="I116" t="str">
            <v>bmjm@free.fr</v>
          </cell>
          <cell r="J116" t="str">
            <v>Ver-lès-Chartres</v>
          </cell>
          <cell r="K116">
            <v>28630</v>
          </cell>
          <cell r="L116" t="str">
            <v>5, rue du jeu de Paume</v>
          </cell>
          <cell r="N116" t="str">
            <v>Mme</v>
          </cell>
        </row>
        <row r="117">
          <cell r="B117" t="str">
            <v>BRIAND</v>
          </cell>
          <cell r="C117" t="str">
            <v>Gwenhael</v>
          </cell>
          <cell r="D117" t="str">
            <v>Melesse</v>
          </cell>
          <cell r="E117">
            <v>35520</v>
          </cell>
          <cell r="F117" t="str">
            <v>Launay Violet</v>
          </cell>
          <cell r="H117" t="str">
            <v>06 32 42 18 69</v>
          </cell>
          <cell r="I117" t="str">
            <v>gwenhaelb@yahoo.fr</v>
          </cell>
          <cell r="J117" t="str">
            <v>Rennes</v>
          </cell>
          <cell r="K117">
            <v>35000</v>
          </cell>
          <cell r="L117" t="str">
            <v>13 Allée du Docteur Maruelle</v>
          </cell>
          <cell r="N117" t="str">
            <v>M.</v>
          </cell>
        </row>
        <row r="118">
          <cell r="B118" t="str">
            <v>BRIEND</v>
          </cell>
          <cell r="D118" t="str">
            <v>Ploubalay</v>
          </cell>
          <cell r="E118">
            <v>22650</v>
          </cell>
          <cell r="F118" t="str">
            <v>La Ville ès Vitel</v>
          </cell>
          <cell r="H118">
            <v>662013010</v>
          </cell>
          <cell r="I118" t="str">
            <v>y.briend@essentiel-conseil.net</v>
          </cell>
          <cell r="J118" t="str">
            <v>Saint-Grégoire</v>
          </cell>
          <cell r="K118">
            <v>35760</v>
          </cell>
          <cell r="L118" t="str">
            <v>15 rue d%u2019Ouessant</v>
          </cell>
          <cell r="N118" t="str">
            <v>SCI</v>
          </cell>
        </row>
        <row r="119">
          <cell r="B119" t="str">
            <v>BRIEND</v>
          </cell>
          <cell r="C119" t="str">
            <v>Erwann</v>
          </cell>
          <cell r="D119" t="str">
            <v>Pleurtuit</v>
          </cell>
          <cell r="E119">
            <v>35730</v>
          </cell>
          <cell r="F119" t="str">
            <v>La Méttrie Labbé</v>
          </cell>
          <cell r="G119">
            <v>647879650</v>
          </cell>
          <cell r="I119" t="str">
            <v>emmanuel.briend@sfr.fr</v>
          </cell>
          <cell r="N119" t="str">
            <v>M.</v>
          </cell>
        </row>
        <row r="120">
          <cell r="B120" t="str">
            <v>BRIET</v>
          </cell>
          <cell r="D120" t="str">
            <v>Bazouges-la-Pérouse</v>
          </cell>
          <cell r="E120">
            <v>35560</v>
          </cell>
          <cell r="F120" t="str">
            <v>melay</v>
          </cell>
          <cell r="H120">
            <v>681652147</v>
          </cell>
          <cell r="I120" t="str">
            <v>arlette.briet@orange.fr</v>
          </cell>
          <cell r="N120" t="str">
            <v>Mme</v>
          </cell>
        </row>
        <row r="121">
          <cell r="B121" t="str">
            <v>Brugalle</v>
          </cell>
          <cell r="C121" t="str">
            <v>Pierrette et Michel</v>
          </cell>
          <cell r="D121" t="str">
            <v>Gévezé</v>
          </cell>
          <cell r="E121">
            <v>35850</v>
          </cell>
          <cell r="F121" t="str">
            <v>8 Tramiguen</v>
          </cell>
          <cell r="G121" t="str">
            <v>06 08 40 06 13</v>
          </cell>
          <cell r="I121" t="str">
            <v>pierrette.brugalle@orange.fr</v>
          </cell>
          <cell r="J121" t="str">
            <v>Gévezé</v>
          </cell>
          <cell r="K121">
            <v>35850</v>
          </cell>
          <cell r="L121" t="str">
            <v>10 Tramiguen</v>
          </cell>
        </row>
        <row r="122">
          <cell r="B122" t="str">
            <v>BRULARD</v>
          </cell>
          <cell r="D122" t="str">
            <v>Treffendel</v>
          </cell>
          <cell r="E122">
            <v>35380</v>
          </cell>
          <cell r="F122" t="str">
            <v>La Besnardais</v>
          </cell>
          <cell r="H122">
            <v>670315493</v>
          </cell>
          <cell r="I122" t="str">
            <v>frederic.brulard@wanadoo.fr</v>
          </cell>
          <cell r="J122" t="str">
            <v>Angers</v>
          </cell>
          <cell r="K122">
            <v>49000</v>
          </cell>
          <cell r="L122" t="str">
            <v>12 Quai Robert Sèvre</v>
          </cell>
          <cell r="N122" t="str">
            <v>M.</v>
          </cell>
        </row>
        <row r="123">
          <cell r="B123" t="str">
            <v>bruneau</v>
          </cell>
          <cell r="C123" t="str">
            <v>marc</v>
          </cell>
          <cell r="D123" t="str">
            <v>Saint-Gilles</v>
          </cell>
          <cell r="E123">
            <v>35590</v>
          </cell>
          <cell r="F123" t="str">
            <v xml:space="preserve">le champ du feu </v>
          </cell>
          <cell r="G123">
            <v>771143761</v>
          </cell>
          <cell r="I123" t="str">
            <v>marcuslamouche7@laposte.net</v>
          </cell>
          <cell r="N123" t="str">
            <v>M.</v>
          </cell>
        </row>
        <row r="124">
          <cell r="B124" t="str">
            <v>BRUNEAU</v>
          </cell>
          <cell r="D124" t="str">
            <v>Saint-Gilles</v>
          </cell>
          <cell r="E124">
            <v>35590</v>
          </cell>
          <cell r="F124" t="str">
            <v>Le champ du feu</v>
          </cell>
          <cell r="H124">
            <v>771143761</v>
          </cell>
          <cell r="I124" t="str">
            <v>marcuslamouche7@laposte.net</v>
          </cell>
          <cell r="N124" t="str">
            <v>M. et Mme</v>
          </cell>
        </row>
        <row r="125">
          <cell r="B125" t="str">
            <v>BRUNET</v>
          </cell>
          <cell r="C125" t="str">
            <v>YVES</v>
          </cell>
          <cell r="D125" t="str">
            <v>BOURSEUL</v>
          </cell>
          <cell r="E125">
            <v>22130</v>
          </cell>
          <cell r="F125" t="str">
            <v>LAUNAY</v>
          </cell>
          <cell r="G125">
            <v>982122557</v>
          </cell>
          <cell r="I125" t="str">
            <v>aybrunet@gmail.com</v>
          </cell>
          <cell r="N125" t="str">
            <v>M.</v>
          </cell>
        </row>
        <row r="126">
          <cell r="B126" t="str">
            <v>BUHOT-BARON</v>
          </cell>
          <cell r="D126" t="str">
            <v>Pacé</v>
          </cell>
          <cell r="E126">
            <v>35740</v>
          </cell>
          <cell r="F126" t="str">
            <v>Le Chêne Marbot</v>
          </cell>
          <cell r="H126">
            <v>676519737</v>
          </cell>
          <cell r="I126" t="str">
            <v>mat-yeux@hotmail.fr</v>
          </cell>
          <cell r="J126" t="str">
            <v>Rennes</v>
          </cell>
          <cell r="K126">
            <v>35000</v>
          </cell>
          <cell r="L126" t="str">
            <v>15 allée geoffroy de pontblanc</v>
          </cell>
          <cell r="N126" t="str">
            <v>M. et Mme</v>
          </cell>
        </row>
        <row r="127">
          <cell r="B127" t="str">
            <v>BULLIER</v>
          </cell>
          <cell r="C127" t="str">
            <v>Bastien</v>
          </cell>
          <cell r="D127" t="str">
            <v>Mohon</v>
          </cell>
          <cell r="E127">
            <v>56490</v>
          </cell>
          <cell r="F127" t="str">
            <v>ZA St Marc</v>
          </cell>
          <cell r="G127">
            <v>297939217</v>
          </cell>
          <cell r="H127">
            <v>698356008</v>
          </cell>
          <cell r="I127" t="str">
            <v>bbullier.ocre@orange.fr</v>
          </cell>
          <cell r="M127" t="str">
            <v>OCRE</v>
          </cell>
        </row>
        <row r="128">
          <cell r="B128" t="str">
            <v>BURLOT-CUEFF</v>
          </cell>
          <cell r="D128" t="str">
            <v>Ploufragan</v>
          </cell>
          <cell r="E128">
            <v>22440</v>
          </cell>
          <cell r="F128" t="str">
            <v>Chemin de la lande aux grinsailles</v>
          </cell>
          <cell r="H128">
            <v>685544300</v>
          </cell>
          <cell r="I128" t="str">
            <v>jacques.burlot@orange.fr</v>
          </cell>
          <cell r="J128" t="str">
            <v>Ploufragan</v>
          </cell>
          <cell r="K128">
            <v>22440</v>
          </cell>
          <cell r="L128" t="str">
            <v>34, rue des grinsailles</v>
          </cell>
          <cell r="N128" t="str">
            <v>M.et Mme</v>
          </cell>
        </row>
        <row r="129">
          <cell r="B129" t="str">
            <v>CADORET</v>
          </cell>
          <cell r="C129" t="str">
            <v>Patrick</v>
          </cell>
          <cell r="D129" t="str">
            <v>Fréhel</v>
          </cell>
          <cell r="E129">
            <v>22240</v>
          </cell>
          <cell r="F129" t="str">
            <v>Le Tertre Morgan</v>
          </cell>
          <cell r="H129">
            <v>677302360</v>
          </cell>
          <cell r="I129" t="str">
            <v>p-cado@orange.fr</v>
          </cell>
          <cell r="J129" t="str">
            <v>Vitré</v>
          </cell>
          <cell r="K129">
            <v>35500</v>
          </cell>
          <cell r="L129" t="str">
            <v>36 allé Rose des Vents</v>
          </cell>
          <cell r="M129" t="str">
            <v>SCI Le Tertre Morgan</v>
          </cell>
          <cell r="N129" t="str">
            <v>M.</v>
          </cell>
        </row>
        <row r="130">
          <cell r="B130" t="str">
            <v>CAILLARD</v>
          </cell>
          <cell r="C130" t="str">
            <v>Yves</v>
          </cell>
          <cell r="D130" t="str">
            <v>Vezin-le-Coquet</v>
          </cell>
          <cell r="E130">
            <v>35132</v>
          </cell>
          <cell r="F130" t="str">
            <v>Le grand chevillé</v>
          </cell>
          <cell r="G130">
            <v>299645205</v>
          </cell>
          <cell r="I130" t="str">
            <v>caillard.yves@wanadoo.fr</v>
          </cell>
          <cell r="N130" t="str">
            <v>M.</v>
          </cell>
        </row>
        <row r="131">
          <cell r="B131" t="str">
            <v xml:space="preserve">CAILLEUX </v>
          </cell>
          <cell r="C131" t="str">
            <v>Fabien</v>
          </cell>
          <cell r="D131" t="str">
            <v>Plaudren</v>
          </cell>
          <cell r="E131">
            <v>56420</v>
          </cell>
          <cell r="F131" t="str">
            <v>2 Chemin du Moulin à Vent</v>
          </cell>
          <cell r="N131" t="str">
            <v>M.</v>
          </cell>
        </row>
        <row r="132">
          <cell r="B132" t="str">
            <v>CALLET</v>
          </cell>
          <cell r="C132" t="str">
            <v>Jean Michel</v>
          </cell>
          <cell r="D132" t="str">
            <v>Tinténiac</v>
          </cell>
          <cell r="E132">
            <v>35190</v>
          </cell>
          <cell r="G132" t="str">
            <v>02 99 23 00 64</v>
          </cell>
          <cell r="H132" t="str">
            <v>06 16 03 78 73</v>
          </cell>
        </row>
        <row r="133">
          <cell r="B133" t="str">
            <v>CAMARD</v>
          </cell>
          <cell r="D133" t="str">
            <v>Paimpont</v>
          </cell>
          <cell r="E133">
            <v>35380</v>
          </cell>
          <cell r="F133" t="str">
            <v>Le bas du tertre</v>
          </cell>
          <cell r="H133">
            <v>650111373</v>
          </cell>
          <cell r="I133" t="str">
            <v>home@tousazimuts.fr</v>
          </cell>
          <cell r="N133" t="str">
            <v>Mme</v>
          </cell>
        </row>
        <row r="134">
          <cell r="B134" t="str">
            <v>CANEL</v>
          </cell>
          <cell r="C134" t="str">
            <v>Christian</v>
          </cell>
          <cell r="D134" t="str">
            <v>Plouër-sur-Rance</v>
          </cell>
          <cell r="E134">
            <v>22490</v>
          </cell>
          <cell r="F134" t="str">
            <v>Couvé</v>
          </cell>
          <cell r="G134">
            <v>296868373</v>
          </cell>
          <cell r="H134">
            <v>685922479</v>
          </cell>
          <cell r="I134" t="str">
            <v>christian.canel@orange.fr</v>
          </cell>
          <cell r="L134" t="str">
            <v>13, rue Alfred Thillard</v>
          </cell>
          <cell r="N134" t="str">
            <v>M. et Mme</v>
          </cell>
        </row>
        <row r="135">
          <cell r="B135" t="str">
            <v>CARDOUX</v>
          </cell>
          <cell r="C135" t="str">
            <v>Sandra</v>
          </cell>
          <cell r="D135" t="str">
            <v>Mérillac</v>
          </cell>
          <cell r="E135">
            <v>22230</v>
          </cell>
          <cell r="F135" t="str">
            <v>La Ville au Geai</v>
          </cell>
          <cell r="H135">
            <v>675654324</v>
          </cell>
          <cell r="J135" t="str">
            <v>Mormant</v>
          </cell>
          <cell r="K135">
            <v>77720</v>
          </cell>
          <cell r="L135" t="str">
            <v>12 rue Charles de Gaulle</v>
          </cell>
          <cell r="N135" t="str">
            <v>Mme</v>
          </cell>
        </row>
        <row r="136">
          <cell r="B136" t="str">
            <v>CARISSAN</v>
          </cell>
          <cell r="D136" t="str">
            <v>Talensac</v>
          </cell>
          <cell r="E136">
            <v>35160</v>
          </cell>
          <cell r="F136" t="str">
            <v>1,La Bougetais</v>
          </cell>
          <cell r="G136">
            <v>299092713</v>
          </cell>
          <cell r="H136">
            <v>661122713</v>
          </cell>
          <cell r="I136" t="str">
            <v>dominiquecarissan@yahoo.fr</v>
          </cell>
          <cell r="N136" t="str">
            <v>M.</v>
          </cell>
        </row>
        <row r="137">
          <cell r="B137" t="str">
            <v>CECILLON</v>
          </cell>
          <cell r="D137" t="str">
            <v>Sévignac</v>
          </cell>
          <cell r="E137">
            <v>22250</v>
          </cell>
          <cell r="F137" t="str">
            <v>La villime</v>
          </cell>
          <cell r="G137">
            <v>256386077</v>
          </cell>
          <cell r="H137">
            <v>680404060</v>
          </cell>
          <cell r="I137" t="str">
            <v>cidre.jcecillon@gmail.com</v>
          </cell>
          <cell r="N137" t="str">
            <v>M.</v>
          </cell>
        </row>
        <row r="138">
          <cell r="B138" t="str">
            <v>CHABERT</v>
          </cell>
          <cell r="C138" t="str">
            <v>Antoine et Sophie</v>
          </cell>
          <cell r="D138" t="str">
            <v>Melesse</v>
          </cell>
          <cell r="E138">
            <v>35520</v>
          </cell>
          <cell r="F138" t="str">
            <v>Mainbuet</v>
          </cell>
          <cell r="H138" t="str">
            <v>06 20 50 34 80</v>
          </cell>
          <cell r="N138" t="str">
            <v>M. ou Mme</v>
          </cell>
        </row>
        <row r="139">
          <cell r="B139" t="str">
            <v>CHALMEL</v>
          </cell>
          <cell r="C139" t="str">
            <v>Arnaud</v>
          </cell>
          <cell r="D139" t="str">
            <v>Le Bodéo</v>
          </cell>
          <cell r="E139">
            <v>22320</v>
          </cell>
          <cell r="F139" t="str">
            <v>Le Gouet</v>
          </cell>
          <cell r="G139">
            <v>699353112</v>
          </cell>
          <cell r="I139" t="str">
            <v>liloulilou22@hotmail.com</v>
          </cell>
          <cell r="J139" t="str">
            <v>Langoat</v>
          </cell>
          <cell r="K139">
            <v>22450</v>
          </cell>
          <cell r="L139" t="str">
            <v>Le Launay</v>
          </cell>
          <cell r="N139" t="str">
            <v>M.Mme</v>
          </cell>
        </row>
        <row r="140">
          <cell r="B140" t="str">
            <v>CHAMBRIN</v>
          </cell>
          <cell r="D140" t="str">
            <v>Ploeuc-sur-Lié</v>
          </cell>
          <cell r="E140">
            <v>22150</v>
          </cell>
          <cell r="F140" t="str">
            <v>Gourmeneuf</v>
          </cell>
          <cell r="H140">
            <v>668972216</v>
          </cell>
          <cell r="I140" t="str">
            <v>contact@chambrin-bois.com</v>
          </cell>
          <cell r="N140" t="str">
            <v>SCI LES ATELIERS DE GOURMENEUF</v>
          </cell>
        </row>
        <row r="141">
          <cell r="B141" t="str">
            <v>CHAPIN</v>
          </cell>
          <cell r="C141" t="str">
            <v>Jérémy</v>
          </cell>
          <cell r="D141" t="str">
            <v>Ploeuc-sur-Lié</v>
          </cell>
          <cell r="E141">
            <v>22150</v>
          </cell>
          <cell r="F141" t="str">
            <v>La Noe Oreal</v>
          </cell>
          <cell r="G141">
            <v>688949086</v>
          </cell>
          <cell r="I141" t="str">
            <v>chatia.jeremy@neuf.fr</v>
          </cell>
          <cell r="N141" t="str">
            <v>M. et Mme</v>
          </cell>
        </row>
        <row r="142">
          <cell r="B142" t="str">
            <v>CHARLES</v>
          </cell>
          <cell r="C142" t="str">
            <v>Emilie</v>
          </cell>
          <cell r="D142" t="str">
            <v>Mecé</v>
          </cell>
          <cell r="E142">
            <v>35450</v>
          </cell>
          <cell r="F142" t="str">
            <v>4 B rue des Genêts</v>
          </cell>
          <cell r="G142">
            <v>781362427</v>
          </cell>
          <cell r="I142" t="str">
            <v>charles.emilie351@gmail.com</v>
          </cell>
          <cell r="N142" t="str">
            <v>M.</v>
          </cell>
        </row>
        <row r="143">
          <cell r="B143" t="str">
            <v>CHARLES</v>
          </cell>
          <cell r="C143" t="str">
            <v>Valentin</v>
          </cell>
          <cell r="D143" t="str">
            <v>Saint-Pierre-de-Plesguen</v>
          </cell>
          <cell r="E143">
            <v>35720</v>
          </cell>
          <cell r="F143" t="str">
            <v>La Ville Gicquel</v>
          </cell>
          <cell r="G143" t="str">
            <v>07 82 64 63 65</v>
          </cell>
          <cell r="I143" t="str">
            <v>valentincharles26@gmail.com</v>
          </cell>
          <cell r="N143" t="str">
            <v>M.</v>
          </cell>
        </row>
        <row r="144">
          <cell r="B144" t="str">
            <v>CHARTE</v>
          </cell>
          <cell r="C144" t="str">
            <v>Pierre</v>
          </cell>
          <cell r="D144" t="str">
            <v>Pacé</v>
          </cell>
          <cell r="E144">
            <v>35740</v>
          </cell>
          <cell r="F144" t="str">
            <v>1,bvd de la Duchesse Anne</v>
          </cell>
          <cell r="G144">
            <v>299856777</v>
          </cell>
          <cell r="I144" t="str">
            <v>pierre.charte@orange.fr</v>
          </cell>
          <cell r="N144" t="str">
            <v>M.</v>
          </cell>
        </row>
        <row r="145">
          <cell r="B145" t="str">
            <v>CHARTIER</v>
          </cell>
          <cell r="D145" t="str">
            <v>Plaintel</v>
          </cell>
          <cell r="E145">
            <v>22940</v>
          </cell>
          <cell r="F145" t="str">
            <v>Le Pré andré</v>
          </cell>
          <cell r="G145" t="str">
            <v>02 96 32 53 03</v>
          </cell>
          <cell r="I145" t="str">
            <v>chartier-c@orange.fr</v>
          </cell>
          <cell r="N145" t="str">
            <v>M.et Mme</v>
          </cell>
        </row>
        <row r="146">
          <cell r="B146" t="str">
            <v>chastanet</v>
          </cell>
          <cell r="C146" t="str">
            <v>laurent</v>
          </cell>
          <cell r="D146" t="str">
            <v>Saint-Pierre-de-Plesguen</v>
          </cell>
          <cell r="E146">
            <v>35720</v>
          </cell>
          <cell r="F146" t="str">
            <v>la morvonnais</v>
          </cell>
          <cell r="G146" t="str">
            <v>06 10 24 82 88</v>
          </cell>
          <cell r="I146" t="str">
            <v>laurent.chastanet29@gmail.com</v>
          </cell>
        </row>
        <row r="147">
          <cell r="B147" t="str">
            <v>CHATAGNON</v>
          </cell>
          <cell r="C147" t="str">
            <v>Marie</v>
          </cell>
          <cell r="D147" t="str">
            <v>Gévezé</v>
          </cell>
          <cell r="E147">
            <v>35850</v>
          </cell>
          <cell r="F147" t="str">
            <v>le haut sevigne</v>
          </cell>
          <cell r="H147">
            <v>663980357</v>
          </cell>
          <cell r="I147" t="str">
            <v>mariechatagnon@hotmail.fr</v>
          </cell>
          <cell r="J147" t="str">
            <v>Rennes</v>
          </cell>
          <cell r="K147">
            <v>35000</v>
          </cell>
          <cell r="L147" t="str">
            <v>9, rue de la mabilais</v>
          </cell>
          <cell r="N147" t="str">
            <v>M. et Mme</v>
          </cell>
        </row>
        <row r="148">
          <cell r="B148" t="str">
            <v>CHAUMETTE</v>
          </cell>
          <cell r="D148" t="str">
            <v>Lancieux</v>
          </cell>
          <cell r="E148">
            <v>22770</v>
          </cell>
          <cell r="F148" t="str">
            <v>La Briantais</v>
          </cell>
          <cell r="G148">
            <v>321648174</v>
          </cell>
          <cell r="H148">
            <v>296863861</v>
          </cell>
          <cell r="I148" t="str">
            <v>chaumettede@free.fr</v>
          </cell>
          <cell r="J148" t="str">
            <v>Noeux-les-Mines</v>
          </cell>
          <cell r="K148">
            <v>62290</v>
          </cell>
          <cell r="L148" t="str">
            <v>421 Route Nationale</v>
          </cell>
          <cell r="N148" t="str">
            <v>M.</v>
          </cell>
        </row>
        <row r="149">
          <cell r="B149" t="str">
            <v>CHAUVEL</v>
          </cell>
          <cell r="C149" t="str">
            <v>Jean Claude</v>
          </cell>
          <cell r="D149" t="str">
            <v>Cintré</v>
          </cell>
          <cell r="E149">
            <v>35310</v>
          </cell>
          <cell r="F149" t="str">
            <v>La Boffetière</v>
          </cell>
          <cell r="G149" t="str">
            <v>02 99 64 07 32</v>
          </cell>
          <cell r="H149" t="str">
            <v>06 86 70 49 73</v>
          </cell>
          <cell r="I149" t="str">
            <v>jean-claude.chauvel@wanadoo.fr</v>
          </cell>
          <cell r="M149" t="str">
            <v>Entreprise CHAUVEL</v>
          </cell>
        </row>
        <row r="150">
          <cell r="B150" t="str">
            <v>CHAVET</v>
          </cell>
          <cell r="D150" t="str">
            <v>Hédé</v>
          </cell>
          <cell r="E150">
            <v>35630</v>
          </cell>
          <cell r="F150" t="str">
            <v>La lande es glets</v>
          </cell>
          <cell r="H150">
            <v>618943130</v>
          </cell>
          <cell r="I150" t="str">
            <v>val884@yahoo.fr</v>
          </cell>
          <cell r="J150" t="str">
            <v>Hédé</v>
          </cell>
          <cell r="K150">
            <v>35630</v>
          </cell>
          <cell r="L150" t="str">
            <v>20, rue de la motte</v>
          </cell>
          <cell r="N150" t="str">
            <v>M. et Mme</v>
          </cell>
        </row>
        <row r="151">
          <cell r="B151" t="str">
            <v>CHEREL</v>
          </cell>
          <cell r="C151" t="str">
            <v>Yves et Martine</v>
          </cell>
          <cell r="D151" t="str">
            <v>Pommeret</v>
          </cell>
          <cell r="E151">
            <v>22120</v>
          </cell>
          <cell r="F151" t="str">
            <v>Les Semis</v>
          </cell>
          <cell r="H151">
            <v>671077325</v>
          </cell>
          <cell r="I151" t="str">
            <v>yvescherel@sfr.fr</v>
          </cell>
          <cell r="J151" t="str">
            <v>Yffiniac</v>
          </cell>
          <cell r="K151">
            <v>22120</v>
          </cell>
          <cell r="L151" t="str">
            <v>2, rue de la Vielle Bosse</v>
          </cell>
          <cell r="N151" t="str">
            <v>M.et Mme</v>
          </cell>
        </row>
        <row r="152">
          <cell r="B152" t="str">
            <v>chevalier</v>
          </cell>
          <cell r="C152" t="str">
            <v>antoine</v>
          </cell>
          <cell r="D152" t="str">
            <v>Dingé</v>
          </cell>
          <cell r="E152">
            <v>35440</v>
          </cell>
          <cell r="F152" t="str">
            <v>21 avenue félicité de lamennais</v>
          </cell>
          <cell r="G152">
            <v>608255567</v>
          </cell>
          <cell r="I152" t="str">
            <v>antoinechevalier@hotmail.com</v>
          </cell>
          <cell r="N152" t="str">
            <v>M.</v>
          </cell>
        </row>
        <row r="153">
          <cell r="B153" t="str">
            <v>CHOYEAU</v>
          </cell>
          <cell r="C153" t="str">
            <v>Nikolas</v>
          </cell>
          <cell r="D153" t="str">
            <v>Ploubalay</v>
          </cell>
          <cell r="E153">
            <v>22650</v>
          </cell>
          <cell r="F153" t="str">
            <v>Le Fresne</v>
          </cell>
          <cell r="H153">
            <v>699734089</v>
          </cell>
          <cell r="I153" t="str">
            <v>nikolas.choyeau@gmail.com</v>
          </cell>
          <cell r="N153" t="str">
            <v>M.</v>
          </cell>
        </row>
        <row r="154">
          <cell r="B154" t="str">
            <v>CLAUDE</v>
          </cell>
          <cell r="C154" t="str">
            <v>Gilles</v>
          </cell>
          <cell r="D154" t="str">
            <v>Monterfil</v>
          </cell>
          <cell r="E154">
            <v>35160</v>
          </cell>
          <cell r="F154" t="str">
            <v>Les hautes couettes</v>
          </cell>
          <cell r="H154">
            <v>661838029</v>
          </cell>
          <cell r="I154" t="str">
            <v>apercurennes@free.fr</v>
          </cell>
          <cell r="N154" t="str">
            <v>M</v>
          </cell>
        </row>
        <row r="155">
          <cell r="B155" t="str">
            <v>CLEMENDOT</v>
          </cell>
          <cell r="C155" t="str">
            <v>Rodolphe</v>
          </cell>
          <cell r="D155" t="str">
            <v>Plerguer</v>
          </cell>
          <cell r="E155">
            <v>35540</v>
          </cell>
          <cell r="F155" t="str">
            <v>Painfour</v>
          </cell>
          <cell r="H155">
            <v>613418638</v>
          </cell>
          <cell r="I155" t="str">
            <v>clemendot@hotmail.com</v>
          </cell>
          <cell r="N155" t="str">
            <v>M.</v>
          </cell>
        </row>
        <row r="156">
          <cell r="B156" t="str">
            <v>CLISSON</v>
          </cell>
          <cell r="D156" t="str">
            <v>Parthenay-de-Bretagne</v>
          </cell>
          <cell r="E156">
            <v>35850</v>
          </cell>
          <cell r="F156" t="str">
            <v>Les peignes</v>
          </cell>
          <cell r="H156">
            <v>684209753</v>
          </cell>
          <cell r="I156" t="str">
            <v>oclisson2@wanadoo.fr</v>
          </cell>
          <cell r="N156" t="str">
            <v>M.</v>
          </cell>
        </row>
        <row r="157">
          <cell r="B157" t="str">
            <v>COCHERIL</v>
          </cell>
          <cell r="D157" t="str">
            <v>Champs-Géraux (Les)</v>
          </cell>
          <cell r="E157">
            <v>22630</v>
          </cell>
          <cell r="F157" t="str">
            <v>l'oiseau bleu</v>
          </cell>
          <cell r="H157">
            <v>699685906</v>
          </cell>
          <cell r="I157" t="str">
            <v>alain.cocheril@orange.fr</v>
          </cell>
          <cell r="N157" t="str">
            <v>M.et Mme</v>
          </cell>
        </row>
        <row r="158">
          <cell r="B158" t="str">
            <v>Cocheril</v>
          </cell>
          <cell r="D158" t="str">
            <v>Champs-Géraux (Les)</v>
          </cell>
          <cell r="E158">
            <v>22630</v>
          </cell>
          <cell r="F158" t="str">
            <v>Oiseau bleu</v>
          </cell>
          <cell r="H158">
            <v>699685906</v>
          </cell>
          <cell r="I158" t="str">
            <v>alain.cocheril@orange.fr</v>
          </cell>
          <cell r="N158" t="str">
            <v>M. et Mme</v>
          </cell>
        </row>
        <row r="159">
          <cell r="B159" t="str">
            <v>COHIER</v>
          </cell>
          <cell r="D159" t="str">
            <v>Bédée</v>
          </cell>
          <cell r="E159">
            <v>35137</v>
          </cell>
          <cell r="F159" t="str">
            <v>Le Faillet</v>
          </cell>
          <cell r="H159">
            <v>633175012</v>
          </cell>
          <cell r="I159" t="str">
            <v>lalandeamandine@yahoo.fr</v>
          </cell>
          <cell r="N159" t="str">
            <v>M.et Mme</v>
          </cell>
        </row>
        <row r="160">
          <cell r="B160" t="str">
            <v>COLIN</v>
          </cell>
          <cell r="C160" t="str">
            <v>Gilles</v>
          </cell>
          <cell r="D160" t="str">
            <v>Pleumeur-Bodou</v>
          </cell>
          <cell r="E160">
            <v>22560</v>
          </cell>
          <cell r="F160" t="str">
            <v>convenant capet</v>
          </cell>
          <cell r="G160">
            <v>662431382</v>
          </cell>
          <cell r="I160" t="str">
            <v>gilles_colin@orange.fr</v>
          </cell>
          <cell r="J160" t="str">
            <v>Trébeurden</v>
          </cell>
          <cell r="K160">
            <v>22560</v>
          </cell>
          <cell r="L160" t="str">
            <v>15,rue lan ar cleis</v>
          </cell>
          <cell r="N160" t="str">
            <v>M.</v>
          </cell>
        </row>
        <row r="161">
          <cell r="B161" t="str">
            <v>collard</v>
          </cell>
          <cell r="C161" t="str">
            <v>alain</v>
          </cell>
          <cell r="D161" t="str">
            <v>Québriac</v>
          </cell>
          <cell r="E161">
            <v>35190</v>
          </cell>
          <cell r="F161" t="str">
            <v>la hairie</v>
          </cell>
          <cell r="G161">
            <v>611808884</v>
          </cell>
          <cell r="I161" t="str">
            <v>alain.collard@wurth.fr</v>
          </cell>
        </row>
        <row r="162">
          <cell r="B162" t="str">
            <v>COLLEU</v>
          </cell>
          <cell r="D162" t="str">
            <v>Gomené</v>
          </cell>
          <cell r="E162">
            <v>22230</v>
          </cell>
          <cell r="F162" t="str">
            <v>la touche couesbot</v>
          </cell>
          <cell r="H162">
            <v>608765795</v>
          </cell>
          <cell r="I162" t="str">
            <v>colleuregis@hotmail.com</v>
          </cell>
          <cell r="N162" t="str">
            <v>M.</v>
          </cell>
        </row>
        <row r="163">
          <cell r="B163" t="str">
            <v>COLOMBE</v>
          </cell>
          <cell r="C163" t="str">
            <v>Damien</v>
          </cell>
          <cell r="D163" t="str">
            <v>Feins</v>
          </cell>
          <cell r="E163">
            <v>35440</v>
          </cell>
          <cell r="F163" t="str">
            <v>2, le Breil</v>
          </cell>
          <cell r="H163">
            <v>607413835</v>
          </cell>
          <cell r="I163" t="str">
            <v>colombe.damien@gmail.com</v>
          </cell>
          <cell r="N163" t="str">
            <v>M.</v>
          </cell>
        </row>
        <row r="164">
          <cell r="B164" t="str">
            <v>COLOMBEL</v>
          </cell>
          <cell r="D164" t="str">
            <v>Pluduno</v>
          </cell>
          <cell r="E164">
            <v>22130</v>
          </cell>
          <cell r="F164" t="str">
            <v>Le Pont Haie</v>
          </cell>
          <cell r="G164">
            <v>296842327</v>
          </cell>
          <cell r="I164" t="str">
            <v>madele.colombel@orange.fr</v>
          </cell>
          <cell r="N164" t="str">
            <v>M.et Mme</v>
          </cell>
        </row>
        <row r="165">
          <cell r="B165" t="str">
            <v>COMBE</v>
          </cell>
          <cell r="C165" t="str">
            <v>Patrick</v>
          </cell>
          <cell r="D165" t="str">
            <v>Saint-Pierre-de-Plesguen</v>
          </cell>
          <cell r="E165">
            <v>35720</v>
          </cell>
          <cell r="F165" t="str">
            <v>16, Impasse Docteur Guiot 35400 Saint-Malo</v>
          </cell>
          <cell r="G165">
            <v>616863967</v>
          </cell>
          <cell r="I165" t="str">
            <v>patrick.combe38@sfr.fr</v>
          </cell>
        </row>
        <row r="166">
          <cell r="B166" t="str">
            <v>CONRAD</v>
          </cell>
          <cell r="D166" t="str">
            <v>Dingé</v>
          </cell>
          <cell r="E166">
            <v>35440</v>
          </cell>
          <cell r="F166" t="str">
            <v>La motte aux anglais</v>
          </cell>
          <cell r="G166">
            <v>299450041</v>
          </cell>
          <cell r="I166" t="str">
            <v>conradbelaud@free.fr</v>
          </cell>
          <cell r="N166" t="str">
            <v>Mme</v>
          </cell>
        </row>
        <row r="167">
          <cell r="B167" t="str">
            <v>CONSTANT</v>
          </cell>
          <cell r="C167" t="str">
            <v>Denis</v>
          </cell>
          <cell r="D167" t="str">
            <v>Epiniac</v>
          </cell>
          <cell r="E167">
            <v>35120</v>
          </cell>
          <cell r="F167" t="str">
            <v>la bigotière</v>
          </cell>
          <cell r="G167">
            <v>299522009</v>
          </cell>
          <cell r="I167" t="str">
            <v>acdc.do@wanadoo.fr</v>
          </cell>
          <cell r="J167" t="str">
            <v>Noyal-Châtillon-sur-Seiche</v>
          </cell>
          <cell r="K167">
            <v>35230</v>
          </cell>
          <cell r="L167" t="str">
            <v>brais</v>
          </cell>
          <cell r="N167" t="str">
            <v>M.</v>
          </cell>
        </row>
        <row r="168">
          <cell r="B168" t="str">
            <v>CORBEL</v>
          </cell>
          <cell r="C168" t="str">
            <v>Dominique</v>
          </cell>
          <cell r="D168" t="str">
            <v>Ploërmel</v>
          </cell>
          <cell r="E168">
            <v>56800</v>
          </cell>
          <cell r="F168" t="str">
            <v>PA Le Bois Vert Rue Fernand Forest</v>
          </cell>
          <cell r="H168" t="str">
            <v>06 11 15 63 31</v>
          </cell>
          <cell r="I168" t="str">
            <v>dir@broceliande-paysage.fr</v>
          </cell>
          <cell r="M168" t="str">
            <v>BROCELIANDE PAYSAGE</v>
          </cell>
        </row>
        <row r="169">
          <cell r="B169" t="str">
            <v>CORLAY</v>
          </cell>
          <cell r="C169" t="str">
            <v>Gilles</v>
          </cell>
          <cell r="D169" t="str">
            <v>Ploeuc-sur-Lié</v>
          </cell>
          <cell r="E169">
            <v>22150</v>
          </cell>
          <cell r="F169" t="str">
            <v>La Noe Oréal</v>
          </cell>
          <cell r="H169">
            <v>660673177</v>
          </cell>
          <cell r="I169" t="str">
            <v>gilles.corlay@priskalia.fr</v>
          </cell>
          <cell r="N169" t="str">
            <v>M.</v>
          </cell>
        </row>
        <row r="170">
          <cell r="B170" t="str">
            <v>CORVELLEC</v>
          </cell>
          <cell r="C170" t="str">
            <v>Eva</v>
          </cell>
          <cell r="D170" t="str">
            <v>Saint-Hilaire-des-Landes</v>
          </cell>
          <cell r="E170">
            <v>35140</v>
          </cell>
          <cell r="F170" t="str">
            <v>La Basse Foustais</v>
          </cell>
          <cell r="H170" t="str">
            <v>06 71 32 13 70</v>
          </cell>
          <cell r="N170" t="str">
            <v>Mme</v>
          </cell>
        </row>
        <row r="171">
          <cell r="B171" t="str">
            <v>COSSON</v>
          </cell>
          <cell r="D171" t="str">
            <v>Pleurtuit</v>
          </cell>
          <cell r="E171">
            <v>35730</v>
          </cell>
          <cell r="F171" t="str">
            <v>la haute touche</v>
          </cell>
          <cell r="H171">
            <v>663211516</v>
          </cell>
          <cell r="N171" t="str">
            <v>M. et Mme</v>
          </cell>
        </row>
        <row r="172">
          <cell r="B172" t="str">
            <v>COUASNON</v>
          </cell>
          <cell r="C172" t="str">
            <v>Jean Marc</v>
          </cell>
          <cell r="D172" t="str">
            <v>Mézières-sur-Couesnon</v>
          </cell>
          <cell r="E172">
            <v>35140</v>
          </cell>
          <cell r="F172" t="str">
            <v>La Croix des Pomeriaux</v>
          </cell>
          <cell r="G172" t="str">
            <v>02.99.38.07.53</v>
          </cell>
          <cell r="H172" t="str">
            <v>06.62.42.47.56</v>
          </cell>
          <cell r="I172" t="str">
            <v>jeanmarc.couasnon@sfr.fr</v>
          </cell>
          <cell r="J172" t="str">
            <v>Rennes</v>
          </cell>
          <cell r="K172">
            <v>35000</v>
          </cell>
          <cell r="L172" t="str">
            <v>122 Bis Rue d'Antrain</v>
          </cell>
          <cell r="N172" t="str">
            <v>M. et Mme</v>
          </cell>
        </row>
        <row r="173">
          <cell r="B173" t="str">
            <v>couet</v>
          </cell>
          <cell r="C173" t="str">
            <v>angeline</v>
          </cell>
          <cell r="D173" t="str">
            <v>Sévignac</v>
          </cell>
          <cell r="E173">
            <v>22250</v>
          </cell>
          <cell r="F173" t="str">
            <v>2 rue de provence</v>
          </cell>
          <cell r="G173">
            <v>670026068</v>
          </cell>
          <cell r="I173" t="str">
            <v>angeline.couet@yahoo.fr</v>
          </cell>
          <cell r="N173" t="str">
            <v>M.</v>
          </cell>
        </row>
        <row r="174">
          <cell r="B174" t="str">
            <v>COULOMBEL</v>
          </cell>
          <cell r="D174" t="str">
            <v>Guipel</v>
          </cell>
          <cell r="E174">
            <v>35440</v>
          </cell>
          <cell r="F174" t="str">
            <v>La Mare Delaune</v>
          </cell>
          <cell r="G174">
            <v>296864132</v>
          </cell>
          <cell r="H174">
            <v>658314354</v>
          </cell>
          <cell r="J174" t="str">
            <v>Plouasne</v>
          </cell>
          <cell r="K174">
            <v>22830</v>
          </cell>
          <cell r="L174" t="str">
            <v>Traveneuc</v>
          </cell>
          <cell r="N174" t="str">
            <v>Mme</v>
          </cell>
        </row>
        <row r="175">
          <cell r="B175" t="str">
            <v>COURTEILLE</v>
          </cell>
          <cell r="D175" t="str">
            <v>Saint-Étienne-en-Coglès</v>
          </cell>
          <cell r="E175">
            <v>35460</v>
          </cell>
          <cell r="F175" t="str">
            <v>La Maçonnais</v>
          </cell>
          <cell r="H175" t="str">
            <v>06 82 47 11 25</v>
          </cell>
          <cell r="I175" t="str">
            <v>marikben3@hotmail.fr</v>
          </cell>
          <cell r="N175" t="str">
            <v>M.et Mme</v>
          </cell>
        </row>
        <row r="176">
          <cell r="B176" t="str">
            <v>COUSIN</v>
          </cell>
          <cell r="C176" t="str">
            <v>Jean Philippe</v>
          </cell>
          <cell r="D176" t="str">
            <v>Guenroc</v>
          </cell>
          <cell r="E176">
            <v>22350</v>
          </cell>
          <cell r="F176" t="str">
            <v>Les fosses</v>
          </cell>
          <cell r="H176" t="str">
            <v>06 78 12 83 21</v>
          </cell>
          <cell r="I176" t="str">
            <v>cousinjeanphilippe@yahoo.fr</v>
          </cell>
          <cell r="N176" t="str">
            <v>M.</v>
          </cell>
        </row>
        <row r="177">
          <cell r="B177" t="str">
            <v>Couturier</v>
          </cell>
          <cell r="C177" t="str">
            <v>Christian</v>
          </cell>
          <cell r="D177" t="str">
            <v>Baguer-Morvan</v>
          </cell>
          <cell r="E177">
            <v>35120</v>
          </cell>
          <cell r="F177" t="str">
            <v>la sageais</v>
          </cell>
          <cell r="H177">
            <v>689032314</v>
          </cell>
          <cell r="I177" t="str">
            <v>christian.couturier@gmail.com</v>
          </cell>
          <cell r="N177" t="str">
            <v>M.</v>
          </cell>
        </row>
        <row r="178">
          <cell r="B178" t="str">
            <v>COUTURIER</v>
          </cell>
          <cell r="D178" t="str">
            <v>Planguenoual</v>
          </cell>
          <cell r="E178">
            <v>22400</v>
          </cell>
          <cell r="F178" t="str">
            <v>La croix Trinchant</v>
          </cell>
          <cell r="H178">
            <v>620203546</v>
          </cell>
          <cell r="I178" t="str">
            <v>couturier-lionel@wanadoo.fr</v>
          </cell>
          <cell r="J178" t="str">
            <v>Morainville</v>
          </cell>
          <cell r="K178">
            <v>28700</v>
          </cell>
          <cell r="L178" t="str">
            <v>12, Grande rue</v>
          </cell>
          <cell r="N178" t="str">
            <v>M.</v>
          </cell>
        </row>
        <row r="179">
          <cell r="B179" t="str">
            <v>COZIC</v>
          </cell>
          <cell r="C179" t="str">
            <v>Anthony</v>
          </cell>
          <cell r="D179" t="str">
            <v>Andel</v>
          </cell>
          <cell r="E179">
            <v>22400</v>
          </cell>
          <cell r="F179" t="str">
            <v>La Lande</v>
          </cell>
          <cell r="H179">
            <v>603576130</v>
          </cell>
          <cell r="I179" t="str">
            <v>Anthocozic@gmail.com</v>
          </cell>
          <cell r="J179" t="str">
            <v>Méaugon (La)</v>
          </cell>
          <cell r="K179">
            <v>22440</v>
          </cell>
          <cell r="L179" t="str">
            <v>10 rue les longs champs</v>
          </cell>
          <cell r="N179" t="str">
            <v>M.</v>
          </cell>
        </row>
        <row r="180">
          <cell r="B180" t="str">
            <v>CRESCI</v>
          </cell>
          <cell r="C180" t="str">
            <v>Aurélien</v>
          </cell>
          <cell r="D180" t="str">
            <v>Dingé</v>
          </cell>
          <cell r="E180">
            <v>35440</v>
          </cell>
          <cell r="F180" t="str">
            <v>La Chiffardière</v>
          </cell>
          <cell r="H180" t="str">
            <v>06 48 96 93 58</v>
          </cell>
          <cell r="I180" t="str">
            <v>cresciaur@gmail.com</v>
          </cell>
          <cell r="J180" t="str">
            <v>Cesson-Sévigné</v>
          </cell>
          <cell r="K180">
            <v>35510</v>
          </cell>
          <cell r="L180" t="str">
            <v>10, rue de la Chalotais</v>
          </cell>
          <cell r="N180" t="str">
            <v>M.</v>
          </cell>
        </row>
        <row r="181">
          <cell r="B181" t="str">
            <v>CRUBLET</v>
          </cell>
          <cell r="D181" t="str">
            <v>Chevaigné</v>
          </cell>
          <cell r="E181">
            <v>35250</v>
          </cell>
          <cell r="F181" t="str">
            <v>6, Quenon</v>
          </cell>
          <cell r="N181" t="str">
            <v>M.et Mme</v>
          </cell>
        </row>
        <row r="182">
          <cell r="B182" t="str">
            <v>CUILLANDRE</v>
          </cell>
          <cell r="D182" t="str">
            <v>Iffendic</v>
          </cell>
          <cell r="E182">
            <v>35750</v>
          </cell>
          <cell r="F182" t="str">
            <v>La Besnerais</v>
          </cell>
          <cell r="H182">
            <v>628057237</v>
          </cell>
          <cell r="I182" t="str">
            <v>julien.cuillandre@laposte.net</v>
          </cell>
          <cell r="J182" t="str">
            <v>Hermitage (L')</v>
          </cell>
          <cell r="K182">
            <v>35590</v>
          </cell>
          <cell r="L182" t="str">
            <v>23B Rue Ernest Renan</v>
          </cell>
          <cell r="N182" t="str">
            <v>M.</v>
          </cell>
        </row>
        <row r="183">
          <cell r="B183" t="str">
            <v>DAGORNE</v>
          </cell>
          <cell r="D183" t="str">
            <v>Planguenoual</v>
          </cell>
          <cell r="E183">
            <v>22400</v>
          </cell>
          <cell r="F183" t="str">
            <v>17, Treutran</v>
          </cell>
          <cell r="G183">
            <v>296333311</v>
          </cell>
          <cell r="H183">
            <v>640366447</v>
          </cell>
          <cell r="I183" t="str">
            <v>polodagorne@gmail.com</v>
          </cell>
          <cell r="N183" t="str">
            <v>M.et Mme</v>
          </cell>
        </row>
        <row r="184">
          <cell r="B184" t="str">
            <v>daignan</v>
          </cell>
          <cell r="C184" t="str">
            <v>marianne</v>
          </cell>
          <cell r="D184" t="str">
            <v>Lancieux</v>
          </cell>
          <cell r="E184">
            <v>22770</v>
          </cell>
          <cell r="F184" t="str">
            <v>17 rue de la rÃ©publique</v>
          </cell>
          <cell r="G184">
            <v>617894499</v>
          </cell>
          <cell r="I184" t="str">
            <v>m.daignan@laposte.net</v>
          </cell>
        </row>
        <row r="185">
          <cell r="B185" t="str">
            <v>DANIEL</v>
          </cell>
          <cell r="C185" t="str">
            <v>Pascal</v>
          </cell>
          <cell r="D185" t="str">
            <v>LE MERZER</v>
          </cell>
          <cell r="E185">
            <v>22200</v>
          </cell>
          <cell r="F185" t="str">
            <v>3 Kerstang</v>
          </cell>
          <cell r="G185" t="str">
            <v>02 96 44 94 04</v>
          </cell>
          <cell r="I185" t="str">
            <v>danielpaysage@wanadoo.fr</v>
          </cell>
          <cell r="M185" t="str">
            <v>DANIEL PAYSAGE</v>
          </cell>
        </row>
        <row r="186">
          <cell r="B186" t="str">
            <v>DANIEL</v>
          </cell>
          <cell r="C186" t="str">
            <v>Laëtitia</v>
          </cell>
          <cell r="D186" t="str">
            <v>Baussaine (La)</v>
          </cell>
          <cell r="E186">
            <v>35190</v>
          </cell>
          <cell r="F186" t="str">
            <v>La Garde</v>
          </cell>
          <cell r="G186" t="str">
            <v>02 99 73 88 61</v>
          </cell>
          <cell r="N186" t="str">
            <v>Mme</v>
          </cell>
        </row>
        <row r="187">
          <cell r="B187" t="str">
            <v>DARU</v>
          </cell>
          <cell r="C187" t="str">
            <v>Gaëlle</v>
          </cell>
          <cell r="D187" t="str">
            <v>Taden</v>
          </cell>
          <cell r="E187">
            <v>22100</v>
          </cell>
          <cell r="F187" t="str">
            <v>Saint-Valay</v>
          </cell>
          <cell r="H187" t="str">
            <v>06 77 89 48 11</v>
          </cell>
          <cell r="I187" t="str">
            <v>gaelledaru@yahoo.com</v>
          </cell>
        </row>
        <row r="188">
          <cell r="B188" t="str">
            <v>DAUCE</v>
          </cell>
          <cell r="C188" t="str">
            <v>Aurélien</v>
          </cell>
          <cell r="D188" t="str">
            <v>Matignon</v>
          </cell>
          <cell r="E188">
            <v>22550</v>
          </cell>
          <cell r="F188" t="str">
            <v>Saint Gallery</v>
          </cell>
          <cell r="H188" t="str">
            <v>06 24 16 12 43</v>
          </cell>
          <cell r="I188" t="str">
            <v>kayzen@hotmail.fr</v>
          </cell>
          <cell r="J188" t="str">
            <v>Matignon</v>
          </cell>
          <cell r="K188">
            <v>22550</v>
          </cell>
          <cell r="L188" t="str">
            <v>11 rue du Heume</v>
          </cell>
          <cell r="N188" t="str">
            <v>M.</v>
          </cell>
        </row>
        <row r="189">
          <cell r="B189" t="str">
            <v>DAVID</v>
          </cell>
          <cell r="C189" t="str">
            <v>Fabien</v>
          </cell>
          <cell r="D189" t="str">
            <v>Gacilly (La)</v>
          </cell>
          <cell r="E189">
            <v>56200</v>
          </cell>
          <cell r="F189" t="str">
            <v>9 rue des échanges ZA DE LA LANDELLE</v>
          </cell>
          <cell r="G189">
            <v>253358580</v>
          </cell>
          <cell r="H189">
            <v>610293203</v>
          </cell>
          <cell r="I189" t="str">
            <v>fabien.david.tp@orange.fr</v>
          </cell>
          <cell r="M189" t="str">
            <v>DAVID Fabrien TP</v>
          </cell>
        </row>
        <row r="190">
          <cell r="B190" t="str">
            <v>DAVY</v>
          </cell>
          <cell r="D190" t="str">
            <v>Laurenan</v>
          </cell>
          <cell r="E190">
            <v>22230</v>
          </cell>
          <cell r="F190" t="str">
            <v>cargouet</v>
          </cell>
          <cell r="H190" t="str">
            <v>06 60 85 10 52</v>
          </cell>
          <cell r="I190" t="str">
            <v>franckdavy@free.fr</v>
          </cell>
          <cell r="J190" t="str">
            <v>Loudéac</v>
          </cell>
          <cell r="K190">
            <v>22600</v>
          </cell>
          <cell r="L190" t="str">
            <v>8, la croix chanvril</v>
          </cell>
          <cell r="N190" t="str">
            <v>M.</v>
          </cell>
        </row>
        <row r="191">
          <cell r="B191" t="str">
            <v>DE LA PESCHARDIERE</v>
          </cell>
          <cell r="D191" t="str">
            <v>Iffendic</v>
          </cell>
          <cell r="E191">
            <v>35750</v>
          </cell>
          <cell r="F191" t="str">
            <v>Château de Treguil</v>
          </cell>
          <cell r="H191">
            <v>660494510</v>
          </cell>
          <cell r="I191" t="str">
            <v>arfresneau@gmail.com</v>
          </cell>
          <cell r="N191" t="str">
            <v>M.et Mme</v>
          </cell>
        </row>
        <row r="192">
          <cell r="B192" t="str">
            <v>DE LAUNAY</v>
          </cell>
          <cell r="D192" t="str">
            <v>Étables-sur-Mer</v>
          </cell>
          <cell r="E192">
            <v>22680</v>
          </cell>
          <cell r="F192" t="str">
            <v>20, rue du Caruhel</v>
          </cell>
          <cell r="G192">
            <v>296708401</v>
          </cell>
          <cell r="I192" t="str">
            <v>sabine.delaunay@free.fr</v>
          </cell>
          <cell r="N192" t="str">
            <v>M.Mme</v>
          </cell>
        </row>
        <row r="193">
          <cell r="B193" t="str">
            <v>DE QUEIROZ</v>
          </cell>
          <cell r="D193" t="str">
            <v>Saint-Thual</v>
          </cell>
          <cell r="E193">
            <v>35190</v>
          </cell>
          <cell r="F193" t="str">
            <v>La pichoterie</v>
          </cell>
          <cell r="N193" t="str">
            <v>M. et Mme</v>
          </cell>
        </row>
        <row r="194">
          <cell r="B194" t="str">
            <v>DEBOOS</v>
          </cell>
          <cell r="D194" t="str">
            <v>Médréac</v>
          </cell>
          <cell r="E194">
            <v>35360</v>
          </cell>
          <cell r="F194" t="str">
            <v>La basse Bouèxiere</v>
          </cell>
          <cell r="G194" t="str">
            <v xml:space="preserve"> 02 99 07 20 45</v>
          </cell>
          <cell r="I194" t="str">
            <v>corinne.deboos@orange.fr</v>
          </cell>
          <cell r="N194" t="str">
            <v>M.et Mme</v>
          </cell>
        </row>
        <row r="195">
          <cell r="B195" t="str">
            <v>DECKER</v>
          </cell>
          <cell r="D195" t="str">
            <v>Ploubalay</v>
          </cell>
          <cell r="E195">
            <v>22650</v>
          </cell>
          <cell r="F195" t="str">
            <v>La Marquerais</v>
          </cell>
          <cell r="G195">
            <v>977493533</v>
          </cell>
          <cell r="I195" t="str">
            <v>bertrand.decker@wanadoo.fr</v>
          </cell>
          <cell r="N195" t="str">
            <v>M.</v>
          </cell>
        </row>
        <row r="196">
          <cell r="B196" t="str">
            <v>Declercq</v>
          </cell>
          <cell r="C196" t="str">
            <v>Benoit</v>
          </cell>
          <cell r="D196" t="str">
            <v>Plouasne</v>
          </cell>
          <cell r="E196">
            <v>22830</v>
          </cell>
          <cell r="F196" t="str">
            <v>La buffrais</v>
          </cell>
          <cell r="G196" t="str">
            <v>0223284020(pro)</v>
          </cell>
          <cell r="H196">
            <v>619305969</v>
          </cell>
          <cell r="I196" t="str">
            <v>bennouni@hotmail.com</v>
          </cell>
          <cell r="J196" t="str">
            <v>Melesse</v>
          </cell>
          <cell r="K196">
            <v>35520</v>
          </cell>
          <cell r="L196" t="str">
            <v>la cunardiere</v>
          </cell>
          <cell r="N196" t="str">
            <v>M.</v>
          </cell>
        </row>
        <row r="197">
          <cell r="B197" t="str">
            <v>DEHEEGER</v>
          </cell>
          <cell r="C197" t="str">
            <v>Régis</v>
          </cell>
          <cell r="D197" t="str">
            <v>Tinténiac</v>
          </cell>
          <cell r="E197">
            <v>35190</v>
          </cell>
          <cell r="F197" t="str">
            <v>La touche aux Aubry</v>
          </cell>
          <cell r="G197">
            <v>299680094</v>
          </cell>
          <cell r="I197" t="str">
            <v>rdeh0free.fr</v>
          </cell>
          <cell r="N197" t="str">
            <v>M.</v>
          </cell>
        </row>
        <row r="198">
          <cell r="B198" t="str">
            <v>DEHN</v>
          </cell>
          <cell r="C198" t="str">
            <v>Christian</v>
          </cell>
          <cell r="D198" t="str">
            <v>Pleugueneuc</v>
          </cell>
          <cell r="E198">
            <v>35720</v>
          </cell>
          <cell r="F198" t="str">
            <v>5, La Coudraie</v>
          </cell>
          <cell r="H198" t="str">
            <v xml:space="preserve">06 08 98 83 54 </v>
          </cell>
          <cell r="I198" t="str">
            <v>c.d.5@gmx.fr</v>
          </cell>
          <cell r="N198" t="str">
            <v>M.</v>
          </cell>
        </row>
        <row r="199">
          <cell r="B199" t="str">
            <v>DELABROISE</v>
          </cell>
          <cell r="D199" t="str">
            <v>Lanrigan</v>
          </cell>
          <cell r="E199">
            <v>35270</v>
          </cell>
          <cell r="F199" t="str">
            <v>La Ville Basse</v>
          </cell>
          <cell r="H199" t="str">
            <v xml:space="preserve"> 06 26 67 77 59</v>
          </cell>
          <cell r="I199" t="str">
            <v>skmdelabroise@free.fr</v>
          </cell>
          <cell r="N199" t="str">
            <v>M. et Mme</v>
          </cell>
        </row>
        <row r="200">
          <cell r="B200" t="str">
            <v>DELAGREE</v>
          </cell>
          <cell r="D200" t="str">
            <v>Clayes</v>
          </cell>
          <cell r="E200">
            <v>35590</v>
          </cell>
          <cell r="F200" t="str">
            <v>La riviere</v>
          </cell>
          <cell r="N200" t="str">
            <v>M.et Mme</v>
          </cell>
        </row>
        <row r="201">
          <cell r="B201" t="str">
            <v>DELAHAYE-FICHOU</v>
          </cell>
          <cell r="D201" t="str">
            <v>Saint-Méloir-des-Ondes</v>
          </cell>
          <cell r="E201">
            <v>35350</v>
          </cell>
          <cell r="F201" t="str">
            <v>La Ville Jean</v>
          </cell>
          <cell r="H201">
            <v>668691963</v>
          </cell>
          <cell r="I201" t="str">
            <v>bea.rousselin@gmail.com</v>
          </cell>
          <cell r="N201" t="str">
            <v>M.et Mme</v>
          </cell>
        </row>
        <row r="202">
          <cell r="B202" t="str">
            <v>DELONGLEE</v>
          </cell>
          <cell r="C202" t="str">
            <v>Thierry</v>
          </cell>
          <cell r="D202" t="str">
            <v>DOMAGNE</v>
          </cell>
          <cell r="E202">
            <v>35113</v>
          </cell>
          <cell r="F202" t="str">
            <v>La Claye Chaumeré</v>
          </cell>
          <cell r="G202" t="str">
            <v>02 99 37 16 96</v>
          </cell>
          <cell r="H202" t="str">
            <v>06 14 77 44 42</v>
          </cell>
          <cell r="I202" t="str">
            <v>lesjardins.delonglee35@wanadoo.fr</v>
          </cell>
          <cell r="M202" t="str">
            <v>Les Jardins Delonglée</v>
          </cell>
        </row>
        <row r="203">
          <cell r="B203" t="str">
            <v>DEMAURE</v>
          </cell>
          <cell r="C203" t="str">
            <v>Gerard</v>
          </cell>
          <cell r="D203" t="str">
            <v>Breteil</v>
          </cell>
          <cell r="E203">
            <v>35160</v>
          </cell>
          <cell r="F203" t="str">
            <v>Launay-Quéro</v>
          </cell>
          <cell r="I203" t="str">
            <v>gerard.demaure@wanadoo.fr</v>
          </cell>
          <cell r="M203" t="str">
            <v>Centre d'Affaires du Château de Launay-Quero</v>
          </cell>
          <cell r="N203" t="str">
            <v>M.</v>
          </cell>
        </row>
        <row r="204">
          <cell r="B204" t="str">
            <v>DENAYS</v>
          </cell>
          <cell r="C204" t="str">
            <v>Kevin</v>
          </cell>
          <cell r="D204" t="str">
            <v>Saint-André-des-Eaux</v>
          </cell>
          <cell r="E204">
            <v>22630</v>
          </cell>
          <cell r="F204" t="str">
            <v>penhouet</v>
          </cell>
          <cell r="H204">
            <v>681882393</v>
          </cell>
          <cell r="I204" t="str">
            <v>bakeux@gmail.com</v>
          </cell>
          <cell r="J204" t="str">
            <v>Évran</v>
          </cell>
          <cell r="K204">
            <v>22630</v>
          </cell>
          <cell r="L204" t="str">
            <v>10,residence des chênes</v>
          </cell>
          <cell r="N204" t="str">
            <v>M. et Mme</v>
          </cell>
        </row>
        <row r="205">
          <cell r="B205" t="str">
            <v>DENIS</v>
          </cell>
          <cell r="C205" t="str">
            <v>Bertrand</v>
          </cell>
          <cell r="D205" t="str">
            <v>Mouazé</v>
          </cell>
          <cell r="E205">
            <v>35250</v>
          </cell>
          <cell r="F205" t="str">
            <v>17 Le Val</v>
          </cell>
          <cell r="H205">
            <v>614313214</v>
          </cell>
          <cell r="I205" t="str">
            <v>denissbeb@yahoo.fr</v>
          </cell>
          <cell r="N205" t="str">
            <v>M.</v>
          </cell>
        </row>
        <row r="206">
          <cell r="B206" t="str">
            <v>DENOUAL</v>
          </cell>
          <cell r="C206" t="str">
            <v>Alain et Patricia</v>
          </cell>
          <cell r="D206" t="str">
            <v>Saint-André-des-Eaux</v>
          </cell>
          <cell r="E206">
            <v>22630</v>
          </cell>
          <cell r="F206" t="str">
            <v>le champ chevalier</v>
          </cell>
          <cell r="G206">
            <v>950605075</v>
          </cell>
          <cell r="I206" t="str">
            <v>familledenoual@outlook.fr</v>
          </cell>
          <cell r="N206" t="str">
            <v>M. et Mme</v>
          </cell>
        </row>
        <row r="207">
          <cell r="B207" t="str">
            <v>DEPAGNE</v>
          </cell>
          <cell r="C207" t="str">
            <v>Manuel</v>
          </cell>
          <cell r="D207" t="str">
            <v>Gommenec'h</v>
          </cell>
          <cell r="E207">
            <v>22290</v>
          </cell>
          <cell r="F207" t="str">
            <v>Kerignol</v>
          </cell>
          <cell r="G207">
            <v>296760819</v>
          </cell>
          <cell r="H207">
            <v>633420544</v>
          </cell>
          <cell r="N207" t="str">
            <v>M.</v>
          </cell>
        </row>
        <row r="208">
          <cell r="B208" t="str">
            <v>DERRIEN</v>
          </cell>
          <cell r="D208" t="str">
            <v>Tréméreuc</v>
          </cell>
          <cell r="E208">
            <v>22490</v>
          </cell>
          <cell r="F208" t="str">
            <v>23,rue de Dinan</v>
          </cell>
          <cell r="H208">
            <v>616364633</v>
          </cell>
          <cell r="I208" t="str">
            <v>marie.derrien@live.fr</v>
          </cell>
          <cell r="N208" t="str">
            <v>Mme</v>
          </cell>
        </row>
        <row r="209">
          <cell r="B209" t="str">
            <v>DERRIEN</v>
          </cell>
          <cell r="C209" t="str">
            <v>Marguerite</v>
          </cell>
          <cell r="D209" t="str">
            <v>Saint-Symphorien</v>
          </cell>
          <cell r="E209">
            <v>35630</v>
          </cell>
          <cell r="F209" t="str">
            <v>La Chatière à ST SYMPHORIEN 35630</v>
          </cell>
          <cell r="G209">
            <v>673766236</v>
          </cell>
          <cell r="I209" t="str">
            <v>marguerite_derrien@orange.fr</v>
          </cell>
          <cell r="N209" t="str">
            <v>M.</v>
          </cell>
        </row>
        <row r="210">
          <cell r="B210" t="str">
            <v>DESARTHE</v>
          </cell>
          <cell r="C210" t="str">
            <v>Yannick</v>
          </cell>
          <cell r="D210" t="str">
            <v>Paimpont</v>
          </cell>
          <cell r="E210">
            <v>35380</v>
          </cell>
          <cell r="F210" t="str">
            <v>Le Bout de Haut</v>
          </cell>
          <cell r="G210">
            <v>299078568</v>
          </cell>
          <cell r="I210" t="str">
            <v>sam3575@hotmail.fr</v>
          </cell>
          <cell r="N210" t="str">
            <v>M.</v>
          </cell>
        </row>
        <row r="211">
          <cell r="B211" t="str">
            <v>DESCHAMPS</v>
          </cell>
          <cell r="D211" t="str">
            <v>Saint-Symphorien</v>
          </cell>
          <cell r="E211">
            <v>35630</v>
          </cell>
          <cell r="F211" t="str">
            <v>4 Les livachères</v>
          </cell>
          <cell r="G211">
            <v>290560790</v>
          </cell>
          <cell r="H211">
            <v>614310565</v>
          </cell>
          <cell r="I211" t="str">
            <v>deschamps.nel@wanadoo.fr</v>
          </cell>
          <cell r="J211" t="str">
            <v>Saint-Jacques-de-la-Lande</v>
          </cell>
          <cell r="K211">
            <v>35136</v>
          </cell>
          <cell r="L211" t="str">
            <v>9 Allée Marcel Brossier</v>
          </cell>
          <cell r="N211" t="str">
            <v>Mme</v>
          </cell>
        </row>
        <row r="212">
          <cell r="B212" t="str">
            <v>DESHAMPS</v>
          </cell>
          <cell r="D212" t="str">
            <v>Mégrit</v>
          </cell>
          <cell r="E212">
            <v>22270</v>
          </cell>
          <cell r="F212" t="str">
            <v>Locriac</v>
          </cell>
          <cell r="H212" t="str">
            <v>06 33 48 52 21</v>
          </cell>
          <cell r="I212" t="str">
            <v>nassimakhettab@hotmail.com</v>
          </cell>
          <cell r="N212" t="str">
            <v>M.et Mme</v>
          </cell>
        </row>
        <row r="213">
          <cell r="B213" t="str">
            <v>DESROIS</v>
          </cell>
          <cell r="C213" t="str">
            <v>Jean</v>
          </cell>
          <cell r="D213" t="str">
            <v>Ploubalay</v>
          </cell>
          <cell r="E213">
            <v>22650</v>
          </cell>
          <cell r="F213" t="str">
            <v>La Ruais</v>
          </cell>
          <cell r="H213">
            <v>681824521</v>
          </cell>
          <cell r="I213" t="str">
            <v>jean.desrois@gmail.com</v>
          </cell>
          <cell r="N213" t="str">
            <v>M.</v>
          </cell>
        </row>
        <row r="214">
          <cell r="B214" t="str">
            <v>DESTRES-MORIN</v>
          </cell>
          <cell r="D214" t="str">
            <v>Tréfumel</v>
          </cell>
          <cell r="E214">
            <v>22630</v>
          </cell>
          <cell r="F214" t="str">
            <v>La Mare</v>
          </cell>
          <cell r="H214">
            <v>619601591</v>
          </cell>
          <cell r="I214" t="str">
            <v>antoine.destres@yahoo.fr</v>
          </cell>
          <cell r="J214" t="str">
            <v>Tréfumel</v>
          </cell>
          <cell r="K214">
            <v>22630</v>
          </cell>
          <cell r="L214" t="str">
            <v>La mare</v>
          </cell>
          <cell r="N214" t="str">
            <v>M.et Mme</v>
          </cell>
        </row>
        <row r="215">
          <cell r="B215" t="str">
            <v>DEVEAU - SOREL</v>
          </cell>
          <cell r="C215" t="str">
            <v>Sylvain</v>
          </cell>
          <cell r="D215" t="str">
            <v>Liffré</v>
          </cell>
          <cell r="E215">
            <v>35340</v>
          </cell>
          <cell r="F215" t="str">
            <v>La Baillée sous Champ Fleuri</v>
          </cell>
          <cell r="G215" t="str">
            <v>06 23 86 06 61</v>
          </cell>
          <cell r="H215" t="str">
            <v>06 23 86 06 61</v>
          </cell>
          <cell r="I215" t="str">
            <v>chrisyl@netcourrier.com</v>
          </cell>
          <cell r="N215" t="str">
            <v>M. et Mme</v>
          </cell>
        </row>
        <row r="216">
          <cell r="B216" t="str">
            <v>DEVILLELE et MARAY</v>
          </cell>
          <cell r="C216" t="str">
            <v>Fabien</v>
          </cell>
          <cell r="D216" t="str">
            <v>Redon</v>
          </cell>
          <cell r="E216">
            <v>35600</v>
          </cell>
          <cell r="F216" t="str">
            <v>18, Rue Henri GUERIN</v>
          </cell>
          <cell r="H216">
            <v>680908195</v>
          </cell>
          <cell r="J216" t="str">
            <v>Chapelle-de-Brain (La)</v>
          </cell>
          <cell r="K216">
            <v>35660</v>
          </cell>
          <cell r="L216" t="str">
            <v>38, Augon</v>
          </cell>
          <cell r="N216" t="str">
            <v>M. et Mme</v>
          </cell>
        </row>
        <row r="217">
          <cell r="B217" t="str">
            <v>DEVISME</v>
          </cell>
          <cell r="C217" t="str">
            <v>Ronan et Morgane</v>
          </cell>
          <cell r="D217" t="str">
            <v>NOUVOITOU</v>
          </cell>
          <cell r="E217">
            <v>35410</v>
          </cell>
          <cell r="F217" t="str">
            <v>La Ville en Peu</v>
          </cell>
          <cell r="G217" t="str">
            <v>02 99 05 18 61</v>
          </cell>
          <cell r="H217" t="str">
            <v>06 71 07 90 72</v>
          </cell>
          <cell r="I217" t="str">
            <v>even.morgane@wanadoo.fr</v>
          </cell>
          <cell r="N217" t="str">
            <v>Mr et Mme</v>
          </cell>
        </row>
        <row r="218">
          <cell r="B218" t="str">
            <v>DOCHY</v>
          </cell>
          <cell r="C218" t="str">
            <v xml:space="preserve">Jean-Claude </v>
          </cell>
          <cell r="D218" t="str">
            <v>Lanfains</v>
          </cell>
          <cell r="E218">
            <v>22800</v>
          </cell>
          <cell r="F218" t="str">
            <v>La ruine</v>
          </cell>
          <cell r="G218" t="str">
            <v>06 37 94 58 98</v>
          </cell>
          <cell r="I218" t="str">
            <v>dochydeuche@orange.fr</v>
          </cell>
          <cell r="N218" t="str">
            <v xml:space="preserve">Mr </v>
          </cell>
        </row>
        <row r="219">
          <cell r="B219" t="str">
            <v>DOLO</v>
          </cell>
          <cell r="D219" t="str">
            <v>Saint-Médard-sur-Ille</v>
          </cell>
          <cell r="E219">
            <v>35250</v>
          </cell>
          <cell r="F219" t="str">
            <v>La Bourrienne</v>
          </cell>
          <cell r="H219">
            <v>786130173</v>
          </cell>
          <cell r="I219" t="str">
            <v>ronan.dolo@yahoo.fr</v>
          </cell>
          <cell r="N219" t="str">
            <v>M. et Mme</v>
          </cell>
        </row>
        <row r="220">
          <cell r="B220" t="str">
            <v>DOUABIN</v>
          </cell>
          <cell r="C220" t="str">
            <v>David</v>
          </cell>
          <cell r="D220" t="str">
            <v>Québriac</v>
          </cell>
          <cell r="E220">
            <v>35190</v>
          </cell>
          <cell r="F220" t="str">
            <v>Le Rocher de la Ville Thébault</v>
          </cell>
          <cell r="H220" t="str">
            <v xml:space="preserve">06 60 03 42 63 </v>
          </cell>
          <cell r="I220" t="str">
            <v>daviddouabin@msn.com</v>
          </cell>
          <cell r="J220" t="str">
            <v>Hédé</v>
          </cell>
          <cell r="K220">
            <v>35630</v>
          </cell>
          <cell r="L220" t="str">
            <v>8, rue du Four</v>
          </cell>
          <cell r="N220" t="str">
            <v>M.</v>
          </cell>
        </row>
        <row r="221">
          <cell r="B221" t="str">
            <v>DOUARD</v>
          </cell>
          <cell r="C221" t="str">
            <v>Monique</v>
          </cell>
          <cell r="D221" t="str">
            <v>Pleumeur-Bodou</v>
          </cell>
          <cell r="E221">
            <v>22560</v>
          </cell>
          <cell r="F221" t="str">
            <v>30 rue des îles Ile Grande</v>
          </cell>
          <cell r="H221">
            <v>687293527</v>
          </cell>
          <cell r="I221" t="str">
            <v>rominetlr@hotmail.com</v>
          </cell>
          <cell r="J221" t="str">
            <v>Pleumeur-Bodou</v>
          </cell>
          <cell r="K221">
            <v>22560</v>
          </cell>
          <cell r="L221" t="str">
            <v>clos de Keryvon</v>
          </cell>
          <cell r="N221" t="str">
            <v>Mme</v>
          </cell>
        </row>
        <row r="222">
          <cell r="B222" t="str">
            <v>DOUARD</v>
          </cell>
          <cell r="D222" t="str">
            <v>Saint-Rémy-du-Plain</v>
          </cell>
          <cell r="E222">
            <v>35560</v>
          </cell>
          <cell r="F222" t="str">
            <v>Les fanoel</v>
          </cell>
          <cell r="G222">
            <v>671163192</v>
          </cell>
          <cell r="N222" t="str">
            <v>Mme</v>
          </cell>
        </row>
        <row r="223">
          <cell r="B223" t="str">
            <v>DOUARD / BOUTIER</v>
          </cell>
          <cell r="D223" t="str">
            <v>Guipel</v>
          </cell>
          <cell r="E223">
            <v>35440</v>
          </cell>
          <cell r="F223" t="str">
            <v>Ville Morin</v>
          </cell>
          <cell r="H223" t="str">
            <v>06 51 82 62 26</v>
          </cell>
          <cell r="I223" t="str">
            <v>letourfl@gmail.com</v>
          </cell>
          <cell r="N223" t="str">
            <v>M. et Mme</v>
          </cell>
        </row>
        <row r="224">
          <cell r="B224" t="str">
            <v>Du Pays d'EVRAN</v>
          </cell>
          <cell r="D224" t="str">
            <v>Tréfumel</v>
          </cell>
          <cell r="E224">
            <v>22630</v>
          </cell>
          <cell r="F224" t="str">
            <v>Carmeroc</v>
          </cell>
          <cell r="I224" t="str">
            <v>sandrine.guignet@wanadoo.fr</v>
          </cell>
          <cell r="J224" t="str">
            <v>Évran</v>
          </cell>
          <cell r="K224">
            <v>22630</v>
          </cell>
          <cell r="L224" t="str">
            <v>Place Jean Perrin</v>
          </cell>
          <cell r="N224" t="str">
            <v>Communauté de Communes</v>
          </cell>
        </row>
        <row r="225">
          <cell r="B225" t="str">
            <v>Du Pays d'EVRAN</v>
          </cell>
          <cell r="D225" t="str">
            <v>Quiou (Le)</v>
          </cell>
          <cell r="E225">
            <v>22630</v>
          </cell>
          <cell r="F225" t="str">
            <v>Route départemental n°26</v>
          </cell>
          <cell r="G225">
            <v>296275630</v>
          </cell>
          <cell r="I225" t="str">
            <v>cdc.paysdevran@wanadoo.fr</v>
          </cell>
          <cell r="J225" t="str">
            <v>Évran</v>
          </cell>
          <cell r="K225">
            <v>22630</v>
          </cell>
          <cell r="L225" t="str">
            <v>Place Jean Perrin</v>
          </cell>
          <cell r="N225" t="str">
            <v>Communauté de Communes</v>
          </cell>
        </row>
        <row r="226">
          <cell r="B226" t="str">
            <v>DUBOIS</v>
          </cell>
          <cell r="C226" t="str">
            <v>Charles</v>
          </cell>
          <cell r="D226" t="str">
            <v>Plédéliac</v>
          </cell>
          <cell r="E226">
            <v>22270</v>
          </cell>
          <cell r="F226" t="str">
            <v>Le Guéjean</v>
          </cell>
          <cell r="G226" t="str">
            <v>02 96 31 57 85</v>
          </cell>
          <cell r="I226" t="str">
            <v>dubois.charles077@orange.fr</v>
          </cell>
          <cell r="N226" t="str">
            <v xml:space="preserve">Mme et Mr </v>
          </cell>
        </row>
        <row r="227">
          <cell r="B227" t="str">
            <v>DUFRESNE</v>
          </cell>
          <cell r="D227" t="str">
            <v>Saint-Jacut-de-la-Mer</v>
          </cell>
          <cell r="E227">
            <v>22750</v>
          </cell>
          <cell r="G227">
            <v>953981794</v>
          </cell>
          <cell r="I227" t="str">
            <v>malo.planete@yahoo.fr</v>
          </cell>
          <cell r="N227" t="str">
            <v>M.</v>
          </cell>
        </row>
        <row r="228">
          <cell r="B228" t="str">
            <v>DUHAMEL</v>
          </cell>
          <cell r="C228" t="str">
            <v>Régis</v>
          </cell>
          <cell r="D228" t="str">
            <v>Saint-Germain-en-Coglès</v>
          </cell>
          <cell r="E228">
            <v>35133</v>
          </cell>
          <cell r="F228" t="str">
            <v>3, La revenuais</v>
          </cell>
          <cell r="G228" t="str">
            <v>06 83 16 90 42</v>
          </cell>
          <cell r="I228" t="str">
            <v>oxalisronce@gmail.com</v>
          </cell>
        </row>
        <row r="229">
          <cell r="B229" t="str">
            <v>DUMAS</v>
          </cell>
          <cell r="C229" t="str">
            <v xml:space="preserve">Stéphane </v>
          </cell>
          <cell r="D229" t="str">
            <v>Pleugueneuc</v>
          </cell>
          <cell r="E229">
            <v>35720</v>
          </cell>
          <cell r="F229" t="str">
            <v>9, Le Clos Provost</v>
          </cell>
          <cell r="G229">
            <v>662744546</v>
          </cell>
          <cell r="I229" t="str">
            <v>tertrais.isabelle@orange.fr</v>
          </cell>
          <cell r="N229" t="str">
            <v>M.</v>
          </cell>
        </row>
        <row r="230">
          <cell r="B230" t="str">
            <v>DUMAS-FAZEMBAT-MUSSET</v>
          </cell>
          <cell r="D230" t="str">
            <v>Vignoc</v>
          </cell>
          <cell r="E230">
            <v>35630</v>
          </cell>
          <cell r="F230" t="str">
            <v>La Trubaillère</v>
          </cell>
          <cell r="G230" t="str">
            <v>09.54.89.47.44</v>
          </cell>
          <cell r="H230" t="str">
            <v>06.50.34.24.88</v>
          </cell>
          <cell r="I230" t="str">
            <v>collectif@lesbiotaupes.fr</v>
          </cell>
          <cell r="M230" t="str">
            <v>GAEC BIO TAUPES</v>
          </cell>
          <cell r="N230" t="str">
            <v>M.et Mme</v>
          </cell>
        </row>
        <row r="231">
          <cell r="B231" t="str">
            <v>DUMONT</v>
          </cell>
          <cell r="D231" t="str">
            <v>Saint-Médard-sur-Ille</v>
          </cell>
          <cell r="E231">
            <v>35250</v>
          </cell>
          <cell r="F231" t="str">
            <v>Beauregard</v>
          </cell>
          <cell r="G231">
            <v>299555993</v>
          </cell>
          <cell r="H231">
            <v>299311120</v>
          </cell>
          <cell r="I231" t="str">
            <v>patrick.fra3@gmail.com</v>
          </cell>
          <cell r="J231" t="str">
            <v>Saint-Médard-sur-Ille</v>
          </cell>
          <cell r="K231">
            <v>35250</v>
          </cell>
          <cell r="L231" t="str">
            <v>beauregard</v>
          </cell>
          <cell r="N231" t="str">
            <v>M.et Mme</v>
          </cell>
        </row>
        <row r="232">
          <cell r="B232" t="str">
            <v>Dupuy</v>
          </cell>
          <cell r="C232" t="str">
            <v>Marc</v>
          </cell>
          <cell r="D232" t="str">
            <v>Baguer-Morvan</v>
          </cell>
          <cell r="E232">
            <v>35120</v>
          </cell>
          <cell r="F232">
            <v>1</v>
          </cell>
          <cell r="G232" t="str">
            <v>09 84 49 94 48</v>
          </cell>
          <cell r="I232" t="str">
            <v>marc.dupuy@free.fr</v>
          </cell>
          <cell r="N232" t="str">
            <v>M.</v>
          </cell>
        </row>
        <row r="233">
          <cell r="B233" t="str">
            <v>DURAND</v>
          </cell>
          <cell r="C233" t="str">
            <v>Ludovic</v>
          </cell>
          <cell r="D233" t="str">
            <v>Saint-Grégoire</v>
          </cell>
          <cell r="E233">
            <v>35760</v>
          </cell>
          <cell r="F233" t="str">
            <v>Roumoulin</v>
          </cell>
          <cell r="G233">
            <v>608241367</v>
          </cell>
          <cell r="I233" t="str">
            <v>ludovic.durand5@wanadoo.fr</v>
          </cell>
          <cell r="N233" t="str">
            <v>M.</v>
          </cell>
        </row>
        <row r="234">
          <cell r="B234" t="str">
            <v>DUTHEIL</v>
          </cell>
          <cell r="C234" t="str">
            <v>Margaux</v>
          </cell>
          <cell r="D234" t="str">
            <v>Montreuil-sur-Ille</v>
          </cell>
          <cell r="E234">
            <v>35440</v>
          </cell>
          <cell r="F234" t="str">
            <v>3 Clos de la Verdinerie</v>
          </cell>
          <cell r="H234" t="str">
            <v>07 83 10 94 62</v>
          </cell>
          <cell r="N234" t="str">
            <v>Mme</v>
          </cell>
        </row>
        <row r="235">
          <cell r="B235" t="str">
            <v>DUVAL</v>
          </cell>
          <cell r="D235" t="str">
            <v>Pacé</v>
          </cell>
          <cell r="E235">
            <v>35740</v>
          </cell>
          <cell r="F235" t="str">
            <v>La Haute Hatais</v>
          </cell>
          <cell r="H235">
            <v>664934086</v>
          </cell>
          <cell r="N235" t="str">
            <v>M. et Mme</v>
          </cell>
        </row>
        <row r="236">
          <cell r="B236" t="str">
            <v>DUVAL</v>
          </cell>
          <cell r="C236" t="str">
            <v>Loic</v>
          </cell>
          <cell r="D236" t="str">
            <v>Miniac-Morvan</v>
          </cell>
          <cell r="E236">
            <v>35540</v>
          </cell>
          <cell r="F236" t="str">
            <v>Le clos de la croix</v>
          </cell>
          <cell r="G236">
            <v>33687238075</v>
          </cell>
          <cell r="I236" t="str">
            <v>loic.duval@wanadoo.fr</v>
          </cell>
          <cell r="N236" t="str">
            <v>M.</v>
          </cell>
        </row>
        <row r="237">
          <cell r="B237" t="str">
            <v>DUVAUFERRIER</v>
          </cell>
          <cell r="C237" t="str">
            <v>Triphine</v>
          </cell>
          <cell r="D237" t="str">
            <v>Saint-Médard-sur-Ille</v>
          </cell>
          <cell r="E237">
            <v>35250</v>
          </cell>
          <cell r="F237" t="str">
            <v>La croix Herbelle</v>
          </cell>
          <cell r="H237" t="str">
            <v>06 08 26 63 30</v>
          </cell>
          <cell r="I237" t="str">
            <v>triphine@free.fr</v>
          </cell>
          <cell r="J237" t="str">
            <v>Chapelle-Chaussée (La)</v>
          </cell>
          <cell r="K237">
            <v>35630</v>
          </cell>
          <cell r="L237" t="str">
            <v>La rousselais</v>
          </cell>
          <cell r="N237" t="str">
            <v>M. et Mme</v>
          </cell>
        </row>
        <row r="238">
          <cell r="B238" t="str">
            <v>DUWAT</v>
          </cell>
          <cell r="C238" t="str">
            <v>Maxime</v>
          </cell>
          <cell r="D238" t="str">
            <v>Villamée</v>
          </cell>
          <cell r="E238">
            <v>35420</v>
          </cell>
          <cell r="F238" t="str">
            <v>La Nöé Gérard</v>
          </cell>
          <cell r="G238" t="str">
            <v>06 14 99 34 95</v>
          </cell>
          <cell r="H238" t="str">
            <v>07 89 08 41 59</v>
          </cell>
          <cell r="I238" t="str">
            <v>line.lefevre2103@live.fr</v>
          </cell>
          <cell r="N238" t="str">
            <v>M.</v>
          </cell>
        </row>
        <row r="239">
          <cell r="B239" t="str">
            <v>ELSHOUT-BESNARD</v>
          </cell>
          <cell r="D239" t="str">
            <v>Chauvigné</v>
          </cell>
          <cell r="E239">
            <v>35490</v>
          </cell>
          <cell r="F239" t="str">
            <v>La grande Noé</v>
          </cell>
          <cell r="G239" t="str">
            <v>06 43 92 31 05</v>
          </cell>
          <cell r="H239" t="str">
            <v>06 17 16 54 90</v>
          </cell>
          <cell r="I239" t="str">
            <v>virginiebesnard@wanadoo.fr</v>
          </cell>
          <cell r="J239" t="str">
            <v>Ercé-près-Liffré</v>
          </cell>
          <cell r="K239">
            <v>35340</v>
          </cell>
          <cell r="L239" t="str">
            <v>23 Le haut Chemin</v>
          </cell>
          <cell r="N239" t="str">
            <v>M. et Mme</v>
          </cell>
        </row>
        <row r="240">
          <cell r="B240" t="str">
            <v>EMERIAU</v>
          </cell>
          <cell r="C240" t="str">
            <v>Bernard</v>
          </cell>
          <cell r="D240" t="str">
            <v>Saint-Aubin-d'Aubigné</v>
          </cell>
          <cell r="E240">
            <v>35250</v>
          </cell>
          <cell r="F240" t="str">
            <v>La Havardais</v>
          </cell>
          <cell r="I240" t="str">
            <v>emeriaubernard@orange.fr</v>
          </cell>
          <cell r="J240" t="str">
            <v>Ercé-près-Liffré</v>
          </cell>
          <cell r="K240">
            <v>35340</v>
          </cell>
          <cell r="L240" t="str">
            <v>La Chopinais</v>
          </cell>
          <cell r="N240" t="str">
            <v>M.</v>
          </cell>
        </row>
        <row r="241">
          <cell r="B241" t="str">
            <v>ERABIT</v>
          </cell>
          <cell r="C241" t="str">
            <v>Thomas</v>
          </cell>
          <cell r="D241" t="str">
            <v>Saint-Georges-de-Chesné</v>
          </cell>
          <cell r="E241">
            <v>35140</v>
          </cell>
          <cell r="F241" t="str">
            <v>La Héloire</v>
          </cell>
          <cell r="H241" t="str">
            <v>06 29 27 06 20</v>
          </cell>
          <cell r="I241" t="str">
            <v>erabit_thomas@yahoo.fr</v>
          </cell>
          <cell r="J241" t="str">
            <v>Lécousse</v>
          </cell>
          <cell r="K241">
            <v>35133</v>
          </cell>
          <cell r="L241" t="str">
            <v>L'Euche</v>
          </cell>
          <cell r="N241" t="str">
            <v>M.</v>
          </cell>
        </row>
        <row r="242">
          <cell r="B242" t="str">
            <v>ETESSE</v>
          </cell>
          <cell r="C242" t="str">
            <v>George</v>
          </cell>
          <cell r="D242" t="str">
            <v>Plémy</v>
          </cell>
          <cell r="E242">
            <v>22150</v>
          </cell>
          <cell r="F242" t="str">
            <v>Avaleuc</v>
          </cell>
          <cell r="G242">
            <v>296602143</v>
          </cell>
          <cell r="H242">
            <v>609103617</v>
          </cell>
          <cell r="I242" t="str">
            <v>getesse@club-internet.fr</v>
          </cell>
          <cell r="M242" t="str">
            <v>EARL de la Petite Croix</v>
          </cell>
          <cell r="N242" t="str">
            <v>M.</v>
          </cell>
        </row>
        <row r="243">
          <cell r="B243" t="str">
            <v>FAINT</v>
          </cell>
          <cell r="C243" t="str">
            <v>Christopher</v>
          </cell>
          <cell r="D243" t="str">
            <v>Chauvigné</v>
          </cell>
          <cell r="E243">
            <v>35490</v>
          </cell>
          <cell r="F243" t="str">
            <v xml:space="preserve"> la lande</v>
          </cell>
          <cell r="H243">
            <v>603980160</v>
          </cell>
          <cell r="I243" t="str">
            <v>christopher.faint@gmail.com</v>
          </cell>
          <cell r="J243" t="str">
            <v>Lyon 8ème</v>
          </cell>
          <cell r="K243">
            <v>69008</v>
          </cell>
          <cell r="L243" t="str">
            <v>25 RUE DU BOCAGE</v>
          </cell>
          <cell r="N243" t="str">
            <v>M.</v>
          </cell>
        </row>
        <row r="244">
          <cell r="B244" t="str">
            <v>FARDEL</v>
          </cell>
          <cell r="D244" t="str">
            <v>Paimpont</v>
          </cell>
          <cell r="E244">
            <v>35380</v>
          </cell>
          <cell r="F244" t="str">
            <v>Les forges de Tailhouet</v>
          </cell>
          <cell r="G244">
            <v>977911254</v>
          </cell>
          <cell r="I244" t="str">
            <v>sv.fardel@aliceadsl.fr</v>
          </cell>
          <cell r="N244" t="str">
            <v>M.et Mme</v>
          </cell>
        </row>
        <row r="245">
          <cell r="B245" t="str">
            <v>FASSOT</v>
          </cell>
          <cell r="C245" t="str">
            <v>Benjamin</v>
          </cell>
          <cell r="D245" t="str">
            <v>Saint-Thurial</v>
          </cell>
          <cell r="E245">
            <v>35310</v>
          </cell>
          <cell r="F245" t="str">
            <v>Le Goulet</v>
          </cell>
          <cell r="H245" t="str">
            <v>06 13 58 64 83</v>
          </cell>
          <cell r="N245" t="str">
            <v>M.</v>
          </cell>
        </row>
        <row r="246">
          <cell r="B246" t="str">
            <v>FEILDEL</v>
          </cell>
          <cell r="C246" t="str">
            <v>Stephanie</v>
          </cell>
          <cell r="D246" t="str">
            <v>Saint-Barnabé</v>
          </cell>
          <cell r="E246">
            <v>22600</v>
          </cell>
          <cell r="F246" t="str">
            <v>Blanlin</v>
          </cell>
          <cell r="G246">
            <v>296675807</v>
          </cell>
          <cell r="I246" t="str">
            <v>stfeildel@wanadoo.fr</v>
          </cell>
          <cell r="N246" t="str">
            <v>M.et Mme</v>
          </cell>
        </row>
        <row r="247">
          <cell r="B247" t="str">
            <v>FERDONNET</v>
          </cell>
          <cell r="C247" t="str">
            <v>Jean Luc</v>
          </cell>
          <cell r="D247" t="str">
            <v>L'Hermitage-Lorge</v>
          </cell>
          <cell r="E247">
            <v>22150</v>
          </cell>
          <cell r="F247" t="str">
            <v>Launay michel</v>
          </cell>
          <cell r="G247" t="str">
            <v>02 96 42 16 41</v>
          </cell>
          <cell r="I247" t="str">
            <v>jean-luc.ferdonnet@orange.fr</v>
          </cell>
          <cell r="N247" t="str">
            <v>M.Mme</v>
          </cell>
        </row>
        <row r="248">
          <cell r="B248" t="str">
            <v>FIQUET</v>
          </cell>
          <cell r="D248" t="str">
            <v>Bréal-sous-Montfort</v>
          </cell>
          <cell r="E248">
            <v>35310</v>
          </cell>
          <cell r="F248" t="str">
            <v>215 A, La vallée Regnier</v>
          </cell>
          <cell r="H248">
            <v>680041028</v>
          </cell>
          <cell r="I248" t="str">
            <v>fiquemmanuelle@orange.fr</v>
          </cell>
          <cell r="N248" t="str">
            <v>M. et Mme</v>
          </cell>
        </row>
        <row r="249">
          <cell r="B249" t="str">
            <v>FLAGEUL</v>
          </cell>
          <cell r="C249" t="str">
            <v>Julian</v>
          </cell>
          <cell r="D249" t="str">
            <v>Bréal-sous-Montfort</v>
          </cell>
          <cell r="E249">
            <v>35310</v>
          </cell>
          <cell r="F249" t="str">
            <v>Les milles fosses</v>
          </cell>
          <cell r="H249">
            <v>689633273</v>
          </cell>
          <cell r="I249" t="str">
            <v>julian.flageul@saskit.fr</v>
          </cell>
          <cell r="J249" t="str">
            <v>Rennes</v>
          </cell>
          <cell r="K249">
            <v>35000</v>
          </cell>
          <cell r="L249" t="str">
            <v>190, rue de Brest n°403</v>
          </cell>
          <cell r="N249" t="str">
            <v>M. et Mme</v>
          </cell>
        </row>
        <row r="250">
          <cell r="B250" t="str">
            <v>FLAGEUL</v>
          </cell>
          <cell r="C250" t="str">
            <v>Patrice</v>
          </cell>
          <cell r="D250" t="str">
            <v>Motte (La)</v>
          </cell>
          <cell r="E250">
            <v>22600</v>
          </cell>
          <cell r="F250" t="str">
            <v>Quibalion</v>
          </cell>
          <cell r="H250" t="str">
            <v>06 59 36 13 18</v>
          </cell>
          <cell r="I250" t="str">
            <v>p.flageul@outlook.fr</v>
          </cell>
          <cell r="J250" t="str">
            <v>Motte (La)</v>
          </cell>
          <cell r="K250">
            <v>22600</v>
          </cell>
          <cell r="L250" t="str">
            <v>2, La Pie</v>
          </cell>
          <cell r="N250" t="str">
            <v>M.</v>
          </cell>
        </row>
        <row r="251">
          <cell r="B251" t="str">
            <v>FLOC</v>
          </cell>
          <cell r="C251" t="str">
            <v>Nicolas</v>
          </cell>
          <cell r="D251" t="str">
            <v>Guipel</v>
          </cell>
          <cell r="E251">
            <v>35440</v>
          </cell>
          <cell r="F251" t="str">
            <v>La Foutaie</v>
          </cell>
          <cell r="H251" t="str">
            <v>06 76 47 44 78</v>
          </cell>
          <cell r="I251" t="str">
            <v>nicolas.floc@orange.fr</v>
          </cell>
          <cell r="N251" t="str">
            <v>M.</v>
          </cell>
        </row>
        <row r="252">
          <cell r="B252" t="str">
            <v>FOCKI</v>
          </cell>
          <cell r="D252" t="str">
            <v>Saint-Péran</v>
          </cell>
          <cell r="E252">
            <v>35380</v>
          </cell>
          <cell r="F252" t="str">
            <v>Le Bourg</v>
          </cell>
          <cell r="H252">
            <v>622194718</v>
          </cell>
          <cell r="I252" t="str">
            <v>lanadalie1@gmail.com</v>
          </cell>
          <cell r="M252" t="str">
            <v>Collectif</v>
          </cell>
          <cell r="N252" t="str">
            <v>Mme</v>
          </cell>
        </row>
        <row r="253">
          <cell r="B253" t="str">
            <v>FONTAINE</v>
          </cell>
          <cell r="C253" t="str">
            <v>Jean Luc</v>
          </cell>
          <cell r="D253" t="str">
            <v>Saint-Julien</v>
          </cell>
          <cell r="E253">
            <v>22940</v>
          </cell>
          <cell r="F253" t="str">
            <v>La Coterette</v>
          </cell>
          <cell r="G253">
            <v>296429450</v>
          </cell>
          <cell r="I253" t="str">
            <v>lacoterette@orange.fr</v>
          </cell>
          <cell r="N253" t="str">
            <v>M.</v>
          </cell>
        </row>
        <row r="254">
          <cell r="B254" t="str">
            <v>FORGEOIS</v>
          </cell>
          <cell r="C254" t="str">
            <v>Bénédicte</v>
          </cell>
          <cell r="D254" t="str">
            <v>Longaulnay</v>
          </cell>
          <cell r="E254">
            <v>35190</v>
          </cell>
          <cell r="F254" t="str">
            <v>Le Refour</v>
          </cell>
          <cell r="H254">
            <v>633564957</v>
          </cell>
          <cell r="I254" t="str">
            <v>benedicteforgeois@orange.fr</v>
          </cell>
          <cell r="N254" t="str">
            <v>M.et Mme</v>
          </cell>
        </row>
        <row r="255">
          <cell r="B255" t="str">
            <v>FORGET</v>
          </cell>
          <cell r="C255" t="str">
            <v>Cyril</v>
          </cell>
          <cell r="D255" t="str">
            <v>Évran</v>
          </cell>
          <cell r="E255">
            <v>22630</v>
          </cell>
          <cell r="F255" t="str">
            <v>Le Breil Guimbert</v>
          </cell>
          <cell r="G255" t="str">
            <v>02 96 27 43 48</v>
          </cell>
          <cell r="N255" t="str">
            <v>M.</v>
          </cell>
        </row>
        <row r="256">
          <cell r="B256" t="str">
            <v>FORTUN</v>
          </cell>
          <cell r="C256" t="str">
            <v>Christophe</v>
          </cell>
          <cell r="D256" t="str">
            <v>Quemperven</v>
          </cell>
          <cell r="E256">
            <v>22450</v>
          </cell>
          <cell r="F256" t="str">
            <v>Convenant Gelard</v>
          </cell>
          <cell r="H256" t="str">
            <v>06 63 20 41 26</v>
          </cell>
          <cell r="I256" t="str">
            <v>christophefortun@free.fr</v>
          </cell>
          <cell r="N256" t="str">
            <v xml:space="preserve">Mr </v>
          </cell>
        </row>
        <row r="257">
          <cell r="B257" t="str">
            <v>FOUCHET</v>
          </cell>
          <cell r="C257" t="str">
            <v>Nicole</v>
          </cell>
          <cell r="D257" t="str">
            <v>Trimer</v>
          </cell>
          <cell r="E257">
            <v>35190</v>
          </cell>
          <cell r="F257" t="str">
            <v>Trélat</v>
          </cell>
          <cell r="G257">
            <v>299230375</v>
          </cell>
        </row>
        <row r="258">
          <cell r="B258" t="str">
            <v>FRAYSSE</v>
          </cell>
          <cell r="C258" t="str">
            <v>Cécile</v>
          </cell>
          <cell r="D258" t="str">
            <v>Saint-Broladre</v>
          </cell>
          <cell r="E258">
            <v>35120</v>
          </cell>
          <cell r="F258" t="str">
            <v>Les Grandes Maisons</v>
          </cell>
          <cell r="G258">
            <v>625500782</v>
          </cell>
          <cell r="I258" t="str">
            <v>frayssec@ymail.com</v>
          </cell>
          <cell r="J258" t="str">
            <v>Redon</v>
          </cell>
          <cell r="K258">
            <v>35600</v>
          </cell>
          <cell r="L258" t="str">
            <v>29 rue René-Guy CADOU</v>
          </cell>
          <cell r="N258" t="str">
            <v>M.</v>
          </cell>
        </row>
        <row r="259">
          <cell r="B259" t="str">
            <v>FRESNAIS</v>
          </cell>
          <cell r="C259" t="str">
            <v>VALERIE</v>
          </cell>
          <cell r="D259" t="str">
            <v>Saint-Malon-sur-Mel</v>
          </cell>
          <cell r="E259">
            <v>35750</v>
          </cell>
          <cell r="F259" t="str">
            <v>Les Bouyeres</v>
          </cell>
          <cell r="G259">
            <v>619459273</v>
          </cell>
          <cell r="I259" t="str">
            <v>valerie.fresnais@wanadoo.fr</v>
          </cell>
          <cell r="N259" t="str">
            <v>M.</v>
          </cell>
        </row>
        <row r="260">
          <cell r="B260" t="str">
            <v>FRIQUET</v>
          </cell>
          <cell r="C260" t="str">
            <v xml:space="preserve">Didier </v>
          </cell>
          <cell r="D260" t="str">
            <v>Bovel</v>
          </cell>
          <cell r="E260">
            <v>35330</v>
          </cell>
          <cell r="F260" t="str">
            <v>Le Bourg</v>
          </cell>
          <cell r="G260" t="str">
            <v>02.99.85.41.79</v>
          </cell>
          <cell r="H260" t="str">
            <v>06 30 44 65 13</v>
          </cell>
          <cell r="I260" t="str">
            <v>ec-eau-terre@orange.fr</v>
          </cell>
          <cell r="M260" t="str">
            <v>Ec'eau terre</v>
          </cell>
          <cell r="N260" t="str">
            <v>M.</v>
          </cell>
        </row>
        <row r="261">
          <cell r="B261" t="str">
            <v>FRITSCH / GENTIL</v>
          </cell>
          <cell r="C261" t="str">
            <v>Cyrille et Valérie</v>
          </cell>
          <cell r="D261" t="str">
            <v>Québriac</v>
          </cell>
          <cell r="E261">
            <v>35190</v>
          </cell>
          <cell r="F261" t="str">
            <v>8, La CHapronnais</v>
          </cell>
          <cell r="H261" t="str">
            <v>07 50 14 58 33</v>
          </cell>
          <cell r="I261" t="str">
            <v>valerie.gentil@laposte.net</v>
          </cell>
          <cell r="N261" t="str">
            <v>M. et Mme</v>
          </cell>
        </row>
        <row r="262">
          <cell r="B262" t="str">
            <v>FROC</v>
          </cell>
          <cell r="C262" t="str">
            <v>G.</v>
          </cell>
          <cell r="D262" t="str">
            <v>Pacé</v>
          </cell>
          <cell r="E262">
            <v>35740</v>
          </cell>
          <cell r="F262" t="str">
            <v>Le Portail</v>
          </cell>
          <cell r="H262" t="str">
            <v>06 84 13 94 06</v>
          </cell>
          <cell r="I262" t="str">
            <v>gdyfroc@wanadoo.fr</v>
          </cell>
          <cell r="N262" t="str">
            <v>M.</v>
          </cell>
        </row>
        <row r="263">
          <cell r="B263" t="str">
            <v>FROGER</v>
          </cell>
          <cell r="D263" t="str">
            <v>La Bouëxière</v>
          </cell>
          <cell r="E263">
            <v>35340</v>
          </cell>
          <cell r="F263" t="str">
            <v>La touche ronde</v>
          </cell>
          <cell r="G263" t="str">
            <v>02 99 04 60 26</v>
          </cell>
          <cell r="H263" t="str">
            <v>06 70 19 15 61</v>
          </cell>
          <cell r="I263" t="str">
            <v>mfroger@live.fr</v>
          </cell>
          <cell r="J263" t="str">
            <v>Domagné</v>
          </cell>
          <cell r="K263">
            <v>35113</v>
          </cell>
          <cell r="L263" t="str">
            <v>1, allée des grangeries</v>
          </cell>
          <cell r="N263" t="str">
            <v>M.</v>
          </cell>
        </row>
        <row r="264">
          <cell r="B264" t="str">
            <v>FROGER</v>
          </cell>
          <cell r="D264" t="str">
            <v>Plélan-le-Grand</v>
          </cell>
          <cell r="E264">
            <v>35380</v>
          </cell>
          <cell r="F264" t="str">
            <v>Le Breil du Coq</v>
          </cell>
          <cell r="G264">
            <v>299068424</v>
          </cell>
          <cell r="H264">
            <v>608512415</v>
          </cell>
          <cell r="I264" t="str">
            <v>sebadolena@orange.fr</v>
          </cell>
          <cell r="N264" t="str">
            <v>M.et Mme</v>
          </cell>
        </row>
        <row r="265">
          <cell r="B265" t="str">
            <v>FROGET</v>
          </cell>
          <cell r="D265" t="str">
            <v>Liffré</v>
          </cell>
          <cell r="E265">
            <v>35340</v>
          </cell>
          <cell r="F265" t="str">
            <v>La croix de la mission</v>
          </cell>
          <cell r="G265">
            <v>223357924</v>
          </cell>
          <cell r="H265">
            <v>631917881</v>
          </cell>
          <cell r="I265" t="str">
            <v>alicebreto@hotmail.com</v>
          </cell>
          <cell r="J265" t="str">
            <v>Rennes</v>
          </cell>
          <cell r="K265">
            <v>35000</v>
          </cell>
          <cell r="L265" t="str">
            <v>20, Boulevard Oscar Leroux</v>
          </cell>
          <cell r="N265" t="str">
            <v>M. et Mme</v>
          </cell>
        </row>
        <row r="266">
          <cell r="B266" t="str">
            <v>FROSTIN</v>
          </cell>
          <cell r="D266" t="str">
            <v>Bazouges-la-Pérouse</v>
          </cell>
          <cell r="E266">
            <v>35560</v>
          </cell>
          <cell r="F266" t="str">
            <v>Le Haut Jugué</v>
          </cell>
          <cell r="H266">
            <v>761605449</v>
          </cell>
          <cell r="J266" t="str">
            <v>Antrain</v>
          </cell>
          <cell r="K266">
            <v>35560</v>
          </cell>
          <cell r="L266" t="str">
            <v>18,Square du pas de roche</v>
          </cell>
          <cell r="N266" t="str">
            <v>M.et Mme</v>
          </cell>
        </row>
        <row r="267">
          <cell r="B267" t="str">
            <v>FUSELIER</v>
          </cell>
          <cell r="D267" t="str">
            <v>Lourmais</v>
          </cell>
          <cell r="E267">
            <v>35270</v>
          </cell>
          <cell r="F267" t="str">
            <v>La niquaisière</v>
          </cell>
          <cell r="H267">
            <v>640151374</v>
          </cell>
          <cell r="I267" t="str">
            <v>v.martin879@laposte.net</v>
          </cell>
          <cell r="N267" t="str">
            <v>M.et Mme</v>
          </cell>
        </row>
        <row r="268">
          <cell r="B268" t="str">
            <v>GALESNE</v>
          </cell>
          <cell r="C268" t="str">
            <v>Christophe</v>
          </cell>
          <cell r="D268" t="str">
            <v>La Bouëxière</v>
          </cell>
          <cell r="E268">
            <v>35340</v>
          </cell>
          <cell r="F268" t="str">
            <v>Le Haut Villory</v>
          </cell>
          <cell r="H268" t="str">
            <v>06 03 96 62 74</v>
          </cell>
          <cell r="I268" t="str">
            <v>c.galesne@hotmail.fr</v>
          </cell>
          <cell r="J268" t="str">
            <v>Châteaubourg</v>
          </cell>
          <cell r="K268">
            <v>35220</v>
          </cell>
          <cell r="L268" t="str">
            <v>La Megalleray</v>
          </cell>
          <cell r="N268" t="str">
            <v>M.</v>
          </cell>
        </row>
        <row r="269">
          <cell r="B269" t="str">
            <v>GALLEE</v>
          </cell>
          <cell r="D269" t="str">
            <v>Pleumeleuc</v>
          </cell>
          <cell r="E269">
            <v>35137</v>
          </cell>
          <cell r="F269" t="str">
            <v>La Besneraye</v>
          </cell>
          <cell r="H269">
            <v>670572654</v>
          </cell>
          <cell r="I269" t="str">
            <v>gite.labesneraye@gmail.com</v>
          </cell>
          <cell r="N269" t="str">
            <v>M.</v>
          </cell>
        </row>
        <row r="270">
          <cell r="B270" t="str">
            <v>GALMICHE-CRESSANT</v>
          </cell>
          <cell r="D270" t="str">
            <v>Guenroc</v>
          </cell>
          <cell r="E270">
            <v>22350</v>
          </cell>
          <cell r="F270" t="str">
            <v>la liette</v>
          </cell>
          <cell r="H270">
            <v>614103496</v>
          </cell>
          <cell r="I270" t="str">
            <v>sandrinecressant@gmail.com</v>
          </cell>
          <cell r="J270" t="str">
            <v>Rennes</v>
          </cell>
          <cell r="K270">
            <v>35000</v>
          </cell>
          <cell r="L270" t="str">
            <v>46,rue Bigot de Treameneu</v>
          </cell>
          <cell r="N270" t="str">
            <v>M. et Mme</v>
          </cell>
        </row>
        <row r="271">
          <cell r="B271" t="str">
            <v>GAONAC'H</v>
          </cell>
          <cell r="C271" t="str">
            <v>Yann</v>
          </cell>
          <cell r="D271" t="str">
            <v>Pleine-Fougères</v>
          </cell>
          <cell r="E271">
            <v>35610</v>
          </cell>
          <cell r="F271" t="str">
            <v>4, le plessis</v>
          </cell>
          <cell r="G271">
            <v>684393785</v>
          </cell>
          <cell r="I271" t="str">
            <v>yann.gaonach@laposte.net</v>
          </cell>
          <cell r="J271" t="str">
            <v>Pleine-Fougères</v>
          </cell>
          <cell r="K271">
            <v>35610</v>
          </cell>
          <cell r="L271" t="str">
            <v>4, le plessis</v>
          </cell>
          <cell r="N271" t="str">
            <v>M.</v>
          </cell>
        </row>
        <row r="272">
          <cell r="B272" t="str">
            <v>GARCON</v>
          </cell>
          <cell r="C272" t="str">
            <v xml:space="preserve">Soizic </v>
          </cell>
          <cell r="D272" t="str">
            <v>Tressé</v>
          </cell>
          <cell r="E272">
            <v>35720</v>
          </cell>
          <cell r="F272" t="str">
            <v>Lieu-dit Rouenel</v>
          </cell>
          <cell r="G272">
            <v>685060194</v>
          </cell>
          <cell r="I272" t="str">
            <v>soizic.garcon@netcourrier.com</v>
          </cell>
          <cell r="J272" t="str">
            <v>Plerguer</v>
          </cell>
          <cell r="K272">
            <v>35540</v>
          </cell>
          <cell r="L272" t="str">
            <v>33 rue du Champ Jouan</v>
          </cell>
          <cell r="N272" t="str">
            <v>M.</v>
          </cell>
        </row>
        <row r="273">
          <cell r="B273" t="str">
            <v>GARDEN-BRECHE</v>
          </cell>
          <cell r="C273" t="str">
            <v>Franck</v>
          </cell>
          <cell r="D273" t="str">
            <v>Corseul</v>
          </cell>
          <cell r="E273">
            <v>22130</v>
          </cell>
          <cell r="F273" t="str">
            <v>La ville gout</v>
          </cell>
          <cell r="H273">
            <v>648552726</v>
          </cell>
          <cell r="I273" t="str">
            <v>garden.franck@orange.fr</v>
          </cell>
          <cell r="J273" t="str">
            <v>Saint-Malo</v>
          </cell>
          <cell r="K273">
            <v>35400</v>
          </cell>
          <cell r="L273" t="str">
            <v>7 rue amiral magon</v>
          </cell>
        </row>
        <row r="274">
          <cell r="B274" t="str">
            <v>GARNIER</v>
          </cell>
          <cell r="D274" t="str">
            <v>Trévron</v>
          </cell>
          <cell r="E274">
            <v>22100</v>
          </cell>
          <cell r="F274" t="str">
            <v>La Herviais</v>
          </cell>
          <cell r="G274">
            <v>786294642</v>
          </cell>
          <cell r="N274" t="str">
            <v>M.et Mme</v>
          </cell>
        </row>
        <row r="275">
          <cell r="B275" t="str">
            <v>GARNIER</v>
          </cell>
          <cell r="C275" t="str">
            <v>Laurent</v>
          </cell>
          <cell r="D275" t="str">
            <v>Ercé-près-Liffré</v>
          </cell>
          <cell r="E275">
            <v>35340</v>
          </cell>
          <cell r="F275" t="str">
            <v>La Boufeyere</v>
          </cell>
          <cell r="H275" t="str">
            <v>06 73 96 44 44</v>
          </cell>
          <cell r="I275" t="str">
            <v>laurent.garnier@orange.fr</v>
          </cell>
          <cell r="N275" t="str">
            <v>M.</v>
          </cell>
        </row>
        <row r="276">
          <cell r="B276" t="str">
            <v>GARNIER-ETIENNE</v>
          </cell>
          <cell r="D276" t="str">
            <v>Iffendic</v>
          </cell>
          <cell r="E276">
            <v>35750</v>
          </cell>
          <cell r="F276" t="str">
            <v>Les fossés</v>
          </cell>
          <cell r="H276">
            <v>632255938</v>
          </cell>
          <cell r="N276" t="str">
            <v>M.et Mme</v>
          </cell>
        </row>
        <row r="277">
          <cell r="B277" t="str">
            <v>GASTARD</v>
          </cell>
          <cell r="D277" t="str">
            <v>Quédillac</v>
          </cell>
          <cell r="E277">
            <v>35290</v>
          </cell>
          <cell r="F277" t="str">
            <v>la ville rigourd</v>
          </cell>
          <cell r="H277">
            <v>672258974</v>
          </cell>
          <cell r="I277" t="str">
            <v>julien.gastard@hotmail.fr</v>
          </cell>
          <cell r="N277" t="str">
            <v>M. et Mme</v>
          </cell>
        </row>
        <row r="278">
          <cell r="B278" t="str">
            <v>GASTARD-PLAIRE</v>
          </cell>
          <cell r="D278" t="str">
            <v>Rheu (Le)</v>
          </cell>
          <cell r="E278">
            <v>35650</v>
          </cell>
          <cell r="F278" t="str">
            <v xml:space="preserve">La Coudrais </v>
          </cell>
          <cell r="G278" t="str">
            <v>06.24.57.32.76</v>
          </cell>
          <cell r="H278" t="str">
            <v xml:space="preserve">06.16.86.32.75 </v>
          </cell>
          <cell r="I278" t="str">
            <v>celine.plaire@hotmail.fr</v>
          </cell>
          <cell r="N278" t="str">
            <v>M.et Mme</v>
          </cell>
        </row>
        <row r="279">
          <cell r="B279" t="str">
            <v>GASTON</v>
          </cell>
          <cell r="C279" t="str">
            <v>Patrice</v>
          </cell>
          <cell r="D279" t="str">
            <v>Baguer-Pican</v>
          </cell>
          <cell r="E279">
            <v>35120</v>
          </cell>
          <cell r="F279" t="str">
            <v>45, Les Carreaux</v>
          </cell>
          <cell r="G279">
            <v>771262695</v>
          </cell>
          <cell r="I279" t="str">
            <v>p.gaston1@gmail.com</v>
          </cell>
          <cell r="J279" t="str">
            <v>Montainville</v>
          </cell>
          <cell r="K279">
            <v>28150</v>
          </cell>
          <cell r="L279" t="str">
            <v xml:space="preserve">7 rue du parc </v>
          </cell>
          <cell r="N279" t="str">
            <v>M.</v>
          </cell>
        </row>
        <row r="280">
          <cell r="B280" t="str">
            <v>Gaudry</v>
          </cell>
          <cell r="C280" t="str">
            <v>Manuel</v>
          </cell>
          <cell r="D280" t="str">
            <v>Tronchet (Le)</v>
          </cell>
          <cell r="E280">
            <v>35540</v>
          </cell>
          <cell r="F280" t="str">
            <v>la ville joie</v>
          </cell>
          <cell r="G280">
            <v>678233801</v>
          </cell>
          <cell r="I280" t="str">
            <v>manuel.gaudry@sfr.fr</v>
          </cell>
          <cell r="J280" t="str">
            <v>Saint-Père</v>
          </cell>
          <cell r="K280">
            <v>35430</v>
          </cell>
          <cell r="L280" t="str">
            <v>7 Allée de la Yole</v>
          </cell>
          <cell r="N280" t="str">
            <v>M.</v>
          </cell>
        </row>
        <row r="281">
          <cell r="B281" t="str">
            <v>GAUTIER</v>
          </cell>
          <cell r="C281" t="str">
            <v>Jacques</v>
          </cell>
          <cell r="D281" t="str">
            <v>Combourg</v>
          </cell>
          <cell r="E281">
            <v>35270</v>
          </cell>
          <cell r="F281" t="str">
            <v>Launay Herfray</v>
          </cell>
          <cell r="G281">
            <v>223164333</v>
          </cell>
          <cell r="H281">
            <v>674643207</v>
          </cell>
          <cell r="I281" t="str">
            <v>jacques.gautier@ekube-env.fr</v>
          </cell>
          <cell r="N281" t="str">
            <v>M. et Mme</v>
          </cell>
        </row>
        <row r="282">
          <cell r="B282" t="str">
            <v>GAUTIER</v>
          </cell>
          <cell r="D282" t="str">
            <v>Plédéliac</v>
          </cell>
          <cell r="E282">
            <v>22270</v>
          </cell>
          <cell r="H282">
            <v>667410746</v>
          </cell>
          <cell r="I282" t="str">
            <v>gautiermarie@ymail.com</v>
          </cell>
          <cell r="N282" t="str">
            <v>Mme</v>
          </cell>
        </row>
        <row r="283">
          <cell r="B283" t="str">
            <v>GENEVRIEZ</v>
          </cell>
          <cell r="C283" t="str">
            <v>Michel</v>
          </cell>
          <cell r="D283" t="str">
            <v>Crouais (Le)</v>
          </cell>
          <cell r="E283">
            <v>35290</v>
          </cell>
          <cell r="F283" t="str">
            <v>Le Bahac</v>
          </cell>
          <cell r="G283" t="str">
            <v>02 99 09 50 60</v>
          </cell>
          <cell r="I283" t="str">
            <v>michel-catherine.genevriez@wanadoo.fr</v>
          </cell>
          <cell r="N283" t="str">
            <v>M.et Mme</v>
          </cell>
        </row>
        <row r="284">
          <cell r="B284" t="str">
            <v>GENTILHOMME</v>
          </cell>
          <cell r="C284" t="str">
            <v>Elise</v>
          </cell>
          <cell r="D284" t="str">
            <v>Saint-Jean-sur-Couesnon</v>
          </cell>
          <cell r="E284">
            <v>35140</v>
          </cell>
          <cell r="F284" t="str">
            <v>3 Perouzel</v>
          </cell>
          <cell r="H284" t="str">
            <v>06 33 88 73 42</v>
          </cell>
          <cell r="I284" t="str">
            <v>elise.gentilhomme@gmail.com</v>
          </cell>
          <cell r="N284" t="str">
            <v>Mme</v>
          </cell>
        </row>
        <row r="285">
          <cell r="B285" t="str">
            <v>GENTY</v>
          </cell>
          <cell r="D285" t="str">
            <v>Morieux</v>
          </cell>
          <cell r="E285">
            <v>22400</v>
          </cell>
          <cell r="F285" t="str">
            <v>La cave</v>
          </cell>
          <cell r="H285">
            <v>670523599</v>
          </cell>
          <cell r="I285" t="str">
            <v>cgenty.22@orange.fr</v>
          </cell>
          <cell r="N285" t="str">
            <v>Mr et Mme</v>
          </cell>
        </row>
        <row r="286">
          <cell r="B286" t="str">
            <v>GERNIGON</v>
          </cell>
          <cell r="D286" t="str">
            <v>Paimpont</v>
          </cell>
          <cell r="E286">
            <v>35380</v>
          </cell>
          <cell r="F286" t="str">
            <v>La Cassiere</v>
          </cell>
          <cell r="H286">
            <v>676554256</v>
          </cell>
          <cell r="I286" t="str">
            <v>0676554256@orange.fr</v>
          </cell>
          <cell r="N286" t="str">
            <v>M.</v>
          </cell>
        </row>
        <row r="287">
          <cell r="B287" t="str">
            <v>GICQUEL</v>
          </cell>
          <cell r="C287" t="str">
            <v>Caroline</v>
          </cell>
          <cell r="D287" t="str">
            <v>Iffs (Les)</v>
          </cell>
          <cell r="E287">
            <v>35630</v>
          </cell>
          <cell r="F287" t="str">
            <v>La Landelle</v>
          </cell>
          <cell r="G287">
            <v>630806575</v>
          </cell>
          <cell r="I287" t="str">
            <v>kakolite@gmail.com</v>
          </cell>
          <cell r="N287" t="str">
            <v>M.</v>
          </cell>
        </row>
        <row r="288">
          <cell r="B288" t="str">
            <v>GIRARD</v>
          </cell>
          <cell r="D288" t="str">
            <v>Saint-Malo-de-Beignon</v>
          </cell>
          <cell r="E288">
            <v>56380</v>
          </cell>
          <cell r="F288" t="str">
            <v>Les Gaciaux</v>
          </cell>
          <cell r="G288">
            <v>763114796</v>
          </cell>
          <cell r="I288" t="str">
            <v>girardandco@laposte.net</v>
          </cell>
          <cell r="N288" t="str">
            <v>M.et Mme</v>
          </cell>
        </row>
        <row r="289">
          <cell r="B289" t="str">
            <v>GIRAUD</v>
          </cell>
          <cell r="C289" t="str">
            <v>Benoit</v>
          </cell>
          <cell r="D289" t="str">
            <v>Sévignac</v>
          </cell>
          <cell r="E289">
            <v>22250</v>
          </cell>
          <cell r="F289" t="str">
            <v>Quiheriac</v>
          </cell>
          <cell r="H289">
            <v>632322846</v>
          </cell>
          <cell r="I289" t="str">
            <v>bengdc@hotmail.com</v>
          </cell>
          <cell r="M289" t="str">
            <v>Paysage d'Armor</v>
          </cell>
        </row>
        <row r="290">
          <cell r="B290" t="str">
            <v>GLATRE</v>
          </cell>
          <cell r="D290" t="str">
            <v>Noyal</v>
          </cell>
          <cell r="E290">
            <v>22400</v>
          </cell>
          <cell r="F290" t="str">
            <v>Boutine</v>
          </cell>
          <cell r="H290">
            <v>683612269</v>
          </cell>
          <cell r="I290" t="str">
            <v>g.glatre@gmail.com</v>
          </cell>
          <cell r="J290" t="str">
            <v>Plénée-Jugon</v>
          </cell>
          <cell r="K290">
            <v>22640</v>
          </cell>
          <cell r="L290" t="str">
            <v>La Crochetière</v>
          </cell>
          <cell r="N290" t="str">
            <v>M.</v>
          </cell>
        </row>
        <row r="291">
          <cell r="B291" t="str">
            <v>GLATRE</v>
          </cell>
          <cell r="D291" t="str">
            <v>Plédran</v>
          </cell>
          <cell r="E291">
            <v>22960</v>
          </cell>
          <cell r="F291" t="str">
            <v>Le pommier Agan</v>
          </cell>
          <cell r="H291">
            <v>687508069</v>
          </cell>
          <cell r="I291" t="str">
            <v>olivierglatre@gmail.com</v>
          </cell>
          <cell r="J291" t="str">
            <v>Ploufragan</v>
          </cell>
          <cell r="K291">
            <v>22440</v>
          </cell>
          <cell r="L291" t="str">
            <v>2,rue Hector Verlioz</v>
          </cell>
          <cell r="N291" t="str">
            <v>M.</v>
          </cell>
        </row>
        <row r="292">
          <cell r="B292" t="str">
            <v>GLEMIN / ADAM</v>
          </cell>
          <cell r="C292" t="str">
            <v>Caroline et Guillaume</v>
          </cell>
          <cell r="D292" t="str">
            <v>Trans-la-Forêt</v>
          </cell>
          <cell r="E292">
            <v>35610</v>
          </cell>
          <cell r="F292" t="str">
            <v>La Bertrie</v>
          </cell>
          <cell r="H292" t="str">
            <v>06 95 20 32 22</v>
          </cell>
          <cell r="I292" t="str">
            <v>caroline.glemin@gmail.com</v>
          </cell>
          <cell r="N292" t="str">
            <v>M.</v>
          </cell>
        </row>
        <row r="293">
          <cell r="B293" t="str">
            <v>goalec</v>
          </cell>
          <cell r="C293" t="str">
            <v>hervé</v>
          </cell>
          <cell r="D293" t="str">
            <v>Mordelles</v>
          </cell>
          <cell r="E293">
            <v>35310</v>
          </cell>
          <cell r="F293" t="str">
            <v>chancé</v>
          </cell>
          <cell r="G293">
            <v>299851918</v>
          </cell>
          <cell r="I293" t="str">
            <v>herve.goalec@wanadoo.fr</v>
          </cell>
          <cell r="N293" t="str">
            <v>M.</v>
          </cell>
        </row>
        <row r="294">
          <cell r="B294" t="str">
            <v>GOARIN</v>
          </cell>
          <cell r="C294" t="str">
            <v>Dominique</v>
          </cell>
          <cell r="D294" t="str">
            <v>Combourg</v>
          </cell>
          <cell r="E294">
            <v>35270</v>
          </cell>
          <cell r="F294" t="str">
            <v xml:space="preserve">3, avenue des Prunus </v>
          </cell>
          <cell r="H294" t="str">
            <v>06 31 55 84 54</v>
          </cell>
          <cell r="I294" t="str">
            <v>dominique.goarin@laposte.net</v>
          </cell>
          <cell r="N294" t="str">
            <v>M.</v>
          </cell>
        </row>
        <row r="295">
          <cell r="B295" t="str">
            <v>GODEFROY</v>
          </cell>
          <cell r="C295" t="str">
            <v>Gilles</v>
          </cell>
          <cell r="D295" t="str">
            <v>Saint-Cast-le-Guildo</v>
          </cell>
          <cell r="E295">
            <v>22380</v>
          </cell>
          <cell r="F295" t="str">
            <v>4, rue du Biot</v>
          </cell>
          <cell r="G295" t="str">
            <v>02 96 41 89 43</v>
          </cell>
          <cell r="H295" t="str">
            <v xml:space="preserve">06 35 20 80 17 </v>
          </cell>
          <cell r="N295" t="str">
            <v>M.</v>
          </cell>
        </row>
        <row r="296">
          <cell r="B296" t="str">
            <v>goffoz</v>
          </cell>
          <cell r="C296" t="str">
            <v>marion</v>
          </cell>
          <cell r="D296" t="str">
            <v>Iffendic</v>
          </cell>
          <cell r="E296">
            <v>35750</v>
          </cell>
          <cell r="F296" t="str">
            <v>24 rue de la mousqueterie</v>
          </cell>
          <cell r="G296">
            <v>620836804</v>
          </cell>
          <cell r="I296" t="str">
            <v>marion.goffoz@gmail.com</v>
          </cell>
          <cell r="N296" t="str">
            <v>M.</v>
          </cell>
        </row>
        <row r="297">
          <cell r="B297" t="str">
            <v>GONNET</v>
          </cell>
          <cell r="D297" t="str">
            <v>Chapelle-Chaussée (La)</v>
          </cell>
          <cell r="E297">
            <v>35630</v>
          </cell>
          <cell r="F297" t="str">
            <v>La mesangeraie</v>
          </cell>
          <cell r="H297">
            <v>608915724</v>
          </cell>
          <cell r="I297" t="str">
            <v>cecilegonnet@hotmail.fr</v>
          </cell>
          <cell r="N297" t="str">
            <v>M</v>
          </cell>
        </row>
        <row r="298">
          <cell r="B298" t="str">
            <v>GOSSELIN</v>
          </cell>
          <cell r="C298" t="str">
            <v>Philippe</v>
          </cell>
          <cell r="D298" t="str">
            <v>Bréal-sous-Montfort</v>
          </cell>
          <cell r="E298">
            <v>35310</v>
          </cell>
          <cell r="F298" t="str">
            <v>7 rue des Artisans</v>
          </cell>
          <cell r="H298" t="str">
            <v>07 88 97 73 73</v>
          </cell>
          <cell r="I298" t="str">
            <v>philippe.gosselin@aquatiris.fr</v>
          </cell>
          <cell r="M298" t="str">
            <v>SAS AQUATIRIS</v>
          </cell>
        </row>
        <row r="299">
          <cell r="B299" t="str">
            <v>GOUEDARD</v>
          </cell>
          <cell r="D299" t="str">
            <v>Saint-André-des-Eaux</v>
          </cell>
          <cell r="E299">
            <v>22630</v>
          </cell>
          <cell r="F299" t="str">
            <v>Le Placy</v>
          </cell>
          <cell r="H299">
            <v>676313949</v>
          </cell>
          <cell r="I299" t="str">
            <v>gouedard.agathe@hotmail.fr</v>
          </cell>
          <cell r="N299" t="str">
            <v>Mme</v>
          </cell>
        </row>
        <row r="300">
          <cell r="B300" t="str">
            <v>GOUPIL</v>
          </cell>
          <cell r="C300" t="str">
            <v>Rémi</v>
          </cell>
          <cell r="D300" t="str">
            <v>Taden</v>
          </cell>
          <cell r="E300">
            <v>22100</v>
          </cell>
          <cell r="F300" t="str">
            <v>9,rue rabine</v>
          </cell>
          <cell r="H300">
            <v>628061092</v>
          </cell>
          <cell r="I300" t="str">
            <v>remi.goupil@gmail.com</v>
          </cell>
          <cell r="N300" t="str">
            <v>M.et Mme</v>
          </cell>
        </row>
        <row r="301">
          <cell r="B301" t="str">
            <v>GOUPILLE</v>
          </cell>
          <cell r="C301" t="str">
            <v>Stéphane</v>
          </cell>
          <cell r="D301" t="str">
            <v>Bouëxière (La)</v>
          </cell>
          <cell r="E301">
            <v>35340</v>
          </cell>
          <cell r="F301" t="str">
            <v>Le pré Morel</v>
          </cell>
          <cell r="G301">
            <v>769796354</v>
          </cell>
          <cell r="I301" t="str">
            <v>goupsicopat@gmail.com</v>
          </cell>
          <cell r="J301" t="str">
            <v>Bouëxière (La)</v>
          </cell>
          <cell r="K301">
            <v>35340</v>
          </cell>
          <cell r="L301" t="str">
            <v>15 bis, rue des Canadais</v>
          </cell>
          <cell r="N301" t="str">
            <v>M.</v>
          </cell>
        </row>
        <row r="302">
          <cell r="B302" t="str">
            <v>GOURIOU</v>
          </cell>
          <cell r="C302" t="str">
            <v>Ludovic</v>
          </cell>
          <cell r="D302" t="str">
            <v>Combourg</v>
          </cell>
          <cell r="E302">
            <v>35270</v>
          </cell>
          <cell r="F302" t="str">
            <v>Tramel</v>
          </cell>
          <cell r="H302" t="str">
            <v>06 78 86 15 17</v>
          </cell>
          <cell r="I302" t="str">
            <v>ludodestlo@gmail.com</v>
          </cell>
          <cell r="J302" t="str">
            <v>Tressé</v>
          </cell>
          <cell r="K302">
            <v>35720</v>
          </cell>
          <cell r="L302" t="str">
            <v>60, Le Bas Rouault</v>
          </cell>
          <cell r="N302" t="str">
            <v>M.</v>
          </cell>
        </row>
        <row r="303">
          <cell r="B303" t="str">
            <v>GOURRONC</v>
          </cell>
          <cell r="C303" t="str">
            <v>Ludwig</v>
          </cell>
          <cell r="D303" t="str">
            <v>Saint-Symphorien</v>
          </cell>
          <cell r="E303">
            <v>35630</v>
          </cell>
          <cell r="F303" t="str">
            <v>le beau chêne</v>
          </cell>
          <cell r="H303">
            <v>660813774</v>
          </cell>
          <cell r="I303" t="str">
            <v>gourronc@gmail.com</v>
          </cell>
          <cell r="N303" t="str">
            <v>M.</v>
          </cell>
        </row>
        <row r="304">
          <cell r="B304" t="str">
            <v>GRANNEC-ANDRE</v>
          </cell>
          <cell r="D304" t="str">
            <v>Saint-Léger-des-Prés</v>
          </cell>
          <cell r="E304">
            <v>35270</v>
          </cell>
          <cell r="F304" t="str">
            <v>Chenillé</v>
          </cell>
          <cell r="G304">
            <v>256279043</v>
          </cell>
          <cell r="H304" t="str">
            <v>06-52-57-68-65</v>
          </cell>
          <cell r="I304" t="str">
            <v>grannuch@hotmail.fr</v>
          </cell>
          <cell r="J304" t="str">
            <v>Combourg</v>
          </cell>
          <cell r="K304">
            <v>35270</v>
          </cell>
          <cell r="L304" t="str">
            <v>13 route de lanrigan - la gentière</v>
          </cell>
          <cell r="N304" t="str">
            <v>M.et Mlle</v>
          </cell>
        </row>
        <row r="305">
          <cell r="B305" t="str">
            <v>GRIMBERT</v>
          </cell>
          <cell r="C305" t="str">
            <v>Cyril</v>
          </cell>
          <cell r="D305" t="str">
            <v>Tramain</v>
          </cell>
          <cell r="E305">
            <v>22640</v>
          </cell>
          <cell r="F305" t="str">
            <v>Le bois Julienne</v>
          </cell>
          <cell r="G305">
            <v>686911064</v>
          </cell>
          <cell r="I305" t="str">
            <v>cyrpao@yahoo.fr</v>
          </cell>
          <cell r="J305" t="str">
            <v>Tramain</v>
          </cell>
          <cell r="K305">
            <v>22640</v>
          </cell>
          <cell r="L305" t="str">
            <v>3, Rue du Levant</v>
          </cell>
          <cell r="N305" t="str">
            <v>M.</v>
          </cell>
        </row>
        <row r="306">
          <cell r="B306" t="str">
            <v>GUEGAN</v>
          </cell>
          <cell r="C306" t="str">
            <v>Lydie</v>
          </cell>
          <cell r="D306" t="str">
            <v>Saint-Alban</v>
          </cell>
          <cell r="E306">
            <v>22400</v>
          </cell>
          <cell r="I306" t="str">
            <v>lydieguegan@yahoo.fr</v>
          </cell>
          <cell r="J306" t="str">
            <v>Évran</v>
          </cell>
          <cell r="K306">
            <v>22630</v>
          </cell>
          <cell r="L306" t="str">
            <v>La Basse Rivière</v>
          </cell>
          <cell r="N306" t="str">
            <v>Mme</v>
          </cell>
        </row>
        <row r="307">
          <cell r="B307" t="str">
            <v>GUENZI</v>
          </cell>
          <cell r="D307" t="str">
            <v>Miniac-Morvan</v>
          </cell>
          <cell r="E307">
            <v>35540</v>
          </cell>
          <cell r="F307" t="str">
            <v>le verger</v>
          </cell>
          <cell r="H307">
            <v>783576092</v>
          </cell>
          <cell r="I307" t="str">
            <v>jean-luc.guenzi@hotmail.fr</v>
          </cell>
          <cell r="N307" t="str">
            <v>M.</v>
          </cell>
        </row>
        <row r="308">
          <cell r="B308" t="str">
            <v>GUERIN</v>
          </cell>
          <cell r="D308" t="str">
            <v>Québriac</v>
          </cell>
          <cell r="E308">
            <v>35190</v>
          </cell>
          <cell r="F308" t="str">
            <v>ZA de Rollin</v>
          </cell>
          <cell r="H308" t="str">
            <v>06.32.29.92.47</v>
          </cell>
          <cell r="I308" t="str">
            <v>boulangeriecadotguerin@gmail.com</v>
          </cell>
          <cell r="J308" t="str">
            <v>Rennes</v>
          </cell>
          <cell r="K308">
            <v>35000</v>
          </cell>
          <cell r="L308" t="str">
            <v>2,rue de la bourdonnaye</v>
          </cell>
          <cell r="M308" t="str">
            <v>Sarl Cadot-Guerin</v>
          </cell>
          <cell r="N308" t="str">
            <v>M. et Mme</v>
          </cell>
        </row>
        <row r="309">
          <cell r="B309" t="str">
            <v>GUESSANT</v>
          </cell>
          <cell r="C309" t="str">
            <v>Jean Luc</v>
          </cell>
          <cell r="D309" t="str">
            <v>Guitté</v>
          </cell>
          <cell r="E309">
            <v>22350</v>
          </cell>
          <cell r="F309" t="str">
            <v>La Noe Barbé</v>
          </cell>
          <cell r="G309">
            <v>96474905</v>
          </cell>
          <cell r="N309" t="str">
            <v>M.</v>
          </cell>
        </row>
        <row r="310">
          <cell r="B310" t="str">
            <v>GUEZ</v>
          </cell>
          <cell r="D310" t="str">
            <v>La Bouëxière</v>
          </cell>
          <cell r="E310">
            <v>35340</v>
          </cell>
          <cell r="F310" t="str">
            <v>La Giraudais</v>
          </cell>
          <cell r="H310">
            <v>675245491</v>
          </cell>
          <cell r="N310" t="str">
            <v>M.</v>
          </cell>
        </row>
        <row r="311">
          <cell r="B311" t="str">
            <v>GUILBERT</v>
          </cell>
          <cell r="C311" t="str">
            <v>Pierre-Olivier</v>
          </cell>
          <cell r="D311" t="str">
            <v>Saint-Brieuc-des-Iffs</v>
          </cell>
          <cell r="E311">
            <v>35630</v>
          </cell>
          <cell r="F311" t="str">
            <v>10, A la Martinais</v>
          </cell>
          <cell r="G311" t="str">
            <v>06 79 51 05 79</v>
          </cell>
          <cell r="I311" t="str">
            <v>guilbert.pierreolivier@gmail.com</v>
          </cell>
          <cell r="N311" t="str">
            <v>M.</v>
          </cell>
        </row>
        <row r="312">
          <cell r="B312" t="str">
            <v>Guillaume</v>
          </cell>
          <cell r="C312" t="str">
            <v>BERTHELOT</v>
          </cell>
          <cell r="D312" t="str">
            <v>Selle-en-Coglès (La)</v>
          </cell>
          <cell r="E312">
            <v>35460</v>
          </cell>
          <cell r="F312" t="str">
            <v>La Pichonnais</v>
          </cell>
          <cell r="H312" t="str">
            <v>06 73 37 16 37</v>
          </cell>
          <cell r="I312" t="str">
            <v>gberthelot@hotmail.fr</v>
          </cell>
          <cell r="N312" t="str">
            <v>M.</v>
          </cell>
        </row>
        <row r="313">
          <cell r="B313" t="str">
            <v>GUILLAUME-MAILLARD</v>
          </cell>
          <cell r="D313" t="str">
            <v>Muel</v>
          </cell>
          <cell r="E313">
            <v>35290</v>
          </cell>
          <cell r="F313" t="str">
            <v>la ville au periou</v>
          </cell>
          <cell r="H313" t="str">
            <v xml:space="preserve">06 18 24 17 25 </v>
          </cell>
          <cell r="I313" t="str">
            <v>renaud35@live.fr</v>
          </cell>
          <cell r="N313" t="str">
            <v>M. et Mme</v>
          </cell>
        </row>
        <row r="314">
          <cell r="B314" t="str">
            <v>GUILLEMARD</v>
          </cell>
          <cell r="C314" t="str">
            <v>Ludovic</v>
          </cell>
          <cell r="D314" t="str">
            <v>Iffendic</v>
          </cell>
          <cell r="E314">
            <v>35750</v>
          </cell>
          <cell r="F314" t="str">
            <v>La Beaubernais</v>
          </cell>
          <cell r="G314">
            <v>611464781</v>
          </cell>
          <cell r="I314" t="str">
            <v>virginie.carillet@sfr.fr</v>
          </cell>
          <cell r="N314" t="str">
            <v>M.</v>
          </cell>
        </row>
        <row r="315">
          <cell r="B315" t="str">
            <v>GUILLEMOIS - JOUVENEAUX</v>
          </cell>
          <cell r="C315" t="str">
            <v>Ludivine et Benjamin</v>
          </cell>
          <cell r="D315" t="str">
            <v>Saint-Jean-sur-Couesnon</v>
          </cell>
          <cell r="E315">
            <v>35140</v>
          </cell>
          <cell r="F315" t="str">
            <v>La Mazure</v>
          </cell>
          <cell r="G315" t="str">
            <v>06 71 99 37 22</v>
          </cell>
          <cell r="H315" t="str">
            <v>06 43 28 45 56</v>
          </cell>
          <cell r="I315" t="str">
            <v>benjaminjouvenaux@gmail.com</v>
          </cell>
          <cell r="N315" t="str">
            <v>M. et Mme</v>
          </cell>
        </row>
        <row r="316">
          <cell r="B316" t="str">
            <v>GUILLERME</v>
          </cell>
          <cell r="C316" t="str">
            <v>Valérie</v>
          </cell>
          <cell r="D316" t="str">
            <v>Bédée</v>
          </cell>
          <cell r="E316">
            <v>35137</v>
          </cell>
          <cell r="F316" t="str">
            <v>5, L'epinette</v>
          </cell>
          <cell r="H316">
            <v>662291177</v>
          </cell>
          <cell r="I316" t="str">
            <v>valerieguillerme@hotmail.fr</v>
          </cell>
          <cell r="N316" t="str">
            <v>Mme</v>
          </cell>
        </row>
        <row r="317">
          <cell r="B317" t="str">
            <v>GUILLOSSON</v>
          </cell>
          <cell r="D317" t="str">
            <v>Plouvara</v>
          </cell>
          <cell r="E317">
            <v>22170</v>
          </cell>
          <cell r="F317" t="str">
            <v>21, St Ignace</v>
          </cell>
          <cell r="H317">
            <v>623800339</v>
          </cell>
          <cell r="I317" t="str">
            <v>natty_g@hotmail.fr</v>
          </cell>
          <cell r="N317" t="str">
            <v>Mme</v>
          </cell>
        </row>
        <row r="318">
          <cell r="B318" t="str">
            <v>GUITARD</v>
          </cell>
          <cell r="C318" t="str">
            <v>François</v>
          </cell>
          <cell r="D318" t="str">
            <v>Saint-Alban</v>
          </cell>
          <cell r="E318">
            <v>22400</v>
          </cell>
          <cell r="F318" t="str">
            <v>24, rue de l'Hotel Gouret</v>
          </cell>
          <cell r="I318" t="str">
            <v>fanchgtd@gmail.com</v>
          </cell>
          <cell r="N318" t="str">
            <v>M.</v>
          </cell>
        </row>
        <row r="319">
          <cell r="B319" t="str">
            <v>Guyader</v>
          </cell>
          <cell r="C319" t="str">
            <v>Yoann</v>
          </cell>
          <cell r="D319" t="str">
            <v>Meillac</v>
          </cell>
          <cell r="E319">
            <v>35270</v>
          </cell>
          <cell r="F319" t="str">
            <v>Launay</v>
          </cell>
          <cell r="G319">
            <v>682208841</v>
          </cell>
          <cell r="I319" t="str">
            <v>agnesetyoann@gmail.com</v>
          </cell>
          <cell r="N319" t="str">
            <v>M.</v>
          </cell>
        </row>
        <row r="320">
          <cell r="B320" t="str">
            <v>GUYOMARD</v>
          </cell>
          <cell r="D320" t="str">
            <v>La Chapelle-des-Fougeretz</v>
          </cell>
          <cell r="E320">
            <v>35520</v>
          </cell>
          <cell r="F320" t="str">
            <v>La Noé</v>
          </cell>
          <cell r="H320">
            <v>681518390</v>
          </cell>
          <cell r="I320" t="str">
            <v>guyomard.claire@wanadoo.fr</v>
          </cell>
          <cell r="N320" t="str">
            <v>M. et Mme</v>
          </cell>
        </row>
        <row r="321">
          <cell r="B321" t="str">
            <v>HACKSHALL</v>
          </cell>
          <cell r="C321" t="str">
            <v>Ian</v>
          </cell>
          <cell r="D321" t="str">
            <v>Saint-Étienne-en-Coglès</v>
          </cell>
          <cell r="E321">
            <v>35460</v>
          </cell>
          <cell r="F321" t="str">
            <v>Landecot</v>
          </cell>
          <cell r="H321">
            <v>603520152</v>
          </cell>
          <cell r="I321" t="str">
            <v>ian.35460@live.co.uk</v>
          </cell>
          <cell r="N321" t="str">
            <v>M. et Mme</v>
          </cell>
        </row>
        <row r="322">
          <cell r="B322" t="str">
            <v>HALEUX</v>
          </cell>
          <cell r="C322" t="str">
            <v>Cindy</v>
          </cell>
          <cell r="D322" t="str">
            <v>Mézières-sur-Couesnon</v>
          </cell>
          <cell r="E322">
            <v>35140</v>
          </cell>
          <cell r="F322" t="str">
            <v>La Hellandiere</v>
          </cell>
          <cell r="G322" t="str">
            <v>06 78 03 56 89</v>
          </cell>
          <cell r="I322" t="str">
            <v>haleux.cindy@gmail.com</v>
          </cell>
          <cell r="N322" t="str">
            <v>M.</v>
          </cell>
        </row>
        <row r="323">
          <cell r="B323" t="str">
            <v>Hameau des aieux</v>
          </cell>
          <cell r="D323" t="str">
            <v>Saint-Malon-sur-Mel</v>
          </cell>
          <cell r="E323">
            <v>35750</v>
          </cell>
          <cell r="F323" t="str">
            <v>hameau des aieux</v>
          </cell>
          <cell r="G323">
            <v>952648458</v>
          </cell>
          <cell r="H323">
            <v>781875752</v>
          </cell>
          <cell r="I323" t="str">
            <v>whitesannyasa@gmail.com</v>
          </cell>
          <cell r="N323" t="str">
            <v xml:space="preserve">SCI </v>
          </cell>
        </row>
        <row r="324">
          <cell r="B324" t="str">
            <v>HAMON</v>
          </cell>
          <cell r="D324" t="str">
            <v>Chevaigné</v>
          </cell>
          <cell r="E324">
            <v>35250</v>
          </cell>
          <cell r="F324" t="str">
            <v>3,La Blosserais</v>
          </cell>
          <cell r="H324">
            <v>687937373</v>
          </cell>
          <cell r="N324" t="str">
            <v>Collectif</v>
          </cell>
        </row>
        <row r="325">
          <cell r="B325" t="str">
            <v>HAMON</v>
          </cell>
          <cell r="D325" t="str">
            <v>Chevaigné</v>
          </cell>
          <cell r="E325">
            <v>35250</v>
          </cell>
          <cell r="F325" t="str">
            <v>3,La Blosserais</v>
          </cell>
          <cell r="H325">
            <v>687937373</v>
          </cell>
          <cell r="I325" t="str">
            <v>marie-line.hamon@wanadoo.fr</v>
          </cell>
          <cell r="N325" t="str">
            <v>M.et Mme</v>
          </cell>
        </row>
        <row r="326">
          <cell r="B326" t="str">
            <v>HAMON</v>
          </cell>
          <cell r="D326" t="str">
            <v>Saint-Cast-le-Guildo</v>
          </cell>
          <cell r="E326">
            <v>22380</v>
          </cell>
          <cell r="F326" t="str">
            <v>Rue de l'amazone</v>
          </cell>
          <cell r="H326">
            <v>681551438</v>
          </cell>
          <cell r="I326" t="str">
            <v>hamon.michel3@wanadoo.fr</v>
          </cell>
          <cell r="N326" t="str">
            <v>M</v>
          </cell>
        </row>
        <row r="327">
          <cell r="B327" t="str">
            <v>HAMON-PIERRE-BOUCLE-CRUBLET</v>
          </cell>
          <cell r="D327" t="str">
            <v>Chevaigné</v>
          </cell>
          <cell r="E327">
            <v>35250</v>
          </cell>
          <cell r="F327" t="str">
            <v>3,La Blosserais</v>
          </cell>
          <cell r="H327">
            <v>687937373</v>
          </cell>
          <cell r="I327" t="str">
            <v>marie-line.hamon@wanadoo.fr</v>
          </cell>
          <cell r="N327" t="str">
            <v>M.et Mme</v>
          </cell>
        </row>
        <row r="328">
          <cell r="B328" t="str">
            <v>HARDY</v>
          </cell>
          <cell r="C328" t="str">
            <v>Stéphane</v>
          </cell>
          <cell r="D328" t="str">
            <v>MONTREUIL LE GAST</v>
          </cell>
          <cell r="E328">
            <v>35520</v>
          </cell>
          <cell r="F328" t="str">
            <v>ZA La Métairie</v>
          </cell>
          <cell r="G328" t="str">
            <v>02 99 66 15 38</v>
          </cell>
          <cell r="H328" t="str">
            <v>06 60 85 90 02</v>
          </cell>
          <cell r="I328" t="str">
            <v>hardy.tp@orange.fr</v>
          </cell>
          <cell r="M328" t="str">
            <v>HARDY TP</v>
          </cell>
        </row>
        <row r="329">
          <cell r="B329" t="str">
            <v>HAREL-MORIN</v>
          </cell>
          <cell r="D329" t="str">
            <v>Vignoc</v>
          </cell>
          <cell r="E329">
            <v>35630</v>
          </cell>
          <cell r="F329" t="str">
            <v>Maurignon</v>
          </cell>
          <cell r="H329">
            <v>666668088</v>
          </cell>
          <cell r="I329" t="str">
            <v>caro.morin@voila.fr</v>
          </cell>
          <cell r="J329" t="str">
            <v>Rennes</v>
          </cell>
          <cell r="K329">
            <v>35000</v>
          </cell>
          <cell r="L329" t="str">
            <v xml:space="preserve">1, rue Francois Tanguy Prigeant </v>
          </cell>
          <cell r="N329" t="str">
            <v>M.et Mme</v>
          </cell>
        </row>
        <row r="330">
          <cell r="B330" t="str">
            <v>HAUDECOEUR</v>
          </cell>
          <cell r="D330" t="str">
            <v>Plourhan</v>
          </cell>
          <cell r="E330">
            <v>22410</v>
          </cell>
          <cell r="F330" t="str">
            <v>Le moulin neuf</v>
          </cell>
          <cell r="H330">
            <v>618100928</v>
          </cell>
          <cell r="I330" t="str">
            <v>ghaudecoeur@free.fr</v>
          </cell>
          <cell r="N330" t="str">
            <v>M.</v>
          </cell>
        </row>
        <row r="331">
          <cell r="B331" t="str">
            <v>HAWKES</v>
          </cell>
          <cell r="D331" t="str">
            <v>Saint-Cast-le-Guildo</v>
          </cell>
          <cell r="E331">
            <v>22380</v>
          </cell>
          <cell r="F331" t="str">
            <v>Rue des aubenieres</v>
          </cell>
          <cell r="H331">
            <v>659126969</v>
          </cell>
          <cell r="I331" t="str">
            <v>nina.hawkes@laposte.net</v>
          </cell>
          <cell r="N331" t="str">
            <v>M.et Mme</v>
          </cell>
        </row>
        <row r="332">
          <cell r="B332" t="str">
            <v>HAY</v>
          </cell>
          <cell r="C332" t="str">
            <v>CHRISTIAN</v>
          </cell>
          <cell r="D332" t="str">
            <v>Talensac</v>
          </cell>
          <cell r="E332">
            <v>35160</v>
          </cell>
          <cell r="F332" t="str">
            <v>Guihermoux</v>
          </cell>
          <cell r="G332">
            <v>607272695</v>
          </cell>
          <cell r="I332" t="str">
            <v>hay_142@hotmail.com</v>
          </cell>
          <cell r="N332" t="str">
            <v>M.</v>
          </cell>
        </row>
        <row r="333">
          <cell r="B333" t="str">
            <v>HEDE</v>
          </cell>
          <cell r="C333" t="str">
            <v>Armel</v>
          </cell>
          <cell r="D333" t="str">
            <v>Saint-Juvat</v>
          </cell>
          <cell r="E333">
            <v>22630</v>
          </cell>
          <cell r="G333">
            <v>296834392</v>
          </cell>
          <cell r="I333" t="str">
            <v>armel.hede@orange.fr</v>
          </cell>
          <cell r="N333" t="str">
            <v>M.et Mme</v>
          </cell>
        </row>
        <row r="334">
          <cell r="B334" t="str">
            <v>helard</v>
          </cell>
          <cell r="C334" t="str">
            <v>regis</v>
          </cell>
          <cell r="D334" t="str">
            <v>Gévezé</v>
          </cell>
          <cell r="E334">
            <v>35850</v>
          </cell>
          <cell r="F334" t="str">
            <v>B</v>
          </cell>
          <cell r="G334">
            <v>608838738</v>
          </cell>
          <cell r="I334" t="str">
            <v>regishelard@netcourrier.com</v>
          </cell>
          <cell r="N334" t="str">
            <v>M.</v>
          </cell>
        </row>
        <row r="335">
          <cell r="B335" t="str">
            <v>HELLO</v>
          </cell>
          <cell r="C335" t="str">
            <v>Yann</v>
          </cell>
          <cell r="D335" t="str">
            <v>Pacé</v>
          </cell>
          <cell r="E335">
            <v>35740</v>
          </cell>
          <cell r="F335" t="str">
            <v>11, Avenue Brizeux</v>
          </cell>
          <cell r="G335" t="str">
            <v>02 23 41 32 23</v>
          </cell>
          <cell r="H335" t="str">
            <v>06 31 52 45 21</v>
          </cell>
          <cell r="I335" t="str">
            <v>y.hello@ville-pace.fr</v>
          </cell>
          <cell r="M335" t="str">
            <v>Mairie de PACE</v>
          </cell>
          <cell r="N335" t="str">
            <v>M.</v>
          </cell>
        </row>
        <row r="336">
          <cell r="B336" t="str">
            <v>Hélye</v>
          </cell>
          <cell r="C336" t="str">
            <v>Gildas</v>
          </cell>
          <cell r="D336" t="str">
            <v>Monthault</v>
          </cell>
          <cell r="E336">
            <v>35420</v>
          </cell>
          <cell r="F336" t="str">
            <v>10 le rocher d'irondel 35133 saint germain en coglès</v>
          </cell>
          <cell r="G336">
            <v>768320390</v>
          </cell>
          <cell r="I336" t="str">
            <v>ghelye@yahoo.fr</v>
          </cell>
          <cell r="N336" t="str">
            <v>M.</v>
          </cell>
        </row>
        <row r="337">
          <cell r="B337" t="str">
            <v>HENRY</v>
          </cell>
          <cell r="C337" t="str">
            <v>Alain</v>
          </cell>
          <cell r="D337" t="str">
            <v>Kermaria-Sulard</v>
          </cell>
          <cell r="E337">
            <v>22450</v>
          </cell>
          <cell r="F337" t="str">
            <v>Le Vot</v>
          </cell>
          <cell r="G337" t="str">
            <v>02 96 38 07 61</v>
          </cell>
          <cell r="H337" t="str">
            <v>06 81 65 54 05</v>
          </cell>
          <cell r="I337" t="str">
            <v>henry7.alain@wanadoo.fr</v>
          </cell>
          <cell r="M337" t="str">
            <v>Harmonie Paysages</v>
          </cell>
          <cell r="N337" t="str">
            <v>M.</v>
          </cell>
        </row>
        <row r="338">
          <cell r="B338" t="str">
            <v>HENRY</v>
          </cell>
          <cell r="D338" t="str">
            <v>Le Châtellier</v>
          </cell>
          <cell r="E338">
            <v>35133</v>
          </cell>
          <cell r="F338" t="str">
            <v>Le Fonteny</v>
          </cell>
          <cell r="G338" t="str">
            <v xml:space="preserve">02.56.47.60.97 </v>
          </cell>
          <cell r="I338" t="str">
            <v>lebonzaie@club-internet.fr</v>
          </cell>
          <cell r="J338" t="str">
            <v>Montours</v>
          </cell>
          <cell r="K338">
            <v>35460</v>
          </cell>
          <cell r="L338" t="str">
            <v>14, rue du Crochet</v>
          </cell>
          <cell r="N338" t="str">
            <v>M.et Mme</v>
          </cell>
        </row>
        <row r="339">
          <cell r="B339" t="str">
            <v>HENRY</v>
          </cell>
          <cell r="C339" t="str">
            <v>Alain</v>
          </cell>
          <cell r="D339" t="str">
            <v>Trébeurden</v>
          </cell>
          <cell r="E339">
            <v>22560</v>
          </cell>
          <cell r="F339" t="str">
            <v>Chemin du Goaquer</v>
          </cell>
          <cell r="G339" t="str">
            <v>02 96 38 07 61</v>
          </cell>
          <cell r="I339" t="str">
            <v>henry7.alain@wanadoo.fr</v>
          </cell>
          <cell r="J339" t="str">
            <v>Kermaria-Sulard</v>
          </cell>
          <cell r="K339">
            <v>22450</v>
          </cell>
          <cell r="L339" t="str">
            <v>Le Vot</v>
          </cell>
          <cell r="M339" t="str">
            <v>SARL Harmonie Paysages</v>
          </cell>
          <cell r="N339" t="str">
            <v>M.</v>
          </cell>
        </row>
        <row r="340">
          <cell r="B340" t="str">
            <v>HERBERT</v>
          </cell>
          <cell r="C340" t="str">
            <v>Maxime</v>
          </cell>
          <cell r="D340" t="str">
            <v>Saint-Léger-des-Prés</v>
          </cell>
          <cell r="E340">
            <v>35270</v>
          </cell>
          <cell r="F340" t="str">
            <v>Le Verger</v>
          </cell>
          <cell r="H340">
            <v>631373429</v>
          </cell>
          <cell r="N340" t="str">
            <v>M.</v>
          </cell>
        </row>
        <row r="341">
          <cell r="B341" t="str">
            <v>HERBRETEAU</v>
          </cell>
          <cell r="D341" t="str">
            <v>Bringolo</v>
          </cell>
          <cell r="E341">
            <v>22170</v>
          </cell>
          <cell r="F341" t="str">
            <v>Kervenal</v>
          </cell>
          <cell r="G341">
            <v>296449002</v>
          </cell>
          <cell r="I341" t="str">
            <v>f.herbreteau@libertysurf.fr</v>
          </cell>
          <cell r="N341" t="str">
            <v>M.et Mme</v>
          </cell>
        </row>
        <row r="342">
          <cell r="B342" t="str">
            <v>Herlédan</v>
          </cell>
          <cell r="C342" t="str">
            <v>Hervé</v>
          </cell>
          <cell r="D342" t="str">
            <v>Mordelles</v>
          </cell>
          <cell r="E342">
            <v>35310</v>
          </cell>
          <cell r="F342" t="str">
            <v>beaumont</v>
          </cell>
          <cell r="G342">
            <v>681666310</v>
          </cell>
          <cell r="I342" t="str">
            <v>metairiedebeaumont@orange.fr</v>
          </cell>
          <cell r="N342" t="str">
            <v>M.</v>
          </cell>
        </row>
        <row r="343">
          <cell r="B343" t="str">
            <v>HERTEL</v>
          </cell>
          <cell r="D343" t="str">
            <v>Montauban-de-Bretagne</v>
          </cell>
          <cell r="E343">
            <v>35360</v>
          </cell>
          <cell r="F343" t="str">
            <v>La rue Guibert</v>
          </cell>
          <cell r="G343">
            <v>299617280</v>
          </cell>
          <cell r="I343" t="str">
            <v>arnaud.hertel@gmail.com</v>
          </cell>
          <cell r="N343" t="str">
            <v>M.</v>
          </cell>
        </row>
        <row r="344">
          <cell r="B344" t="str">
            <v>HERVE</v>
          </cell>
          <cell r="C344" t="str">
            <v>Gaëlle</v>
          </cell>
          <cell r="D344" t="str">
            <v>Saint-Juvat</v>
          </cell>
          <cell r="E344">
            <v>22630</v>
          </cell>
          <cell r="F344" t="str">
            <v>Le Haut Trégrit</v>
          </cell>
          <cell r="G344" t="str">
            <v>02 96 88 10 99</v>
          </cell>
          <cell r="H344" t="str">
            <v>06 71 04 51 37</v>
          </cell>
          <cell r="I344" t="str">
            <v>gaelle.jerome2@wanadoo.fr</v>
          </cell>
          <cell r="N344" t="str">
            <v>Mme</v>
          </cell>
        </row>
        <row r="345">
          <cell r="B345" t="str">
            <v>HEURION</v>
          </cell>
          <cell r="C345" t="str">
            <v>Odile</v>
          </cell>
          <cell r="D345" t="str">
            <v>Saint-Péran</v>
          </cell>
          <cell r="E345">
            <v>35380</v>
          </cell>
          <cell r="F345" t="str">
            <v>le bourg</v>
          </cell>
          <cell r="H345">
            <v>622194718</v>
          </cell>
          <cell r="I345" t="str">
            <v>lanadalie1@gmail.com</v>
          </cell>
          <cell r="J345" t="str">
            <v>Montfort-sur-Meu</v>
          </cell>
          <cell r="K345">
            <v>35160</v>
          </cell>
          <cell r="L345" t="str">
            <v>16,rue du clos Berhault</v>
          </cell>
        </row>
        <row r="346">
          <cell r="B346" t="str">
            <v>HILLION</v>
          </cell>
          <cell r="C346" t="str">
            <v>Pascal</v>
          </cell>
          <cell r="D346" t="str">
            <v>Saint-Bihy</v>
          </cell>
          <cell r="E346">
            <v>22800</v>
          </cell>
          <cell r="F346" t="str">
            <v xml:space="preserve">2 La Grande Isle </v>
          </cell>
          <cell r="G346" t="str">
            <v>02 96 32 45 46</v>
          </cell>
          <cell r="I346" t="str">
            <v>hillion.pascal@wanadoo.fr</v>
          </cell>
          <cell r="N346" t="str">
            <v xml:space="preserve">Mr </v>
          </cell>
        </row>
        <row r="347">
          <cell r="B347" t="str">
            <v>HINGAMP</v>
          </cell>
          <cell r="C347" t="str">
            <v>Simon</v>
          </cell>
          <cell r="D347" t="str">
            <v>Québriac</v>
          </cell>
          <cell r="E347">
            <v>35190</v>
          </cell>
          <cell r="F347" t="str">
            <v>La Métairie Neuve</v>
          </cell>
          <cell r="G347" t="str">
            <v xml:space="preserve">02 99 13 28 94 </v>
          </cell>
          <cell r="H347" t="str">
            <v>06 15 25 58 98</v>
          </cell>
          <cell r="I347" t="str">
            <v>simon.hingamp@free.fr</v>
          </cell>
          <cell r="J347" t="str">
            <v>Québriac</v>
          </cell>
          <cell r="K347">
            <v>35190</v>
          </cell>
          <cell r="L347" t="str">
            <v>La Noë</v>
          </cell>
          <cell r="N347" t="str">
            <v>M.</v>
          </cell>
        </row>
        <row r="348">
          <cell r="B348" t="str">
            <v>HO</v>
          </cell>
          <cell r="C348" t="str">
            <v>Duc Nhat</v>
          </cell>
          <cell r="D348" t="str">
            <v>Livré-sur-Changeon</v>
          </cell>
          <cell r="E348">
            <v>35450</v>
          </cell>
          <cell r="F348" t="str">
            <v>6, La Marouinais</v>
          </cell>
          <cell r="H348" t="str">
            <v>07 61 54 62 40</v>
          </cell>
          <cell r="I348" t="str">
            <v>duc_nhat@yahoo.fr</v>
          </cell>
          <cell r="N348" t="str">
            <v>M.</v>
          </cell>
        </row>
        <row r="349">
          <cell r="B349" t="str">
            <v>HOMO</v>
          </cell>
          <cell r="D349" t="str">
            <v>Combourg</v>
          </cell>
          <cell r="E349">
            <v>35270</v>
          </cell>
          <cell r="F349" t="str">
            <v>Couvelou</v>
          </cell>
          <cell r="G349">
            <v>296853718</v>
          </cell>
          <cell r="H349">
            <v>621640030</v>
          </cell>
          <cell r="I349" t="str">
            <v>homo.didier@orange.fr</v>
          </cell>
          <cell r="N349" t="str">
            <v>M.et Mme</v>
          </cell>
        </row>
        <row r="350">
          <cell r="B350" t="str">
            <v>HOUEE</v>
          </cell>
          <cell r="D350" t="str">
            <v>Talensac</v>
          </cell>
          <cell r="E350">
            <v>35160</v>
          </cell>
          <cell r="F350" t="str">
            <v>la jaminais</v>
          </cell>
          <cell r="H350">
            <v>686955911</v>
          </cell>
          <cell r="I350" t="str">
            <v>domdemont@aol.com</v>
          </cell>
          <cell r="N350" t="str">
            <v>Mme</v>
          </cell>
        </row>
        <row r="351">
          <cell r="B351" t="str">
            <v>HOUGET</v>
          </cell>
          <cell r="C351" t="str">
            <v>Gilbert</v>
          </cell>
          <cell r="D351" t="str">
            <v>Le Theil-de-Bretagne</v>
          </cell>
          <cell r="E351">
            <v>35240</v>
          </cell>
          <cell r="F351" t="str">
            <v>La Cordière</v>
          </cell>
          <cell r="I351" t="str">
            <v>lacordiere@wanadoo.fr</v>
          </cell>
          <cell r="N351" t="str">
            <v>M.</v>
          </cell>
        </row>
        <row r="352">
          <cell r="B352" t="str">
            <v>HOUITTE</v>
          </cell>
          <cell r="C352" t="str">
            <v>Sylvain</v>
          </cell>
          <cell r="D352" t="str">
            <v>Langan</v>
          </cell>
          <cell r="E352">
            <v>35850</v>
          </cell>
          <cell r="F352" t="str">
            <v>146 La Trulaie</v>
          </cell>
          <cell r="H352" t="str">
            <v>06 64 71 74 87</v>
          </cell>
          <cell r="I352" t="str">
            <v>sylvainhouitte@hotmail.fr</v>
          </cell>
        </row>
        <row r="353">
          <cell r="B353" t="str">
            <v>HUBERT</v>
          </cell>
          <cell r="C353" t="str">
            <v>Isabelle</v>
          </cell>
          <cell r="D353" t="str">
            <v>Langourla</v>
          </cell>
          <cell r="E353">
            <v>22330</v>
          </cell>
          <cell r="F353" t="str">
            <v>Coedalan</v>
          </cell>
          <cell r="G353">
            <v>296304983</v>
          </cell>
          <cell r="H353">
            <v>688626466</v>
          </cell>
          <cell r="I353" t="str">
            <v>zazahub@orange.fr</v>
          </cell>
          <cell r="N353" t="str">
            <v>Mme</v>
          </cell>
        </row>
        <row r="354">
          <cell r="B354" t="str">
            <v>HUE</v>
          </cell>
          <cell r="D354" t="str">
            <v>Plouaret</v>
          </cell>
          <cell r="E354">
            <v>22420</v>
          </cell>
          <cell r="F354" t="str">
            <v>Château de Rosenbo, Lanvellec</v>
          </cell>
          <cell r="G354" t="str">
            <v xml:space="preserve">02 96 95 18 77 </v>
          </cell>
          <cell r="H354" t="str">
            <v xml:space="preserve">06 50 48 45 21 </v>
          </cell>
          <cell r="I354" t="str">
            <v>chateauderosanbo@yahoo.com</v>
          </cell>
          <cell r="N354" t="str">
            <v>M.</v>
          </cell>
        </row>
        <row r="355">
          <cell r="B355" t="str">
            <v>HUMBERT</v>
          </cell>
          <cell r="C355" t="str">
            <v>Mathieu</v>
          </cell>
          <cell r="D355" t="str">
            <v>Pleudihen-sur-Rance</v>
          </cell>
          <cell r="E355">
            <v>22690</v>
          </cell>
          <cell r="F355" t="str">
            <v>4, Le Tertre Busnel</v>
          </cell>
          <cell r="H355">
            <v>601157428</v>
          </cell>
          <cell r="I355" t="str">
            <v>matelo4@gmx.fr</v>
          </cell>
          <cell r="N355" t="str">
            <v>M.</v>
          </cell>
        </row>
        <row r="356">
          <cell r="B356" t="str">
            <v>HURAULT</v>
          </cell>
          <cell r="D356" t="str">
            <v>Quévert</v>
          </cell>
          <cell r="E356">
            <v>22100</v>
          </cell>
          <cell r="F356" t="str">
            <v>LES PIFAUDAIS</v>
          </cell>
          <cell r="H356">
            <v>642677446</v>
          </cell>
          <cell r="I356" t="str">
            <v>champsgourmands@gmail.com</v>
          </cell>
          <cell r="J356" t="str">
            <v>Léhon</v>
          </cell>
          <cell r="K356">
            <v>22100</v>
          </cell>
          <cell r="L356" t="str">
            <v>7 BIS rue de la coulébart</v>
          </cell>
          <cell r="M356" t="str">
            <v>Les champs gourmands</v>
          </cell>
          <cell r="N356" t="str">
            <v>M.</v>
          </cell>
        </row>
        <row r="357">
          <cell r="B357" t="str">
            <v>IMBERT</v>
          </cell>
          <cell r="D357" t="str">
            <v>Saint-Brieuc-des-Iffs</v>
          </cell>
          <cell r="E357">
            <v>35630</v>
          </cell>
          <cell r="F357" t="str">
            <v>La Tierais</v>
          </cell>
          <cell r="G357" t="str">
            <v>02 99 45 80 99</v>
          </cell>
          <cell r="I357" t="str">
            <v>pierreimbert@no-log.org</v>
          </cell>
          <cell r="N357" t="str">
            <v>M.et Mme</v>
          </cell>
        </row>
        <row r="358">
          <cell r="B358" t="str">
            <v>INISAN</v>
          </cell>
          <cell r="C358" t="str">
            <v>Rodolphe et Céline</v>
          </cell>
          <cell r="D358" t="str">
            <v>Plévenon</v>
          </cell>
          <cell r="E358">
            <v>22240</v>
          </cell>
          <cell r="F358" t="str">
            <v>St Guireuc</v>
          </cell>
          <cell r="G358">
            <v>296874070</v>
          </cell>
          <cell r="H358" t="str">
            <v>06.59.31.37.21</v>
          </cell>
          <cell r="I358" t="str">
            <v>rodolphe.inisan@gmail.com</v>
          </cell>
          <cell r="J358" t="str">
            <v>Plévenon</v>
          </cell>
          <cell r="K358">
            <v>22240</v>
          </cell>
          <cell r="L358" t="str">
            <v>3, La Moinerie</v>
          </cell>
          <cell r="N358" t="str">
            <v>M.et Mme</v>
          </cell>
        </row>
        <row r="359">
          <cell r="B359" t="str">
            <v>JACOB</v>
          </cell>
          <cell r="C359" t="str">
            <v>Fabienne</v>
          </cell>
          <cell r="D359" t="str">
            <v>Ploemel</v>
          </cell>
          <cell r="E359">
            <v>56400</v>
          </cell>
          <cell r="F359" t="str">
            <v>Keraudran</v>
          </cell>
          <cell r="H359">
            <v>682951554</v>
          </cell>
          <cell r="I359" t="str">
            <v>jafabienne@yahoo.fr</v>
          </cell>
          <cell r="J359" t="str">
            <v>Saint-Philibert</v>
          </cell>
          <cell r="K359">
            <v>56470</v>
          </cell>
          <cell r="L359" t="str">
            <v>14 bis rue de Trélian</v>
          </cell>
          <cell r="N359" t="str">
            <v>Mme</v>
          </cell>
        </row>
        <row r="360">
          <cell r="B360" t="str">
            <v>JAM</v>
          </cell>
          <cell r="C360" t="str">
            <v>Francis</v>
          </cell>
          <cell r="D360" t="str">
            <v>Hédé</v>
          </cell>
          <cell r="E360">
            <v>35630</v>
          </cell>
          <cell r="F360" t="str">
            <v>5, La Tremblais</v>
          </cell>
          <cell r="H360" t="str">
            <v>06 52 29 34 70</v>
          </cell>
          <cell r="I360" t="str">
            <v>francis.jam@gmail.com</v>
          </cell>
          <cell r="N360" t="str">
            <v>M.</v>
          </cell>
        </row>
        <row r="361">
          <cell r="B361" t="str">
            <v>JAN</v>
          </cell>
          <cell r="D361" t="str">
            <v xml:space="preserve">St Igneuc </v>
          </cell>
          <cell r="E361">
            <v>22270</v>
          </cell>
          <cell r="F361" t="str">
            <v>La Prévotais</v>
          </cell>
          <cell r="G361">
            <v>296348059</v>
          </cell>
          <cell r="I361" t="str">
            <v>annejan86@yahoo.fr</v>
          </cell>
          <cell r="J361" t="str">
            <v>Plestan</v>
          </cell>
          <cell r="K361">
            <v>22640</v>
          </cell>
          <cell r="L361" t="str">
            <v>8, rue de l'église</v>
          </cell>
          <cell r="N361" t="str">
            <v>M.et Mme</v>
          </cell>
        </row>
        <row r="362">
          <cell r="B362" t="str">
            <v>JEAN-ALBERT</v>
          </cell>
          <cell r="C362" t="str">
            <v>Cyril</v>
          </cell>
          <cell r="D362" t="str">
            <v>Léhon</v>
          </cell>
          <cell r="E362">
            <v>22100</v>
          </cell>
          <cell r="F362" t="str">
            <v>3, allée de la marotais</v>
          </cell>
          <cell r="G362">
            <v>240119168</v>
          </cell>
          <cell r="H362">
            <v>603538636</v>
          </cell>
          <cell r="I362" t="str">
            <v>jean.albert-cyril@orange.fr</v>
          </cell>
          <cell r="N362" t="str">
            <v>M.</v>
          </cell>
        </row>
        <row r="363">
          <cell r="B363" t="str">
            <v>JEGOU</v>
          </cell>
          <cell r="C363" t="str">
            <v>Fabien</v>
          </cell>
          <cell r="D363" t="str">
            <v>Noyal-sur-Vilaine</v>
          </cell>
          <cell r="E363">
            <v>35530</v>
          </cell>
          <cell r="F363" t="str">
            <v>La Tupinière</v>
          </cell>
          <cell r="H363">
            <v>619870919</v>
          </cell>
          <cell r="I363" t="str">
            <v>jegoufabien@gmail.com</v>
          </cell>
          <cell r="J363" t="str">
            <v>Domagné</v>
          </cell>
          <cell r="K363">
            <v>35113</v>
          </cell>
          <cell r="L363" t="str">
            <v>20 Résidence du Pont Hamon</v>
          </cell>
          <cell r="N363" t="str">
            <v>M.</v>
          </cell>
        </row>
        <row r="364">
          <cell r="B364" t="str">
            <v>JEHANNIN</v>
          </cell>
          <cell r="D364" t="str">
            <v>Langan</v>
          </cell>
          <cell r="E364">
            <v>35850</v>
          </cell>
          <cell r="F364" t="str">
            <v>La Motte souris</v>
          </cell>
          <cell r="H364" t="str">
            <v>02 99 68 27 70</v>
          </cell>
          <cell r="I364" t="str">
            <v>christophejehannin@orange.fr</v>
          </cell>
          <cell r="N364" t="str">
            <v>M.</v>
          </cell>
        </row>
        <row r="365">
          <cell r="B365" t="str">
            <v>Jézéquel</v>
          </cell>
          <cell r="C365" t="str">
            <v>Iltud</v>
          </cell>
          <cell r="D365" t="str">
            <v>Paimpont</v>
          </cell>
          <cell r="E365">
            <v>35380</v>
          </cell>
          <cell r="F365" t="str">
            <v>Trédéal</v>
          </cell>
          <cell r="G365">
            <v>686265056</v>
          </cell>
          <cell r="I365" t="str">
            <v>ijezequel@marc-gw.fr</v>
          </cell>
          <cell r="N365" t="str">
            <v>M.</v>
          </cell>
        </row>
        <row r="366">
          <cell r="B366" t="str">
            <v>JOLY</v>
          </cell>
          <cell r="C366" t="str">
            <v>Christophe</v>
          </cell>
          <cell r="D366" t="str">
            <v>Pleudihen-sur-Rance</v>
          </cell>
          <cell r="E366">
            <v>22690</v>
          </cell>
          <cell r="F366" t="str">
            <v>le pommeret</v>
          </cell>
          <cell r="G366">
            <v>296873105</v>
          </cell>
          <cell r="H366">
            <v>683692275</v>
          </cell>
          <cell r="I366" t="str">
            <v>isquill@yahoo.fr</v>
          </cell>
          <cell r="N366" t="str">
            <v>M.</v>
          </cell>
        </row>
        <row r="367">
          <cell r="B367" t="str">
            <v>JOSSE BOUETARD</v>
          </cell>
          <cell r="D367" t="str">
            <v>Cintré</v>
          </cell>
          <cell r="E367">
            <v>35310</v>
          </cell>
          <cell r="F367" t="str">
            <v>Le Chêne Marie</v>
          </cell>
          <cell r="N367" t="str">
            <v>M.et Mme</v>
          </cell>
        </row>
        <row r="368">
          <cell r="B368" t="str">
            <v>JOUAN</v>
          </cell>
          <cell r="C368" t="str">
            <v>Pierre</v>
          </cell>
          <cell r="D368" t="str">
            <v>Saint-Médard-sur-Ille</v>
          </cell>
          <cell r="E368">
            <v>35250</v>
          </cell>
          <cell r="F368" t="str">
            <v>La bruyère</v>
          </cell>
          <cell r="G368">
            <v>751231782</v>
          </cell>
          <cell r="I368" t="str">
            <v>piv.jouan@laposte.net</v>
          </cell>
          <cell r="J368" t="str">
            <v>Saint-Médard-sur-Ille</v>
          </cell>
          <cell r="K368">
            <v>35250</v>
          </cell>
          <cell r="L368" t="str">
            <v>13 rue de la Mairie</v>
          </cell>
          <cell r="N368" t="str">
            <v>M.</v>
          </cell>
        </row>
        <row r="369">
          <cell r="B369" t="str">
            <v>JOUAULT</v>
          </cell>
          <cell r="D369" t="str">
            <v>Gahard</v>
          </cell>
          <cell r="E369">
            <v>35490</v>
          </cell>
          <cell r="F369" t="str">
            <v>La Jerbaudais</v>
          </cell>
          <cell r="H369">
            <v>635294845</v>
          </cell>
          <cell r="I369" t="str">
            <v>melaine.jouault@laposte.net</v>
          </cell>
          <cell r="M369" t="str">
            <v>EARL TI HAG AWEN</v>
          </cell>
          <cell r="N369" t="str">
            <v>M. et Mme</v>
          </cell>
        </row>
        <row r="370">
          <cell r="B370" t="str">
            <v>JOUAULT</v>
          </cell>
          <cell r="C370" t="str">
            <v>Melaine</v>
          </cell>
          <cell r="D370" t="str">
            <v>Boussac (La)</v>
          </cell>
          <cell r="E370">
            <v>35120</v>
          </cell>
          <cell r="F370" t="str">
            <v>Le Buat</v>
          </cell>
          <cell r="H370" t="str">
            <v>06 35 29 48 45</v>
          </cell>
          <cell r="I370" t="str">
            <v>melaine.jouault@laposte.net</v>
          </cell>
          <cell r="J370" t="str">
            <v>Gahard</v>
          </cell>
          <cell r="K370">
            <v>35490</v>
          </cell>
          <cell r="L370" t="str">
            <v>7, la gerbaudais</v>
          </cell>
          <cell r="N370" t="str">
            <v>M.</v>
          </cell>
        </row>
        <row r="371">
          <cell r="B371" t="str">
            <v>JOUVET</v>
          </cell>
          <cell r="C371" t="str">
            <v>Fabienne</v>
          </cell>
          <cell r="D371" t="str">
            <v>Palais (Le)</v>
          </cell>
          <cell r="E371">
            <v>56360</v>
          </cell>
          <cell r="F371" t="str">
            <v>le bourg</v>
          </cell>
          <cell r="H371">
            <v>684684102</v>
          </cell>
          <cell r="N371" t="str">
            <v>Mme</v>
          </cell>
        </row>
        <row r="372">
          <cell r="B372" t="str">
            <v>Juhel</v>
          </cell>
          <cell r="C372" t="str">
            <v>Cédric</v>
          </cell>
          <cell r="D372" t="str">
            <v>Saint-Aubin-d'Aubigné</v>
          </cell>
          <cell r="E372">
            <v>35250</v>
          </cell>
          <cell r="F372" t="str">
            <v>La Grande Rivière</v>
          </cell>
          <cell r="G372">
            <v>676619340</v>
          </cell>
          <cell r="I372" t="str">
            <v>cedric-juhel@orange.fr</v>
          </cell>
          <cell r="J372" t="str">
            <v>Villers-Bocage</v>
          </cell>
          <cell r="K372">
            <v>14310</v>
          </cell>
          <cell r="L372" t="str">
            <v>39, blv maréchal joffre</v>
          </cell>
        </row>
        <row r="373">
          <cell r="B373" t="str">
            <v>JULE</v>
          </cell>
          <cell r="C373" t="str">
            <v>Jeanne marie</v>
          </cell>
          <cell r="D373" t="str">
            <v>Merdrignac</v>
          </cell>
          <cell r="E373">
            <v>22230</v>
          </cell>
          <cell r="F373" t="str">
            <v>couetlin</v>
          </cell>
          <cell r="I373" t="str">
            <v>julejeannemarie18@yahoo.fr</v>
          </cell>
          <cell r="J373" t="str">
            <v>Merdrignac</v>
          </cell>
          <cell r="K373">
            <v>22230</v>
          </cell>
          <cell r="L373" t="str">
            <v>18 ter rue du docteur moison</v>
          </cell>
        </row>
        <row r="374">
          <cell r="B374" t="str">
            <v>JULLIOT</v>
          </cell>
          <cell r="D374" t="str">
            <v>Chapelle-Blanche (La)</v>
          </cell>
          <cell r="E374">
            <v>22350</v>
          </cell>
          <cell r="F374" t="str">
            <v>Le Bourg</v>
          </cell>
          <cell r="G374">
            <v>296860689</v>
          </cell>
          <cell r="H374">
            <v>618115194</v>
          </cell>
          <cell r="I374" t="str">
            <v>sanillejuliot@sfr.fr</v>
          </cell>
          <cell r="J374" t="str">
            <v>Yvignac</v>
          </cell>
          <cell r="K374">
            <v>22350</v>
          </cell>
          <cell r="L374" t="str">
            <v>Le Vau Pitou</v>
          </cell>
          <cell r="N374" t="str">
            <v>M.et Mme</v>
          </cell>
        </row>
        <row r="375">
          <cell r="B375" t="str">
            <v>JURET</v>
          </cell>
          <cell r="D375" t="str">
            <v>Champs-Géraux (Les)</v>
          </cell>
          <cell r="E375">
            <v>22630</v>
          </cell>
          <cell r="F375" t="str">
            <v>L'aunay gicquel</v>
          </cell>
          <cell r="G375" t="str">
            <v>02 99 56 44 42</v>
          </cell>
          <cell r="H375">
            <v>787641552</v>
          </cell>
          <cell r="I375" t="str">
            <v>ajuret@hotmail.com</v>
          </cell>
          <cell r="J375" t="str">
            <v>Saint-Malo</v>
          </cell>
          <cell r="K375">
            <v>35400</v>
          </cell>
          <cell r="L375" t="str">
            <v>9 rue de saint ideuc</v>
          </cell>
          <cell r="N375" t="str">
            <v>Mme</v>
          </cell>
        </row>
        <row r="376">
          <cell r="B376" t="str">
            <v>KABWA</v>
          </cell>
          <cell r="C376" t="str">
            <v>Frédéric</v>
          </cell>
          <cell r="D376" t="str">
            <v>Antrain</v>
          </cell>
          <cell r="E376">
            <v>35560</v>
          </cell>
          <cell r="F376" t="str">
            <v>9 Brantadé</v>
          </cell>
          <cell r="G376" t="str">
            <v>06 10 70 41 66</v>
          </cell>
          <cell r="I376" t="str">
            <v>fredkabwa@gmail.com</v>
          </cell>
          <cell r="N376" t="str">
            <v>M.</v>
          </cell>
        </row>
        <row r="377">
          <cell r="B377" t="str">
            <v>KAN</v>
          </cell>
          <cell r="C377" t="str">
            <v>Jean-Pierre</v>
          </cell>
          <cell r="D377" t="str">
            <v>Saint-Médard-sur-Ille</v>
          </cell>
          <cell r="E377">
            <v>35250</v>
          </cell>
          <cell r="F377" t="str">
            <v>La Bruyère</v>
          </cell>
          <cell r="G377">
            <v>674809737</v>
          </cell>
          <cell r="I377" t="str">
            <v>jean-pierre.kan@orange.fr</v>
          </cell>
          <cell r="N377" t="str">
            <v>M.</v>
          </cell>
        </row>
        <row r="378">
          <cell r="B378" t="str">
            <v>KERGUILLEC</v>
          </cell>
          <cell r="C378" t="str">
            <v>ANNE-SOPHIE</v>
          </cell>
          <cell r="D378" t="str">
            <v>Plumaugat</v>
          </cell>
          <cell r="E378">
            <v>22250</v>
          </cell>
          <cell r="F378" t="str">
            <v>Le haut bénin</v>
          </cell>
          <cell r="G378">
            <v>296831901</v>
          </cell>
          <cell r="I378" t="str">
            <v>anso1980@hotmail.fr</v>
          </cell>
          <cell r="N378" t="str">
            <v>M.</v>
          </cell>
        </row>
        <row r="379">
          <cell r="B379" t="str">
            <v>KERHOAS</v>
          </cell>
          <cell r="C379" t="str">
            <v>Anaïs</v>
          </cell>
          <cell r="D379" t="str">
            <v>Sains</v>
          </cell>
          <cell r="E379">
            <v>35610</v>
          </cell>
          <cell r="F379" t="str">
            <v>10, la Touche Gilbert</v>
          </cell>
          <cell r="H379" t="str">
            <v>06 37 76 39 56</v>
          </cell>
          <cell r="I379" t="str">
            <v>anais_kerhoas@yahoo.fr</v>
          </cell>
          <cell r="N379" t="str">
            <v>Mme</v>
          </cell>
        </row>
        <row r="380">
          <cell r="B380" t="str">
            <v>KERNALEGUEN</v>
          </cell>
          <cell r="D380" t="str">
            <v>Trédrez-Locquémeau</v>
          </cell>
          <cell r="E380">
            <v>22300</v>
          </cell>
          <cell r="G380">
            <v>296929170</v>
          </cell>
          <cell r="J380" t="str">
            <v>Ploulec'h</v>
          </cell>
          <cell r="K380">
            <v>22300</v>
          </cell>
          <cell r="L380" t="str">
            <v>2 lE hELES</v>
          </cell>
          <cell r="N380" t="str">
            <v>Mr</v>
          </cell>
        </row>
        <row r="381">
          <cell r="B381" t="str">
            <v>KERYER</v>
          </cell>
          <cell r="C381" t="str">
            <v>Françoise</v>
          </cell>
          <cell r="D381" t="str">
            <v>Saint-Péver</v>
          </cell>
          <cell r="E381">
            <v>22720</v>
          </cell>
          <cell r="G381">
            <v>296214074</v>
          </cell>
          <cell r="H381">
            <v>686478889</v>
          </cell>
          <cell r="I381" t="str">
            <v>francoise.keryer@hotmail.fr</v>
          </cell>
          <cell r="J381" t="str">
            <v>Saint-Péver</v>
          </cell>
          <cell r="K381">
            <v>22720</v>
          </cell>
          <cell r="L381" t="str">
            <v>26 kernaour</v>
          </cell>
          <cell r="N381" t="str">
            <v>M. et Mme</v>
          </cell>
        </row>
        <row r="382">
          <cell r="B382" t="str">
            <v>KOENIG</v>
          </cell>
          <cell r="C382" t="str">
            <v>Olivier</v>
          </cell>
          <cell r="D382" t="str">
            <v>Meillac</v>
          </cell>
          <cell r="E382">
            <v>35270</v>
          </cell>
          <cell r="F382" t="str">
            <v>La Grenouillère</v>
          </cell>
          <cell r="G382" t="str">
            <v>02-23-21-55-17</v>
          </cell>
          <cell r="H382" t="str">
            <v>06-82-66-48-89</v>
          </cell>
          <cell r="I382" t="str">
            <v>simoliophis@yahoo.fr</v>
          </cell>
          <cell r="J382" t="str">
            <v>Rennes</v>
          </cell>
          <cell r="K382">
            <v>35000</v>
          </cell>
          <cell r="L382" t="str">
            <v>8, rue Bourde de la Rogerie</v>
          </cell>
        </row>
        <row r="383">
          <cell r="B383" t="str">
            <v>LABARBE</v>
          </cell>
          <cell r="C383" t="str">
            <v>Rémi</v>
          </cell>
          <cell r="D383" t="str">
            <v>Pleudihen-sur-Rance</v>
          </cell>
          <cell r="E383">
            <v>22690</v>
          </cell>
          <cell r="F383" t="str">
            <v>Le haut des champs</v>
          </cell>
          <cell r="G383">
            <v>612322941</v>
          </cell>
          <cell r="I383" t="str">
            <v>remi_lab@hotmail.com</v>
          </cell>
          <cell r="N383" t="str">
            <v>M.</v>
          </cell>
        </row>
        <row r="384">
          <cell r="B384" t="str">
            <v>LACROIX</v>
          </cell>
          <cell r="C384" t="str">
            <v>Diane-Perle</v>
          </cell>
          <cell r="D384" t="str">
            <v>Guipel</v>
          </cell>
          <cell r="E384">
            <v>35440</v>
          </cell>
          <cell r="F384" t="str">
            <v xml:space="preserve">Le bas domaine </v>
          </cell>
          <cell r="H384" t="str">
            <v>06 69 72 53 11</v>
          </cell>
          <cell r="I384" t="str">
            <v>dianeperle@gmail.com</v>
          </cell>
          <cell r="N384" t="str">
            <v>Mme</v>
          </cell>
        </row>
        <row r="385">
          <cell r="B385" t="str">
            <v>LAMARCHE</v>
          </cell>
          <cell r="C385" t="str">
            <v>François</v>
          </cell>
          <cell r="D385" t="str">
            <v>La Baussaine</v>
          </cell>
          <cell r="E385">
            <v>35190</v>
          </cell>
          <cell r="G385" t="str">
            <v xml:space="preserve">02 99 66 71 69 </v>
          </cell>
          <cell r="I385" t="str">
            <v>f.lamarche@orange.fr</v>
          </cell>
          <cell r="N385" t="str">
            <v>M. et Mme</v>
          </cell>
        </row>
        <row r="386">
          <cell r="B386" t="str">
            <v>LAMBARD</v>
          </cell>
          <cell r="D386" t="str">
            <v>Betton</v>
          </cell>
          <cell r="E386">
            <v>35830</v>
          </cell>
          <cell r="F386" t="str">
            <v>La Reinais</v>
          </cell>
          <cell r="G386">
            <v>299558807</v>
          </cell>
          <cell r="N386" t="str">
            <v>M.</v>
          </cell>
        </row>
        <row r="387">
          <cell r="B387" t="str">
            <v>LAMY</v>
          </cell>
          <cell r="D387" t="str">
            <v>Hénansal</v>
          </cell>
          <cell r="E387">
            <v>22400</v>
          </cell>
          <cell r="F387" t="str">
            <v>St Gueltas</v>
          </cell>
          <cell r="H387">
            <v>601344495</v>
          </cell>
          <cell r="I387" t="str">
            <v>cedric_lamy@hotmail.com</v>
          </cell>
          <cell r="J387" t="str">
            <v>Rennes</v>
          </cell>
          <cell r="K387">
            <v>35000</v>
          </cell>
          <cell r="L387" t="str">
            <v>11 square des Hautes Ourmes, Apt 56</v>
          </cell>
          <cell r="N387" t="str">
            <v>M.</v>
          </cell>
        </row>
        <row r="388">
          <cell r="B388" t="str">
            <v>LAMY-LE GENDRE</v>
          </cell>
          <cell r="D388" t="str">
            <v>Trébédan</v>
          </cell>
          <cell r="E388">
            <v>22980</v>
          </cell>
          <cell r="H388">
            <v>662756423</v>
          </cell>
          <cell r="I388" t="str">
            <v>didier.lamy@laposte.net</v>
          </cell>
          <cell r="N388" t="str">
            <v>M.et Mme</v>
          </cell>
        </row>
        <row r="389">
          <cell r="B389" t="str">
            <v>LANCE</v>
          </cell>
          <cell r="D389" t="str">
            <v>Bourseul</v>
          </cell>
          <cell r="E389">
            <v>22130</v>
          </cell>
          <cell r="F389" t="str">
            <v>St Rolland</v>
          </cell>
          <cell r="I389" t="str">
            <v>brice.lance@gmail.com</v>
          </cell>
          <cell r="J389" t="str">
            <v>Bondy</v>
          </cell>
          <cell r="K389">
            <v>93140</v>
          </cell>
          <cell r="L389" t="str">
            <v>212 rue Edouard Vailland</v>
          </cell>
          <cell r="N389" t="str">
            <v>M.et Mme</v>
          </cell>
        </row>
        <row r="390">
          <cell r="B390" t="str">
            <v>Launay</v>
          </cell>
          <cell r="C390" t="str">
            <v>Quéro</v>
          </cell>
          <cell r="D390" t="str">
            <v>Montfort-sur-Meu</v>
          </cell>
          <cell r="E390">
            <v>35160</v>
          </cell>
          <cell r="F390" t="str">
            <v>Launay Quéro Breteuil BP 66217</v>
          </cell>
          <cell r="G390">
            <v>299098073</v>
          </cell>
          <cell r="H390">
            <v>620351414</v>
          </cell>
          <cell r="I390" t="str">
            <v>gerard.demaure@wanadoo.fr</v>
          </cell>
          <cell r="N390" t="str">
            <v>SCI</v>
          </cell>
        </row>
        <row r="391">
          <cell r="B391" t="str">
            <v>LAUNAY</v>
          </cell>
          <cell r="D391" t="str">
            <v>Plourhan</v>
          </cell>
          <cell r="E391">
            <v>22410</v>
          </cell>
          <cell r="F391" t="str">
            <v>Bobihen</v>
          </cell>
          <cell r="G391">
            <v>296719879</v>
          </cell>
          <cell r="H391" t="str">
            <v>06 83 74 44 73</v>
          </cell>
          <cell r="I391" t="str">
            <v>monique.launay@cc-lanvollon-plouha.fr</v>
          </cell>
          <cell r="N391" t="str">
            <v>Mme</v>
          </cell>
        </row>
        <row r="392">
          <cell r="B392" t="str">
            <v>LAURENT</v>
          </cell>
          <cell r="C392" t="str">
            <v>Arnaud</v>
          </cell>
          <cell r="D392" t="str">
            <v>Pleugueneuc</v>
          </cell>
          <cell r="E392">
            <v>35720</v>
          </cell>
          <cell r="F392" t="str">
            <v>5 Le Perquer</v>
          </cell>
          <cell r="H392">
            <v>688097647</v>
          </cell>
          <cell r="I392" t="str">
            <v>a.laurent@bretagneromantique.fr</v>
          </cell>
          <cell r="N392" t="str">
            <v>M.</v>
          </cell>
        </row>
        <row r="393">
          <cell r="B393" t="str">
            <v>LE BAIL</v>
          </cell>
          <cell r="C393" t="str">
            <v>Cédric</v>
          </cell>
          <cell r="D393" t="str">
            <v>Combourg</v>
          </cell>
          <cell r="E393">
            <v>35270</v>
          </cell>
          <cell r="F393" t="str">
            <v>10 chemin du clos St Père 35120 La Boussac</v>
          </cell>
          <cell r="G393" t="str">
            <v>02 99 80 19 19</v>
          </cell>
          <cell r="H393" t="str">
            <v>06 75 85 24 56</v>
          </cell>
          <cell r="I393" t="str">
            <v>lebailcdric@yahoo.fr</v>
          </cell>
        </row>
        <row r="394">
          <cell r="B394" t="str">
            <v>Le Bellegard</v>
          </cell>
          <cell r="C394" t="str">
            <v>Emilie</v>
          </cell>
          <cell r="D394" t="str">
            <v>Rennes</v>
          </cell>
          <cell r="E394">
            <v>35000</v>
          </cell>
          <cell r="F394" t="str">
            <v>SALIBARD Route de Sainte Foix</v>
          </cell>
          <cell r="G394">
            <v>663521614</v>
          </cell>
          <cell r="I394" t="str">
            <v>emilies@e-maginatif.com</v>
          </cell>
          <cell r="N394" t="str">
            <v>M.</v>
          </cell>
        </row>
        <row r="395">
          <cell r="B395" t="str">
            <v>LE BIHAN</v>
          </cell>
          <cell r="D395" t="str">
            <v>Plerguer</v>
          </cell>
          <cell r="E395">
            <v>35540</v>
          </cell>
          <cell r="F395" t="str">
            <v>Le Hameau de Painfour</v>
          </cell>
          <cell r="H395">
            <v>611229899</v>
          </cell>
          <cell r="I395" t="str">
            <v>lebibi.o@gmail.com</v>
          </cell>
          <cell r="J395" t="str">
            <v>Saint-Jacques-de-la-Lande</v>
          </cell>
          <cell r="K395">
            <v>35136</v>
          </cell>
          <cell r="L395" t="str">
            <v>236, rue de Nantes</v>
          </cell>
          <cell r="N395" t="str">
            <v>M. et Mme</v>
          </cell>
        </row>
        <row r="396">
          <cell r="B396" t="str">
            <v>LE BIHAN</v>
          </cell>
          <cell r="C396" t="str">
            <v>Mikael</v>
          </cell>
          <cell r="D396" t="str">
            <v>Ercé-près-Liffré</v>
          </cell>
          <cell r="E396">
            <v>35340</v>
          </cell>
          <cell r="F396" t="str">
            <v>Le Rocher au Coq</v>
          </cell>
          <cell r="G396" t="str">
            <v>09 53 96 74 87</v>
          </cell>
          <cell r="H396" t="str">
            <v>06 67 84 55 81</v>
          </cell>
          <cell r="I396" t="str">
            <v>mikael.lebihan@gmail.com</v>
          </cell>
          <cell r="J396" t="str">
            <v>Thorigné-Fouillard</v>
          </cell>
          <cell r="K396">
            <v>35235</v>
          </cell>
          <cell r="L396" t="str">
            <v>1 Avenue de la Perrière</v>
          </cell>
          <cell r="N396" t="str">
            <v>M.</v>
          </cell>
        </row>
        <row r="397">
          <cell r="B397" t="str">
            <v>LE BLEIZ MULET</v>
          </cell>
          <cell r="C397" t="str">
            <v>Fabien et Nathalie</v>
          </cell>
          <cell r="D397" t="str">
            <v>Parigné</v>
          </cell>
          <cell r="E397">
            <v>35133</v>
          </cell>
          <cell r="F397" t="str">
            <v>Les Petites Courbes</v>
          </cell>
          <cell r="H397" t="str">
            <v>06 81 12 79 94</v>
          </cell>
          <cell r="I397" t="str">
            <v>flebleiz@yahoo.fr</v>
          </cell>
          <cell r="N397" t="str">
            <v>M. et Mme</v>
          </cell>
        </row>
        <row r="398">
          <cell r="B398" t="str">
            <v>LE BORGNE</v>
          </cell>
          <cell r="C398" t="str">
            <v>Patrick</v>
          </cell>
          <cell r="D398" t="str">
            <v>ST GONDRAN</v>
          </cell>
          <cell r="E398">
            <v>35630</v>
          </cell>
          <cell r="F398" t="str">
            <v>La Brosse</v>
          </cell>
          <cell r="G398" t="str">
            <v>02 99 45 50 97</v>
          </cell>
          <cell r="I398" t="str">
            <v>patrick-le-borgne@wanadoo.fr</v>
          </cell>
          <cell r="N398" t="str">
            <v>M. et Mme</v>
          </cell>
        </row>
        <row r="399">
          <cell r="B399" t="str">
            <v>LE BOSSE</v>
          </cell>
          <cell r="C399" t="str">
            <v>Marie Jeanne</v>
          </cell>
          <cell r="D399" t="str">
            <v>Saint-Rémy-du-Plain</v>
          </cell>
          <cell r="E399">
            <v>35560</v>
          </cell>
          <cell r="F399" t="str">
            <v>La Béderais</v>
          </cell>
          <cell r="G399">
            <v>299395202</v>
          </cell>
          <cell r="I399" t="str">
            <v>eaamj@yahoo.fr</v>
          </cell>
          <cell r="N399" t="str">
            <v>M. et Mme</v>
          </cell>
        </row>
        <row r="400">
          <cell r="B400" t="str">
            <v>LE BOUR</v>
          </cell>
          <cell r="C400" t="str">
            <v>Michel</v>
          </cell>
          <cell r="D400" t="str">
            <v>Saint-Julien</v>
          </cell>
          <cell r="E400">
            <v>22940</v>
          </cell>
          <cell r="F400" t="str">
            <v>La Villéon</v>
          </cell>
          <cell r="G400" t="str">
            <v>02.96.61.57.77</v>
          </cell>
          <cell r="I400" t="str">
            <v>mariepascale.lebour@orange.fr</v>
          </cell>
          <cell r="N400" t="str">
            <v>M.</v>
          </cell>
        </row>
        <row r="401">
          <cell r="B401" t="str">
            <v>LE BOZEC</v>
          </cell>
          <cell r="D401" t="str">
            <v>Planguenoual</v>
          </cell>
          <cell r="E401">
            <v>22400</v>
          </cell>
          <cell r="F401" t="str">
            <v>impasse des Venelles</v>
          </cell>
          <cell r="H401">
            <v>669089167</v>
          </cell>
          <cell r="I401" t="str">
            <v>orel8211@aol.com</v>
          </cell>
          <cell r="J401" t="str">
            <v>Saint-Alban</v>
          </cell>
          <cell r="K401">
            <v>22400</v>
          </cell>
          <cell r="L401" t="str">
            <v>54 rue des clôtures</v>
          </cell>
          <cell r="N401" t="str">
            <v>Mlle</v>
          </cell>
        </row>
        <row r="402">
          <cell r="B402" t="str">
            <v>LE BRIS</v>
          </cell>
          <cell r="C402" t="str">
            <v>Anne Laure</v>
          </cell>
          <cell r="D402" t="str">
            <v>Trimer</v>
          </cell>
          <cell r="E402">
            <v>35190</v>
          </cell>
          <cell r="F402" t="str">
            <v>Trélat</v>
          </cell>
          <cell r="H402">
            <v>677788944</v>
          </cell>
          <cell r="I402" t="str">
            <v>lebris.al@gmail.com</v>
          </cell>
          <cell r="J402" t="str">
            <v>Bouëxière (La)</v>
          </cell>
          <cell r="K402">
            <v>35340</v>
          </cell>
          <cell r="L402" t="str">
            <v>La Paveillais</v>
          </cell>
          <cell r="N402" t="str">
            <v>Mme</v>
          </cell>
        </row>
        <row r="403">
          <cell r="B403" t="str">
            <v>LE BRUMENT</v>
          </cell>
          <cell r="D403" t="str">
            <v>Chapelle-des-Fougeretz (La)</v>
          </cell>
          <cell r="E403">
            <v>35520</v>
          </cell>
          <cell r="F403" t="str">
            <v>La Noé</v>
          </cell>
          <cell r="H403">
            <v>612118264</v>
          </cell>
          <cell r="N403" t="str">
            <v>M.et Mme</v>
          </cell>
        </row>
        <row r="404">
          <cell r="B404" t="str">
            <v>LE COMPTE</v>
          </cell>
          <cell r="D404" t="str">
            <v>Trémorel</v>
          </cell>
          <cell r="E404">
            <v>22230</v>
          </cell>
          <cell r="F404" t="str">
            <v>Le Pré Corbin</v>
          </cell>
          <cell r="G404" t="str">
            <v>02 96 25 29 57</v>
          </cell>
          <cell r="I404" t="str">
            <v>isabelle.dunoon@sfr.fr</v>
          </cell>
          <cell r="N404" t="str">
            <v>M. et Mme</v>
          </cell>
        </row>
        <row r="405">
          <cell r="B405" t="str">
            <v>LE CUFF</v>
          </cell>
          <cell r="C405" t="str">
            <v>Marie-Hélène</v>
          </cell>
          <cell r="D405" t="str">
            <v>Gosné</v>
          </cell>
          <cell r="E405">
            <v>35140</v>
          </cell>
          <cell r="F405" t="str">
            <v>25 Bel Air</v>
          </cell>
          <cell r="G405">
            <v>684871816</v>
          </cell>
          <cell r="I405" t="str">
            <v>mhlecuff@gmail.com</v>
          </cell>
          <cell r="N405" t="str">
            <v>M.</v>
          </cell>
        </row>
        <row r="406">
          <cell r="B406" t="str">
            <v>LE DEUC</v>
          </cell>
          <cell r="D406" t="str">
            <v>Saint-Domineuc</v>
          </cell>
          <cell r="E406">
            <v>35190</v>
          </cell>
          <cell r="F406" t="str">
            <v>La Maltière</v>
          </cell>
          <cell r="H406">
            <v>607815370</v>
          </cell>
          <cell r="N406" t="str">
            <v>M.</v>
          </cell>
        </row>
        <row r="407">
          <cell r="B407" t="str">
            <v>LE DEUC</v>
          </cell>
          <cell r="C407" t="str">
            <v>Yannick</v>
          </cell>
          <cell r="D407" t="str">
            <v>Saint-Domineuc</v>
          </cell>
          <cell r="E407">
            <v>35190</v>
          </cell>
          <cell r="F407" t="str">
            <v>La Maltière</v>
          </cell>
          <cell r="H407" t="str">
            <v>06 07 81 53 70</v>
          </cell>
        </row>
        <row r="408">
          <cell r="B408" t="str">
            <v>LE DU</v>
          </cell>
          <cell r="D408" t="str">
            <v>Gahard</v>
          </cell>
          <cell r="E408">
            <v>35490</v>
          </cell>
          <cell r="F408" t="str">
            <v>Le Verger Prune</v>
          </cell>
          <cell r="G408">
            <v>299559964</v>
          </cell>
          <cell r="H408">
            <v>673818617</v>
          </cell>
          <cell r="I408" t="str">
            <v>ledu.philisa@wanadoo.fr</v>
          </cell>
          <cell r="J408" t="str">
            <v>Betton</v>
          </cell>
          <cell r="K408">
            <v>35830</v>
          </cell>
          <cell r="L408" t="str">
            <v>3 allée Henri Matisse</v>
          </cell>
          <cell r="N408" t="str">
            <v>M. et Mme</v>
          </cell>
        </row>
        <row r="409">
          <cell r="B409" t="str">
            <v>LE GALL</v>
          </cell>
          <cell r="C409" t="str">
            <v>Ronan</v>
          </cell>
          <cell r="D409" t="str">
            <v>Mézière (La)</v>
          </cell>
          <cell r="E409">
            <v>35520</v>
          </cell>
          <cell r="F409" t="str">
            <v>le clos du moulin</v>
          </cell>
          <cell r="H409">
            <v>699020708</v>
          </cell>
          <cell r="I409" t="str">
            <v>legall_ronan@orange.fr</v>
          </cell>
        </row>
        <row r="410">
          <cell r="B410" t="str">
            <v>LE GOLVAN</v>
          </cell>
          <cell r="C410" t="str">
            <v>Patrick</v>
          </cell>
          <cell r="D410" t="str">
            <v>Cardroc</v>
          </cell>
          <cell r="E410">
            <v>35190</v>
          </cell>
          <cell r="F410" t="str">
            <v>4, La Rue</v>
          </cell>
          <cell r="G410">
            <v>223408802</v>
          </cell>
          <cell r="I410" t="str">
            <v>patrick.legolvan@gmail.com</v>
          </cell>
          <cell r="N410" t="str">
            <v>M.</v>
          </cell>
        </row>
        <row r="411">
          <cell r="B411" t="str">
            <v>LE GRELLE</v>
          </cell>
          <cell r="D411" t="str">
            <v>Langrolay-sur-Rance</v>
          </cell>
          <cell r="E411">
            <v>22490</v>
          </cell>
          <cell r="F411" t="str">
            <v>La Herviais</v>
          </cell>
          <cell r="G411">
            <v>296869775</v>
          </cell>
          <cell r="H411">
            <v>633204666</v>
          </cell>
          <cell r="J411" t="str">
            <v>Le Chesnay</v>
          </cell>
          <cell r="K411">
            <v>78150</v>
          </cell>
          <cell r="L411" t="str">
            <v>4 av de Bellevue</v>
          </cell>
          <cell r="N411" t="str">
            <v>M.Mme</v>
          </cell>
        </row>
        <row r="412">
          <cell r="B412" t="str">
            <v>LE GUEN - POMMERET</v>
          </cell>
          <cell r="C412" t="str">
            <v>Erwan et Enora</v>
          </cell>
          <cell r="D412" t="str">
            <v>Saint-André-des-Eaux</v>
          </cell>
          <cell r="E412">
            <v>22630</v>
          </cell>
          <cell r="F412" t="str">
            <v>La Lindais</v>
          </cell>
          <cell r="H412">
            <v>624206292</v>
          </cell>
          <cell r="I412" t="str">
            <v>pommeretenora@gmail.com</v>
          </cell>
          <cell r="N412" t="str">
            <v>M. et Mme</v>
          </cell>
        </row>
        <row r="413">
          <cell r="B413" t="str">
            <v>LE HERVET</v>
          </cell>
          <cell r="C413" t="str">
            <v>Maud</v>
          </cell>
          <cell r="D413" t="str">
            <v>Coglès</v>
          </cell>
          <cell r="E413">
            <v>35460</v>
          </cell>
          <cell r="F413" t="str">
            <v>Le petit Gué</v>
          </cell>
          <cell r="H413">
            <v>670000100</v>
          </cell>
          <cell r="I413" t="str">
            <v>maudhervet@yahoo.fr</v>
          </cell>
          <cell r="J413" t="str">
            <v>Coglès</v>
          </cell>
          <cell r="K413">
            <v>35460</v>
          </cell>
          <cell r="L413" t="str">
            <v>La Rigaudière</v>
          </cell>
          <cell r="N413" t="str">
            <v>Mme</v>
          </cell>
        </row>
        <row r="414">
          <cell r="B414" t="str">
            <v>LE LIN</v>
          </cell>
          <cell r="C414" t="str">
            <v>Christophe</v>
          </cell>
          <cell r="D414" t="str">
            <v>Saint-Méloir-des-Ondes</v>
          </cell>
          <cell r="E414">
            <v>35350</v>
          </cell>
          <cell r="F414" t="str">
            <v>Le Limonay</v>
          </cell>
          <cell r="G414" t="str">
            <v>02.99.58.83.75</v>
          </cell>
          <cell r="H414" t="str">
            <v>06.87.98.52.27</v>
          </cell>
          <cell r="I414" t="str">
            <v>lelinpaysage@orange.fr</v>
          </cell>
        </row>
        <row r="415">
          <cell r="B415" t="str">
            <v>LE MAITRE</v>
          </cell>
          <cell r="C415" t="str">
            <v>Frederique</v>
          </cell>
          <cell r="D415" t="str">
            <v>Irodouër</v>
          </cell>
          <cell r="E415">
            <v>35850</v>
          </cell>
          <cell r="F415" t="str">
            <v>la basse haye</v>
          </cell>
          <cell r="H415">
            <v>683815025</v>
          </cell>
          <cell r="I415" t="str">
            <v>franckcroissant@yahoo.fr</v>
          </cell>
        </row>
        <row r="416">
          <cell r="B416" t="str">
            <v>LE MARECHAL</v>
          </cell>
          <cell r="C416" t="str">
            <v>Denis</v>
          </cell>
          <cell r="D416" t="str">
            <v>Melesse</v>
          </cell>
          <cell r="E416">
            <v>35520</v>
          </cell>
          <cell r="F416" t="str">
            <v>la petite guimondiere</v>
          </cell>
          <cell r="H416">
            <v>687600126</v>
          </cell>
          <cell r="I416" t="str">
            <v>denis.lemarechal@cg35.fr</v>
          </cell>
          <cell r="N416" t="str">
            <v>M. et Mme</v>
          </cell>
        </row>
        <row r="417">
          <cell r="B417" t="str">
            <v>LE MEHAUTE</v>
          </cell>
          <cell r="D417" t="str">
            <v>Lanfains</v>
          </cell>
          <cell r="E417">
            <v>22800</v>
          </cell>
          <cell r="F417" t="str">
            <v>Le Rocher</v>
          </cell>
          <cell r="G417">
            <v>296742745</v>
          </cell>
          <cell r="I417" t="str">
            <v>thierrylemehaute@orange.fr</v>
          </cell>
          <cell r="N417" t="str">
            <v>M.et Mme</v>
          </cell>
        </row>
        <row r="418">
          <cell r="B418" t="str">
            <v>LE MERCIER</v>
          </cell>
          <cell r="D418" t="str">
            <v>Matignon</v>
          </cell>
          <cell r="E418">
            <v>22550</v>
          </cell>
          <cell r="F418" t="str">
            <v>L'Hopital-Legven</v>
          </cell>
          <cell r="G418">
            <v>296411986</v>
          </cell>
          <cell r="I418" t="str">
            <v>lemercieralain@wanadoo.fr</v>
          </cell>
          <cell r="N418" t="str">
            <v>Mme</v>
          </cell>
        </row>
        <row r="419">
          <cell r="B419" t="str">
            <v>LE METAYER</v>
          </cell>
          <cell r="D419" t="str">
            <v>Meillac</v>
          </cell>
          <cell r="E419">
            <v>35270</v>
          </cell>
          <cell r="F419" t="str">
            <v>La Hautiere</v>
          </cell>
          <cell r="H419">
            <v>611167435</v>
          </cell>
          <cell r="I419" t="str">
            <v>isabellebetty@orange.fr</v>
          </cell>
          <cell r="J419" t="str">
            <v>Vitré</v>
          </cell>
          <cell r="K419">
            <v>35500</v>
          </cell>
          <cell r="L419" t="str">
            <v>12, rue Hellerie</v>
          </cell>
          <cell r="N419" t="str">
            <v>Mme</v>
          </cell>
        </row>
        <row r="420">
          <cell r="B420" t="str">
            <v>LE MOULAND</v>
          </cell>
          <cell r="D420" t="str">
            <v>Ploubazlanec</v>
          </cell>
          <cell r="E420">
            <v>22620</v>
          </cell>
          <cell r="F420" t="str">
            <v>12,impasse de la Tosson</v>
          </cell>
          <cell r="H420">
            <v>646260208</v>
          </cell>
          <cell r="I420" t="str">
            <v>jplemouland@jpfilms.com</v>
          </cell>
          <cell r="J420" t="str">
            <v>Betton</v>
          </cell>
          <cell r="K420">
            <v>35830</v>
          </cell>
          <cell r="L420" t="str">
            <v>32, rue du Parc</v>
          </cell>
          <cell r="N420" t="str">
            <v>M.</v>
          </cell>
        </row>
        <row r="421">
          <cell r="B421" t="str">
            <v>Le Nouvel</v>
          </cell>
          <cell r="C421" t="str">
            <v>Fabien</v>
          </cell>
          <cell r="D421" t="str">
            <v>Montreuil-sur-Ille</v>
          </cell>
          <cell r="E421">
            <v>35440</v>
          </cell>
          <cell r="F421" t="str">
            <v>1 lieu dit bellevue</v>
          </cell>
          <cell r="G421">
            <v>695449032</v>
          </cell>
          <cell r="I421" t="str">
            <v>fabienlenouvel@gmail.com</v>
          </cell>
          <cell r="J421" t="str">
            <v>Betton</v>
          </cell>
          <cell r="K421">
            <v>35830</v>
          </cell>
          <cell r="L421" t="str">
            <v>5 allée du Pigeon Blanc</v>
          </cell>
          <cell r="N421" t="str">
            <v>M.</v>
          </cell>
        </row>
        <row r="422">
          <cell r="B422" t="str">
            <v>LE PAIH</v>
          </cell>
          <cell r="C422" t="str">
            <v>Amelie</v>
          </cell>
          <cell r="D422" t="str">
            <v>Saint-Germain-sur-Ille</v>
          </cell>
          <cell r="E422">
            <v>35250</v>
          </cell>
          <cell r="F422" t="str">
            <v>ZA La Béchardière-chemin Renault</v>
          </cell>
          <cell r="H422" t="str">
            <v>06 44 85 02 90</v>
          </cell>
          <cell r="I422" t="str">
            <v>contact@atelier-alp.fr</v>
          </cell>
          <cell r="J422" t="str">
            <v>Saint-Malo</v>
          </cell>
          <cell r="K422">
            <v>35400</v>
          </cell>
          <cell r="L422" t="str">
            <v>13, impasse de la caravelle</v>
          </cell>
          <cell r="M422" t="str">
            <v>Atelier ALP</v>
          </cell>
          <cell r="N422" t="str">
            <v>Mme</v>
          </cell>
        </row>
        <row r="423">
          <cell r="B423" t="str">
            <v>LE PAVEC</v>
          </cell>
          <cell r="C423" t="str">
            <v>Gwenaël</v>
          </cell>
          <cell r="D423" t="str">
            <v>Parthenay-de-Bretagne</v>
          </cell>
          <cell r="E423">
            <v>35850</v>
          </cell>
          <cell r="F423" t="str">
            <v>la basse guindrais</v>
          </cell>
          <cell r="G423">
            <v>613637024</v>
          </cell>
          <cell r="I423" t="str">
            <v>guslepavec@hotmail.fr</v>
          </cell>
          <cell r="J423" t="str">
            <v>Parthenay-de-Bretagne</v>
          </cell>
          <cell r="K423">
            <v>35850</v>
          </cell>
          <cell r="L423" t="str">
            <v>1,rue des noisetiers</v>
          </cell>
          <cell r="N423" t="str">
            <v>M.</v>
          </cell>
        </row>
        <row r="424">
          <cell r="B424" t="str">
            <v>LE PESSEC</v>
          </cell>
          <cell r="C424" t="str">
            <v>Gaelle</v>
          </cell>
          <cell r="D424" t="str">
            <v>Combourg</v>
          </cell>
          <cell r="E424">
            <v>35270</v>
          </cell>
          <cell r="F424" t="str">
            <v>4 Blandefalle</v>
          </cell>
          <cell r="G424" t="str">
            <v>06 87 95 98 92</v>
          </cell>
          <cell r="I424" t="str">
            <v>gaelle.lepessec.35@gmail.com</v>
          </cell>
          <cell r="J424" t="str">
            <v>Combourg</v>
          </cell>
          <cell r="K424">
            <v>35270</v>
          </cell>
          <cell r="L424" t="str">
            <v>42, La Donac</v>
          </cell>
          <cell r="N424" t="str">
            <v>M.</v>
          </cell>
        </row>
        <row r="425">
          <cell r="B425" t="str">
            <v>LE PETIT</v>
          </cell>
          <cell r="C425" t="str">
            <v>Christophe</v>
          </cell>
          <cell r="D425" t="str">
            <v>PLESLIN TRIGAVOU</v>
          </cell>
          <cell r="E425">
            <v>22490</v>
          </cell>
          <cell r="F425" t="str">
            <v>La Gromillais</v>
          </cell>
          <cell r="G425" t="str">
            <v>02 96 27 17 35</v>
          </cell>
          <cell r="H425" t="str">
            <v>06 12 13 44 04</v>
          </cell>
          <cell r="I425" t="str">
            <v>contact@aireduverger.com</v>
          </cell>
          <cell r="M425" t="str">
            <v>Eco-construction d'Armorique</v>
          </cell>
        </row>
        <row r="426">
          <cell r="B426" t="str">
            <v>LE ROUX</v>
          </cell>
          <cell r="D426" t="str">
            <v>Hermitage-Lorge (L')</v>
          </cell>
          <cell r="E426">
            <v>22150</v>
          </cell>
          <cell r="F426" t="str">
            <v>Les ecredés</v>
          </cell>
          <cell r="H426" t="str">
            <v xml:space="preserve">06 67 05 23 46 </v>
          </cell>
          <cell r="N426" t="str">
            <v>M.</v>
          </cell>
        </row>
        <row r="427">
          <cell r="B427" t="str">
            <v>LE ROUX-LE CORFEC</v>
          </cell>
          <cell r="D427" t="str">
            <v>Trédarzec</v>
          </cell>
          <cell r="E427">
            <v>22220</v>
          </cell>
          <cell r="F427" t="str">
            <v>Keriolet</v>
          </cell>
          <cell r="G427" t="str">
            <v>02 96 92 29 81</v>
          </cell>
          <cell r="H427" t="str">
            <v>06 77 69 54 25</v>
          </cell>
          <cell r="I427" t="str">
            <v>alroux19@gmail.com</v>
          </cell>
          <cell r="N427" t="str">
            <v>M.et Mme</v>
          </cell>
        </row>
        <row r="428">
          <cell r="B428" t="str">
            <v>LE SAGE - MALAIZIER</v>
          </cell>
          <cell r="C428" t="str">
            <v>La Chesnaie</v>
          </cell>
          <cell r="D428" t="str">
            <v>Saint-Thual</v>
          </cell>
          <cell r="E428">
            <v>35190</v>
          </cell>
          <cell r="F428" t="str">
            <v>25, la chesnaie</v>
          </cell>
          <cell r="H428">
            <v>660943736</v>
          </cell>
          <cell r="I428" t="str">
            <v>mariemalaizier@yahoo.fr</v>
          </cell>
          <cell r="N428" t="str">
            <v>M.et Mme</v>
          </cell>
        </row>
        <row r="429">
          <cell r="B429" t="str">
            <v>LE SOMMER</v>
          </cell>
          <cell r="C429" t="str">
            <v>Janick</v>
          </cell>
          <cell r="D429" t="str">
            <v>Loguivy-Plougras</v>
          </cell>
          <cell r="E429">
            <v>22780</v>
          </cell>
          <cell r="F429" t="str">
            <v>Poul Gren</v>
          </cell>
          <cell r="H429">
            <v>675670090</v>
          </cell>
          <cell r="I429" t="str">
            <v>jannicklesommer@hotmail.com</v>
          </cell>
          <cell r="J429" t="str">
            <v>Mantallot</v>
          </cell>
          <cell r="K429">
            <v>22450</v>
          </cell>
          <cell r="L429" t="str">
            <v>14,pen ar crec'h</v>
          </cell>
          <cell r="N429" t="str">
            <v>Mme</v>
          </cell>
        </row>
        <row r="430">
          <cell r="B430" t="str">
            <v>LE TENSORER</v>
          </cell>
          <cell r="C430" t="str">
            <v>Bruno</v>
          </cell>
          <cell r="D430" t="str">
            <v>Plouër-sur-Rance</v>
          </cell>
          <cell r="E430">
            <v>22490</v>
          </cell>
          <cell r="F430" t="str">
            <v>la guerais</v>
          </cell>
          <cell r="H430">
            <v>661002223</v>
          </cell>
          <cell r="I430" t="str">
            <v>bruno.letensorer@wolseley.fr</v>
          </cell>
          <cell r="N430" t="str">
            <v>M. et Mme</v>
          </cell>
        </row>
        <row r="431">
          <cell r="B431" t="str">
            <v>LEBERT</v>
          </cell>
          <cell r="C431" t="str">
            <v>Christine</v>
          </cell>
          <cell r="D431" t="str">
            <v>Louvigné-du-Désert</v>
          </cell>
          <cell r="E431">
            <v>35420</v>
          </cell>
          <cell r="F431" t="str">
            <v>2, rue Henri le Pourriel</v>
          </cell>
          <cell r="G431">
            <v>299170359</v>
          </cell>
          <cell r="I431" t="str">
            <v>christine.lebert@club.fr</v>
          </cell>
          <cell r="N431" t="str">
            <v>M. et Mme</v>
          </cell>
        </row>
        <row r="432">
          <cell r="B432" t="str">
            <v>lebret</v>
          </cell>
          <cell r="C432" t="str">
            <v>philippe</v>
          </cell>
          <cell r="D432" t="str">
            <v>Combourg</v>
          </cell>
          <cell r="E432">
            <v>35270</v>
          </cell>
          <cell r="F432" t="str">
            <v>riniac</v>
          </cell>
          <cell r="G432">
            <v>299731050</v>
          </cell>
          <cell r="I432" t="str">
            <v>ph.lebret@laposte.net</v>
          </cell>
          <cell r="N432" t="str">
            <v>M.</v>
          </cell>
        </row>
        <row r="433">
          <cell r="B433" t="str">
            <v>LEBRUMENT</v>
          </cell>
          <cell r="D433" t="str">
            <v>La Chapelle-des-Fougeretz</v>
          </cell>
          <cell r="E433">
            <v>35520</v>
          </cell>
          <cell r="F433" t="str">
            <v>La Noé</v>
          </cell>
          <cell r="N433" t="str">
            <v>M. et Mme</v>
          </cell>
        </row>
        <row r="434">
          <cell r="B434" t="str">
            <v>LECAUDEY</v>
          </cell>
          <cell r="C434" t="str">
            <v>Thibault</v>
          </cell>
          <cell r="D434" t="str">
            <v>Gomené</v>
          </cell>
          <cell r="E434">
            <v>22230</v>
          </cell>
          <cell r="F434" t="str">
            <v>La ville Oger</v>
          </cell>
          <cell r="G434">
            <v>622194368</v>
          </cell>
          <cell r="I434" t="str">
            <v>thibaultlecaudey@yahoo.fr</v>
          </cell>
          <cell r="J434" t="str">
            <v>Aubignan</v>
          </cell>
          <cell r="K434">
            <v>84810</v>
          </cell>
          <cell r="L434" t="str">
            <v xml:space="preserve"> 1107 Chemin du moulin neuf</v>
          </cell>
          <cell r="N434" t="str">
            <v>M.</v>
          </cell>
        </row>
        <row r="435">
          <cell r="B435" t="str">
            <v>LECLERCQ</v>
          </cell>
          <cell r="C435" t="str">
            <v>Eddy</v>
          </cell>
          <cell r="D435" t="str">
            <v>Yvignac</v>
          </cell>
          <cell r="E435">
            <v>22350</v>
          </cell>
          <cell r="F435" t="str">
            <v>guiller</v>
          </cell>
          <cell r="H435">
            <v>613152447</v>
          </cell>
          <cell r="I435" t="str">
            <v>leclercqeddy22@gmail.com</v>
          </cell>
          <cell r="N435" t="str">
            <v>M. et Mme</v>
          </cell>
        </row>
        <row r="436">
          <cell r="B436" t="str">
            <v>LECROAT</v>
          </cell>
          <cell r="D436" t="str">
            <v>Tronchet (Le)</v>
          </cell>
          <cell r="E436">
            <v>35540</v>
          </cell>
          <cell r="F436" t="str">
            <v>La Basse Poterie</v>
          </cell>
          <cell r="G436">
            <v>299484137</v>
          </cell>
          <cell r="N436" t="str">
            <v>M. et Mme</v>
          </cell>
        </row>
        <row r="437">
          <cell r="B437" t="str">
            <v>LEFEUVRE</v>
          </cell>
          <cell r="D437" t="str">
            <v>Plestan</v>
          </cell>
          <cell r="E437">
            <v>22640</v>
          </cell>
          <cell r="F437" t="str">
            <v>La Bruyère</v>
          </cell>
          <cell r="H437" t="str">
            <v>06.68.96.71.18</v>
          </cell>
          <cell r="I437" t="str">
            <v>ma.lefeuvre0781@orange.fr</v>
          </cell>
          <cell r="N437" t="str">
            <v>M.et Mme</v>
          </cell>
        </row>
        <row r="438">
          <cell r="B438" t="str">
            <v>Leforestier</v>
          </cell>
          <cell r="C438" t="str">
            <v>Michel</v>
          </cell>
          <cell r="D438" t="str">
            <v>Bouëxière (La)</v>
          </cell>
          <cell r="E438">
            <v>35340</v>
          </cell>
          <cell r="F438" t="str">
            <v>La Haute Plesse</v>
          </cell>
          <cell r="G438" t="str">
            <v>06 84 15 28 08</v>
          </cell>
          <cell r="I438" t="str">
            <v>michel.leforestier@yahoo.fr</v>
          </cell>
          <cell r="N438" t="str">
            <v>M.</v>
          </cell>
        </row>
        <row r="439">
          <cell r="B439" t="str">
            <v>LEFORT</v>
          </cell>
          <cell r="C439" t="str">
            <v>François</v>
          </cell>
          <cell r="D439" t="str">
            <v>Quiou (Le)</v>
          </cell>
          <cell r="E439">
            <v>22630</v>
          </cell>
          <cell r="F439" t="str">
            <v>Le Bourrien</v>
          </cell>
          <cell r="H439">
            <v>686243668</v>
          </cell>
          <cell r="I439" t="str">
            <v>francois.lefort@ac-rennes.fr</v>
          </cell>
          <cell r="N439" t="str">
            <v>M.</v>
          </cell>
        </row>
        <row r="440">
          <cell r="B440" t="str">
            <v>LEFRANC</v>
          </cell>
          <cell r="C440" t="str">
            <v>Patrick</v>
          </cell>
          <cell r="D440" t="str">
            <v>LA CROIXILLE</v>
          </cell>
          <cell r="E440">
            <v>53380</v>
          </cell>
          <cell r="F440" t="str">
            <v>Les Beauces</v>
          </cell>
          <cell r="G440" t="str">
            <v>02 43 37 71 69</v>
          </cell>
          <cell r="H440" t="str">
            <v>06 71 26 96 05</v>
          </cell>
          <cell r="I440" t="str">
            <v>contact@lefranc-paysage.com</v>
          </cell>
        </row>
        <row r="441">
          <cell r="B441" t="str">
            <v>LEFRANCOIS</v>
          </cell>
          <cell r="C441" t="str">
            <v>Marcel</v>
          </cell>
          <cell r="D441" t="str">
            <v>Fontenelle (La)</v>
          </cell>
          <cell r="E441">
            <v>35560</v>
          </cell>
          <cell r="F441" t="str">
            <v>La Chasserie</v>
          </cell>
          <cell r="H441" t="str">
            <v>02 99 98 31 03</v>
          </cell>
          <cell r="I441" t="str">
            <v>lefrancoismarcel@orange.fr</v>
          </cell>
          <cell r="N441" t="str">
            <v>M.</v>
          </cell>
        </row>
        <row r="442">
          <cell r="B442" t="str">
            <v>LEGENDRE</v>
          </cell>
          <cell r="C442" t="str">
            <v>Michel</v>
          </cell>
          <cell r="D442" t="str">
            <v>Boussac (La)</v>
          </cell>
          <cell r="E442">
            <v>35120</v>
          </cell>
          <cell r="F442" t="str">
            <v>10, La CLaye</v>
          </cell>
          <cell r="G442">
            <v>663821264</v>
          </cell>
          <cell r="I442" t="str">
            <v>legendremichel110@yahoo.fr</v>
          </cell>
          <cell r="J442" t="str">
            <v>Saint-Broladre</v>
          </cell>
          <cell r="K442">
            <v>35120</v>
          </cell>
          <cell r="L442" t="str">
            <v>9, rue de l'Orme</v>
          </cell>
          <cell r="N442" t="str">
            <v>M.</v>
          </cell>
        </row>
        <row r="443">
          <cell r="B443" t="str">
            <v>LEGER</v>
          </cell>
          <cell r="C443" t="str">
            <v>Catherine</v>
          </cell>
          <cell r="D443" t="str">
            <v>Châtillon-en-Vendelais</v>
          </cell>
          <cell r="E443">
            <v>35210</v>
          </cell>
          <cell r="F443" t="str">
            <v>La gatelais</v>
          </cell>
          <cell r="H443" t="str">
            <v>06 60 70 98 46</v>
          </cell>
          <cell r="I443" t="str">
            <v>legercatherine@orange.fr</v>
          </cell>
          <cell r="N443" t="str">
            <v>Mme</v>
          </cell>
        </row>
        <row r="444">
          <cell r="B444" t="str">
            <v>legouemier</v>
          </cell>
          <cell r="C444" t="str">
            <v>rachel</v>
          </cell>
          <cell r="D444" t="str">
            <v>Yvignac-la-Tour</v>
          </cell>
          <cell r="E444">
            <v>22350</v>
          </cell>
          <cell r="F444" t="str">
            <v xml:space="preserve">24 kerneuf </v>
          </cell>
          <cell r="G444">
            <v>296860568</v>
          </cell>
          <cell r="H444">
            <v>689983667</v>
          </cell>
          <cell r="I444" t="str">
            <v>legouemier.rachel@orange.fr</v>
          </cell>
          <cell r="N444" t="str">
            <v>M.</v>
          </cell>
        </row>
        <row r="445">
          <cell r="B445" t="str">
            <v>LEGRAND</v>
          </cell>
          <cell r="C445" t="str">
            <v>Solène</v>
          </cell>
          <cell r="D445" t="str">
            <v>Val-d'Izé</v>
          </cell>
          <cell r="E445">
            <v>35450</v>
          </cell>
          <cell r="F445" t="str">
            <v>1, La Larderie</v>
          </cell>
          <cell r="H445" t="str">
            <v>06 80 62 90 52</v>
          </cell>
          <cell r="I445" t="str">
            <v>solenelegrand@hotmail.fr</v>
          </cell>
          <cell r="J445" t="str">
            <v>Marpiré</v>
          </cell>
          <cell r="K445">
            <v>35220</v>
          </cell>
          <cell r="L445" t="str">
            <v>12, Allée des Lilas</v>
          </cell>
          <cell r="N445" t="str">
            <v>Mme</v>
          </cell>
        </row>
        <row r="446">
          <cell r="B446" t="str">
            <v>Lejart</v>
          </cell>
          <cell r="C446" t="str">
            <v>Aline</v>
          </cell>
          <cell r="D446" t="str">
            <v>Éréac</v>
          </cell>
          <cell r="E446">
            <v>22250</v>
          </cell>
          <cell r="F446" t="str">
            <v>L'écoubliere</v>
          </cell>
          <cell r="G446">
            <v>674284517</v>
          </cell>
          <cell r="I446" t="str">
            <v>aline_lejart@hotmail.fr</v>
          </cell>
          <cell r="N446" t="str">
            <v>M.</v>
          </cell>
        </row>
        <row r="447">
          <cell r="B447" t="str">
            <v>LELEU</v>
          </cell>
          <cell r="C447" t="str">
            <v>Xavier</v>
          </cell>
          <cell r="D447" t="str">
            <v>Chapelle-Blanche (La)</v>
          </cell>
          <cell r="E447">
            <v>22350</v>
          </cell>
          <cell r="F447" t="str">
            <v>Le val</v>
          </cell>
          <cell r="G447" t="str">
            <v>02 96 39 29 13</v>
          </cell>
          <cell r="H447" t="str">
            <v>06 63 19 34 63</v>
          </cell>
          <cell r="I447" t="str">
            <v>xavier.delphine@live.fr</v>
          </cell>
          <cell r="J447" t="str">
            <v>Trélivan</v>
          </cell>
          <cell r="K447">
            <v>22100</v>
          </cell>
          <cell r="L447" t="str">
            <v>22, cité du bourg</v>
          </cell>
          <cell r="N447" t="str">
            <v>M.</v>
          </cell>
        </row>
        <row r="448">
          <cell r="B448" t="str">
            <v>LELIEVRE</v>
          </cell>
          <cell r="C448" t="str">
            <v>Olivier et Carole</v>
          </cell>
          <cell r="D448" t="str">
            <v>Bourseul</v>
          </cell>
          <cell r="E448">
            <v>22130</v>
          </cell>
          <cell r="F448" t="str">
            <v>Le petit Saint-Méen, Le béziers</v>
          </cell>
          <cell r="G448" t="str">
            <v xml:space="preserve">02 96 83 05 48 </v>
          </cell>
          <cell r="H448" t="str">
            <v>06 76 76 11 57</v>
          </cell>
          <cell r="I448" t="str">
            <v>olivier.bzh@gmail.com</v>
          </cell>
          <cell r="N448" t="str">
            <v>M. et Mme</v>
          </cell>
        </row>
        <row r="449">
          <cell r="B449" t="str">
            <v>lemarie</v>
          </cell>
          <cell r="C449" t="str">
            <v>francoise</v>
          </cell>
          <cell r="D449" t="str">
            <v>Plerguer</v>
          </cell>
          <cell r="E449">
            <v>35540</v>
          </cell>
          <cell r="F449" t="str">
            <v>le chauchix</v>
          </cell>
          <cell r="G449">
            <v>29201187</v>
          </cell>
          <cell r="I449" t="str">
            <v>frcse.chauchix@gmail.com</v>
          </cell>
          <cell r="N449" t="str">
            <v>M.</v>
          </cell>
        </row>
        <row r="450">
          <cell r="B450" t="str">
            <v>LEMEN</v>
          </cell>
          <cell r="D450" t="str">
            <v>Pléguien</v>
          </cell>
          <cell r="E450">
            <v>22290</v>
          </cell>
          <cell r="F450" t="str">
            <v>4, Kervenou</v>
          </cell>
          <cell r="G450">
            <v>961285991</v>
          </cell>
          <cell r="H450">
            <v>688392698</v>
          </cell>
          <cell r="I450" t="str">
            <v>armen.marine@yahoo.fr</v>
          </cell>
          <cell r="N450" t="str">
            <v>M.</v>
          </cell>
        </row>
        <row r="451">
          <cell r="B451" t="str">
            <v>Lemenant</v>
          </cell>
          <cell r="C451" t="str">
            <v>Laura</v>
          </cell>
          <cell r="D451" t="str">
            <v>Cuguen</v>
          </cell>
          <cell r="E451">
            <v>35270</v>
          </cell>
          <cell r="F451" t="str">
            <v>Les Funges</v>
          </cell>
          <cell r="G451">
            <v>675284752</v>
          </cell>
          <cell r="I451" t="str">
            <v>laura.35b@hotmail.fr</v>
          </cell>
          <cell r="N451" t="str">
            <v>M.</v>
          </cell>
        </row>
        <row r="452">
          <cell r="B452" t="str">
            <v>lemez</v>
          </cell>
          <cell r="C452" t="str">
            <v>virginie</v>
          </cell>
          <cell r="D452" t="str">
            <v>Paimpont</v>
          </cell>
          <cell r="E452">
            <v>35380</v>
          </cell>
          <cell r="F452" t="str">
            <v>le bout de haut</v>
          </cell>
          <cell r="G452">
            <v>699539634</v>
          </cell>
          <cell r="I452" t="str">
            <v>vlemez@hotmail.fr</v>
          </cell>
          <cell r="N452" t="str">
            <v>M.</v>
          </cell>
        </row>
        <row r="453">
          <cell r="B453" t="str">
            <v>LEMIERE</v>
          </cell>
          <cell r="C453" t="str">
            <v>Alexandre</v>
          </cell>
          <cell r="D453" t="str">
            <v>Piré-sur-Seiche</v>
          </cell>
          <cell r="E453">
            <v>35150</v>
          </cell>
          <cell r="F453" t="str">
            <v>zz</v>
          </cell>
          <cell r="H453" t="str">
            <v>06 32 31 17 40</v>
          </cell>
          <cell r="N453" t="str">
            <v>M.</v>
          </cell>
        </row>
        <row r="454">
          <cell r="B454" t="str">
            <v>LEON</v>
          </cell>
          <cell r="D454" t="str">
            <v>Pleugueneuc</v>
          </cell>
          <cell r="E454">
            <v>35720</v>
          </cell>
          <cell r="F454" t="str">
            <v>La Barre de Leix</v>
          </cell>
          <cell r="G454">
            <v>299694760</v>
          </cell>
          <cell r="I454" t="str">
            <v>arichard.leon@gmail.com</v>
          </cell>
          <cell r="N454" t="str">
            <v>M. et Mme</v>
          </cell>
        </row>
        <row r="455">
          <cell r="B455" t="str">
            <v>LEPAGE</v>
          </cell>
          <cell r="C455" t="str">
            <v>Nicolas</v>
          </cell>
          <cell r="D455" t="str">
            <v>Meillac</v>
          </cell>
          <cell r="E455">
            <v>35270</v>
          </cell>
          <cell r="F455" t="str">
            <v>90, le plessis margat</v>
          </cell>
          <cell r="H455" t="str">
            <v>06 74 76 56 13</v>
          </cell>
          <cell r="I455" t="str">
            <v>lepage.n35@gmail.com</v>
          </cell>
        </row>
        <row r="456">
          <cell r="B456" t="str">
            <v>LEPILLEUR</v>
          </cell>
          <cell r="C456" t="str">
            <v>Marc</v>
          </cell>
          <cell r="D456" t="str">
            <v>Gahard</v>
          </cell>
          <cell r="E456">
            <v>35490</v>
          </cell>
          <cell r="F456" t="str">
            <v>Les Brosses</v>
          </cell>
          <cell r="H456" t="str">
            <v>06 12 18 54 17</v>
          </cell>
          <cell r="I456" t="str">
            <v>marclepilleur@gmail.com</v>
          </cell>
          <cell r="N456" t="str">
            <v>M.</v>
          </cell>
        </row>
        <row r="457">
          <cell r="B457" t="str">
            <v>LEPORT</v>
          </cell>
          <cell r="C457" t="str">
            <v>Cécile</v>
          </cell>
          <cell r="D457" t="str">
            <v>Andel</v>
          </cell>
          <cell r="E457">
            <v>22400</v>
          </cell>
          <cell r="F457" t="str">
            <v>Coe-pevre</v>
          </cell>
          <cell r="G457">
            <v>698306097</v>
          </cell>
          <cell r="I457" t="str">
            <v>cecile.leport@laposte.net</v>
          </cell>
          <cell r="J457" t="str">
            <v>Andel</v>
          </cell>
          <cell r="K457">
            <v>22400</v>
          </cell>
          <cell r="L457" t="str">
            <v>Le clos du douet</v>
          </cell>
          <cell r="N457" t="str">
            <v>Mme</v>
          </cell>
        </row>
        <row r="458">
          <cell r="B458" t="str">
            <v>LEPORT</v>
          </cell>
          <cell r="C458" t="str">
            <v>Anne</v>
          </cell>
          <cell r="D458" t="str">
            <v>Cuguen</v>
          </cell>
          <cell r="E458">
            <v>35270</v>
          </cell>
          <cell r="F458" t="str">
            <v>La Rouachère</v>
          </cell>
          <cell r="H458" t="str">
            <v>06 42 07 14 35</v>
          </cell>
          <cell r="I458" t="str">
            <v>benmariette@gmail.com</v>
          </cell>
          <cell r="J458" t="str">
            <v>Epiniac</v>
          </cell>
          <cell r="K458">
            <v>35120</v>
          </cell>
          <cell r="L458" t="str">
            <v>La Higourdais</v>
          </cell>
          <cell r="N458" t="str">
            <v>Mme</v>
          </cell>
        </row>
        <row r="459">
          <cell r="B459" t="str">
            <v>LEROLLE</v>
          </cell>
          <cell r="C459" t="str">
            <v>Marc et Béatrice</v>
          </cell>
          <cell r="D459" t="str">
            <v>Saint-Cast-le-Guildo</v>
          </cell>
          <cell r="E459">
            <v>22380</v>
          </cell>
          <cell r="F459" t="str">
            <v>Le Colombier rue de Galinée</v>
          </cell>
          <cell r="G459" t="str">
            <v>02 96 41 89 39</v>
          </cell>
          <cell r="H459" t="str">
            <v>06 70 79 36 52</v>
          </cell>
          <cell r="I459" t="str">
            <v>beamarclerolle@hotmail.com</v>
          </cell>
          <cell r="N459" t="str">
            <v>M.et Mme</v>
          </cell>
        </row>
        <row r="460">
          <cell r="B460" t="str">
            <v>LEROUX</v>
          </cell>
          <cell r="C460" t="str">
            <v>Pascal</v>
          </cell>
          <cell r="D460" t="str">
            <v>Pleslin-Trigavou</v>
          </cell>
          <cell r="E460">
            <v>22490</v>
          </cell>
          <cell r="F460" t="str">
            <v>La Bois Méen</v>
          </cell>
          <cell r="G460">
            <v>296273508</v>
          </cell>
          <cell r="H460">
            <v>689500856</v>
          </cell>
          <cell r="I460" t="str">
            <v>pastelpaysage@gmail.com</v>
          </cell>
          <cell r="J460" t="str">
            <v>Pleslin-Trigavou</v>
          </cell>
          <cell r="K460">
            <v>22490</v>
          </cell>
          <cell r="L460" t="str">
            <v>La ville Ochedais</v>
          </cell>
          <cell r="N460" t="str">
            <v>M.</v>
          </cell>
        </row>
        <row r="461">
          <cell r="B461" t="str">
            <v>leroy</v>
          </cell>
          <cell r="C461" t="str">
            <v>catherine</v>
          </cell>
          <cell r="D461" t="str">
            <v>Saint-Maugan</v>
          </cell>
          <cell r="E461">
            <v>35750</v>
          </cell>
          <cell r="F461" t="str">
            <v>r</v>
          </cell>
          <cell r="G461">
            <v>603382928</v>
          </cell>
          <cell r="I461" t="str">
            <v>catherine.leroy0178@orange.fr</v>
          </cell>
          <cell r="N461" t="str">
            <v>M.</v>
          </cell>
        </row>
        <row r="462">
          <cell r="B462" t="str">
            <v>LESVIER</v>
          </cell>
          <cell r="D462" t="str">
            <v>Bédée</v>
          </cell>
          <cell r="E462">
            <v>35137</v>
          </cell>
          <cell r="F462" t="str">
            <v>Le Plessix cojalo</v>
          </cell>
          <cell r="G462">
            <v>299040342</v>
          </cell>
          <cell r="I462" t="str">
            <v>les.g1utan@gmail.com</v>
          </cell>
          <cell r="N462" t="str">
            <v>M.et Mme</v>
          </cell>
        </row>
        <row r="463">
          <cell r="B463" t="str">
            <v>LEVADOUX</v>
          </cell>
          <cell r="C463" t="str">
            <v>Bernard</v>
          </cell>
          <cell r="D463" t="str">
            <v>Corseul</v>
          </cell>
          <cell r="E463">
            <v>22130</v>
          </cell>
          <cell r="F463" t="str">
            <v>La Ville Michel</v>
          </cell>
          <cell r="G463" t="str">
            <v xml:space="preserve">02 96 85 97 58 </v>
          </cell>
          <cell r="H463" t="str">
            <v>06 03 84 76 47</v>
          </cell>
          <cell r="I463" t="str">
            <v>bernard.levadoux@hotmail.fr</v>
          </cell>
          <cell r="N463" t="str">
            <v>M.</v>
          </cell>
        </row>
        <row r="464">
          <cell r="B464" t="str">
            <v>LEVEQUE</v>
          </cell>
          <cell r="D464" t="str">
            <v>Saint-Pôtan</v>
          </cell>
          <cell r="E464">
            <v>22550</v>
          </cell>
          <cell r="F464" t="str">
            <v>L'Hôpital</v>
          </cell>
          <cell r="N464" t="str">
            <v>M.et Mme</v>
          </cell>
        </row>
        <row r="465">
          <cell r="B465" t="str">
            <v>LEVEQUE</v>
          </cell>
          <cell r="D465" t="str">
            <v>Combourg</v>
          </cell>
          <cell r="E465">
            <v>35270</v>
          </cell>
          <cell r="F465" t="str">
            <v>Les Fresches</v>
          </cell>
          <cell r="G465">
            <v>299732143</v>
          </cell>
          <cell r="I465" t="str">
            <v>leveque.marie-helene@orange.fr</v>
          </cell>
          <cell r="N465" t="str">
            <v>M. et Mme</v>
          </cell>
        </row>
        <row r="466">
          <cell r="B466" t="str">
            <v>LINDER</v>
          </cell>
          <cell r="C466" t="str">
            <v>Orianne</v>
          </cell>
          <cell r="D466" t="str">
            <v>Taden</v>
          </cell>
          <cell r="E466">
            <v>22100</v>
          </cell>
          <cell r="H466" t="str">
            <v xml:space="preserve">06 45 45 77 08 </v>
          </cell>
          <cell r="I466" t="str">
            <v>corsicablue@gmail.com</v>
          </cell>
          <cell r="N466" t="str">
            <v>Mme</v>
          </cell>
        </row>
        <row r="467">
          <cell r="B467" t="str">
            <v>Lojowski</v>
          </cell>
          <cell r="C467" t="str">
            <v>Elea</v>
          </cell>
          <cell r="D467" t="str">
            <v>Saint-Péran</v>
          </cell>
          <cell r="E467">
            <v>35380</v>
          </cell>
          <cell r="F467" t="str">
            <v>le haut bury</v>
          </cell>
          <cell r="G467">
            <v>665749677</v>
          </cell>
          <cell r="I467" t="str">
            <v>hinanolae05@hotmail.fr</v>
          </cell>
          <cell r="N467" t="str">
            <v>M.</v>
          </cell>
        </row>
        <row r="468">
          <cell r="B468" t="str">
            <v>LOMET</v>
          </cell>
          <cell r="C468" t="str">
            <v>Dominique</v>
          </cell>
          <cell r="D468" t="str">
            <v>Saint-Thual</v>
          </cell>
          <cell r="E468">
            <v>35190</v>
          </cell>
          <cell r="F468" t="str">
            <v>Trésoleil</v>
          </cell>
          <cell r="G468">
            <v>299667223</v>
          </cell>
          <cell r="H468">
            <v>688780545</v>
          </cell>
          <cell r="I468" t="str">
            <v>viviane.lomet@orange.fr</v>
          </cell>
          <cell r="N468" t="str">
            <v>M.</v>
          </cell>
        </row>
        <row r="469">
          <cell r="B469" t="str">
            <v>LORENZATO</v>
          </cell>
          <cell r="C469" t="str">
            <v>Jean-Philippe</v>
          </cell>
          <cell r="D469" t="str">
            <v>Boussac (La)</v>
          </cell>
          <cell r="E469">
            <v>35120</v>
          </cell>
          <cell r="F469" t="str">
            <v>Le Gruer</v>
          </cell>
          <cell r="G469" t="str">
            <v>06 63 07 56 18</v>
          </cell>
          <cell r="I469" t="str">
            <v>lorenzato.jean-philippe@orange.fr</v>
          </cell>
          <cell r="J469" t="str">
            <v>Pleine-Fougères</v>
          </cell>
          <cell r="K469">
            <v>35610</v>
          </cell>
          <cell r="L469" t="str">
            <v xml:space="preserve">4, rue Surcouf Appartement n°3 </v>
          </cell>
          <cell r="N469" t="str">
            <v>M.</v>
          </cell>
        </row>
        <row r="470">
          <cell r="B470" t="str">
            <v>LORIC</v>
          </cell>
          <cell r="D470" t="str">
            <v>Lanvallay</v>
          </cell>
          <cell r="E470">
            <v>22100</v>
          </cell>
          <cell r="F470" t="str">
            <v>11 La Ville ès Souèdre</v>
          </cell>
          <cell r="I470" t="str">
            <v>valentine.loric@hotmail.fr</v>
          </cell>
          <cell r="N470" t="str">
            <v>M.et Mme</v>
          </cell>
        </row>
        <row r="471">
          <cell r="B471" t="str">
            <v>LORIC</v>
          </cell>
          <cell r="C471" t="str">
            <v>Valentine</v>
          </cell>
          <cell r="D471" t="str">
            <v>Lanvallay</v>
          </cell>
          <cell r="E471">
            <v>22100</v>
          </cell>
          <cell r="F471" t="str">
            <v>11, La Ville Es Souedre</v>
          </cell>
          <cell r="H471" t="str">
            <v>06 86 14 85 92</v>
          </cell>
          <cell r="I471" t="str">
            <v>valentine.loric@hotmail.fr</v>
          </cell>
          <cell r="N471" t="str">
            <v>Mme</v>
          </cell>
        </row>
        <row r="472">
          <cell r="B472" t="str">
            <v>LORIN</v>
          </cell>
          <cell r="D472" t="str">
            <v>Combourg</v>
          </cell>
          <cell r="E472">
            <v>35270</v>
          </cell>
          <cell r="F472" t="str">
            <v>L'aubannière</v>
          </cell>
          <cell r="G472">
            <v>299731420</v>
          </cell>
          <cell r="H472">
            <v>667691779</v>
          </cell>
          <cell r="I472" t="str">
            <v>quelor@orange.fr</v>
          </cell>
          <cell r="J472" t="str">
            <v>Combourg</v>
          </cell>
          <cell r="K472">
            <v>35270</v>
          </cell>
          <cell r="L472" t="str">
            <v>Tréheuc</v>
          </cell>
          <cell r="N472" t="str">
            <v>M.</v>
          </cell>
        </row>
        <row r="473">
          <cell r="B473" t="str">
            <v>LORRE</v>
          </cell>
          <cell r="C473" t="str">
            <v>Katell</v>
          </cell>
          <cell r="D473" t="str">
            <v>Saint-Pôtan</v>
          </cell>
          <cell r="E473">
            <v>22550</v>
          </cell>
          <cell r="F473" t="str">
            <v xml:space="preserve">La ville mois </v>
          </cell>
          <cell r="H473" t="str">
            <v>06 82 20 53 88</v>
          </cell>
          <cell r="I473" t="str">
            <v>katell.lorre@orange.fr</v>
          </cell>
          <cell r="J473" t="str">
            <v>Pluduno</v>
          </cell>
          <cell r="K473">
            <v>22130</v>
          </cell>
          <cell r="L473" t="str">
            <v>La rougerais</v>
          </cell>
          <cell r="N473" t="str">
            <v>M. et Mme</v>
          </cell>
        </row>
        <row r="474">
          <cell r="B474" t="str">
            <v>LORRE</v>
          </cell>
          <cell r="D474" t="str">
            <v>Saint-Cast-le-Guildo</v>
          </cell>
          <cell r="E474">
            <v>22380</v>
          </cell>
          <cell r="F474" t="str">
            <v>Le Poteau</v>
          </cell>
          <cell r="G474" t="str">
            <v>02 96 41 12 33</v>
          </cell>
          <cell r="I474" t="str">
            <v>florre@clubinternet.fr</v>
          </cell>
          <cell r="N474" t="str">
            <v>M.et Mme</v>
          </cell>
        </row>
        <row r="475">
          <cell r="B475" t="str">
            <v>LOUAZEL</v>
          </cell>
          <cell r="D475" t="str">
            <v>Pacé</v>
          </cell>
          <cell r="E475">
            <v>35740</v>
          </cell>
          <cell r="F475" t="str">
            <v>L'Aulneraie</v>
          </cell>
          <cell r="G475">
            <v>299601223</v>
          </cell>
          <cell r="I475" t="str">
            <v>philip.louazel@sfr.fr</v>
          </cell>
          <cell r="N475" t="str">
            <v>M. et Mme</v>
          </cell>
        </row>
        <row r="476">
          <cell r="B476" t="str">
            <v>LOUIS</v>
          </cell>
          <cell r="C476" t="str">
            <v>Camille</v>
          </cell>
          <cell r="D476" t="str">
            <v>Corseul</v>
          </cell>
          <cell r="E476">
            <v>22130</v>
          </cell>
          <cell r="F476" t="str">
            <v>La Giendrotais</v>
          </cell>
          <cell r="H476">
            <v>621325137</v>
          </cell>
          <cell r="I476" t="str">
            <v>canilouis@hotmail.com</v>
          </cell>
          <cell r="M476" t="str">
            <v>SCI 3C De Page</v>
          </cell>
          <cell r="N476" t="str">
            <v>Mme</v>
          </cell>
        </row>
        <row r="477">
          <cell r="B477" t="str">
            <v>LOUVEL</v>
          </cell>
          <cell r="C477" t="str">
            <v>Gaëtan</v>
          </cell>
          <cell r="D477" t="str">
            <v>Saint-Brice-en-Coglès</v>
          </cell>
          <cell r="E477">
            <v>35460</v>
          </cell>
          <cell r="F477" t="str">
            <v>La Blinerie</v>
          </cell>
          <cell r="G477" t="str">
            <v>06 78 37 09 49</v>
          </cell>
          <cell r="I477" t="str">
            <v>gaetan.louvel@gmail.com</v>
          </cell>
          <cell r="N477" t="str">
            <v>M.</v>
          </cell>
        </row>
        <row r="478">
          <cell r="B478" t="str">
            <v>M.GUIDON</v>
          </cell>
          <cell r="D478" t="str">
            <v>Plénée-Jugon</v>
          </cell>
          <cell r="E478">
            <v>22640</v>
          </cell>
          <cell r="F478" t="str">
            <v>Abbaye de boquen</v>
          </cell>
          <cell r="G478" t="str">
            <v xml:space="preserve">07.86.52.94.49. </v>
          </cell>
          <cell r="I478" t="str">
            <v>jean.lemonnier@diocèse.vannes.fr</v>
          </cell>
          <cell r="N478" t="str">
            <v>La communauté du chemin neuf</v>
          </cell>
        </row>
        <row r="479">
          <cell r="B479" t="str">
            <v>MACE</v>
          </cell>
          <cell r="C479" t="str">
            <v>Marie-Anne</v>
          </cell>
          <cell r="D479" t="str">
            <v>Loscouët-sur-Meu</v>
          </cell>
          <cell r="E479">
            <v>22230</v>
          </cell>
          <cell r="F479" t="str">
            <v>La Touche ès Gautier</v>
          </cell>
          <cell r="I479" t="str">
            <v>ma-mace@orange.fr</v>
          </cell>
        </row>
        <row r="480">
          <cell r="B480" t="str">
            <v>MACHEREZ</v>
          </cell>
          <cell r="D480" t="str">
            <v>Rheu (Le)</v>
          </cell>
          <cell r="E480">
            <v>35650</v>
          </cell>
          <cell r="F480" t="str">
            <v>La heuzardiere</v>
          </cell>
          <cell r="H480">
            <v>675511992</v>
          </cell>
          <cell r="I480" t="str">
            <v>strinkel@hotmail.fr</v>
          </cell>
          <cell r="N480" t="str">
            <v>Mme</v>
          </cell>
        </row>
        <row r="481">
          <cell r="B481" t="str">
            <v>MADEC</v>
          </cell>
          <cell r="D481" t="str">
            <v>Dingé</v>
          </cell>
          <cell r="E481">
            <v>35440</v>
          </cell>
          <cell r="F481" t="str">
            <v>Le Plessix au chat</v>
          </cell>
          <cell r="H481" t="str">
            <v>06 63 36 78 19</v>
          </cell>
          <cell r="I481" t="str">
            <v>cwhenner@laposte.net</v>
          </cell>
          <cell r="J481" t="str">
            <v>Feins</v>
          </cell>
          <cell r="K481">
            <v>35440</v>
          </cell>
          <cell r="L481" t="str">
            <v>5, Hameau de la rue</v>
          </cell>
          <cell r="N481" t="str">
            <v>M.</v>
          </cell>
        </row>
        <row r="482">
          <cell r="B482" t="str">
            <v>MADEC</v>
          </cell>
          <cell r="C482" t="str">
            <v>Jean-François</v>
          </cell>
          <cell r="D482" t="str">
            <v>Roz-sur-Couesnon</v>
          </cell>
          <cell r="E482">
            <v>35610</v>
          </cell>
          <cell r="F482" t="str">
            <v>rue de la Poultière</v>
          </cell>
          <cell r="G482" t="str">
            <v xml:space="preserve">02.98.25.30.25 </v>
          </cell>
          <cell r="I482" t="str">
            <v>jean-francois.madec_presta@triskalia.fr</v>
          </cell>
          <cell r="M482" t="str">
            <v>TRISKALIA</v>
          </cell>
        </row>
        <row r="483">
          <cell r="B483" t="str">
            <v>MAETZ</v>
          </cell>
          <cell r="D483" t="str">
            <v>Saint-Germain-sur-Ille</v>
          </cell>
          <cell r="E483">
            <v>35250</v>
          </cell>
          <cell r="F483" t="str">
            <v>ZA La Béchardière- chemin Renault</v>
          </cell>
          <cell r="H483" t="str">
            <v>06 44 85 02 90</v>
          </cell>
          <cell r="I483" t="str">
            <v>contact@artisanterrecrue.fr</v>
          </cell>
          <cell r="J483" t="str">
            <v>Saint-Germain-sur-Ille</v>
          </cell>
          <cell r="K483">
            <v>35250</v>
          </cell>
          <cell r="L483" t="str">
            <v>1, cour du vieux marché</v>
          </cell>
          <cell r="N483" t="str">
            <v>M.</v>
          </cell>
        </row>
        <row r="484">
          <cell r="B484" t="str">
            <v>MAGINOT</v>
          </cell>
          <cell r="C484" t="str">
            <v xml:space="preserve">Pascale </v>
          </cell>
          <cell r="D484" t="str">
            <v>Romillé</v>
          </cell>
          <cell r="E484">
            <v>35850</v>
          </cell>
          <cell r="F484" t="str">
            <v>Le Plessix Balisson</v>
          </cell>
          <cell r="G484">
            <v>788699027</v>
          </cell>
          <cell r="I484" t="str">
            <v>pascale.maginot@laposte.net</v>
          </cell>
          <cell r="N484" t="str">
            <v>M.</v>
          </cell>
        </row>
        <row r="485">
          <cell r="B485" t="str">
            <v>MAHE</v>
          </cell>
          <cell r="C485" t="str">
            <v>Fabien et Louise</v>
          </cell>
          <cell r="D485" t="str">
            <v>Croixanvec</v>
          </cell>
          <cell r="E485">
            <v>56920</v>
          </cell>
          <cell r="F485" t="str">
            <v>le Bas Crano</v>
          </cell>
          <cell r="G485" t="str">
            <v>02 97 39 36 56</v>
          </cell>
          <cell r="N485" t="str">
            <v>M. et Mme</v>
          </cell>
        </row>
        <row r="486">
          <cell r="B486" t="str">
            <v>MAILLARD</v>
          </cell>
          <cell r="C486" t="str">
            <v>Régis</v>
          </cell>
          <cell r="D486" t="str">
            <v>Saint-Pierre-de-Plesguen</v>
          </cell>
          <cell r="E486">
            <v>35720</v>
          </cell>
          <cell r="F486" t="str">
            <v>Le Petit Moulin du Rouvre</v>
          </cell>
          <cell r="G486" t="str">
            <v>02 99 73 85 84</v>
          </cell>
          <cell r="I486" t="str">
            <v>info@aumoulindurouvre.com</v>
          </cell>
          <cell r="M486" t="str">
            <v>SARL Le Petit Moulin du Rouvre</v>
          </cell>
          <cell r="N486" t="str">
            <v>M.</v>
          </cell>
        </row>
        <row r="487">
          <cell r="B487" t="str">
            <v>Maillot</v>
          </cell>
          <cell r="C487" t="str">
            <v>LÃ©o</v>
          </cell>
          <cell r="D487" t="str">
            <v>Rheu (Le)</v>
          </cell>
          <cell r="E487">
            <v>35650</v>
          </cell>
          <cell r="F487" t="str">
            <v>lll</v>
          </cell>
          <cell r="G487">
            <v>647216540</v>
          </cell>
          <cell r="I487" t="str">
            <v>leomaillot@wanadoo.fr</v>
          </cell>
        </row>
        <row r="488">
          <cell r="B488" t="str">
            <v>Maingon</v>
          </cell>
          <cell r="C488" t="str">
            <v>Alexandre</v>
          </cell>
          <cell r="D488" t="str">
            <v>Saint-Pôtan</v>
          </cell>
          <cell r="E488">
            <v>22550</v>
          </cell>
          <cell r="F488" t="str">
            <v>151 avenue du Maine</v>
          </cell>
          <cell r="G488">
            <v>663006841</v>
          </cell>
          <cell r="I488" t="str">
            <v>alexidepro@yahoo.fr</v>
          </cell>
          <cell r="N488" t="str">
            <v>M.</v>
          </cell>
        </row>
        <row r="489">
          <cell r="B489" t="str">
            <v>Maison des aieux</v>
          </cell>
          <cell r="D489" t="str">
            <v>Saint-Malon-sur-Mel</v>
          </cell>
          <cell r="E489">
            <v>35750</v>
          </cell>
          <cell r="F489" t="str">
            <v>hameau des aieux</v>
          </cell>
          <cell r="H489">
            <v>607437167</v>
          </cell>
          <cell r="I489" t="str">
            <v>contact@frederiquebaverey.fr</v>
          </cell>
          <cell r="N489" t="str">
            <v>SCI</v>
          </cell>
        </row>
        <row r="490">
          <cell r="B490" t="str">
            <v>MARC</v>
          </cell>
          <cell r="C490" t="str">
            <v>Pascal</v>
          </cell>
          <cell r="D490" t="str">
            <v>Plouër-sur-Rance</v>
          </cell>
          <cell r="E490">
            <v>22490</v>
          </cell>
          <cell r="F490" t="str">
            <v>16, Couvé</v>
          </cell>
          <cell r="H490" t="str">
            <v>06 07 88 68 81</v>
          </cell>
          <cell r="I490" t="str">
            <v>homopalmus@orange.fr</v>
          </cell>
          <cell r="N490" t="str">
            <v>M.</v>
          </cell>
        </row>
        <row r="491">
          <cell r="B491" t="str">
            <v>MARCAULT</v>
          </cell>
          <cell r="C491" t="str">
            <v>Hervé et Pascale</v>
          </cell>
          <cell r="D491" t="str">
            <v>Fréhel</v>
          </cell>
          <cell r="E491">
            <v>22240</v>
          </cell>
          <cell r="F491" t="str">
            <v xml:space="preserve">Le Chemin Neuf </v>
          </cell>
          <cell r="G491" t="str">
            <v>02-99-97-91-09</v>
          </cell>
          <cell r="H491" t="str">
            <v>06 80 46 61 65</v>
          </cell>
          <cell r="I491" t="str">
            <v>hervemarcault@orange.fr</v>
          </cell>
          <cell r="J491" t="str">
            <v>Plévenon</v>
          </cell>
          <cell r="K491">
            <v>22240</v>
          </cell>
          <cell r="N491" t="str">
            <v>M. et Mme</v>
          </cell>
        </row>
        <row r="492">
          <cell r="B492" t="str">
            <v>MARIN</v>
          </cell>
          <cell r="C492" t="str">
            <v>Matthieu</v>
          </cell>
          <cell r="D492" t="str">
            <v>Iffendic</v>
          </cell>
          <cell r="E492">
            <v>35750</v>
          </cell>
          <cell r="F492" t="str">
            <v>bhkg</v>
          </cell>
          <cell r="G492">
            <v>671349042</v>
          </cell>
          <cell r="I492" t="str">
            <v>matthieumarin@hotmail.com</v>
          </cell>
        </row>
        <row r="493">
          <cell r="B493" t="str">
            <v>MARRY</v>
          </cell>
          <cell r="C493" t="str">
            <v>Jean Bernard</v>
          </cell>
          <cell r="D493" t="str">
            <v>Saint-Alban</v>
          </cell>
          <cell r="E493">
            <v>22400</v>
          </cell>
          <cell r="F493" t="str">
            <v>La ville Poince</v>
          </cell>
          <cell r="H493">
            <v>610849798</v>
          </cell>
          <cell r="I493" t="str">
            <v>jean-bernard.marry@wanadoo.fr</v>
          </cell>
        </row>
        <row r="494">
          <cell r="B494" t="str">
            <v>MARTIN</v>
          </cell>
          <cell r="C494" t="str">
            <v>Michel et Rachelle</v>
          </cell>
          <cell r="D494" t="str">
            <v>Plouasne</v>
          </cell>
          <cell r="E494">
            <v>22830</v>
          </cell>
          <cell r="F494" t="str">
            <v>Le Chênevril</v>
          </cell>
          <cell r="G494" t="str">
            <v xml:space="preserve">02 96 86 41 95 </v>
          </cell>
          <cell r="I494" t="str">
            <v>rachmich@orange.fr</v>
          </cell>
          <cell r="N494" t="str">
            <v>M.et Mme</v>
          </cell>
        </row>
        <row r="495">
          <cell r="B495" t="str">
            <v>MARTIN</v>
          </cell>
          <cell r="C495" t="str">
            <v>Stéphanie</v>
          </cell>
          <cell r="D495" t="str">
            <v>Cornillé</v>
          </cell>
          <cell r="E495">
            <v>35500</v>
          </cell>
          <cell r="F495" t="str">
            <v>La Bichetière</v>
          </cell>
          <cell r="H495" t="str">
            <v>06 24 30 00 93</v>
          </cell>
          <cell r="J495" t="str">
            <v>Saint-Didier</v>
          </cell>
          <cell r="K495">
            <v>35220</v>
          </cell>
          <cell r="L495" t="str">
            <v>9, Impasse des Gâts</v>
          </cell>
          <cell r="N495" t="str">
            <v>Mlle</v>
          </cell>
        </row>
        <row r="496">
          <cell r="B496" t="str">
            <v>MARTIN/VILALLONGA</v>
          </cell>
          <cell r="D496" t="str">
            <v>Haut-Corlay (Le)</v>
          </cell>
          <cell r="E496">
            <v>22320</v>
          </cell>
          <cell r="F496" t="str">
            <v>Kermuzik CD 767</v>
          </cell>
          <cell r="H496">
            <v>610308512</v>
          </cell>
          <cell r="I496" t="str">
            <v>cathyvilallonga@yahoo.fr</v>
          </cell>
          <cell r="N496" t="str">
            <v>M.et Mme</v>
          </cell>
        </row>
        <row r="497">
          <cell r="B497" t="str">
            <v>MARTY</v>
          </cell>
          <cell r="D497" t="str">
            <v>Penvénan</v>
          </cell>
          <cell r="E497">
            <v>22710</v>
          </cell>
          <cell r="I497" t="str">
            <v>isidordeschemins@gmail.com</v>
          </cell>
          <cell r="N497" t="str">
            <v>M.</v>
          </cell>
        </row>
        <row r="498">
          <cell r="B498" t="str">
            <v>MASCART</v>
          </cell>
          <cell r="D498" t="str">
            <v>Gévezé</v>
          </cell>
          <cell r="E498">
            <v>35850</v>
          </cell>
          <cell r="F498" t="str">
            <v>bouilland</v>
          </cell>
          <cell r="H498" t="str">
            <v>0672584347-068306058</v>
          </cell>
          <cell r="I498" t="str">
            <v>lmascart@hotmail.com</v>
          </cell>
          <cell r="J498" t="str">
            <v>Maxent</v>
          </cell>
          <cell r="K498">
            <v>35380</v>
          </cell>
          <cell r="L498" t="str">
            <v>10,domaine des clouettes</v>
          </cell>
          <cell r="N498" t="str">
            <v>M. et Mme</v>
          </cell>
        </row>
        <row r="499">
          <cell r="B499" t="str">
            <v>MASSART</v>
          </cell>
          <cell r="C499" t="str">
            <v>Jean-Pierre</v>
          </cell>
          <cell r="D499" t="str">
            <v>Trévron</v>
          </cell>
          <cell r="E499">
            <v>22100</v>
          </cell>
          <cell r="F499" t="str">
            <v>la herviais</v>
          </cell>
          <cell r="H499">
            <v>608472948</v>
          </cell>
          <cell r="I499" t="str">
            <v>jeanpierre-massart@orange.fr</v>
          </cell>
          <cell r="N499" t="str">
            <v>M.</v>
          </cell>
        </row>
        <row r="500">
          <cell r="B500" t="str">
            <v>MAUGARD</v>
          </cell>
          <cell r="D500" t="str">
            <v>Plouër-sur-Rance</v>
          </cell>
          <cell r="E500">
            <v>22490</v>
          </cell>
          <cell r="F500" t="str">
            <v>Pehou le chêne vert</v>
          </cell>
          <cell r="H500">
            <v>632189357</v>
          </cell>
          <cell r="I500" t="str">
            <v>gael.maugard22@orange.fr</v>
          </cell>
          <cell r="N500" t="str">
            <v>M.</v>
          </cell>
        </row>
        <row r="501">
          <cell r="B501" t="str">
            <v>MAUGER</v>
          </cell>
          <cell r="C501" t="str">
            <v xml:space="preserve">Sébastien </v>
          </cell>
          <cell r="D501" t="str">
            <v>Plédéliac</v>
          </cell>
          <cell r="E501">
            <v>22270</v>
          </cell>
          <cell r="F501" t="str">
            <v>La Goudais</v>
          </cell>
          <cell r="H501">
            <v>680675885</v>
          </cell>
          <cell r="I501" t="str">
            <v>s.mauger@verandaline.com</v>
          </cell>
          <cell r="J501" t="str">
            <v>Broons</v>
          </cell>
          <cell r="K501">
            <v>22250</v>
          </cell>
          <cell r="L501" t="str">
            <v>8 bis rue des Bleuets</v>
          </cell>
          <cell r="N501" t="str">
            <v>M.</v>
          </cell>
        </row>
        <row r="502">
          <cell r="B502" t="str">
            <v>MAUGER</v>
          </cell>
          <cell r="C502" t="str">
            <v>Benoit</v>
          </cell>
          <cell r="D502" t="str">
            <v>Combourg</v>
          </cell>
          <cell r="E502">
            <v>35270</v>
          </cell>
          <cell r="F502" t="str">
            <v>Lieu-dit Riniac</v>
          </cell>
          <cell r="H502" t="str">
            <v>06 82 02 85 47</v>
          </cell>
          <cell r="I502" t="str">
            <v>benoitmauger@hotmail.fr</v>
          </cell>
          <cell r="J502" t="str">
            <v>Rennes</v>
          </cell>
          <cell r="K502">
            <v>35000</v>
          </cell>
          <cell r="L502" t="str">
            <v>11 Mail François Mitterrand</v>
          </cell>
          <cell r="N502" t="str">
            <v>M.</v>
          </cell>
        </row>
        <row r="503">
          <cell r="B503" t="str">
            <v>MAURICE</v>
          </cell>
          <cell r="D503" t="str">
            <v>Meillac</v>
          </cell>
          <cell r="E503">
            <v>35270</v>
          </cell>
          <cell r="F503" t="str">
            <v>La ville Clérot</v>
          </cell>
          <cell r="H503">
            <v>621248842</v>
          </cell>
          <cell r="I503" t="str">
            <v>laetitiaelise@hotmail.fr</v>
          </cell>
          <cell r="N503" t="str">
            <v>Mme</v>
          </cell>
        </row>
        <row r="504">
          <cell r="B504" t="str">
            <v>MAUSSERVEY</v>
          </cell>
          <cell r="C504" t="str">
            <v>Mireille</v>
          </cell>
          <cell r="D504" t="str">
            <v>Iffendic</v>
          </cell>
          <cell r="E504">
            <v>35750</v>
          </cell>
          <cell r="F504" t="str">
            <v>La Vigne</v>
          </cell>
          <cell r="G504" t="str">
            <v>06 08 69 83 59</v>
          </cell>
          <cell r="I504" t="str">
            <v>mmausservey@free.fr</v>
          </cell>
          <cell r="N504" t="str">
            <v>Mme</v>
          </cell>
        </row>
        <row r="505">
          <cell r="B505" t="str">
            <v>MEGHE</v>
          </cell>
          <cell r="C505" t="str">
            <v>Blandine</v>
          </cell>
          <cell r="D505" t="str">
            <v>Liffré</v>
          </cell>
          <cell r="E505">
            <v>35340</v>
          </cell>
          <cell r="F505" t="str">
            <v>La Huberderie</v>
          </cell>
          <cell r="G505" t="str">
            <v>02 99 68 67 61</v>
          </cell>
          <cell r="I505" t="str">
            <v>blandinemeghe@hotmail.fr</v>
          </cell>
          <cell r="N505" t="str">
            <v>Mme</v>
          </cell>
        </row>
        <row r="506">
          <cell r="B506" t="str">
            <v>MEHAIGNERIE - DOBE</v>
          </cell>
          <cell r="C506" t="str">
            <v>Thomas et Delphine</v>
          </cell>
          <cell r="D506" t="str">
            <v>Plouër-sur-Rance</v>
          </cell>
          <cell r="E506">
            <v>22490</v>
          </cell>
          <cell r="F506" t="str">
            <v>9, Couvé</v>
          </cell>
          <cell r="H506" t="str">
            <v>07 88 25 00 32</v>
          </cell>
          <cell r="I506" t="str">
            <v>delphinedobe.dd@gmail.com</v>
          </cell>
          <cell r="J506" t="str">
            <v>Saint-Malo</v>
          </cell>
          <cell r="K506">
            <v>35400</v>
          </cell>
          <cell r="L506" t="str">
            <v>51 rue de la Cité</v>
          </cell>
          <cell r="N506" t="str">
            <v>M. et Mme</v>
          </cell>
        </row>
        <row r="507">
          <cell r="B507" t="str">
            <v>MEHEUST</v>
          </cell>
          <cell r="D507" t="str">
            <v>Lamballe</v>
          </cell>
          <cell r="E507">
            <v>22400</v>
          </cell>
          <cell r="F507" t="str">
            <v>La lande aux riches-St Aaron</v>
          </cell>
          <cell r="G507">
            <v>296311063</v>
          </cell>
          <cell r="H507">
            <v>699240830</v>
          </cell>
          <cell r="I507" t="str">
            <v>michel.meheust@wanadoo.fr</v>
          </cell>
          <cell r="J507" t="str">
            <v>Lamballe</v>
          </cell>
          <cell r="K507">
            <v>22400</v>
          </cell>
          <cell r="L507" t="str">
            <v>L'hopital-St Aaron</v>
          </cell>
          <cell r="N507" t="str">
            <v>M.et Mme</v>
          </cell>
        </row>
        <row r="508">
          <cell r="B508" t="str">
            <v>MEHEUST-PASQUE</v>
          </cell>
          <cell r="C508" t="str">
            <v>Bertrand</v>
          </cell>
          <cell r="D508" t="str">
            <v>Landéhen</v>
          </cell>
          <cell r="E508">
            <v>22400</v>
          </cell>
          <cell r="F508" t="str">
            <v>2, les champs raymond</v>
          </cell>
          <cell r="G508">
            <v>608465060</v>
          </cell>
          <cell r="I508" t="str">
            <v>helene.pasque22@orange.fr</v>
          </cell>
          <cell r="J508" t="str">
            <v>Landéhen</v>
          </cell>
          <cell r="K508">
            <v>22400</v>
          </cell>
          <cell r="L508" t="str">
            <v>2 les champs raymond</v>
          </cell>
          <cell r="N508" t="str">
            <v>M. et Mme</v>
          </cell>
        </row>
        <row r="509">
          <cell r="B509" t="str">
            <v>MELLI</v>
          </cell>
          <cell r="C509" t="str">
            <v>Christophe</v>
          </cell>
          <cell r="D509" t="str">
            <v>Poilley</v>
          </cell>
          <cell r="E509">
            <v>35420</v>
          </cell>
          <cell r="F509" t="str">
            <v>Le petit plessix</v>
          </cell>
          <cell r="H509" t="str">
            <v xml:space="preserve">06 03 15 22 57 </v>
          </cell>
          <cell r="N509" t="str">
            <v>M.</v>
          </cell>
        </row>
        <row r="510">
          <cell r="B510" t="str">
            <v>MENARD</v>
          </cell>
          <cell r="C510" t="str">
            <v>Guy</v>
          </cell>
          <cell r="D510" t="str">
            <v>Saint-Cast-le-Guildo</v>
          </cell>
          <cell r="E510">
            <v>22380</v>
          </cell>
          <cell r="F510" t="str">
            <v xml:space="preserve">5 rue Jacques Cartier </v>
          </cell>
          <cell r="G510">
            <v>626111272</v>
          </cell>
          <cell r="I510" t="str">
            <v>gmenard12009@live.fr</v>
          </cell>
          <cell r="J510" t="str">
            <v>Dinan</v>
          </cell>
          <cell r="K510">
            <v>22100</v>
          </cell>
          <cell r="L510" t="str">
            <v>5 rue Jacques Cartier</v>
          </cell>
          <cell r="N510" t="str">
            <v>M.</v>
          </cell>
        </row>
        <row r="511">
          <cell r="B511" t="str">
            <v>MERDRIGNAC</v>
          </cell>
          <cell r="C511" t="str">
            <v>Jean</v>
          </cell>
          <cell r="D511" t="str">
            <v>Plélan-le-Petit</v>
          </cell>
          <cell r="E511">
            <v>22980</v>
          </cell>
          <cell r="F511" t="str">
            <v>La Fosse</v>
          </cell>
          <cell r="G511" t="str">
            <v xml:space="preserve">02 96 27 67 63 </v>
          </cell>
          <cell r="H511" t="str">
            <v>06 70 71 68 26</v>
          </cell>
          <cell r="I511" t="str">
            <v>jmerdrignac@wanadoo.fr</v>
          </cell>
          <cell r="N511" t="str">
            <v>M.</v>
          </cell>
        </row>
        <row r="512">
          <cell r="B512" t="str">
            <v>MEREL</v>
          </cell>
          <cell r="D512" t="str">
            <v>Plouër-sur-Rance</v>
          </cell>
          <cell r="E512">
            <v>22490</v>
          </cell>
          <cell r="F512" t="str">
            <v>La Metairie de Brizard</v>
          </cell>
          <cell r="G512" t="str">
            <v>02.99.40.17.40</v>
          </cell>
          <cell r="I512" t="str">
            <v>sophie.fievet@wanadoo.fr</v>
          </cell>
          <cell r="J512" t="str">
            <v>Cachan</v>
          </cell>
          <cell r="K512">
            <v>94230</v>
          </cell>
          <cell r="L512" t="str">
            <v>68, avenue du president wilson</v>
          </cell>
          <cell r="N512" t="str">
            <v>M. et Mme</v>
          </cell>
        </row>
        <row r="513">
          <cell r="B513" t="str">
            <v>Meury</v>
          </cell>
          <cell r="C513" t="str">
            <v>Jean-Loic</v>
          </cell>
          <cell r="D513" t="str">
            <v>Hénanbihen</v>
          </cell>
          <cell r="E513">
            <v>22550</v>
          </cell>
          <cell r="F513" t="str">
            <v>27, Saint Jean 22550 Hénanbihen</v>
          </cell>
          <cell r="G513">
            <v>296340327</v>
          </cell>
          <cell r="I513" t="str">
            <v>marieannick.meury@gmail.com</v>
          </cell>
          <cell r="N513" t="str">
            <v>M.</v>
          </cell>
        </row>
        <row r="514">
          <cell r="B514" t="str">
            <v>MIFUNE</v>
          </cell>
          <cell r="D514" t="str">
            <v>Saint-Germain-en-Coglès</v>
          </cell>
          <cell r="E514">
            <v>35133</v>
          </cell>
          <cell r="F514" t="str">
            <v>Clinchard</v>
          </cell>
          <cell r="G514">
            <v>299943847</v>
          </cell>
          <cell r="I514" t="str">
            <v>francette_44@yahoo.fr</v>
          </cell>
          <cell r="N514" t="str">
            <v>Mme</v>
          </cell>
        </row>
        <row r="515">
          <cell r="B515" t="str">
            <v>MIGAULT</v>
          </cell>
          <cell r="C515" t="str">
            <v>Guillaume</v>
          </cell>
          <cell r="D515" t="str">
            <v>Guipel</v>
          </cell>
          <cell r="E515">
            <v>35440</v>
          </cell>
          <cell r="F515" t="str">
            <v>Le clos de la croix</v>
          </cell>
          <cell r="H515" t="str">
            <v>06 43 38 59 73</v>
          </cell>
          <cell r="I515" t="str">
            <v>guillaumemigault@gmail.com</v>
          </cell>
          <cell r="J515" t="str">
            <v>Guipel</v>
          </cell>
          <cell r="K515">
            <v>35440</v>
          </cell>
          <cell r="L515" t="str">
            <v>la rafflière</v>
          </cell>
          <cell r="N515" t="str">
            <v>M.</v>
          </cell>
        </row>
        <row r="516">
          <cell r="B516" t="str">
            <v>MIZRAHI</v>
          </cell>
          <cell r="C516" t="str">
            <v>Martine</v>
          </cell>
          <cell r="D516" t="str">
            <v>Pléboulle</v>
          </cell>
          <cell r="E516">
            <v>22550</v>
          </cell>
          <cell r="F516" t="str">
            <v>Le Pont Barre</v>
          </cell>
          <cell r="G516">
            <v>296412884</v>
          </cell>
          <cell r="I516" t="str">
            <v>besnardpierre22@orange.fr</v>
          </cell>
          <cell r="N516" t="str">
            <v>Mme</v>
          </cell>
        </row>
        <row r="517">
          <cell r="B517" t="str">
            <v>MOISAN</v>
          </cell>
          <cell r="D517" t="str">
            <v>Plémy</v>
          </cell>
          <cell r="E517">
            <v>22150</v>
          </cell>
          <cell r="F517" t="str">
            <v>Les rues thomas - Carfort</v>
          </cell>
          <cell r="H517">
            <v>607857065</v>
          </cell>
          <cell r="I517" t="str">
            <v>louis.moisan@wanadoo.fr</v>
          </cell>
          <cell r="N517" t="str">
            <v>M.</v>
          </cell>
        </row>
        <row r="518">
          <cell r="B518" t="str">
            <v>MOISAN</v>
          </cell>
          <cell r="C518" t="str">
            <v>Gilles</v>
          </cell>
          <cell r="D518" t="str">
            <v>Saint-Maudez</v>
          </cell>
          <cell r="E518">
            <v>22980</v>
          </cell>
          <cell r="F518" t="str">
            <v>L'hoermel</v>
          </cell>
          <cell r="H518">
            <v>6723051</v>
          </cell>
          <cell r="I518" t="str">
            <v>gilles.moisan@gmail.com</v>
          </cell>
          <cell r="N518" t="str">
            <v>M.</v>
          </cell>
        </row>
        <row r="519">
          <cell r="B519" t="str">
            <v>MONET</v>
          </cell>
          <cell r="C519" t="str">
            <v>Maryse</v>
          </cell>
          <cell r="D519" t="str">
            <v>Créhen</v>
          </cell>
          <cell r="E519">
            <v>22130</v>
          </cell>
          <cell r="F519" t="str">
            <v xml:space="preserve">La rigaudais </v>
          </cell>
          <cell r="G519">
            <v>675665259</v>
          </cell>
          <cell r="I519" t="str">
            <v>marysedumont@yahoo.fr</v>
          </cell>
          <cell r="N519" t="str">
            <v>M.</v>
          </cell>
        </row>
        <row r="520">
          <cell r="B520" t="str">
            <v>MOREAU</v>
          </cell>
          <cell r="C520" t="str">
            <v>Gilles</v>
          </cell>
          <cell r="D520" t="str">
            <v>Talensac</v>
          </cell>
          <cell r="E520">
            <v>35160</v>
          </cell>
          <cell r="F520" t="str">
            <v>10 La Basse Comtais</v>
          </cell>
          <cell r="G520">
            <v>223434505</v>
          </cell>
          <cell r="H520">
            <v>662031060</v>
          </cell>
          <cell r="I520" t="str">
            <v>gillou.mor@gmail.com</v>
          </cell>
          <cell r="N520" t="str">
            <v>Mr.</v>
          </cell>
        </row>
        <row r="521">
          <cell r="B521" t="str">
            <v>MOREL</v>
          </cell>
          <cell r="C521" t="str">
            <v>Dominique</v>
          </cell>
          <cell r="D521" t="str">
            <v>Tinténiac</v>
          </cell>
          <cell r="E521">
            <v>35190</v>
          </cell>
          <cell r="F521" t="str">
            <v>La fontaine Orain</v>
          </cell>
          <cell r="G521">
            <v>672068543</v>
          </cell>
          <cell r="I521" t="str">
            <v>dominique.morel@ac-rennes.fr</v>
          </cell>
          <cell r="N521" t="str">
            <v>M. et Mme</v>
          </cell>
        </row>
        <row r="522">
          <cell r="B522" t="str">
            <v>MOREL</v>
          </cell>
          <cell r="C522" t="str">
            <v>Olivier</v>
          </cell>
          <cell r="D522" t="str">
            <v>Saint-Alban</v>
          </cell>
          <cell r="E522">
            <v>22400</v>
          </cell>
          <cell r="F522" t="str">
            <v>La ville Cochard, 5 rue de la saudrais</v>
          </cell>
          <cell r="H522" t="str">
            <v>06.87.58.22.49</v>
          </cell>
          <cell r="I522" t="str">
            <v>callim@hotmail.fr</v>
          </cell>
          <cell r="J522" t="str">
            <v>Erquy</v>
          </cell>
          <cell r="K522">
            <v>22430</v>
          </cell>
          <cell r="L522" t="str">
            <v>8, rue de Clairville</v>
          </cell>
          <cell r="N522" t="str">
            <v>M.</v>
          </cell>
        </row>
        <row r="523">
          <cell r="B523" t="str">
            <v>MOREL</v>
          </cell>
          <cell r="D523" t="str">
            <v>Pleudihen-sur-Rance</v>
          </cell>
          <cell r="E523">
            <v>22690</v>
          </cell>
          <cell r="F523" t="str">
            <v>coet cantel</v>
          </cell>
          <cell r="H523">
            <v>661229860</v>
          </cell>
          <cell r="I523" t="str">
            <v>anthony.morel@gmail.com</v>
          </cell>
          <cell r="N523" t="str">
            <v>M.</v>
          </cell>
        </row>
        <row r="524">
          <cell r="B524" t="str">
            <v>Morel</v>
          </cell>
          <cell r="C524" t="str">
            <v>Cyrille</v>
          </cell>
          <cell r="D524" t="str">
            <v>Rennes</v>
          </cell>
          <cell r="E524">
            <v>35000</v>
          </cell>
          <cell r="F524" t="str">
            <v>La Grasnière</v>
          </cell>
          <cell r="G524">
            <v>625312128</v>
          </cell>
          <cell r="I524" t="str">
            <v>cyrille-morel@wanadoo.fr</v>
          </cell>
          <cell r="N524" t="str">
            <v>M.</v>
          </cell>
        </row>
        <row r="525">
          <cell r="B525" t="str">
            <v>MOREL</v>
          </cell>
          <cell r="C525" t="str">
            <v>Cyrille</v>
          </cell>
          <cell r="D525" t="str">
            <v>Rennes</v>
          </cell>
          <cell r="E525">
            <v>35000</v>
          </cell>
          <cell r="F525" t="str">
            <v>La grasniere</v>
          </cell>
          <cell r="H525">
            <v>625312128</v>
          </cell>
          <cell r="I525" t="str">
            <v>cyrille-morel@wanadoo.fr</v>
          </cell>
          <cell r="N525" t="str">
            <v>M. et Mme</v>
          </cell>
        </row>
        <row r="526">
          <cell r="B526" t="str">
            <v>MOREL</v>
          </cell>
          <cell r="C526" t="str">
            <v>Mathieu</v>
          </cell>
          <cell r="D526" t="str">
            <v>Saint-Méloir-des-Ondes</v>
          </cell>
          <cell r="E526">
            <v>35350</v>
          </cell>
          <cell r="F526" t="str">
            <v>La durandais</v>
          </cell>
          <cell r="H526" t="str">
            <v>06 98 27 97 29</v>
          </cell>
          <cell r="I526" t="str">
            <v>contact@brasserie-bosco.com</v>
          </cell>
          <cell r="J526" t="str">
            <v>Saint-Malo</v>
          </cell>
          <cell r="K526">
            <v>35400</v>
          </cell>
          <cell r="L526" t="str">
            <v>2, Place de la Grande Hermine</v>
          </cell>
          <cell r="M526" t="str">
            <v>Brasserie BOSCO (SARL)</v>
          </cell>
        </row>
        <row r="527">
          <cell r="B527" t="str">
            <v>MOREL</v>
          </cell>
          <cell r="C527" t="str">
            <v>Régis</v>
          </cell>
          <cell r="D527" t="str">
            <v>Saint-Brice-en-Coglès</v>
          </cell>
          <cell r="E527">
            <v>35460</v>
          </cell>
          <cell r="F527" t="str">
            <v>La Croix Madame</v>
          </cell>
          <cell r="I527" t="str">
            <v>fermelapachamama@gmail.com</v>
          </cell>
          <cell r="M527" t="str">
            <v>Ferme de la Pachamama</v>
          </cell>
          <cell r="N527" t="str">
            <v>M.</v>
          </cell>
        </row>
        <row r="528">
          <cell r="B528" t="str">
            <v>MORIN</v>
          </cell>
          <cell r="D528" t="str">
            <v>Boqueho</v>
          </cell>
          <cell r="E528">
            <v>22170</v>
          </cell>
          <cell r="F528" t="str">
            <v>Coatrio</v>
          </cell>
          <cell r="G528">
            <v>296748660</v>
          </cell>
          <cell r="I528" t="str">
            <v>getrio@wanadoo.fr</v>
          </cell>
          <cell r="N528" t="str">
            <v>M.</v>
          </cell>
        </row>
        <row r="529">
          <cell r="B529" t="str">
            <v>MORIN</v>
          </cell>
          <cell r="D529" t="str">
            <v>Saint-Alban</v>
          </cell>
          <cell r="E529">
            <v>22400</v>
          </cell>
          <cell r="F529" t="str">
            <v>le Carriguen</v>
          </cell>
          <cell r="H529">
            <v>628533269</v>
          </cell>
          <cell r="I529" t="str">
            <v>thibautmorin@gmail.com</v>
          </cell>
          <cell r="N529" t="str">
            <v>M.</v>
          </cell>
        </row>
        <row r="530">
          <cell r="B530" t="str">
            <v>MORVANT</v>
          </cell>
          <cell r="D530" t="str">
            <v>Saint-Thual</v>
          </cell>
          <cell r="E530">
            <v>35190</v>
          </cell>
          <cell r="F530" t="str">
            <v>Trésoleil</v>
          </cell>
          <cell r="H530">
            <v>683475058</v>
          </cell>
          <cell r="I530" t="str">
            <v>magalimorvant7@gmail.com</v>
          </cell>
          <cell r="N530" t="str">
            <v>M et Mme</v>
          </cell>
        </row>
        <row r="531">
          <cell r="B531" t="str">
            <v>MOUNIER</v>
          </cell>
          <cell r="C531" t="str">
            <v>Hubert</v>
          </cell>
          <cell r="D531" t="str">
            <v>Bréal-sous-Montfort</v>
          </cell>
          <cell r="E531">
            <v>35310</v>
          </cell>
          <cell r="F531" t="str">
            <v>le fougeray</v>
          </cell>
          <cell r="G531">
            <v>299605171</v>
          </cell>
          <cell r="I531" t="str">
            <v>humimo@orange.fr</v>
          </cell>
          <cell r="N531" t="str">
            <v>M.et Mme</v>
          </cell>
        </row>
        <row r="532">
          <cell r="B532" t="str">
            <v>MOUNIER</v>
          </cell>
          <cell r="D532" t="str">
            <v>Mordelles</v>
          </cell>
          <cell r="E532">
            <v>35310</v>
          </cell>
          <cell r="F532" t="str">
            <v>La Ville Noublé</v>
          </cell>
          <cell r="H532">
            <v>604182552</v>
          </cell>
          <cell r="I532" t="str">
            <v>patrickmounier@sfr.fr</v>
          </cell>
          <cell r="N532" t="str">
            <v>M. et Mme</v>
          </cell>
        </row>
        <row r="533">
          <cell r="B533" t="str">
            <v>MOUSSU</v>
          </cell>
          <cell r="C533" t="str">
            <v>Lucie</v>
          </cell>
          <cell r="D533" t="str">
            <v>Andel</v>
          </cell>
          <cell r="E533">
            <v>22400</v>
          </cell>
          <cell r="F533" t="str">
            <v>boudehen</v>
          </cell>
          <cell r="H533">
            <v>677724288</v>
          </cell>
          <cell r="I533" t="str">
            <v>moussulucie@orange.fr</v>
          </cell>
          <cell r="J533" t="str">
            <v>Planguenoual</v>
          </cell>
          <cell r="K533">
            <v>22400</v>
          </cell>
          <cell r="L533" t="str">
            <v>2, rue du parc</v>
          </cell>
        </row>
        <row r="534">
          <cell r="B534" t="str">
            <v>MOUTON</v>
          </cell>
          <cell r="C534" t="str">
            <v>André</v>
          </cell>
          <cell r="D534" t="str">
            <v>Vezin-le-Coquet</v>
          </cell>
          <cell r="E534">
            <v>35132</v>
          </cell>
          <cell r="F534" t="str">
            <v>la riviere</v>
          </cell>
          <cell r="G534">
            <v>299645766</v>
          </cell>
          <cell r="H534">
            <v>642397288</v>
          </cell>
          <cell r="I534" t="str">
            <v>andre.mtn@gmail.com</v>
          </cell>
          <cell r="N534" t="str">
            <v>M.</v>
          </cell>
        </row>
        <row r="535">
          <cell r="B535" t="str">
            <v>MOY</v>
          </cell>
          <cell r="C535" t="str">
            <v>Charlène</v>
          </cell>
          <cell r="D535" t="str">
            <v>Plouasne</v>
          </cell>
          <cell r="E535">
            <v>22830</v>
          </cell>
          <cell r="F535" t="str">
            <v>Lantran</v>
          </cell>
          <cell r="H535">
            <v>665236334</v>
          </cell>
          <cell r="I535" t="str">
            <v>karlen@hotmail.fr</v>
          </cell>
          <cell r="N535" t="str">
            <v>Mme</v>
          </cell>
        </row>
        <row r="536">
          <cell r="B536" t="str">
            <v>MULLER-TANQUEREY</v>
          </cell>
          <cell r="D536" t="str">
            <v>Saint-Judoce</v>
          </cell>
          <cell r="E536">
            <v>22630</v>
          </cell>
          <cell r="F536" t="str">
            <v>Champ Savoir</v>
          </cell>
          <cell r="G536" t="str">
            <v>02 99 45 61 81</v>
          </cell>
          <cell r="H536" t="str">
            <v>06 30 36 90 62</v>
          </cell>
          <cell r="I536" t="str">
            <v>D.Tanquerey@gmail.com</v>
          </cell>
          <cell r="J536" t="str">
            <v>Trévérien</v>
          </cell>
          <cell r="K536">
            <v>35190</v>
          </cell>
          <cell r="L536" t="str">
            <v>La cours d'ahaut</v>
          </cell>
          <cell r="N536" t="str">
            <v>M.et Mme</v>
          </cell>
        </row>
        <row r="537">
          <cell r="B537" t="str">
            <v>NAUDOT</v>
          </cell>
          <cell r="D537" t="str">
            <v>Pluduno</v>
          </cell>
          <cell r="E537">
            <v>22130</v>
          </cell>
          <cell r="F537" t="str">
            <v>La Ville Varet</v>
          </cell>
          <cell r="H537">
            <v>674043636</v>
          </cell>
          <cell r="I537" t="str">
            <v>benoit_naudot@hotmail.com</v>
          </cell>
          <cell r="N537" t="str">
            <v>M.</v>
          </cell>
        </row>
        <row r="538">
          <cell r="B538" t="str">
            <v>NEA-ROUDAULT</v>
          </cell>
          <cell r="D538" t="str">
            <v>Paimpont</v>
          </cell>
          <cell r="E538">
            <v>35380</v>
          </cell>
          <cell r="F538" t="str">
            <v>Le Canné-La Croix rouge</v>
          </cell>
          <cell r="H538">
            <v>622795951</v>
          </cell>
          <cell r="I538" t="str">
            <v>manuroudaut@yahoo.fr</v>
          </cell>
          <cell r="N538" t="str">
            <v>M. et Mme</v>
          </cell>
        </row>
        <row r="539">
          <cell r="B539" t="str">
            <v>NESLING</v>
          </cell>
          <cell r="C539" t="str">
            <v>Catherine</v>
          </cell>
          <cell r="D539" t="str">
            <v>Antrain</v>
          </cell>
          <cell r="E539">
            <v>35560</v>
          </cell>
          <cell r="F539" t="str">
            <v>La Carrée</v>
          </cell>
          <cell r="G539" t="str">
            <v>02 99 98 35 78</v>
          </cell>
          <cell r="I539" t="str">
            <v>catherinenesling@yahoo.fr</v>
          </cell>
          <cell r="N539" t="str">
            <v>Mme</v>
          </cell>
        </row>
        <row r="540">
          <cell r="B540" t="str">
            <v>NEVOT</v>
          </cell>
          <cell r="D540" t="str">
            <v>Morieux</v>
          </cell>
          <cell r="E540">
            <v>22400</v>
          </cell>
          <cell r="F540" t="str">
            <v>Le Pélan</v>
          </cell>
          <cell r="G540">
            <v>296328340</v>
          </cell>
          <cell r="H540">
            <v>632827357</v>
          </cell>
          <cell r="I540" t="str">
            <v>laurent.nevot@wanadoo.fr</v>
          </cell>
          <cell r="N540" t="str">
            <v>M. et Mme</v>
          </cell>
        </row>
        <row r="541">
          <cell r="B541" t="str">
            <v>NICOLAS</v>
          </cell>
          <cell r="C541" t="str">
            <v>Thierry</v>
          </cell>
          <cell r="D541" t="str">
            <v>Lanvallay</v>
          </cell>
          <cell r="E541">
            <v>22100</v>
          </cell>
          <cell r="F541" t="str">
            <v>Le champ Lainé</v>
          </cell>
          <cell r="G541" t="str">
            <v>06 60 46 03 87</v>
          </cell>
          <cell r="I541" t="str">
            <v>nicoty@free.fr</v>
          </cell>
          <cell r="N541" t="str">
            <v xml:space="preserve">Mr </v>
          </cell>
        </row>
        <row r="542">
          <cell r="B542" t="str">
            <v>NICOLLE</v>
          </cell>
          <cell r="C542" t="str">
            <v>Bernard</v>
          </cell>
          <cell r="D542" t="str">
            <v>Feins</v>
          </cell>
          <cell r="E542">
            <v>35440</v>
          </cell>
          <cell r="F542" t="str">
            <v>La Poultière - 35540 FEINS</v>
          </cell>
          <cell r="G542">
            <v>672608033</v>
          </cell>
          <cell r="I542" t="str">
            <v>bnicolle@wanadoo.fr</v>
          </cell>
          <cell r="N542" t="str">
            <v>M.</v>
          </cell>
        </row>
        <row r="543">
          <cell r="B543" t="str">
            <v>NICOLLE</v>
          </cell>
          <cell r="C543" t="str">
            <v>Bernard</v>
          </cell>
          <cell r="D543" t="str">
            <v>Feins</v>
          </cell>
          <cell r="E543">
            <v>35440</v>
          </cell>
          <cell r="F543" t="str">
            <v>La Poultière - 35540 FEINS</v>
          </cell>
          <cell r="G543">
            <v>672608033</v>
          </cell>
          <cell r="I543" t="str">
            <v>bnicolle@wanadoo.fr</v>
          </cell>
          <cell r="N543" t="str">
            <v>M.</v>
          </cell>
        </row>
        <row r="544">
          <cell r="B544" t="str">
            <v>NICOT</v>
          </cell>
          <cell r="C544" t="str">
            <v>Hervé</v>
          </cell>
          <cell r="D544" t="str">
            <v>Saint-Hélen</v>
          </cell>
          <cell r="E544">
            <v>22100</v>
          </cell>
          <cell r="F544" t="str">
            <v>Le Houssaye - 8 rue de la Forge</v>
          </cell>
          <cell r="G544">
            <v>299122168</v>
          </cell>
          <cell r="H544" t="str">
            <v xml:space="preserve">06 79 51 58 85 </v>
          </cell>
          <cell r="I544" t="str">
            <v>herve-isa.nicot@orange.fr</v>
          </cell>
          <cell r="N544" t="str">
            <v>M.</v>
          </cell>
        </row>
        <row r="545">
          <cell r="B545" t="str">
            <v>NIZAN</v>
          </cell>
          <cell r="D545" t="str">
            <v>Dingé</v>
          </cell>
          <cell r="E545">
            <v>35440</v>
          </cell>
          <cell r="F545" t="str">
            <v>La Bouvrais</v>
          </cell>
          <cell r="G545">
            <v>299450006</v>
          </cell>
          <cell r="H545">
            <v>671394604</v>
          </cell>
          <cell r="I545" t="str">
            <v>o.nizan@global-imaging.net</v>
          </cell>
          <cell r="N545" t="str">
            <v>M. et Mme</v>
          </cell>
        </row>
        <row r="546">
          <cell r="B546" t="str">
            <v>NIZAN</v>
          </cell>
          <cell r="C546" t="str">
            <v>Claire et Cédric</v>
          </cell>
          <cell r="D546" t="str">
            <v>Mordelles</v>
          </cell>
          <cell r="E546">
            <v>35310</v>
          </cell>
          <cell r="F546" t="str">
            <v xml:space="preserve">La Guichardais </v>
          </cell>
          <cell r="N546" t="str">
            <v>M.et Mme</v>
          </cell>
        </row>
        <row r="547">
          <cell r="B547" t="str">
            <v>NIZAN</v>
          </cell>
          <cell r="D547" t="str">
            <v>Mordelles</v>
          </cell>
          <cell r="E547">
            <v>35310</v>
          </cell>
          <cell r="F547" t="str">
            <v>La Guichardais</v>
          </cell>
          <cell r="N547" t="str">
            <v>M.et Mme</v>
          </cell>
        </row>
        <row r="548">
          <cell r="B548" t="str">
            <v>NOBLAYE</v>
          </cell>
          <cell r="C548" t="str">
            <v>Patrick</v>
          </cell>
          <cell r="D548" t="str">
            <v xml:space="preserve">Héde-bazouges </v>
          </cell>
          <cell r="E548">
            <v>35630</v>
          </cell>
          <cell r="F548" t="str">
            <v>14 Lieu-dit la Parfraire,</v>
          </cell>
          <cell r="G548">
            <v>673313717</v>
          </cell>
          <cell r="I548" t="str">
            <v>pnoblaye@neuf.fr</v>
          </cell>
          <cell r="N548" t="str">
            <v>M.</v>
          </cell>
        </row>
        <row r="549">
          <cell r="B549" t="str">
            <v>NOBLET</v>
          </cell>
          <cell r="C549" t="str">
            <v>Philippe</v>
          </cell>
          <cell r="D549" t="str">
            <v>Bouillie (La)</v>
          </cell>
          <cell r="E549">
            <v>22240</v>
          </cell>
          <cell r="F549" t="str">
            <v>La Tour du Tertre</v>
          </cell>
          <cell r="G549">
            <v>296340168</v>
          </cell>
          <cell r="I549" t="str">
            <v>philippe.noblet868@orange.fr</v>
          </cell>
          <cell r="N549" t="str">
            <v>M.</v>
          </cell>
        </row>
        <row r="550">
          <cell r="B550" t="str">
            <v>NOBLET - LE GAL</v>
          </cell>
          <cell r="C550" t="str">
            <v>Fabien - Marine</v>
          </cell>
          <cell r="D550" t="str">
            <v>Guern</v>
          </cell>
          <cell r="E550">
            <v>56310</v>
          </cell>
          <cell r="F550" t="str">
            <v>Fourdan</v>
          </cell>
          <cell r="H550">
            <v>688099360</v>
          </cell>
          <cell r="I550" t="str">
            <v>marinelg@live.fr</v>
          </cell>
          <cell r="N550" t="str">
            <v>M. et Mme</v>
          </cell>
        </row>
        <row r="551">
          <cell r="B551" t="str">
            <v>NOGUES</v>
          </cell>
          <cell r="D551" t="str">
            <v>Saint-André-des-Eaux</v>
          </cell>
          <cell r="E551">
            <v>22630</v>
          </cell>
          <cell r="F551" t="str">
            <v>Monmuson</v>
          </cell>
          <cell r="N551" t="str">
            <v>M.et Mme</v>
          </cell>
        </row>
        <row r="552">
          <cell r="B552" t="str">
            <v>OLIVIER</v>
          </cell>
          <cell r="D552" t="str">
            <v>Faouët (Le)</v>
          </cell>
          <cell r="E552">
            <v>22290</v>
          </cell>
          <cell r="F552" t="str">
            <v>Bennoas</v>
          </cell>
          <cell r="G552">
            <v>296523144</v>
          </cell>
          <cell r="I552" t="str">
            <v>ollivierfrancoise22@orange.fr</v>
          </cell>
          <cell r="N552" t="str">
            <v>Mme</v>
          </cell>
        </row>
        <row r="553">
          <cell r="B553" t="str">
            <v>OLIVRO</v>
          </cell>
          <cell r="D553" t="str">
            <v>Saint-Grégoire</v>
          </cell>
          <cell r="E553">
            <v>35760</v>
          </cell>
          <cell r="F553" t="str">
            <v>La Saudrais</v>
          </cell>
          <cell r="H553">
            <v>674455436</v>
          </cell>
          <cell r="I553" t="str">
            <v>b_olivro@hotmail.com</v>
          </cell>
          <cell r="N553" t="str">
            <v>M</v>
          </cell>
        </row>
        <row r="554">
          <cell r="B554" t="str">
            <v>ORENGO</v>
          </cell>
          <cell r="D554" t="str">
            <v>Plélan-le-Grand</v>
          </cell>
          <cell r="E554">
            <v>35380</v>
          </cell>
          <cell r="F554" t="str">
            <v>Couedouan</v>
          </cell>
          <cell r="H554">
            <v>601713251</v>
          </cell>
          <cell r="I554" t="str">
            <v>olivier2701@orange.fr</v>
          </cell>
          <cell r="N554" t="str">
            <v>M.</v>
          </cell>
        </row>
        <row r="555">
          <cell r="B555" t="str">
            <v>ORIOT</v>
          </cell>
          <cell r="C555" t="str">
            <v>Rémi</v>
          </cell>
          <cell r="D555" t="str">
            <v>Melesse</v>
          </cell>
          <cell r="E555">
            <v>35520</v>
          </cell>
          <cell r="F555" t="str">
            <v>Le Bois Mézard</v>
          </cell>
          <cell r="G555">
            <v>299660041</v>
          </cell>
          <cell r="H555">
            <v>679870635</v>
          </cell>
          <cell r="I555" t="str">
            <v>remi.oriot@gmail.com</v>
          </cell>
          <cell r="N555" t="str">
            <v>M.</v>
          </cell>
        </row>
        <row r="556">
          <cell r="B556" t="str">
            <v>ORIOT</v>
          </cell>
          <cell r="C556" t="str">
            <v>Alain</v>
          </cell>
          <cell r="D556" t="str">
            <v>Plévenon</v>
          </cell>
          <cell r="E556">
            <v>22240</v>
          </cell>
          <cell r="F556" t="str">
            <v>Saint-Guireuc, 4 Allée du Télégraphe</v>
          </cell>
          <cell r="H556" t="str">
            <v>06 42 38 66 00</v>
          </cell>
          <cell r="I556" t="str">
            <v>alain.oriot@orange.fr</v>
          </cell>
          <cell r="J556" t="str">
            <v>Bellecombe-en-Bauges</v>
          </cell>
          <cell r="K556">
            <v>73340</v>
          </cell>
          <cell r="L556" t="str">
            <v>Broissieux</v>
          </cell>
          <cell r="N556" t="str">
            <v>M. et Mme</v>
          </cell>
        </row>
        <row r="557">
          <cell r="B557" t="str">
            <v>OUTY</v>
          </cell>
          <cell r="D557" t="str">
            <v>Pleurtuit</v>
          </cell>
          <cell r="E557">
            <v>35730</v>
          </cell>
          <cell r="F557" t="str">
            <v>La haute touche</v>
          </cell>
          <cell r="G557">
            <v>299884855</v>
          </cell>
          <cell r="I557" t="str">
            <v>claudineouty@gmail.com</v>
          </cell>
          <cell r="N557" t="str">
            <v>M. et Mme</v>
          </cell>
        </row>
        <row r="558">
          <cell r="B558" t="str">
            <v>PACHEU</v>
          </cell>
          <cell r="C558" t="str">
            <v>Philippe</v>
          </cell>
          <cell r="D558" t="str">
            <v>Pacé</v>
          </cell>
          <cell r="E558">
            <v>35740</v>
          </cell>
          <cell r="F558" t="str">
            <v>La Chaude Fontaine</v>
          </cell>
          <cell r="G558">
            <v>786124785</v>
          </cell>
          <cell r="I558" t="str">
            <v>pacheu.philippe@neuf.fr</v>
          </cell>
          <cell r="N558" t="str">
            <v>M.</v>
          </cell>
        </row>
        <row r="559">
          <cell r="B559" t="str">
            <v>PAILLARDON</v>
          </cell>
          <cell r="D559" t="str">
            <v>Trégueux</v>
          </cell>
          <cell r="E559">
            <v>22950</v>
          </cell>
          <cell r="F559" t="str">
            <v>2 rue Nicolas Copernic</v>
          </cell>
          <cell r="M559" t="str">
            <v>PAILLARDON TP</v>
          </cell>
          <cell r="N559" t="str">
            <v>M.</v>
          </cell>
        </row>
        <row r="560">
          <cell r="B560" t="str">
            <v>PASSELERGUE</v>
          </cell>
          <cell r="C560" t="str">
            <v xml:space="preserve">Florian </v>
          </cell>
          <cell r="D560" t="str">
            <v>Guipel</v>
          </cell>
          <cell r="E560">
            <v>35440</v>
          </cell>
          <cell r="F560" t="str">
            <v>La Caillibotière</v>
          </cell>
          <cell r="H560" t="str">
            <v xml:space="preserve">06 75 70 83 25 </v>
          </cell>
          <cell r="I560" t="str">
            <v>florianpasselergue@gmail.com</v>
          </cell>
          <cell r="J560" t="str">
            <v>Rennes</v>
          </cell>
          <cell r="K560">
            <v>35000</v>
          </cell>
          <cell r="L560" t="str">
            <v>32 allée Bisson</v>
          </cell>
          <cell r="N560" t="str">
            <v>M.</v>
          </cell>
        </row>
        <row r="561">
          <cell r="B561" t="str">
            <v>PAUTONNIER</v>
          </cell>
          <cell r="C561" t="str">
            <v>Laurence</v>
          </cell>
          <cell r="D561" t="str">
            <v>Dompierre-du-Chemin</v>
          </cell>
          <cell r="E561">
            <v>35210</v>
          </cell>
          <cell r="F561" t="str">
            <v>launay vendel</v>
          </cell>
          <cell r="G561">
            <v>299188964</v>
          </cell>
          <cell r="I561" t="str">
            <v>laupau2@hotmail.fr</v>
          </cell>
          <cell r="N561" t="str">
            <v>Mme</v>
          </cell>
        </row>
        <row r="562">
          <cell r="B562" t="str">
            <v>PAVIOT</v>
          </cell>
          <cell r="D562" t="str">
            <v>Breteil</v>
          </cell>
          <cell r="E562">
            <v>35160</v>
          </cell>
          <cell r="F562" t="str">
            <v>launay-quéro</v>
          </cell>
          <cell r="H562">
            <v>668139206</v>
          </cell>
          <cell r="I562" t="str">
            <v>paviot.sms@wanadoo.fr</v>
          </cell>
          <cell r="N562" t="str">
            <v>M.</v>
          </cell>
        </row>
        <row r="563">
          <cell r="B563" t="str">
            <v>PEIGNÉ-DECOURTIAS</v>
          </cell>
          <cell r="C563" t="str">
            <v>Sébastien et Emeline</v>
          </cell>
          <cell r="D563" t="str">
            <v>Roz-sur-Couesnon</v>
          </cell>
          <cell r="E563">
            <v>35610</v>
          </cell>
          <cell r="F563" t="str">
            <v>Lillemain</v>
          </cell>
          <cell r="G563" t="str">
            <v xml:space="preserve">02 33 48 00 54 </v>
          </cell>
          <cell r="H563" t="str">
            <v>06 76 70 15 61</v>
          </cell>
          <cell r="I563" t="str">
            <v xml:space="preserve">emelineetseb@wanadoo.fr </v>
          </cell>
          <cell r="J563" t="str">
            <v>Genêts</v>
          </cell>
          <cell r="K563">
            <v>50530</v>
          </cell>
          <cell r="L563" t="str">
            <v xml:space="preserve">15 rue du pavé </v>
          </cell>
        </row>
        <row r="564">
          <cell r="B564" t="str">
            <v>PELICHET</v>
          </cell>
          <cell r="C564" t="str">
            <v>Benoît</v>
          </cell>
          <cell r="D564" t="str">
            <v>Hirel</v>
          </cell>
          <cell r="E564">
            <v>35120</v>
          </cell>
          <cell r="F564" t="str">
            <v>2, Le Fedeuil</v>
          </cell>
          <cell r="G564" t="str">
            <v xml:space="preserve">02 99 48 31 71 </v>
          </cell>
          <cell r="H564" t="str">
            <v>06 23 70 10 92</v>
          </cell>
          <cell r="I564" t="str">
            <v>ben.pelichet@voila.fr</v>
          </cell>
          <cell r="N564" t="str">
            <v>M.</v>
          </cell>
        </row>
        <row r="565">
          <cell r="B565" t="str">
            <v>PENAULT</v>
          </cell>
          <cell r="C565" t="str">
            <v>Christophe</v>
          </cell>
          <cell r="D565" t="str">
            <v>LANFAINS</v>
          </cell>
          <cell r="E565">
            <v>22800</v>
          </cell>
          <cell r="F565" t="str">
            <v>Le Tertro</v>
          </cell>
          <cell r="G565">
            <v>296796499</v>
          </cell>
          <cell r="H565" t="str">
            <v>06 73 94 64 24</v>
          </cell>
          <cell r="I565" t="str">
            <v>penault.christophe@wanadoo.fr</v>
          </cell>
        </row>
        <row r="566">
          <cell r="B566" t="str">
            <v>PENIGUEL-MALLET</v>
          </cell>
          <cell r="C566" t="str">
            <v>BRUNO</v>
          </cell>
          <cell r="D566" t="str">
            <v>Chapelle-Thouarault (La)</v>
          </cell>
          <cell r="E566">
            <v>35590</v>
          </cell>
          <cell r="F566" t="str">
            <v>1 RUE DES ROCHERS</v>
          </cell>
          <cell r="G566">
            <v>608700547</v>
          </cell>
          <cell r="I566" t="str">
            <v>pedumal@orange.fr</v>
          </cell>
        </row>
        <row r="567">
          <cell r="B567" t="str">
            <v>PENNIELLO</v>
          </cell>
          <cell r="C567" t="str">
            <v>Ugo</v>
          </cell>
          <cell r="D567" t="str">
            <v>Tremblay</v>
          </cell>
          <cell r="E567">
            <v>35460</v>
          </cell>
          <cell r="F567" t="str">
            <v>xxx</v>
          </cell>
          <cell r="H567" t="str">
            <v>06 34 60 15 71</v>
          </cell>
          <cell r="I567" t="str">
            <v>ugopenniello@icloud.com</v>
          </cell>
          <cell r="N567" t="str">
            <v>M.</v>
          </cell>
        </row>
        <row r="568">
          <cell r="B568" t="str">
            <v>PENSART</v>
          </cell>
          <cell r="C568" t="str">
            <v>Jean</v>
          </cell>
          <cell r="D568" t="str">
            <v>Bouillie (La)</v>
          </cell>
          <cell r="E568">
            <v>22240</v>
          </cell>
          <cell r="F568" t="str">
            <v>Le Buharaye</v>
          </cell>
          <cell r="G568" t="str">
            <v xml:space="preserve">02 96 30 97 06 </v>
          </cell>
          <cell r="H568" t="str">
            <v xml:space="preserve">06 16 02 39 46 </v>
          </cell>
          <cell r="I568" t="str">
            <v>jean-pensart@hotmail.fr</v>
          </cell>
          <cell r="N568" t="str">
            <v>M.</v>
          </cell>
        </row>
        <row r="569">
          <cell r="B569" t="str">
            <v>PERES</v>
          </cell>
          <cell r="C569" t="str">
            <v>Fabien</v>
          </cell>
          <cell r="D569" t="str">
            <v>Chapelle-de-Brain (La)</v>
          </cell>
          <cell r="E569">
            <v>35660</v>
          </cell>
          <cell r="F569" t="str">
            <v>20 Tru</v>
          </cell>
          <cell r="H569" t="str">
            <v>06 12 29 02 92</v>
          </cell>
          <cell r="I569" t="str">
            <v>fafaperesfr@yahoo.fr</v>
          </cell>
          <cell r="N569" t="str">
            <v>M.</v>
          </cell>
        </row>
        <row r="570">
          <cell r="B570" t="str">
            <v>PERIGOIS</v>
          </cell>
          <cell r="D570" t="str">
            <v>Andel</v>
          </cell>
          <cell r="E570">
            <v>22400</v>
          </cell>
          <cell r="F570" t="str">
            <v>8, Boudehen</v>
          </cell>
          <cell r="H570">
            <v>610630780</v>
          </cell>
          <cell r="I570" t="str">
            <v>eta.perigois@orange.fr</v>
          </cell>
          <cell r="N570" t="str">
            <v>M.</v>
          </cell>
        </row>
        <row r="571">
          <cell r="B571" t="str">
            <v>PERON</v>
          </cell>
          <cell r="C571" t="str">
            <v>Cedric</v>
          </cell>
          <cell r="D571" t="str">
            <v>Melesse</v>
          </cell>
          <cell r="E571">
            <v>35520</v>
          </cell>
          <cell r="F571" t="str">
            <v>Clos colliots</v>
          </cell>
          <cell r="H571">
            <v>663789157</v>
          </cell>
          <cell r="I571" t="str">
            <v>cedric.peron@gmail.com</v>
          </cell>
          <cell r="J571" t="str">
            <v>Montreuil-le-Gast</v>
          </cell>
          <cell r="K571">
            <v>35520</v>
          </cell>
          <cell r="L571" t="str">
            <v>3, imp des fauvettes</v>
          </cell>
          <cell r="N571" t="str">
            <v>M.</v>
          </cell>
        </row>
        <row r="572">
          <cell r="B572" t="str">
            <v>PEROU</v>
          </cell>
          <cell r="C572" t="str">
            <v>Thierry et Marie-Hélène</v>
          </cell>
          <cell r="D572" t="str">
            <v>Saint-Germain-sur-Ille</v>
          </cell>
          <cell r="E572">
            <v>35250</v>
          </cell>
          <cell r="F572" t="str">
            <v>47 La Bondie</v>
          </cell>
          <cell r="G572" t="str">
            <v>02 99 51 04 24</v>
          </cell>
          <cell r="H572" t="str">
            <v>06 88 62 01 63</v>
          </cell>
          <cell r="I572" t="str">
            <v>thierryperou@wanadoo.fr</v>
          </cell>
          <cell r="N572" t="str">
            <v>M. et Mme</v>
          </cell>
        </row>
        <row r="573">
          <cell r="B573" t="str">
            <v>PERRAULT</v>
          </cell>
          <cell r="C573" t="str">
            <v>Florence</v>
          </cell>
          <cell r="D573" t="str">
            <v>Antrain</v>
          </cell>
          <cell r="E573">
            <v>35560</v>
          </cell>
          <cell r="F573" t="str">
            <v>La Gare</v>
          </cell>
          <cell r="H573" t="str">
            <v xml:space="preserve">02 99 98 45 63 </v>
          </cell>
          <cell r="I573" t="str">
            <v>fperrault@diana-food.com</v>
          </cell>
          <cell r="M573" t="str">
            <v>SAS DIANA NATURALS</v>
          </cell>
          <cell r="N573" t="str">
            <v>Mme</v>
          </cell>
        </row>
        <row r="574">
          <cell r="B574" t="str">
            <v>PERROT-LE DOUX</v>
          </cell>
          <cell r="D574" t="str">
            <v>Rouillac</v>
          </cell>
          <cell r="E574">
            <v>22250</v>
          </cell>
          <cell r="F574" t="str">
            <v>Le champ du puits</v>
          </cell>
          <cell r="H574">
            <v>622513117</v>
          </cell>
          <cell r="I574" t="str">
            <v>lesoleilestmavie@hotmail.fr</v>
          </cell>
          <cell r="N574" t="str">
            <v>M.et Mme</v>
          </cell>
        </row>
        <row r="575">
          <cell r="B575" t="str">
            <v>PETIT</v>
          </cell>
          <cell r="C575" t="str">
            <v>Marina</v>
          </cell>
          <cell r="D575" t="str">
            <v>Plesder</v>
          </cell>
          <cell r="E575">
            <v>35720</v>
          </cell>
          <cell r="F575" t="str">
            <v>La fermiere</v>
          </cell>
          <cell r="H575">
            <v>686656220</v>
          </cell>
          <cell r="I575" t="str">
            <v>mina-aelig@aliceadsl.fr</v>
          </cell>
          <cell r="N575" t="str">
            <v>Mme</v>
          </cell>
        </row>
        <row r="576">
          <cell r="B576" t="str">
            <v>PETIT</v>
          </cell>
          <cell r="C576" t="str">
            <v>Arnaud</v>
          </cell>
          <cell r="D576" t="str">
            <v>Miniac-sous-Bécherel</v>
          </cell>
          <cell r="E576">
            <v>35190</v>
          </cell>
          <cell r="F576" t="str">
            <v>2 la ville hobe</v>
          </cell>
          <cell r="G576">
            <v>299667944</v>
          </cell>
          <cell r="I576" t="str">
            <v>lmapetit@hotmail.fr</v>
          </cell>
          <cell r="N576" t="str">
            <v>M.</v>
          </cell>
        </row>
        <row r="577">
          <cell r="B577" t="str">
            <v>PETIT</v>
          </cell>
          <cell r="C577" t="str">
            <v>Gaël</v>
          </cell>
          <cell r="D577" t="str">
            <v>Hirel</v>
          </cell>
          <cell r="E577">
            <v>35120</v>
          </cell>
          <cell r="F577" t="str">
            <v>12 bis, Les Turmeaux</v>
          </cell>
          <cell r="H577" t="str">
            <v>06 62 69 74 81</v>
          </cell>
          <cell r="I577" t="str">
            <v>gael74@laposte.net</v>
          </cell>
          <cell r="N577" t="str">
            <v>M.</v>
          </cell>
        </row>
        <row r="578">
          <cell r="B578" t="str">
            <v>PETITPAS</v>
          </cell>
          <cell r="C578" t="str">
            <v>Isabelle</v>
          </cell>
          <cell r="D578" t="str">
            <v>Marcillé-Raoul</v>
          </cell>
          <cell r="E578">
            <v>35560</v>
          </cell>
          <cell r="F578" t="str">
            <v>Le Petit Pré</v>
          </cell>
          <cell r="G578">
            <v>299736623</v>
          </cell>
          <cell r="I578" t="str">
            <v>isabellepetitpas93@orange.fr</v>
          </cell>
          <cell r="N578" t="str">
            <v>Mme</v>
          </cell>
        </row>
        <row r="579">
          <cell r="B579" t="str">
            <v>Peuch</v>
          </cell>
          <cell r="C579" t="str">
            <v>Clément</v>
          </cell>
          <cell r="D579" t="str">
            <v>Dingé</v>
          </cell>
          <cell r="E579">
            <v>35440</v>
          </cell>
          <cell r="F579" t="str">
            <v>La Chaussée</v>
          </cell>
          <cell r="H579" t="str">
            <v>06 74 64 95 19</v>
          </cell>
          <cell r="I579" t="str">
            <v>clementpeuch.alm@gmail.com</v>
          </cell>
          <cell r="J579" t="str">
            <v>Melesse</v>
          </cell>
          <cell r="K579">
            <v>35520</v>
          </cell>
          <cell r="L579" t="str">
            <v>Champ Courtin</v>
          </cell>
          <cell r="N579" t="str">
            <v>M.</v>
          </cell>
        </row>
        <row r="580">
          <cell r="B580" t="str">
            <v>PEURON</v>
          </cell>
          <cell r="C580" t="str">
            <v>Bernard</v>
          </cell>
          <cell r="D580" t="str">
            <v>Ruffiac</v>
          </cell>
          <cell r="E580">
            <v>56140</v>
          </cell>
          <cell r="F580" t="str">
            <v>L'Alsace</v>
          </cell>
          <cell r="G580" t="str">
            <v>02 97 75 19 37</v>
          </cell>
          <cell r="I580" t="str">
            <v>bernard.peuron@wanadoo.fr</v>
          </cell>
          <cell r="J580" t="str">
            <v>Ruffiac</v>
          </cell>
          <cell r="K580">
            <v>56140</v>
          </cell>
          <cell r="N580" t="str">
            <v>M. et Mme</v>
          </cell>
        </row>
        <row r="581">
          <cell r="B581" t="str">
            <v>PEZZOLA</v>
          </cell>
          <cell r="C581" t="str">
            <v>David</v>
          </cell>
          <cell r="D581" t="str">
            <v>Irodouër</v>
          </cell>
          <cell r="E581">
            <v>35850</v>
          </cell>
          <cell r="F581" t="str">
            <v>Laubaudière</v>
          </cell>
          <cell r="G581">
            <v>299398143</v>
          </cell>
          <cell r="I581" t="str">
            <v>pezzoladavid@yahoo.fr</v>
          </cell>
          <cell r="N581" t="str">
            <v>M.</v>
          </cell>
        </row>
        <row r="582">
          <cell r="B582" t="str">
            <v>PHELION</v>
          </cell>
          <cell r="C582" t="str">
            <v>Olivier</v>
          </cell>
          <cell r="D582" t="str">
            <v>Chasné-sur-Illet</v>
          </cell>
          <cell r="E582">
            <v>35250</v>
          </cell>
          <cell r="F582" t="str">
            <v xml:space="preserve">13 rue du gué </v>
          </cell>
          <cell r="G582">
            <v>652663507</v>
          </cell>
          <cell r="I582" t="str">
            <v>olivier.phelion@wanadoo.fr</v>
          </cell>
          <cell r="N582" t="str">
            <v>M.</v>
          </cell>
        </row>
        <row r="583">
          <cell r="B583" t="str">
            <v>PIEL</v>
          </cell>
          <cell r="C583" t="str">
            <v>Jeremy</v>
          </cell>
          <cell r="D583" t="str">
            <v>Plouasne</v>
          </cell>
          <cell r="E583">
            <v>22830</v>
          </cell>
          <cell r="F583" t="str">
            <v>callouet</v>
          </cell>
          <cell r="H583">
            <v>680440331</v>
          </cell>
          <cell r="I583" t="str">
            <v>jeremy.piel@wanadoo.fr</v>
          </cell>
          <cell r="N583" t="str">
            <v>M.et Mme</v>
          </cell>
        </row>
        <row r="584">
          <cell r="B584" t="str">
            <v>PIEL BOUYER</v>
          </cell>
          <cell r="D584" t="str">
            <v>Plouguenast</v>
          </cell>
          <cell r="E584">
            <v>22150</v>
          </cell>
          <cell r="F584" t="str">
            <v>Cas de Péras</v>
          </cell>
          <cell r="G584">
            <v>256079263</v>
          </cell>
          <cell r="I584" t="str">
            <v>dbouyer@gmail.com</v>
          </cell>
          <cell r="J584" t="str">
            <v>Plouguenast</v>
          </cell>
          <cell r="K584">
            <v>22150</v>
          </cell>
          <cell r="L584" t="str">
            <v>25, rue d'enfer</v>
          </cell>
          <cell r="N584" t="str">
            <v>M.et Mme</v>
          </cell>
        </row>
        <row r="585">
          <cell r="B585" t="str">
            <v>PIERRARD-ALEN-MORVAN-CALAC</v>
          </cell>
          <cell r="D585" t="str">
            <v>Tinténiac</v>
          </cell>
          <cell r="E585">
            <v>35190</v>
          </cell>
          <cell r="F585" t="str">
            <v>Le petit Châtelain</v>
          </cell>
          <cell r="G585">
            <v>296214970</v>
          </cell>
          <cell r="H585">
            <v>663994291</v>
          </cell>
          <cell r="I585" t="str">
            <v>atelierklm@voila.fr</v>
          </cell>
          <cell r="J585" t="str">
            <v>Tinténiac</v>
          </cell>
          <cell r="K585">
            <v>35190</v>
          </cell>
          <cell r="L585" t="str">
            <v>Le Petit Châtelain</v>
          </cell>
          <cell r="M585" t="str">
            <v>Co-propriété</v>
          </cell>
          <cell r="N585" t="str">
            <v>M. et Mme</v>
          </cell>
        </row>
        <row r="586">
          <cell r="B586" t="str">
            <v xml:space="preserve">PIERRE </v>
          </cell>
          <cell r="C586" t="str">
            <v>Guillaume</v>
          </cell>
          <cell r="D586" t="str">
            <v>Saint-Pôtan</v>
          </cell>
          <cell r="E586">
            <v>22550</v>
          </cell>
          <cell r="F586" t="str">
            <v>La ville Mois</v>
          </cell>
          <cell r="H586">
            <v>622942250</v>
          </cell>
          <cell r="I586" t="str">
            <v>guiom22@hotmail.com</v>
          </cell>
          <cell r="J586" t="str">
            <v>Saint-Lormel</v>
          </cell>
          <cell r="K586">
            <v>22130</v>
          </cell>
          <cell r="L586" t="str">
            <v>41, La Croix</v>
          </cell>
          <cell r="N586" t="str">
            <v>M.</v>
          </cell>
        </row>
        <row r="587">
          <cell r="B587" t="str">
            <v>PIERRE</v>
          </cell>
          <cell r="D587" t="str">
            <v>Chevaigné</v>
          </cell>
          <cell r="E587">
            <v>35250</v>
          </cell>
          <cell r="F587" t="str">
            <v>La Crouezette</v>
          </cell>
          <cell r="H587">
            <v>627046871</v>
          </cell>
          <cell r="N587" t="str">
            <v>M.et Mme</v>
          </cell>
        </row>
        <row r="588">
          <cell r="B588" t="str">
            <v>PIERRE</v>
          </cell>
          <cell r="C588" t="str">
            <v>Pascal</v>
          </cell>
          <cell r="D588" t="str">
            <v>Lancieux</v>
          </cell>
          <cell r="E588">
            <v>22770</v>
          </cell>
          <cell r="F588" t="str">
            <v>La Nouvelais</v>
          </cell>
          <cell r="G588">
            <v>644055126</v>
          </cell>
          <cell r="I588" t="str">
            <v>p.p6@wanadoo.fr</v>
          </cell>
          <cell r="N588" t="str">
            <v>M.</v>
          </cell>
        </row>
        <row r="589">
          <cell r="B589" t="str">
            <v>PIERRE</v>
          </cell>
          <cell r="C589" t="str">
            <v>Sébastien</v>
          </cell>
          <cell r="D589" t="str">
            <v>Combourg</v>
          </cell>
          <cell r="E589">
            <v>35270</v>
          </cell>
          <cell r="F589" t="str">
            <v>3, lieu dit Brancoual</v>
          </cell>
          <cell r="G589">
            <v>680702627</v>
          </cell>
          <cell r="I589" t="str">
            <v>microseb@yahoo.fr</v>
          </cell>
          <cell r="N589" t="str">
            <v>M.</v>
          </cell>
        </row>
        <row r="590">
          <cell r="B590" t="str">
            <v>pierre alain</v>
          </cell>
          <cell r="C590" t="str">
            <v>coadou</v>
          </cell>
          <cell r="D590" t="str">
            <v>Saint-Pierre-de-Plesguen</v>
          </cell>
          <cell r="E590">
            <v>35720</v>
          </cell>
          <cell r="F590" t="str">
            <v>la guermonais</v>
          </cell>
          <cell r="G590">
            <v>662834771</v>
          </cell>
          <cell r="I590" t="str">
            <v>pierrealaincoadou@yahoo.fr</v>
          </cell>
        </row>
        <row r="591">
          <cell r="B591" t="str">
            <v>PIGEON</v>
          </cell>
          <cell r="D591" t="str">
            <v>Plerguer</v>
          </cell>
          <cell r="E591">
            <v>35540</v>
          </cell>
          <cell r="F591" t="str">
            <v>ZA DU MESNIL</v>
          </cell>
          <cell r="H591">
            <v>688157352</v>
          </cell>
          <cell r="I591" t="str">
            <v>pigeon@daniel-moquet.com</v>
          </cell>
          <cell r="J591" t="str">
            <v>Plerguer</v>
          </cell>
          <cell r="K591">
            <v>35540</v>
          </cell>
          <cell r="L591" t="str">
            <v>11, rue de st Malo</v>
          </cell>
          <cell r="M591" t="str">
            <v>Entreprise Daniel Moquet</v>
          </cell>
          <cell r="N591" t="str">
            <v>M.</v>
          </cell>
        </row>
        <row r="592">
          <cell r="B592" t="str">
            <v>PINC</v>
          </cell>
          <cell r="D592" t="str">
            <v>Ruca</v>
          </cell>
          <cell r="E592">
            <v>22550</v>
          </cell>
          <cell r="F592" t="str">
            <v>La ville Piron</v>
          </cell>
          <cell r="G592" t="str">
            <v>02 96 51 28 16</v>
          </cell>
          <cell r="N592" t="str">
            <v>M.et Mme</v>
          </cell>
        </row>
        <row r="593">
          <cell r="B593" t="str">
            <v>PINEAU</v>
          </cell>
          <cell r="D593" t="str">
            <v>Saint-Brieuc-des-Iffs</v>
          </cell>
          <cell r="E593">
            <v>35630</v>
          </cell>
          <cell r="F593" t="str">
            <v>14, rue du lin et du chanvre</v>
          </cell>
          <cell r="H593">
            <v>613570558</v>
          </cell>
          <cell r="I593" t="str">
            <v>k.roulleau@infonie.fr</v>
          </cell>
          <cell r="N593" t="str">
            <v>M. et Mme</v>
          </cell>
        </row>
        <row r="594">
          <cell r="B594" t="str">
            <v>PINOCHET</v>
          </cell>
          <cell r="C594" t="str">
            <v>Fabien</v>
          </cell>
          <cell r="D594" t="str">
            <v>Bréal-sous-Montfort</v>
          </cell>
          <cell r="E594">
            <v>35310</v>
          </cell>
          <cell r="F594" t="str">
            <v>Launay la porte</v>
          </cell>
          <cell r="H594">
            <v>628673933</v>
          </cell>
          <cell r="I594" t="str">
            <v>f.pip@hotmail.fr</v>
          </cell>
          <cell r="J594" t="str">
            <v>Treffendel</v>
          </cell>
          <cell r="K594">
            <v>35380</v>
          </cell>
          <cell r="L594" t="str">
            <v>la roussinais</v>
          </cell>
          <cell r="N594" t="str">
            <v>M.</v>
          </cell>
        </row>
        <row r="595">
          <cell r="B595" t="str">
            <v>Pinon-Sadowniczyk</v>
          </cell>
          <cell r="D595" t="str">
            <v>Saint-Georges-de-Gréhaigne</v>
          </cell>
          <cell r="E595">
            <v>35610</v>
          </cell>
          <cell r="F595" t="str">
            <v>chanel</v>
          </cell>
          <cell r="G595" t="str">
            <v xml:space="preserve">02 99 04 10 95 </v>
          </cell>
          <cell r="H595" t="str">
            <v xml:space="preserve">06 07 51 51 24 </v>
          </cell>
          <cell r="I595" t="str">
            <v>bs.architecte@laposte.net</v>
          </cell>
          <cell r="J595" t="str">
            <v>Vitré</v>
          </cell>
          <cell r="K595">
            <v>35500</v>
          </cell>
          <cell r="L595" t="str">
            <v>27, rue poterie</v>
          </cell>
          <cell r="N595" t="str">
            <v>M. et Mme</v>
          </cell>
        </row>
        <row r="596">
          <cell r="B596" t="str">
            <v>PIRIOU</v>
          </cell>
          <cell r="C596" t="str">
            <v>Mael</v>
          </cell>
          <cell r="D596" t="str">
            <v>Saint-André-des-Eaux</v>
          </cell>
          <cell r="E596">
            <v>22630</v>
          </cell>
          <cell r="F596" t="str">
            <v>Le bourg</v>
          </cell>
          <cell r="G596">
            <v>689947256</v>
          </cell>
          <cell r="H596">
            <v>623502722</v>
          </cell>
          <cell r="I596" t="str">
            <v>var-raok@hotmail.fr</v>
          </cell>
          <cell r="J596" t="str">
            <v>Miniac-sous-Bécherel</v>
          </cell>
          <cell r="K596">
            <v>35190</v>
          </cell>
          <cell r="L596" t="str">
            <v>La Ville Hobé</v>
          </cell>
          <cell r="N596" t="str">
            <v>M.</v>
          </cell>
        </row>
        <row r="597">
          <cell r="B597" t="str">
            <v>PITOU</v>
          </cell>
          <cell r="C597" t="str">
            <v>Dominique</v>
          </cell>
          <cell r="D597" t="str">
            <v>Évran</v>
          </cell>
          <cell r="E597">
            <v>22630</v>
          </cell>
          <cell r="F597" t="str">
            <v>La Houssaye</v>
          </cell>
          <cell r="H597" t="str">
            <v>06 60 21 12 09</v>
          </cell>
          <cell r="I597" t="str">
            <v>dominique.pitou1@libertysurf.fr</v>
          </cell>
          <cell r="N597" t="str">
            <v>M.</v>
          </cell>
        </row>
        <row r="598">
          <cell r="B598" t="str">
            <v xml:space="preserve">PLAINE </v>
          </cell>
          <cell r="C598" t="str">
            <v>Jean Michel</v>
          </cell>
          <cell r="D598" t="str">
            <v>Mordelles</v>
          </cell>
          <cell r="E598">
            <v>35310</v>
          </cell>
          <cell r="F598" t="str">
            <v>La Gombais</v>
          </cell>
          <cell r="G598">
            <v>299640869</v>
          </cell>
          <cell r="I598" t="str">
            <v>mounplaine@orange.fr</v>
          </cell>
          <cell r="N598" t="str">
            <v>M.</v>
          </cell>
        </row>
        <row r="599">
          <cell r="B599" t="str">
            <v>PLUET/JOLY</v>
          </cell>
          <cell r="D599" t="str">
            <v>Gahard</v>
          </cell>
          <cell r="E599">
            <v>35490</v>
          </cell>
          <cell r="F599" t="str">
            <v>Rue des deux Vallées</v>
          </cell>
          <cell r="H599">
            <v>621072092</v>
          </cell>
          <cell r="I599" t="str">
            <v>gpluet@wanadoo.fr</v>
          </cell>
          <cell r="J599" t="str">
            <v>Hédé</v>
          </cell>
          <cell r="K599">
            <v>35630</v>
          </cell>
          <cell r="L599" t="str">
            <v>Les Tertres</v>
          </cell>
          <cell r="N599" t="str">
            <v>M. et Mme</v>
          </cell>
        </row>
        <row r="600">
          <cell r="B600" t="str">
            <v>POIDEVIN-CHEREL</v>
          </cell>
          <cell r="D600" t="str">
            <v>Languenan</v>
          </cell>
          <cell r="E600">
            <v>22130</v>
          </cell>
          <cell r="I600" t="str">
            <v>gites-quinier@voila.fr</v>
          </cell>
          <cell r="N600" t="str">
            <v>M. et Mme</v>
          </cell>
        </row>
        <row r="601">
          <cell r="B601" t="str">
            <v>POILVERT</v>
          </cell>
          <cell r="D601" t="str">
            <v>Laurenan</v>
          </cell>
          <cell r="E601">
            <v>22230</v>
          </cell>
          <cell r="F601" t="str">
            <v>golgouet</v>
          </cell>
          <cell r="H601">
            <v>778318948</v>
          </cell>
          <cell r="I601" t="str">
            <v>jjmpoilvert@orange.fr</v>
          </cell>
          <cell r="N601" t="str">
            <v>Mme</v>
          </cell>
        </row>
        <row r="602">
          <cell r="B602" t="str">
            <v>POILVET</v>
          </cell>
          <cell r="D602" t="str">
            <v>Lamballe-La Poterie</v>
          </cell>
          <cell r="E602">
            <v>22400</v>
          </cell>
          <cell r="F602" t="str">
            <v>La Buglais</v>
          </cell>
          <cell r="H602">
            <v>689334168</v>
          </cell>
          <cell r="I602" t="str">
            <v>d.poilvet@neuf.fr</v>
          </cell>
          <cell r="N602" t="str">
            <v>M.</v>
          </cell>
        </row>
        <row r="603">
          <cell r="B603" t="str">
            <v>POIRIER</v>
          </cell>
          <cell r="D603" t="str">
            <v>Muel</v>
          </cell>
          <cell r="E603">
            <v>35290</v>
          </cell>
          <cell r="F603" t="str">
            <v>La touche aumont</v>
          </cell>
          <cell r="H603" t="str">
            <v>06.42.69.12.13</v>
          </cell>
          <cell r="I603" t="str">
            <v>caroline.jeanluc.poirier@orange.fr</v>
          </cell>
          <cell r="N603" t="str">
            <v>M. et Mme</v>
          </cell>
        </row>
        <row r="604">
          <cell r="B604" t="str">
            <v>poirier</v>
          </cell>
          <cell r="C604" t="str">
            <v>thomas</v>
          </cell>
          <cell r="D604" t="str">
            <v>Vezin-le-Coquet</v>
          </cell>
          <cell r="E604">
            <v>35132</v>
          </cell>
          <cell r="F604" t="str">
            <v>haute porte</v>
          </cell>
          <cell r="G604">
            <v>628337808</v>
          </cell>
          <cell r="I604" t="str">
            <v>to.p@free.fr</v>
          </cell>
          <cell r="N604" t="str">
            <v>M.</v>
          </cell>
        </row>
        <row r="605">
          <cell r="B605" t="str">
            <v>Poirot</v>
          </cell>
          <cell r="C605" t="str">
            <v>Dominique</v>
          </cell>
          <cell r="D605" t="str">
            <v>Saint-Juvat</v>
          </cell>
          <cell r="E605">
            <v>22630</v>
          </cell>
          <cell r="F605" t="str">
            <v>Saint-Juvat</v>
          </cell>
          <cell r="G605">
            <v>626897556</v>
          </cell>
          <cell r="I605" t="str">
            <v>dfpoirot@yahoo.fr</v>
          </cell>
          <cell r="J605" t="str">
            <v>Pleurtuit</v>
          </cell>
          <cell r="K605">
            <v>35730</v>
          </cell>
          <cell r="L605" t="str">
            <v>8 rue jacqueline oriole</v>
          </cell>
          <cell r="N605" t="str">
            <v>M.</v>
          </cell>
        </row>
        <row r="606">
          <cell r="B606" t="str">
            <v>POISSARD</v>
          </cell>
          <cell r="C606" t="str">
            <v>Denis</v>
          </cell>
          <cell r="D606" t="str">
            <v>Montreuil-sur-Ille</v>
          </cell>
          <cell r="E606">
            <v>35440</v>
          </cell>
          <cell r="F606" t="str">
            <v>La basse Favrie</v>
          </cell>
          <cell r="H606" t="str">
            <v>06 70 54 89 69</v>
          </cell>
          <cell r="I606" t="str">
            <v>denis.poissard@orange.fr</v>
          </cell>
          <cell r="N606" t="str">
            <v>M.</v>
          </cell>
        </row>
        <row r="607">
          <cell r="B607" t="str">
            <v>POISSON</v>
          </cell>
          <cell r="C607" t="str">
            <v>Marie</v>
          </cell>
          <cell r="D607" t="str">
            <v>Saint-Gonlay</v>
          </cell>
          <cell r="E607">
            <v>35750</v>
          </cell>
          <cell r="F607" t="str">
            <v xml:space="preserve">16 La Jossais </v>
          </cell>
          <cell r="H607" t="str">
            <v>06 84 48 66 08</v>
          </cell>
          <cell r="I607" t="str">
            <v>m-poisson@hotmail.fr</v>
          </cell>
          <cell r="N607" t="str">
            <v>Mme</v>
          </cell>
        </row>
        <row r="608">
          <cell r="B608" t="str">
            <v>PONCHARD</v>
          </cell>
          <cell r="C608" t="str">
            <v>Alexandre</v>
          </cell>
          <cell r="D608" t="str">
            <v>Plaine-Haute</v>
          </cell>
          <cell r="E608">
            <v>22800</v>
          </cell>
          <cell r="F608" t="str">
            <v>Les Gardes</v>
          </cell>
          <cell r="H608">
            <v>647942226</v>
          </cell>
          <cell r="J608" t="str">
            <v>Saint-Brieuc</v>
          </cell>
          <cell r="K608">
            <v>22000</v>
          </cell>
          <cell r="L608" t="str">
            <v>Rue St Jouan</v>
          </cell>
          <cell r="N608" t="str">
            <v>M.</v>
          </cell>
        </row>
        <row r="609">
          <cell r="B609" t="str">
            <v>PONT</v>
          </cell>
          <cell r="D609" t="str">
            <v>Coglès</v>
          </cell>
          <cell r="E609">
            <v>35460</v>
          </cell>
          <cell r="F609" t="str">
            <v>La rigaudiere</v>
          </cell>
          <cell r="H609">
            <v>698599823</v>
          </cell>
          <cell r="I609" t="str">
            <v>lepetitpont@hotmail.com</v>
          </cell>
          <cell r="N609" t="str">
            <v>M.</v>
          </cell>
        </row>
        <row r="610">
          <cell r="B610" t="str">
            <v>POULARD-BRICET</v>
          </cell>
          <cell r="C610" t="str">
            <v>Jean François-Céline</v>
          </cell>
          <cell r="D610" t="str">
            <v>Thorigné-Fouillard</v>
          </cell>
          <cell r="E610">
            <v>35235</v>
          </cell>
          <cell r="F610" t="str">
            <v>Les Gaudriers</v>
          </cell>
          <cell r="G610">
            <v>299045617</v>
          </cell>
          <cell r="H610">
            <v>684189459</v>
          </cell>
          <cell r="I610" t="str">
            <v>celine-jeff@wanadoo.fr</v>
          </cell>
          <cell r="N610" t="str">
            <v>M.Mme</v>
          </cell>
        </row>
        <row r="611">
          <cell r="B611" t="str">
            <v>POULINGUE</v>
          </cell>
          <cell r="C611" t="str">
            <v>Camille</v>
          </cell>
          <cell r="D611" t="str">
            <v>Corlay - La Croix</v>
          </cell>
          <cell r="E611">
            <v>22320</v>
          </cell>
          <cell r="F611" t="str">
            <v>2, Guilleron</v>
          </cell>
          <cell r="G611">
            <v>688731534</v>
          </cell>
          <cell r="I611" t="str">
            <v>ofildesarbres@live.fr</v>
          </cell>
          <cell r="N611" t="str">
            <v>M.</v>
          </cell>
        </row>
        <row r="612">
          <cell r="B612" t="str">
            <v>POZZI</v>
          </cell>
          <cell r="D612" t="str">
            <v>Pléneuf-Val-André</v>
          </cell>
          <cell r="E612">
            <v>22370</v>
          </cell>
          <cell r="F612" t="str">
            <v>Chemin de la sancie</v>
          </cell>
          <cell r="H612">
            <v>685042859</v>
          </cell>
          <cell r="I612" t="str">
            <v>pascal.pozzi@orange.fr</v>
          </cell>
          <cell r="N612" t="str">
            <v>M.</v>
          </cell>
        </row>
        <row r="613">
          <cell r="B613" t="str">
            <v>PRIOUL</v>
          </cell>
          <cell r="C613" t="str">
            <v>Angéline</v>
          </cell>
          <cell r="D613" t="str">
            <v>Mézières-sur-Couesnon</v>
          </cell>
          <cell r="E613">
            <v>35140</v>
          </cell>
          <cell r="G613">
            <v>299457729</v>
          </cell>
          <cell r="H613">
            <v>608494587</v>
          </cell>
          <cell r="I613" t="str">
            <v>prioulfamily@free.fr</v>
          </cell>
          <cell r="J613" t="str">
            <v>Gahard</v>
          </cell>
          <cell r="K613">
            <v>35490</v>
          </cell>
          <cell r="L613" t="str">
            <v>La Mare Moussue</v>
          </cell>
          <cell r="N613" t="str">
            <v>Mme</v>
          </cell>
        </row>
        <row r="614">
          <cell r="B614" t="str">
            <v>QUEBRIAC</v>
          </cell>
          <cell r="C614" t="str">
            <v>Anthony</v>
          </cell>
          <cell r="D614" t="str">
            <v>Lanhélin</v>
          </cell>
          <cell r="E614">
            <v>35720</v>
          </cell>
          <cell r="F614" t="str">
            <v>Le Baudouin</v>
          </cell>
          <cell r="H614" t="str">
            <v>06 59 46 40 88</v>
          </cell>
          <cell r="I614" t="str">
            <v>anthony.quebriac@laposte.net</v>
          </cell>
          <cell r="N614" t="str">
            <v>M.</v>
          </cell>
        </row>
        <row r="615">
          <cell r="B615" t="str">
            <v>QUENOUILLER</v>
          </cell>
          <cell r="D615" t="str">
            <v>Lou-du-Lac (Le)</v>
          </cell>
          <cell r="E615">
            <v>35360</v>
          </cell>
          <cell r="F615" t="str">
            <v>salmon</v>
          </cell>
          <cell r="H615">
            <v>658039597</v>
          </cell>
          <cell r="I615" t="str">
            <v>quala@orange.fr</v>
          </cell>
          <cell r="J615" t="str">
            <v>Bédée</v>
          </cell>
          <cell r="K615">
            <v>35137</v>
          </cell>
          <cell r="L615" t="str">
            <v>22, la ville louyer</v>
          </cell>
          <cell r="N615" t="str">
            <v>M.et Mme</v>
          </cell>
        </row>
        <row r="616">
          <cell r="B616" t="str">
            <v>QUERO</v>
          </cell>
          <cell r="C616" t="str">
            <v>Gaia et Jean</v>
          </cell>
          <cell r="D616" t="str">
            <v>Saint-Pern</v>
          </cell>
          <cell r="E616">
            <v>35190</v>
          </cell>
          <cell r="F616" t="str">
            <v>Stanvaudière</v>
          </cell>
          <cell r="G616" t="str">
            <v xml:space="preserve">02 99 66 69 78 </v>
          </cell>
          <cell r="H616">
            <v>675961574</v>
          </cell>
          <cell r="N616" t="str">
            <v>M.et Mme</v>
          </cell>
        </row>
        <row r="617">
          <cell r="B617" t="str">
            <v>QUISTINIC</v>
          </cell>
          <cell r="D617" t="str">
            <v>Plouagat</v>
          </cell>
          <cell r="E617">
            <v>22170</v>
          </cell>
          <cell r="F617" t="str">
            <v>11, chemin de Kerdanet</v>
          </cell>
          <cell r="G617">
            <v>296326449</v>
          </cell>
          <cell r="I617" t="str">
            <v>quistinic.pierre@wanadoo.fr</v>
          </cell>
          <cell r="N617" t="str">
            <v>M.</v>
          </cell>
        </row>
        <row r="618">
          <cell r="B618" t="str">
            <v>RADISKOL</v>
          </cell>
          <cell r="C618" t="str">
            <v>Dominique</v>
          </cell>
          <cell r="D618" t="str">
            <v>Plancoët</v>
          </cell>
          <cell r="E618">
            <v>22130</v>
          </cell>
          <cell r="F618" t="str">
            <v>La Hingandais</v>
          </cell>
          <cell r="H618">
            <v>610327820</v>
          </cell>
          <cell r="I618" t="str">
            <v>dom.radiskol@free.fr</v>
          </cell>
          <cell r="J618" t="str">
            <v>Plancoët</v>
          </cell>
          <cell r="K618">
            <v>22130</v>
          </cell>
          <cell r="L618" t="str">
            <v>3, allée de la Motte St Jacques</v>
          </cell>
          <cell r="N618" t="str">
            <v>M.et Mme</v>
          </cell>
        </row>
        <row r="619">
          <cell r="B619" t="str">
            <v>RAISON</v>
          </cell>
          <cell r="C619" t="str">
            <v>Benjamin</v>
          </cell>
          <cell r="D619" t="str">
            <v>Planguenoual</v>
          </cell>
          <cell r="E619">
            <v>22400</v>
          </cell>
          <cell r="F619" t="str">
            <v>rrr</v>
          </cell>
          <cell r="G619">
            <v>637159366</v>
          </cell>
          <cell r="I619" t="str">
            <v>raison.benjamin@hotmail.fr</v>
          </cell>
        </row>
        <row r="620">
          <cell r="B620" t="str">
            <v>RATAJCZAK</v>
          </cell>
          <cell r="D620" t="str">
            <v>Bouëxière (La)</v>
          </cell>
          <cell r="E620">
            <v>35340</v>
          </cell>
          <cell r="F620" t="str">
            <v>21 Allée des Tansots</v>
          </cell>
          <cell r="G620" t="str">
            <v>02 99 37 15 85</v>
          </cell>
          <cell r="H620" t="str">
            <v>06 52 98 39 15</v>
          </cell>
          <cell r="N620" t="str">
            <v>M. et Mme</v>
          </cell>
        </row>
        <row r="621">
          <cell r="B621" t="str">
            <v>RATTEZ HAMON</v>
          </cell>
          <cell r="D621" t="str">
            <v>Cintré</v>
          </cell>
          <cell r="E621">
            <v>35310</v>
          </cell>
          <cell r="F621" t="str">
            <v>La Chedelais</v>
          </cell>
          <cell r="G621">
            <v>299640235</v>
          </cell>
          <cell r="H621">
            <v>649827805</v>
          </cell>
          <cell r="N621" t="str">
            <v>M.et Mme</v>
          </cell>
        </row>
        <row r="622">
          <cell r="B622" t="str">
            <v>RAULT</v>
          </cell>
          <cell r="C622" t="str">
            <v>Ludovic</v>
          </cell>
          <cell r="D622" t="str">
            <v>Bouillie (La)</v>
          </cell>
          <cell r="E622">
            <v>22240</v>
          </cell>
          <cell r="F622" t="str">
            <v>La tour</v>
          </cell>
          <cell r="H622">
            <v>671521545</v>
          </cell>
          <cell r="I622" t="str">
            <v>tech-eau@cdc-cote-penthievre.fr</v>
          </cell>
          <cell r="J622" t="str">
            <v>Bouillie (La)</v>
          </cell>
          <cell r="K622">
            <v>22240</v>
          </cell>
          <cell r="N622" t="str">
            <v>M.</v>
          </cell>
        </row>
        <row r="623">
          <cell r="B623" t="str">
            <v>RAVET</v>
          </cell>
          <cell r="C623" t="str">
            <v>Raymond</v>
          </cell>
          <cell r="D623" t="str">
            <v>Combourg</v>
          </cell>
          <cell r="E623">
            <v>35270</v>
          </cell>
          <cell r="F623" t="str">
            <v>???</v>
          </cell>
          <cell r="I623" t="str">
            <v>raym35@free.fr</v>
          </cell>
          <cell r="N623" t="str">
            <v>M.</v>
          </cell>
        </row>
        <row r="624">
          <cell r="B624" t="str">
            <v>REBENDENNE</v>
          </cell>
          <cell r="D624" t="str">
            <v>Loudéac</v>
          </cell>
          <cell r="E624">
            <v>22600</v>
          </cell>
          <cell r="F624" t="str">
            <v>La croix chanvril</v>
          </cell>
          <cell r="G624">
            <v>296282875</v>
          </cell>
          <cell r="I624" t="str">
            <v>josiane.rebendenne@wanadoo.fr</v>
          </cell>
          <cell r="N624" t="str">
            <v>M.et Mme</v>
          </cell>
        </row>
        <row r="625">
          <cell r="B625" t="str">
            <v>REBOUILLAU / AGREKE</v>
          </cell>
          <cell r="C625" t="str">
            <v>Mickaël et Aude</v>
          </cell>
          <cell r="D625" t="str">
            <v>Combourg</v>
          </cell>
          <cell r="E625">
            <v>35270</v>
          </cell>
          <cell r="F625" t="str">
            <v>La Touche aux Pouvoirs</v>
          </cell>
          <cell r="H625" t="str">
            <v>06 83 32 79 12</v>
          </cell>
          <cell r="I625" t="str">
            <v>aude.agreke-d@outlook.com</v>
          </cell>
          <cell r="J625" t="str">
            <v>Combourg</v>
          </cell>
          <cell r="K625">
            <v>35270</v>
          </cell>
          <cell r="L625" t="str">
            <v>Le Haut de L'Orée</v>
          </cell>
          <cell r="N625" t="str">
            <v>M. et Mme</v>
          </cell>
        </row>
        <row r="626">
          <cell r="B626" t="str">
            <v>Régeard</v>
          </cell>
          <cell r="C626" t="str">
            <v>Christophe</v>
          </cell>
          <cell r="D626" t="str">
            <v>Quédillac</v>
          </cell>
          <cell r="E626">
            <v>35290</v>
          </cell>
          <cell r="F626" t="str">
            <v>Le Commené</v>
          </cell>
          <cell r="G626">
            <v>299062703</v>
          </cell>
          <cell r="I626" t="str">
            <v>famille.regeard@voila.fr</v>
          </cell>
          <cell r="N626" t="str">
            <v>Mme et Mr.</v>
          </cell>
        </row>
        <row r="627">
          <cell r="B627" t="str">
            <v>REHEL</v>
          </cell>
          <cell r="C627" t="str">
            <v>Bettina</v>
          </cell>
          <cell r="D627" t="str">
            <v>Corseul</v>
          </cell>
          <cell r="E627">
            <v>22130</v>
          </cell>
          <cell r="F627" t="str">
            <v>La touraudais</v>
          </cell>
          <cell r="H627" t="str">
            <v>06.65.49.01.62</v>
          </cell>
          <cell r="I627" t="str">
            <v>bettina.rehel@laposte.net</v>
          </cell>
          <cell r="N627" t="str">
            <v>Mme</v>
          </cell>
        </row>
        <row r="628">
          <cell r="B628" t="str">
            <v>RENAUD</v>
          </cell>
          <cell r="C628" t="str">
            <v>Beatrice</v>
          </cell>
          <cell r="D628" t="str">
            <v>Plouasne</v>
          </cell>
          <cell r="E628">
            <v>22830</v>
          </cell>
          <cell r="F628" t="str">
            <v>Les Ruaux</v>
          </cell>
          <cell r="H628" t="str">
            <v>06 80 68 11 18</v>
          </cell>
          <cell r="I628" t="str">
            <v>renaud.beatrice@neuf.fr</v>
          </cell>
          <cell r="J628" t="str">
            <v>La Chapelle-des-Fougeretz</v>
          </cell>
          <cell r="K628">
            <v>35520</v>
          </cell>
          <cell r="L628" t="str">
            <v>4 al du Clos Fougaud</v>
          </cell>
          <cell r="N628" t="str">
            <v>M. et Mme</v>
          </cell>
        </row>
        <row r="629">
          <cell r="B629" t="str">
            <v>RENOUARD</v>
          </cell>
          <cell r="D629" t="str">
            <v>Saint-Pôtan</v>
          </cell>
          <cell r="E629">
            <v>22550</v>
          </cell>
          <cell r="F629" t="str">
            <v>Bonne vie</v>
          </cell>
          <cell r="G629" t="str">
            <v xml:space="preserve">02 96 41 02 91 </v>
          </cell>
          <cell r="I629" t="str">
            <v>ferme.bonne.vie@wanadoo.fr</v>
          </cell>
          <cell r="N629" t="str">
            <v>M.et Mme</v>
          </cell>
        </row>
        <row r="630">
          <cell r="B630" t="str">
            <v>RESTIF</v>
          </cell>
          <cell r="D630" t="str">
            <v>Évran</v>
          </cell>
          <cell r="E630">
            <v>22630</v>
          </cell>
          <cell r="F630" t="str">
            <v>La Lande du Tournay</v>
          </cell>
          <cell r="G630" t="str">
            <v>07 70 79 04 83</v>
          </cell>
          <cell r="I630" t="str">
            <v>fabrice.restif@hotmail.fr</v>
          </cell>
          <cell r="N630" t="str">
            <v>M.</v>
          </cell>
        </row>
        <row r="631">
          <cell r="B631" t="str">
            <v>RIAUX</v>
          </cell>
          <cell r="D631" t="str">
            <v>Combourg</v>
          </cell>
          <cell r="E631">
            <v>35270</v>
          </cell>
          <cell r="F631" t="str">
            <v>La touche au pourvoir</v>
          </cell>
          <cell r="H631">
            <v>671685626</v>
          </cell>
          <cell r="I631" t="str">
            <v>christian.riaux123@orange.fr</v>
          </cell>
          <cell r="N631" t="str">
            <v>M.</v>
          </cell>
        </row>
        <row r="632">
          <cell r="B632" t="str">
            <v>RIAUX</v>
          </cell>
          <cell r="C632" t="str">
            <v>Kevin</v>
          </cell>
          <cell r="D632" t="str">
            <v>Saint-Rémy-du-Plain</v>
          </cell>
          <cell r="E632">
            <v>35560</v>
          </cell>
          <cell r="F632" t="str">
            <v>La Barronnais</v>
          </cell>
          <cell r="H632" t="str">
            <v>06 79 75 18 94</v>
          </cell>
          <cell r="I632" t="str">
            <v>kevin.riaux@hotmail.com</v>
          </cell>
          <cell r="J632" t="str">
            <v>Dingé</v>
          </cell>
          <cell r="K632">
            <v>35440</v>
          </cell>
          <cell r="L632" t="str">
            <v>40, La Chiffardière</v>
          </cell>
          <cell r="N632" t="str">
            <v>M.</v>
          </cell>
        </row>
        <row r="633">
          <cell r="B633" t="str">
            <v>RIBEIRO-PICQUART</v>
          </cell>
          <cell r="C633" t="str">
            <v>Gilbert</v>
          </cell>
          <cell r="D633" t="str">
            <v>Combourg</v>
          </cell>
          <cell r="E633">
            <v>35270</v>
          </cell>
          <cell r="F633" t="str">
            <v>Brancoual</v>
          </cell>
          <cell r="G633">
            <v>145119986</v>
          </cell>
          <cell r="H633">
            <v>668017208</v>
          </cell>
          <cell r="I633" t="str">
            <v>gilbert.ribeiro-picquart@orange.fr</v>
          </cell>
          <cell r="J633" t="str">
            <v>Saint-Maur-des-Fossés</v>
          </cell>
          <cell r="K633">
            <v>94100</v>
          </cell>
          <cell r="L633" t="str">
            <v>10 bis avennue Georges Goussot</v>
          </cell>
        </row>
        <row r="634">
          <cell r="B634" t="str">
            <v>RICHARD</v>
          </cell>
          <cell r="C634" t="str">
            <v>Amandine</v>
          </cell>
          <cell r="D634" t="str">
            <v>Feins</v>
          </cell>
          <cell r="E634">
            <v>35440</v>
          </cell>
          <cell r="F634" t="str">
            <v>5, Hameau de Posce</v>
          </cell>
          <cell r="G634" t="str">
            <v xml:space="preserve">09 51 17 84 48  </v>
          </cell>
          <cell r="I634" t="str">
            <v>franbeuz@wanadoo.fr</v>
          </cell>
          <cell r="N634" t="str">
            <v>Mme</v>
          </cell>
        </row>
        <row r="635">
          <cell r="B635" t="str">
            <v>RICHARD</v>
          </cell>
          <cell r="C635" t="str">
            <v>Franck</v>
          </cell>
          <cell r="D635" t="str">
            <v>Liffré</v>
          </cell>
          <cell r="E635">
            <v>35340</v>
          </cell>
          <cell r="F635" t="str">
            <v>Le Moulin</v>
          </cell>
          <cell r="G635" t="str">
            <v>06 75 89 39 55</v>
          </cell>
          <cell r="I635" t="str">
            <v>franckrichard.35@gmail.com</v>
          </cell>
          <cell r="N635" t="str">
            <v>M.</v>
          </cell>
        </row>
        <row r="636">
          <cell r="B636" t="str">
            <v>Rigal</v>
          </cell>
          <cell r="C636" t="str">
            <v>Lucie</v>
          </cell>
          <cell r="D636" t="str">
            <v>Vezin-le-Coquet</v>
          </cell>
          <cell r="E636">
            <v>35132</v>
          </cell>
          <cell r="F636" t="str">
            <v>Le grand chevillé</v>
          </cell>
          <cell r="G636">
            <v>672980481</v>
          </cell>
          <cell r="I636" t="str">
            <v>rigal.lucie@gmail.com</v>
          </cell>
          <cell r="N636" t="str">
            <v>M.</v>
          </cell>
        </row>
        <row r="637">
          <cell r="B637" t="str">
            <v>RIMBOT</v>
          </cell>
          <cell r="C637" t="str">
            <v>François</v>
          </cell>
          <cell r="D637" t="str">
            <v>Saint-Carné</v>
          </cell>
          <cell r="E637">
            <v>22100</v>
          </cell>
          <cell r="F637" t="str">
            <v>Les Loges</v>
          </cell>
          <cell r="G637">
            <v>296852661</v>
          </cell>
          <cell r="H637">
            <v>670389111</v>
          </cell>
          <cell r="I637" t="str">
            <v>francois.rimbot@neuf.fr</v>
          </cell>
          <cell r="J637" t="str">
            <v>Saint-Samson-sur-Rance</v>
          </cell>
          <cell r="K637">
            <v>22100</v>
          </cell>
          <cell r="L637" t="str">
            <v>7 rue de Beausejour</v>
          </cell>
          <cell r="N637" t="str">
            <v>M. et Mme</v>
          </cell>
        </row>
        <row r="638">
          <cell r="B638" t="str">
            <v>Riot</v>
          </cell>
          <cell r="C638" t="str">
            <v>Thierry</v>
          </cell>
          <cell r="D638" t="str">
            <v>Chapelle-Thouarault (La)</v>
          </cell>
          <cell r="E638">
            <v>35590</v>
          </cell>
          <cell r="F638" t="str">
            <v>L'oseraie</v>
          </cell>
          <cell r="G638">
            <v>629305175</v>
          </cell>
          <cell r="I638" t="str">
            <v>riot.fevrier@yahoo.fr</v>
          </cell>
          <cell r="N638" t="str">
            <v>M.</v>
          </cell>
        </row>
        <row r="639">
          <cell r="B639" t="str">
            <v>Riouat</v>
          </cell>
          <cell r="C639" t="str">
            <v>Sylvain</v>
          </cell>
          <cell r="D639" t="str">
            <v>Liffré</v>
          </cell>
          <cell r="E639">
            <v>35340</v>
          </cell>
          <cell r="F639" t="str">
            <v>La sorinais</v>
          </cell>
          <cell r="G639">
            <v>632033852</v>
          </cell>
          <cell r="I639" t="str">
            <v>sylvainriouat@gmail.com</v>
          </cell>
          <cell r="N639" t="str">
            <v>M.</v>
          </cell>
        </row>
        <row r="640">
          <cell r="B640" t="str">
            <v>riva</v>
          </cell>
          <cell r="C640" t="str">
            <v>xavier</v>
          </cell>
          <cell r="D640" t="str">
            <v>Gahard</v>
          </cell>
          <cell r="E640">
            <v>35490</v>
          </cell>
          <cell r="F640" t="str">
            <v>la martois 35340 liffre</v>
          </cell>
          <cell r="G640">
            <v>674119740</v>
          </cell>
          <cell r="I640" t="str">
            <v>xavierriva@hotmail.fr</v>
          </cell>
        </row>
        <row r="641">
          <cell r="B641" t="str">
            <v>ROBERT</v>
          </cell>
          <cell r="C641" t="str">
            <v>Pascale</v>
          </cell>
          <cell r="D641" t="str">
            <v>Saint-Maudez</v>
          </cell>
          <cell r="E641">
            <v>22980</v>
          </cell>
          <cell r="F641" t="str">
            <v>route du Pelisson</v>
          </cell>
          <cell r="H641" t="str">
            <v>06 86 99 28 73</v>
          </cell>
          <cell r="I641" t="str">
            <v>pascale.rober@gmail.com</v>
          </cell>
          <cell r="N641" t="str">
            <v>Mme</v>
          </cell>
        </row>
        <row r="642">
          <cell r="B642" t="str">
            <v>ROBERT</v>
          </cell>
          <cell r="C642" t="str">
            <v>Sonia</v>
          </cell>
          <cell r="D642" t="str">
            <v>Plouasne</v>
          </cell>
          <cell r="E642">
            <v>22830</v>
          </cell>
          <cell r="H642">
            <v>613764235</v>
          </cell>
          <cell r="I642" t="str">
            <v>soniarobert74@yahoo.fr</v>
          </cell>
          <cell r="J642" t="str">
            <v>Évran</v>
          </cell>
          <cell r="K642">
            <v>22630</v>
          </cell>
          <cell r="L642" t="str">
            <v>5, impasse du clos Heuzé</v>
          </cell>
          <cell r="N642" t="str">
            <v>Mme</v>
          </cell>
        </row>
        <row r="643">
          <cell r="B643" t="str">
            <v>ROBIN</v>
          </cell>
          <cell r="C643" t="str">
            <v>Yves</v>
          </cell>
          <cell r="D643" t="str">
            <v>Trévérien</v>
          </cell>
          <cell r="E643">
            <v>35190</v>
          </cell>
          <cell r="F643" t="str">
            <v>19, La Chappelle Trévinal</v>
          </cell>
          <cell r="H643" t="str">
            <v>06 73 36 78 67</v>
          </cell>
          <cell r="I643" t="str">
            <v>yves@lejardingraphique.com</v>
          </cell>
          <cell r="J643" t="str">
            <v>Hédé</v>
          </cell>
          <cell r="K643">
            <v>35630</v>
          </cell>
          <cell r="L643" t="str">
            <v>2, impasse des Douves</v>
          </cell>
          <cell r="N643" t="str">
            <v>M.</v>
          </cell>
        </row>
        <row r="644">
          <cell r="B644" t="str">
            <v>ROCHAMBEAU</v>
          </cell>
          <cell r="C644" t="str">
            <v>Alexandre</v>
          </cell>
          <cell r="D644" t="str">
            <v>Jugon-les-Lacs</v>
          </cell>
          <cell r="E644">
            <v>22270</v>
          </cell>
          <cell r="F644" t="str">
            <v>Déhetière (La)</v>
          </cell>
          <cell r="G644">
            <v>661838661</v>
          </cell>
          <cell r="I644" t="str">
            <v>bliss.alex@hotmail.fr</v>
          </cell>
          <cell r="J644" t="str">
            <v>Hinglé (Le)</v>
          </cell>
          <cell r="K644">
            <v>22100</v>
          </cell>
          <cell r="L644" t="str">
            <v>11 Chemin de la Gautrais</v>
          </cell>
          <cell r="N644" t="str">
            <v>M.</v>
          </cell>
        </row>
        <row r="645">
          <cell r="B645" t="str">
            <v>RODE</v>
          </cell>
          <cell r="C645" t="str">
            <v>Aline</v>
          </cell>
          <cell r="D645" t="str">
            <v>Langan</v>
          </cell>
          <cell r="E645">
            <v>35850</v>
          </cell>
          <cell r="F645" t="str">
            <v>39, Le Rhé</v>
          </cell>
          <cell r="I645" t="str">
            <v>aline.rode2@wanadoo.fr</v>
          </cell>
          <cell r="N645" t="str">
            <v>Mme</v>
          </cell>
        </row>
        <row r="646">
          <cell r="B646" t="str">
            <v>ROLLAND</v>
          </cell>
          <cell r="D646" t="str">
            <v>Hénanbihen</v>
          </cell>
          <cell r="E646">
            <v>22550</v>
          </cell>
          <cell r="F646" t="str">
            <v>La Cahuette</v>
          </cell>
          <cell r="N646" t="str">
            <v>M.et Mme</v>
          </cell>
        </row>
        <row r="647">
          <cell r="B647" t="str">
            <v>ROME</v>
          </cell>
          <cell r="C647" t="str">
            <v>Michel</v>
          </cell>
          <cell r="D647" t="str">
            <v>Rimou</v>
          </cell>
          <cell r="E647">
            <v>35560</v>
          </cell>
          <cell r="F647" t="str">
            <v>Le Chatel</v>
          </cell>
          <cell r="H647" t="str">
            <v>06.76.96.62.01</v>
          </cell>
          <cell r="I647" t="str">
            <v>rome.michel@free.fr</v>
          </cell>
          <cell r="J647" t="str">
            <v>Rennes</v>
          </cell>
          <cell r="K647">
            <v>35000</v>
          </cell>
          <cell r="L647" t="str">
            <v>17 rue Salomon de Brosse</v>
          </cell>
          <cell r="N647" t="str">
            <v>M.</v>
          </cell>
        </row>
        <row r="648">
          <cell r="B648" t="str">
            <v>ROMÉ</v>
          </cell>
          <cell r="C648" t="str">
            <v>Alexis</v>
          </cell>
          <cell r="D648" t="str">
            <v>Dingé</v>
          </cell>
          <cell r="E648">
            <v>35440</v>
          </cell>
          <cell r="F648" t="str">
            <v>La Mare Durand</v>
          </cell>
          <cell r="G648">
            <v>781890263</v>
          </cell>
          <cell r="I648" t="str">
            <v>alexisrome35000@hotmail.com</v>
          </cell>
          <cell r="J648" t="str">
            <v>Hédé</v>
          </cell>
          <cell r="K648">
            <v>35630</v>
          </cell>
          <cell r="L648" t="str">
            <v>5 rue de l'Ille</v>
          </cell>
          <cell r="N648" t="str">
            <v>M.</v>
          </cell>
        </row>
        <row r="649">
          <cell r="B649" t="str">
            <v>ROMERO</v>
          </cell>
          <cell r="C649" t="str">
            <v>Pierrick</v>
          </cell>
          <cell r="D649" t="str">
            <v>Saint-Gondran</v>
          </cell>
          <cell r="E649">
            <v>35630</v>
          </cell>
          <cell r="F649" t="str">
            <v>Le Rocher</v>
          </cell>
          <cell r="G649" t="str">
            <v>02 99 45 81 49</v>
          </cell>
          <cell r="H649" t="str">
            <v>06 79 16 10 18</v>
          </cell>
          <cell r="I649" t="str">
            <v>romero.family@orange.fr</v>
          </cell>
          <cell r="N649" t="str">
            <v>M.</v>
          </cell>
        </row>
        <row r="650">
          <cell r="B650" t="str">
            <v>RONCIER</v>
          </cell>
          <cell r="D650" t="str">
            <v>La Boussac</v>
          </cell>
          <cell r="E650">
            <v>35120</v>
          </cell>
          <cell r="F650" t="str">
            <v>Le Beffoy</v>
          </cell>
          <cell r="G650">
            <v>299809814</v>
          </cell>
          <cell r="I650" t="str">
            <v>henri.roncier@wanadoo.fr</v>
          </cell>
          <cell r="N650" t="str">
            <v>M.et Mme</v>
          </cell>
        </row>
        <row r="651">
          <cell r="B651" t="str">
            <v>RONGIERAS</v>
          </cell>
          <cell r="C651" t="str">
            <v>CHRISTIAN</v>
          </cell>
          <cell r="D651" t="str">
            <v>Pleine-Fougères</v>
          </cell>
          <cell r="E651">
            <v>35610</v>
          </cell>
          <cell r="F651" t="str">
            <v>1 VILLE CHEREL</v>
          </cell>
          <cell r="G651">
            <v>688655396</v>
          </cell>
          <cell r="I651" t="str">
            <v>rgschris@laposte.net</v>
          </cell>
          <cell r="N651" t="str">
            <v>M.</v>
          </cell>
        </row>
        <row r="652">
          <cell r="B652" t="str">
            <v>RONGIERAS</v>
          </cell>
          <cell r="C652" t="str">
            <v>Christian</v>
          </cell>
          <cell r="D652" t="str">
            <v>Pleine-Fougères</v>
          </cell>
          <cell r="E652">
            <v>35610</v>
          </cell>
          <cell r="F652" t="str">
            <v>1 Ville Chérel</v>
          </cell>
          <cell r="H652">
            <v>688655396</v>
          </cell>
          <cell r="I652" t="str">
            <v>rgschris@laposte.net</v>
          </cell>
          <cell r="J652" t="str">
            <v>Chelles</v>
          </cell>
          <cell r="K652">
            <v>77500</v>
          </cell>
          <cell r="L652" t="str">
            <v>32 Avenue de L'Europe</v>
          </cell>
          <cell r="N652" t="str">
            <v>M.</v>
          </cell>
        </row>
        <row r="653">
          <cell r="B653" t="str">
            <v>ROPTIN</v>
          </cell>
          <cell r="C653" t="str">
            <v>Guy</v>
          </cell>
          <cell r="D653" t="str">
            <v>Saint-Cast-le-Guildo</v>
          </cell>
          <cell r="E653">
            <v>22380</v>
          </cell>
          <cell r="F653" t="str">
            <v>10, rue de Brison</v>
          </cell>
          <cell r="G653">
            <v>296411838</v>
          </cell>
          <cell r="I653" t="str">
            <v>fgroptin@wanadoo.fr</v>
          </cell>
          <cell r="N653" t="str">
            <v>M</v>
          </cell>
        </row>
        <row r="654">
          <cell r="B654" t="str">
            <v>ROS</v>
          </cell>
          <cell r="C654" t="str">
            <v>Gael</v>
          </cell>
          <cell r="D654" t="str">
            <v>Iffendic</v>
          </cell>
          <cell r="E654">
            <v>35750</v>
          </cell>
          <cell r="F654" t="str">
            <v>Le Buron</v>
          </cell>
          <cell r="H654">
            <v>688842402</v>
          </cell>
          <cell r="I654" t="str">
            <v>roscavret@orange.fr</v>
          </cell>
          <cell r="J654" t="str">
            <v>Monterfil</v>
          </cell>
          <cell r="K654">
            <v>35160</v>
          </cell>
          <cell r="L654" t="str">
            <v>7 Bis allée des Roctay</v>
          </cell>
          <cell r="N654" t="str">
            <v>M.</v>
          </cell>
        </row>
        <row r="655">
          <cell r="B655" t="str">
            <v>ROSSIGNOL</v>
          </cell>
          <cell r="C655" t="str">
            <v>Gaëtan</v>
          </cell>
          <cell r="D655" t="str">
            <v>Liffré</v>
          </cell>
          <cell r="E655">
            <v>35340</v>
          </cell>
          <cell r="F655" t="str">
            <v>La croix Bazin</v>
          </cell>
          <cell r="H655">
            <v>607091254</v>
          </cell>
          <cell r="J655" t="str">
            <v>Saint-Germain-sur-Ille</v>
          </cell>
          <cell r="K655">
            <v>35250</v>
          </cell>
          <cell r="L655" t="str">
            <v>25, Bois Lambin</v>
          </cell>
          <cell r="N655" t="str">
            <v>M.</v>
          </cell>
        </row>
        <row r="656">
          <cell r="B656" t="str">
            <v>ROULLIN</v>
          </cell>
          <cell r="C656" t="str">
            <v>Guillaume</v>
          </cell>
          <cell r="D656" t="str">
            <v>Dingé</v>
          </cell>
          <cell r="E656">
            <v>35440</v>
          </cell>
          <cell r="F656" t="str">
            <v>La Mare Durand</v>
          </cell>
          <cell r="H656" t="str">
            <v>06 58 31 46 69</v>
          </cell>
          <cell r="I656" t="str">
            <v>guillermin35@gmail.com</v>
          </cell>
          <cell r="N656" t="str">
            <v>M.</v>
          </cell>
        </row>
        <row r="657">
          <cell r="B657" t="str">
            <v>ROUSSEL</v>
          </cell>
          <cell r="D657" t="str">
            <v>Saint-Symphorien</v>
          </cell>
          <cell r="E657">
            <v>35630</v>
          </cell>
          <cell r="F657" t="str">
            <v>Le Pont Guillaume</v>
          </cell>
          <cell r="G657">
            <v>299455015</v>
          </cell>
          <cell r="I657" t="str">
            <v>jeanluc.roussel@club-internet.fr</v>
          </cell>
          <cell r="N657" t="str">
            <v>M. et Mme</v>
          </cell>
        </row>
        <row r="658">
          <cell r="B658" t="str">
            <v>ROUSSEL</v>
          </cell>
          <cell r="C658" t="str">
            <v>AndrÃ©</v>
          </cell>
          <cell r="D658" t="str">
            <v>Paimpont</v>
          </cell>
          <cell r="E658">
            <v>35380</v>
          </cell>
          <cell r="F658" t="str">
            <v>lll</v>
          </cell>
          <cell r="G658">
            <v>677129541</v>
          </cell>
          <cell r="I658" t="str">
            <v>Andre.roussel14@wanadoo.fr</v>
          </cell>
        </row>
        <row r="659">
          <cell r="B659" t="str">
            <v>ROUX</v>
          </cell>
          <cell r="D659" t="str">
            <v>Saint-Gilles</v>
          </cell>
          <cell r="E659">
            <v>35590</v>
          </cell>
          <cell r="F659" t="str">
            <v>La Poterne</v>
          </cell>
          <cell r="G659">
            <v>618661031</v>
          </cell>
          <cell r="H659">
            <v>640732873</v>
          </cell>
          <cell r="I659" t="str">
            <v>christo_bass@msn.com</v>
          </cell>
          <cell r="N659" t="str">
            <v>M.</v>
          </cell>
        </row>
        <row r="660">
          <cell r="B660" t="str">
            <v>Roux</v>
          </cell>
          <cell r="C660" t="str">
            <v>Alain</v>
          </cell>
          <cell r="D660" t="str">
            <v>Corseul</v>
          </cell>
          <cell r="E660">
            <v>22130</v>
          </cell>
          <cell r="F660" t="str">
            <v>3, la ville es denis</v>
          </cell>
          <cell r="G660">
            <v>698762448</v>
          </cell>
          <cell r="I660" t="str">
            <v>roux-al@hotmail.fr</v>
          </cell>
          <cell r="N660" t="str">
            <v>M.</v>
          </cell>
        </row>
        <row r="661">
          <cell r="B661" t="str">
            <v>ROUXEL</v>
          </cell>
          <cell r="D661" t="str">
            <v>Québriac</v>
          </cell>
          <cell r="E661">
            <v>35190</v>
          </cell>
          <cell r="F661" t="str">
            <v>ZA de Rolin</v>
          </cell>
          <cell r="H661" t="str">
            <v>06 21 77 49 55</v>
          </cell>
          <cell r="I661" t="str">
            <v>artdutoitcouverture@orange.fr</v>
          </cell>
          <cell r="M661" t="str">
            <v>Atelier de couverture</v>
          </cell>
          <cell r="N661" t="str">
            <v>M.</v>
          </cell>
        </row>
        <row r="662">
          <cell r="B662" t="str">
            <v>ROZE</v>
          </cell>
          <cell r="D662" t="str">
            <v>Saint-Maugan</v>
          </cell>
          <cell r="E662">
            <v>35750</v>
          </cell>
          <cell r="F662" t="str">
            <v>Le Féage</v>
          </cell>
          <cell r="G662" t="str">
            <v>09.62.24.07.85</v>
          </cell>
          <cell r="I662" t="str">
            <v>rozecat@orange.fr</v>
          </cell>
          <cell r="N662" t="str">
            <v>M.et Mme</v>
          </cell>
        </row>
        <row r="663">
          <cell r="B663" t="str">
            <v>RUBEILLON</v>
          </cell>
          <cell r="D663" t="str">
            <v>Cintré</v>
          </cell>
          <cell r="E663">
            <v>35310</v>
          </cell>
          <cell r="F663" t="str">
            <v>La Planche Robin</v>
          </cell>
          <cell r="N663" t="str">
            <v>Mme</v>
          </cell>
        </row>
        <row r="664">
          <cell r="B664" t="str">
            <v>RUL</v>
          </cell>
          <cell r="D664" t="str">
            <v>Saint-Germain-sur-Ille</v>
          </cell>
          <cell r="E664">
            <v>35250</v>
          </cell>
          <cell r="F664" t="str">
            <v>2, chemin de la tertrais</v>
          </cell>
          <cell r="H664">
            <v>682722470</v>
          </cell>
          <cell r="I664" t="str">
            <v>bruno.rul@ac-rennes.fr</v>
          </cell>
          <cell r="N664" t="str">
            <v>M.</v>
          </cell>
        </row>
        <row r="665">
          <cell r="B665" t="str">
            <v>SALAUN</v>
          </cell>
          <cell r="D665" t="str">
            <v>Bonnemain</v>
          </cell>
          <cell r="E665">
            <v>35270</v>
          </cell>
          <cell r="F665" t="str">
            <v>La gare</v>
          </cell>
          <cell r="H665" t="str">
            <v>06.74.43.70.06</v>
          </cell>
          <cell r="I665" t="str">
            <v>legoffsalaun@wanadoo.fr</v>
          </cell>
          <cell r="N665" t="str">
            <v>Mme</v>
          </cell>
        </row>
        <row r="666">
          <cell r="B666" t="str">
            <v>SALET</v>
          </cell>
          <cell r="C666" t="str">
            <v>Nicolas</v>
          </cell>
          <cell r="D666" t="str">
            <v>Saint-Lunaire</v>
          </cell>
          <cell r="E666">
            <v>35800</v>
          </cell>
          <cell r="F666" t="str">
            <v>Lieu-dit Le Pont Briand</v>
          </cell>
          <cell r="G666">
            <v>607872082</v>
          </cell>
          <cell r="I666" t="str">
            <v>n.salet@erisma.fr</v>
          </cell>
          <cell r="J666" t="str">
            <v>Paris 16ème</v>
          </cell>
          <cell r="K666">
            <v>75016</v>
          </cell>
          <cell r="L666" t="str">
            <v>51, rue du Général DELESTRAINT</v>
          </cell>
          <cell r="N666" t="str">
            <v>M.</v>
          </cell>
        </row>
        <row r="667">
          <cell r="B667" t="str">
            <v>SALINGUE</v>
          </cell>
          <cell r="D667" t="str">
            <v>Melesse</v>
          </cell>
          <cell r="E667">
            <v>35520</v>
          </cell>
          <cell r="F667" t="str">
            <v>Le Haut Couyer</v>
          </cell>
          <cell r="G667">
            <v>299546000</v>
          </cell>
          <cell r="I667" t="str">
            <v>manu.salingue@aliceadsl.fr</v>
          </cell>
          <cell r="N667" t="str">
            <v>Mme</v>
          </cell>
        </row>
        <row r="668">
          <cell r="B668" t="str">
            <v>SALIOU</v>
          </cell>
          <cell r="D668" t="str">
            <v>Melesse</v>
          </cell>
          <cell r="E668">
            <v>35520</v>
          </cell>
          <cell r="F668" t="str">
            <v>Le Mesnil l'abbaye 6</v>
          </cell>
          <cell r="G668">
            <v>677772589</v>
          </cell>
          <cell r="H668">
            <v>951543297</v>
          </cell>
          <cell r="I668" t="str">
            <v>pasklain@gmail.com</v>
          </cell>
          <cell r="N668" t="str">
            <v>M. et Mme</v>
          </cell>
        </row>
        <row r="669">
          <cell r="B669" t="str">
            <v>SALMON</v>
          </cell>
          <cell r="C669" t="str">
            <v>Philippe</v>
          </cell>
          <cell r="D669" t="str">
            <v>Bouëxière (La)</v>
          </cell>
          <cell r="E669">
            <v>35340</v>
          </cell>
          <cell r="F669" t="str">
            <v>La Touche Ronde</v>
          </cell>
          <cell r="G669" t="str">
            <v>07 85 86 91 06</v>
          </cell>
          <cell r="I669" t="str">
            <v>philippe.salmon204@orange.fr</v>
          </cell>
          <cell r="N669" t="str">
            <v>M.</v>
          </cell>
        </row>
        <row r="670">
          <cell r="B670" t="str">
            <v>SALMON-GROSSET</v>
          </cell>
          <cell r="D670" t="str">
            <v>Romazy</v>
          </cell>
          <cell r="E670">
            <v>35490</v>
          </cell>
          <cell r="F670" t="str">
            <v>La Bidois</v>
          </cell>
          <cell r="H670">
            <v>658305492</v>
          </cell>
          <cell r="I670" t="str">
            <v>melissa.grosset2@gmail.com</v>
          </cell>
          <cell r="J670" t="str">
            <v>Rennes</v>
          </cell>
          <cell r="K670">
            <v>35000</v>
          </cell>
          <cell r="L670" t="str">
            <v>15 bvd d'Anjou</v>
          </cell>
          <cell r="N670" t="str">
            <v>M. et Mme</v>
          </cell>
        </row>
        <row r="671">
          <cell r="B671" t="str">
            <v>Salzgeber</v>
          </cell>
          <cell r="C671" t="str">
            <v>Lucia</v>
          </cell>
          <cell r="D671" t="str">
            <v>Montours</v>
          </cell>
          <cell r="E671">
            <v>35460</v>
          </cell>
          <cell r="F671" t="str">
            <v>Le Rocher Nouri</v>
          </cell>
          <cell r="G671">
            <v>675943597</v>
          </cell>
          <cell r="I671" t="str">
            <v>salzgeber.lucia@gmail.com</v>
          </cell>
          <cell r="N671" t="str">
            <v>M.</v>
          </cell>
        </row>
        <row r="672">
          <cell r="B672" t="str">
            <v>SAMSON</v>
          </cell>
          <cell r="D672" t="str">
            <v>Saint-Juvat</v>
          </cell>
          <cell r="E672">
            <v>22630</v>
          </cell>
          <cell r="F672" t="str">
            <v>la bagrie</v>
          </cell>
          <cell r="H672" t="str">
            <v>06 62 83 65 05</v>
          </cell>
          <cell r="I672" t="str">
            <v>jeromevessereau@gmail.com</v>
          </cell>
          <cell r="J672" t="str">
            <v>Saint-Malo</v>
          </cell>
          <cell r="K672">
            <v>35400</v>
          </cell>
          <cell r="L672" t="str">
            <v>27,rue de la Duchesse Anne</v>
          </cell>
          <cell r="N672" t="str">
            <v>Mme</v>
          </cell>
        </row>
        <row r="673">
          <cell r="B673" t="str">
            <v>SANDOVAL</v>
          </cell>
          <cell r="C673" t="str">
            <v>Cédric</v>
          </cell>
          <cell r="D673" t="str">
            <v>Taden</v>
          </cell>
          <cell r="E673">
            <v>22100</v>
          </cell>
          <cell r="F673" t="str">
            <v>3 la Mare Richard</v>
          </cell>
          <cell r="H673" t="str">
            <v>06 28 18 21 18</v>
          </cell>
          <cell r="I673" t="str">
            <v>sandovalcedric@gmail.com</v>
          </cell>
          <cell r="N673" t="str">
            <v>M.</v>
          </cell>
        </row>
        <row r="674">
          <cell r="B674" t="str">
            <v>Saunders</v>
          </cell>
          <cell r="C674" t="str">
            <v>Elisabeth</v>
          </cell>
          <cell r="D674" t="str">
            <v>Médréac</v>
          </cell>
          <cell r="E674">
            <v>35360</v>
          </cell>
          <cell r="F674" t="str">
            <v>18 coterel</v>
          </cell>
          <cell r="G674">
            <v>299072014</v>
          </cell>
          <cell r="I674" t="str">
            <v>ferrets35@yahoo.fr</v>
          </cell>
        </row>
        <row r="675">
          <cell r="B675" t="str">
            <v>SAUVEE</v>
          </cell>
          <cell r="D675" t="str">
            <v>Dingé</v>
          </cell>
          <cell r="E675">
            <v>35440</v>
          </cell>
          <cell r="F675" t="str">
            <v>Palmyre</v>
          </cell>
          <cell r="H675">
            <v>637201709</v>
          </cell>
          <cell r="I675" t="str">
            <v>mich.sauvee@gmail.com</v>
          </cell>
          <cell r="N675" t="str">
            <v>M. et Mme</v>
          </cell>
        </row>
        <row r="676">
          <cell r="B676" t="str">
            <v>SCARDIN</v>
          </cell>
          <cell r="D676" t="str">
            <v>Saint-Cast-le-Guildo</v>
          </cell>
          <cell r="E676">
            <v>22380</v>
          </cell>
          <cell r="F676" t="str">
            <v>Le bois brun</v>
          </cell>
          <cell r="G676">
            <v>296418704</v>
          </cell>
          <cell r="I676" t="str">
            <v>scardinpatrick@neuf.fr</v>
          </cell>
          <cell r="N676" t="str">
            <v>M.et Mme</v>
          </cell>
        </row>
        <row r="677">
          <cell r="B677" t="str">
            <v>Schnitzer</v>
          </cell>
          <cell r="C677" t="str">
            <v>Florence</v>
          </cell>
          <cell r="D677" t="str">
            <v>Melesse</v>
          </cell>
          <cell r="E677">
            <v>35520</v>
          </cell>
          <cell r="F677" t="str">
            <v>la quenouillere</v>
          </cell>
          <cell r="G677" t="str">
            <v>06.62.82.57.90</v>
          </cell>
          <cell r="I677" t="str">
            <v>florenceschnitzer@gmail.com</v>
          </cell>
          <cell r="N677" t="str">
            <v>M. et Mme</v>
          </cell>
        </row>
        <row r="678">
          <cell r="B678" t="str">
            <v>SCI CGOV</v>
          </cell>
          <cell r="D678" t="str">
            <v>Pacé</v>
          </cell>
          <cell r="E678">
            <v>35740</v>
          </cell>
          <cell r="F678" t="str">
            <v>La foucherais</v>
          </cell>
          <cell r="G678">
            <v>672962568</v>
          </cell>
          <cell r="I678" t="str">
            <v>olivier@microlynx.fr</v>
          </cell>
          <cell r="J678" t="str">
            <v>Rennes</v>
          </cell>
          <cell r="K678">
            <v>35000</v>
          </cell>
          <cell r="L678" t="str">
            <v>2, rue d'Estrees</v>
          </cell>
        </row>
        <row r="679">
          <cell r="B679" t="str">
            <v>SERRE</v>
          </cell>
          <cell r="D679" t="str">
            <v>Plumaugat</v>
          </cell>
          <cell r="E679">
            <v>22250</v>
          </cell>
          <cell r="F679" t="str">
            <v>La Martinais des loges</v>
          </cell>
          <cell r="H679">
            <v>614435115</v>
          </cell>
          <cell r="I679" t="str">
            <v>serre.yael@orange.fr</v>
          </cell>
          <cell r="N679" t="str">
            <v>M.</v>
          </cell>
        </row>
        <row r="680">
          <cell r="B680" t="str">
            <v>SEVIN</v>
          </cell>
          <cell r="D680" t="str">
            <v>Pontchâteau</v>
          </cell>
          <cell r="E680">
            <v>44160</v>
          </cell>
          <cell r="F680" t="str">
            <v>3 Soulaine</v>
          </cell>
          <cell r="H680">
            <v>620105425</v>
          </cell>
          <cell r="I680" t="str">
            <v>benseven@hotmail.com</v>
          </cell>
          <cell r="N680" t="str">
            <v>M.</v>
          </cell>
        </row>
        <row r="681">
          <cell r="B681" t="str">
            <v>SICOT</v>
          </cell>
          <cell r="D681" t="str">
            <v>Trévron</v>
          </cell>
          <cell r="E681">
            <v>22100</v>
          </cell>
          <cell r="F681" t="str">
            <v>Pennet</v>
          </cell>
          <cell r="G681">
            <v>296835341</v>
          </cell>
          <cell r="N681" t="str">
            <v>M.</v>
          </cell>
        </row>
        <row r="682">
          <cell r="B682" t="str">
            <v>SIMON</v>
          </cell>
          <cell r="C682" t="str">
            <v>Yannick</v>
          </cell>
          <cell r="D682" t="str">
            <v>Gahard</v>
          </cell>
          <cell r="E682">
            <v>35490</v>
          </cell>
          <cell r="F682" t="str">
            <v xml:space="preserve">La Prévotais </v>
          </cell>
          <cell r="H682" t="str">
            <v>06 66 29 35 35</v>
          </cell>
          <cell r="I682" t="str">
            <v>simon@inovah.fr</v>
          </cell>
          <cell r="J682" t="str">
            <v>Gahard</v>
          </cell>
          <cell r="K682">
            <v>35490</v>
          </cell>
          <cell r="L682" t="str">
            <v>La Lezay</v>
          </cell>
          <cell r="N682" t="str">
            <v>M.</v>
          </cell>
        </row>
        <row r="683">
          <cell r="B683" t="str">
            <v>SIMON</v>
          </cell>
          <cell r="D683" t="str">
            <v>Lancieux</v>
          </cell>
          <cell r="E683">
            <v>22770</v>
          </cell>
          <cell r="F683" t="str">
            <v>7,Chemin des Rochettes</v>
          </cell>
          <cell r="G683">
            <v>450992430</v>
          </cell>
          <cell r="H683">
            <v>679931504</v>
          </cell>
          <cell r="I683" t="str">
            <v>phoenix.54@hotmail.ch</v>
          </cell>
          <cell r="J683" t="str">
            <v>Divonne-les-Bains</v>
          </cell>
          <cell r="K683">
            <v>1220</v>
          </cell>
          <cell r="L683" t="str">
            <v>462 blvd des epinettes</v>
          </cell>
          <cell r="N683" t="str">
            <v>Mme</v>
          </cell>
        </row>
        <row r="684">
          <cell r="B684" t="str">
            <v>SIX LACLAIS</v>
          </cell>
          <cell r="D684" t="str">
            <v>Saint-Hélen</v>
          </cell>
          <cell r="E684">
            <v>22100</v>
          </cell>
          <cell r="F684" t="str">
            <v>Les Fouasses</v>
          </cell>
          <cell r="H684">
            <v>32484436208</v>
          </cell>
          <cell r="I684" t="str">
            <v>gens@raspoutitsa.be</v>
          </cell>
        </row>
        <row r="685">
          <cell r="B685" t="str">
            <v>SMICTOM des Forêts</v>
          </cell>
          <cell r="C685" t="str">
            <v>Déchèterie de Melesse</v>
          </cell>
          <cell r="D685" t="str">
            <v>Melesse</v>
          </cell>
          <cell r="E685">
            <v>35520</v>
          </cell>
          <cell r="F685" t="str">
            <v>route des Guimondières</v>
          </cell>
          <cell r="G685">
            <v>299554497</v>
          </cell>
          <cell r="I685" t="str">
            <v>m.hauraix@smictom-forets.fr</v>
          </cell>
          <cell r="N685" t="str">
            <v>M.</v>
          </cell>
        </row>
        <row r="686">
          <cell r="B686" t="str">
            <v>Société SETAP</v>
          </cell>
          <cell r="D686" t="str">
            <v>Coëtmieux</v>
          </cell>
          <cell r="E686">
            <v>22400</v>
          </cell>
          <cell r="F686" t="str">
            <v>14, rue de Morvan</v>
          </cell>
          <cell r="H686" t="str">
            <v>06 75 48 60 44</v>
          </cell>
          <cell r="I686" t="str">
            <v>setap.22@wanadoo.fr</v>
          </cell>
        </row>
        <row r="687">
          <cell r="B687" t="str">
            <v>SOLERE</v>
          </cell>
          <cell r="D687" t="str">
            <v>Montfort-sur-Meu</v>
          </cell>
          <cell r="E687">
            <v>35160</v>
          </cell>
          <cell r="F687" t="str">
            <v>la poulaniere</v>
          </cell>
          <cell r="H687">
            <v>611735874</v>
          </cell>
          <cell r="I687" t="str">
            <v>michael.solere@gmail.com</v>
          </cell>
          <cell r="N687" t="str">
            <v>M. et Mme</v>
          </cell>
        </row>
        <row r="688">
          <cell r="B688" t="str">
            <v>SORRE</v>
          </cell>
          <cell r="C688" t="str">
            <v>Gérard</v>
          </cell>
          <cell r="D688" t="str">
            <v>Villamée</v>
          </cell>
          <cell r="E688">
            <v>35420</v>
          </cell>
          <cell r="F688" t="str">
            <v>Le Haut Coudray</v>
          </cell>
          <cell r="G688" t="str">
            <v>02 99 95 11 58</v>
          </cell>
          <cell r="N688" t="str">
            <v>M.</v>
          </cell>
        </row>
        <row r="689">
          <cell r="B689" t="str">
            <v>Souchet Mahé</v>
          </cell>
          <cell r="C689" t="str">
            <v>kyle</v>
          </cell>
          <cell r="D689" t="str">
            <v>Longaulnay</v>
          </cell>
          <cell r="E689">
            <v>35190</v>
          </cell>
          <cell r="F689" t="str">
            <v>13 route de dinan</v>
          </cell>
          <cell r="G689">
            <v>689258604</v>
          </cell>
          <cell r="I689" t="str">
            <v>kyle.souchet@laposte.net</v>
          </cell>
          <cell r="N689" t="str">
            <v>M.</v>
          </cell>
        </row>
        <row r="690">
          <cell r="B690" t="str">
            <v>SOURDIN</v>
          </cell>
          <cell r="C690" t="str">
            <v>Joseph</v>
          </cell>
          <cell r="D690" t="str">
            <v>Tiercent (Le)</v>
          </cell>
          <cell r="E690">
            <v>35460</v>
          </cell>
          <cell r="F690" t="str">
            <v>Brimenel</v>
          </cell>
          <cell r="G690" t="str">
            <v>02 99 18 55 61</v>
          </cell>
          <cell r="H690" t="str">
            <v>06 73 90 86 45</v>
          </cell>
          <cell r="I690" t="str">
            <v>j.sourdin@orange.fr</v>
          </cell>
          <cell r="N690" t="str">
            <v>M.</v>
          </cell>
        </row>
        <row r="691">
          <cell r="B691" t="str">
            <v>SPANC SUD GOELO</v>
          </cell>
          <cell r="D691" t="str">
            <v>Lantic</v>
          </cell>
          <cell r="E691">
            <v>22410</v>
          </cell>
          <cell r="F691" t="str">
            <v>Golf des Ajoncs d'Or</v>
          </cell>
          <cell r="G691" t="str">
            <v>02 96 70 65 59</v>
          </cell>
          <cell r="I691" t="str">
            <v>spanc@sudgoelo.fr</v>
          </cell>
          <cell r="J691" t="str">
            <v>Étables-sur-Mer</v>
          </cell>
          <cell r="K691">
            <v>22680</v>
          </cell>
          <cell r="L691" t="str">
            <v>22,rue pasteur</v>
          </cell>
          <cell r="N691" t="str">
            <v>Communauté de Communes</v>
          </cell>
        </row>
        <row r="692">
          <cell r="B692" t="str">
            <v>Stéphanie</v>
          </cell>
          <cell r="C692" t="str">
            <v>ADAM</v>
          </cell>
          <cell r="D692" t="str">
            <v>Québriac</v>
          </cell>
          <cell r="E692">
            <v>35190</v>
          </cell>
          <cell r="F692" t="str">
            <v>la ville thébault</v>
          </cell>
          <cell r="G692">
            <v>781641973</v>
          </cell>
          <cell r="I692" t="str">
            <v>st-adam@laposte.net</v>
          </cell>
          <cell r="N692" t="str">
            <v>M.</v>
          </cell>
        </row>
        <row r="693">
          <cell r="B693" t="str">
            <v>STEVANT</v>
          </cell>
          <cell r="C693" t="str">
            <v>Bruno</v>
          </cell>
          <cell r="D693" t="str">
            <v>Québriac</v>
          </cell>
          <cell r="E693">
            <v>35190</v>
          </cell>
          <cell r="F693" t="str">
            <v>La cour es comptes</v>
          </cell>
          <cell r="G693" t="str">
            <v>02 99 45 27 04</v>
          </cell>
          <cell r="H693">
            <v>632249257</v>
          </cell>
          <cell r="I693" t="str">
            <v>bruno.stevant@orange.fr</v>
          </cell>
          <cell r="N693" t="str">
            <v>M.</v>
          </cell>
        </row>
        <row r="694">
          <cell r="B694" t="str">
            <v>STRULLU/DAVID</v>
          </cell>
          <cell r="C694" t="str">
            <v>Thomas et Claire</v>
          </cell>
          <cell r="D694" t="str">
            <v>Ercé-près-Liffré</v>
          </cell>
          <cell r="E694">
            <v>35340</v>
          </cell>
          <cell r="F694" t="str">
            <v>Le Plessis</v>
          </cell>
          <cell r="H694" t="str">
            <v>06 85 14 37 36</v>
          </cell>
          <cell r="I694" t="str">
            <v>thomas.strullu@laposte.net</v>
          </cell>
          <cell r="N694" t="str">
            <v>M. et Mme</v>
          </cell>
        </row>
        <row r="695">
          <cell r="B695" t="str">
            <v>SUPPER - BUREAU</v>
          </cell>
          <cell r="D695" t="str">
            <v>Paimpont</v>
          </cell>
          <cell r="E695">
            <v>35380</v>
          </cell>
          <cell r="F695" t="str">
            <v>Les Brieres</v>
          </cell>
          <cell r="H695" t="str">
            <v>06 09 51 73 53</v>
          </cell>
          <cell r="I695" t="str">
            <v>regis-supper@orange.fr</v>
          </cell>
          <cell r="N695" t="str">
            <v>M.et Mme</v>
          </cell>
        </row>
        <row r="696">
          <cell r="B696" t="str">
            <v>SYJA</v>
          </cell>
          <cell r="D696" t="str">
            <v>Vieux-Bourg (Le)</v>
          </cell>
          <cell r="E696">
            <v>22800</v>
          </cell>
          <cell r="F696" t="str">
            <v>Kerharon</v>
          </cell>
          <cell r="G696">
            <v>296324739</v>
          </cell>
          <cell r="I696" t="str">
            <v>ivan.syja@yahoo.fr</v>
          </cell>
          <cell r="J696" t="str">
            <v>Vieux-Bourg (Le)</v>
          </cell>
          <cell r="K696">
            <v>22800</v>
          </cell>
          <cell r="L696" t="str">
            <v>13, rue porte loyer</v>
          </cell>
          <cell r="N696" t="str">
            <v>M.et Mme</v>
          </cell>
        </row>
        <row r="697">
          <cell r="B697" t="str">
            <v>SYRON</v>
          </cell>
          <cell r="C697" t="str">
            <v>John</v>
          </cell>
          <cell r="D697" t="str">
            <v>Saint-Brieuc</v>
          </cell>
          <cell r="E697">
            <v>22000</v>
          </cell>
          <cell r="F697" t="str">
            <v>Killacorraun-castlehill-ballina-Co Mayo</v>
          </cell>
          <cell r="I697" t="str">
            <v>amelie.coignard@aquatiris.fr</v>
          </cell>
          <cell r="N697" t="str">
            <v>M.</v>
          </cell>
        </row>
        <row r="698">
          <cell r="B698" t="str">
            <v>TACHER</v>
          </cell>
          <cell r="D698" t="str">
            <v>Fontenelle (La)</v>
          </cell>
          <cell r="E698">
            <v>35560</v>
          </cell>
          <cell r="F698" t="str">
            <v>Le Vieux Moulin</v>
          </cell>
          <cell r="H698">
            <v>660151266</v>
          </cell>
          <cell r="I698" t="str">
            <v>papi.pierrot@orange.fr</v>
          </cell>
          <cell r="N698" t="str">
            <v>M.et Mme</v>
          </cell>
        </row>
        <row r="699">
          <cell r="B699" t="str">
            <v>TANGUY</v>
          </cell>
          <cell r="C699" t="str">
            <v>Christine et Michel</v>
          </cell>
          <cell r="D699" t="str">
            <v>Saint-Lunaire</v>
          </cell>
          <cell r="E699">
            <v>35800</v>
          </cell>
          <cell r="F699" t="str">
            <v>6 rue des Bleuets - La Richardais</v>
          </cell>
          <cell r="G699" t="str">
            <v>06 07 74 79 80</v>
          </cell>
          <cell r="I699" t="str">
            <v>icibreizh@wanadoo.fr</v>
          </cell>
          <cell r="N699" t="str">
            <v>M.</v>
          </cell>
        </row>
        <row r="700">
          <cell r="B700" t="str">
            <v>TANNIOU</v>
          </cell>
          <cell r="D700" t="str">
            <v>Plouguenast</v>
          </cell>
          <cell r="E700">
            <v>22150</v>
          </cell>
          <cell r="F700" t="str">
            <v>La Vallee</v>
          </cell>
          <cell r="H700" t="str">
            <v>06 67 00 89 20</v>
          </cell>
          <cell r="I700" t="str">
            <v>py.tanniou@gmail.com</v>
          </cell>
          <cell r="N700" t="str">
            <v>M.</v>
          </cell>
        </row>
        <row r="701">
          <cell r="B701" t="str">
            <v>TARDIF</v>
          </cell>
          <cell r="C701" t="str">
            <v>Laure-élise</v>
          </cell>
          <cell r="D701" t="str">
            <v>Plorec-sur-Arguenon</v>
          </cell>
          <cell r="E701">
            <v>22130</v>
          </cell>
          <cell r="F701" t="str">
            <v>la Gesre</v>
          </cell>
          <cell r="G701" t="str">
            <v xml:space="preserve"> 02 96 84 49 22</v>
          </cell>
          <cell r="H701" t="str">
            <v xml:space="preserve"> 06 62 52 85 74</v>
          </cell>
          <cell r="I701" t="str">
            <v>laure-elise.tardif@hotmail.fr</v>
          </cell>
          <cell r="J701" t="str">
            <v>Jugon-les-Lacs</v>
          </cell>
          <cell r="K701">
            <v>22270</v>
          </cell>
          <cell r="L701" t="str">
            <v>12 rue des forges</v>
          </cell>
        </row>
        <row r="702">
          <cell r="B702" t="str">
            <v>TASSEL</v>
          </cell>
          <cell r="C702" t="str">
            <v>François</v>
          </cell>
          <cell r="D702" t="str">
            <v>Miniac-Morvan</v>
          </cell>
          <cell r="E702">
            <v>35540</v>
          </cell>
          <cell r="F702" t="str">
            <v>Moulin du Tertre Guy</v>
          </cell>
          <cell r="H702">
            <v>673756422</v>
          </cell>
          <cell r="I702" t="str">
            <v>fanch.tassel@gmail.com</v>
          </cell>
          <cell r="J702" t="str">
            <v>Saint-Briac-sur-Mer</v>
          </cell>
          <cell r="K702">
            <v>35800</v>
          </cell>
          <cell r="L702" t="str">
            <v>1, chemin le cassoué</v>
          </cell>
          <cell r="N702" t="str">
            <v>M.</v>
          </cell>
        </row>
        <row r="703">
          <cell r="B703" t="str">
            <v xml:space="preserve">TERRIEUX </v>
          </cell>
          <cell r="C703" t="str">
            <v>Brice</v>
          </cell>
          <cell r="D703" t="str">
            <v>Boussac (La)</v>
          </cell>
          <cell r="E703">
            <v>35120</v>
          </cell>
          <cell r="F703" t="str">
            <v>2, La Claye</v>
          </cell>
          <cell r="H703">
            <v>630284310</v>
          </cell>
          <cell r="I703" t="str">
            <v>terrieux.brice@gmail.com</v>
          </cell>
          <cell r="N703" t="str">
            <v>M.</v>
          </cell>
        </row>
        <row r="704">
          <cell r="B704" t="str">
            <v>TESNIERE</v>
          </cell>
          <cell r="C704" t="str">
            <v>Olivier</v>
          </cell>
          <cell r="D704" t="str">
            <v>Coglès</v>
          </cell>
          <cell r="E704">
            <v>35460</v>
          </cell>
          <cell r="F704" t="str">
            <v>120, La Villais</v>
          </cell>
          <cell r="H704" t="str">
            <v>06 31 81 17 01</v>
          </cell>
          <cell r="I704" t="str">
            <v>oli.t@gmx.fr</v>
          </cell>
          <cell r="N704" t="str">
            <v>M.</v>
          </cell>
        </row>
        <row r="705">
          <cell r="B705" t="str">
            <v>TESSIER</v>
          </cell>
          <cell r="C705" t="str">
            <v>Mael</v>
          </cell>
          <cell r="D705" t="str">
            <v>Pleslin-Trigavou</v>
          </cell>
          <cell r="E705">
            <v>22490</v>
          </cell>
          <cell r="F705" t="str">
            <v>Trébéfour</v>
          </cell>
          <cell r="H705">
            <v>660817566</v>
          </cell>
          <cell r="I705" t="str">
            <v>mael_olas@yahoo.fr</v>
          </cell>
          <cell r="J705" t="str">
            <v>Saint-Lunaire</v>
          </cell>
          <cell r="K705">
            <v>35800</v>
          </cell>
          <cell r="L705" t="str">
            <v>421 rue des Dunes</v>
          </cell>
          <cell r="N705" t="str">
            <v>M.</v>
          </cell>
        </row>
        <row r="706">
          <cell r="B706" t="str">
            <v>TESSIER</v>
          </cell>
          <cell r="D706" t="str">
            <v>Corseul</v>
          </cell>
          <cell r="E706">
            <v>22130</v>
          </cell>
          <cell r="F706" t="str">
            <v>La Fresnais-La Ville es Denis</v>
          </cell>
          <cell r="G706" t="str">
            <v>02 96 87 50 01</v>
          </cell>
          <cell r="I706" t="str">
            <v>jeanpierre.tessier@orange.ffr</v>
          </cell>
          <cell r="J706" t="str">
            <v>Quévert</v>
          </cell>
          <cell r="K706">
            <v>22100</v>
          </cell>
          <cell r="L706" t="str">
            <v>9 rue du Bois Butte</v>
          </cell>
          <cell r="N706" t="str">
            <v>M.et Mme</v>
          </cell>
        </row>
        <row r="707">
          <cell r="B707" t="str">
            <v>TESSIER</v>
          </cell>
          <cell r="D707" t="str">
            <v>Corseul</v>
          </cell>
          <cell r="E707">
            <v>22130</v>
          </cell>
          <cell r="F707" t="str">
            <v>La Fresnais-La Ville es Denis</v>
          </cell>
          <cell r="G707" t="str">
            <v>02 96 87 50 01</v>
          </cell>
          <cell r="I707" t="str">
            <v>jeanpierre.tessier@orange.fr</v>
          </cell>
          <cell r="J707" t="str">
            <v>Quévert</v>
          </cell>
          <cell r="K707">
            <v>22100</v>
          </cell>
          <cell r="L707" t="str">
            <v>9 rue du Bois Butte</v>
          </cell>
          <cell r="N707" t="str">
            <v>Mr et Mme</v>
          </cell>
        </row>
        <row r="708">
          <cell r="B708" t="str">
            <v>THEBAULT</v>
          </cell>
          <cell r="C708" t="str">
            <v>Christelle</v>
          </cell>
          <cell r="D708" t="str">
            <v>Trévérien</v>
          </cell>
          <cell r="E708">
            <v>35190</v>
          </cell>
          <cell r="F708" t="str">
            <v>Malaguet</v>
          </cell>
          <cell r="G708">
            <v>622104679</v>
          </cell>
          <cell r="I708" t="str">
            <v>tetelthebault@yahoo.fr</v>
          </cell>
          <cell r="N708" t="str">
            <v>Mme</v>
          </cell>
        </row>
        <row r="709">
          <cell r="B709" t="str">
            <v>THEBAULT</v>
          </cell>
          <cell r="C709" t="str">
            <v>Anthony</v>
          </cell>
          <cell r="D709" t="str">
            <v>Fresnais (La)</v>
          </cell>
          <cell r="E709">
            <v>35111</v>
          </cell>
          <cell r="F709" t="str">
            <v>8, Impasse du Petit Bouillon</v>
          </cell>
          <cell r="I709" t="str">
            <v>anthonythebault35120@outlook.fr</v>
          </cell>
        </row>
        <row r="710">
          <cell r="B710" t="str">
            <v>THIBOUMERY</v>
          </cell>
          <cell r="C710" t="str">
            <v>Alain</v>
          </cell>
          <cell r="D710" t="str">
            <v>Ploubazlanec</v>
          </cell>
          <cell r="E710">
            <v>22620</v>
          </cell>
          <cell r="F710" t="str">
            <v>1, rue Keriliz</v>
          </cell>
          <cell r="G710" t="str">
            <v xml:space="preserve"> 06 29 40 80 90</v>
          </cell>
          <cell r="I710" t="str">
            <v>alloun.at@gmail.com</v>
          </cell>
          <cell r="J710" t="str">
            <v>Plouézec</v>
          </cell>
          <cell r="K710">
            <v>22470</v>
          </cell>
          <cell r="L710" t="str">
            <v>28.Hent Park Bihan</v>
          </cell>
          <cell r="N710" t="str">
            <v>Mr</v>
          </cell>
        </row>
        <row r="711">
          <cell r="B711" t="str">
            <v>THOMAS</v>
          </cell>
          <cell r="C711" t="str">
            <v>Jean Yves</v>
          </cell>
          <cell r="D711" t="str">
            <v>Pléhédel</v>
          </cell>
          <cell r="E711">
            <v>22290</v>
          </cell>
          <cell r="F711" t="str">
            <v>Kergrec'h</v>
          </cell>
          <cell r="G711">
            <v>680428659</v>
          </cell>
          <cell r="I711" t="str">
            <v>jean-yves.thomas@wanadoo.fr</v>
          </cell>
          <cell r="J711" t="str">
            <v>Plouha</v>
          </cell>
          <cell r="K711">
            <v>22580</v>
          </cell>
          <cell r="L711" t="str">
            <v>La ville neuve</v>
          </cell>
          <cell r="N711" t="str">
            <v>M.Mme</v>
          </cell>
        </row>
        <row r="712">
          <cell r="B712" t="str">
            <v>THOMAS</v>
          </cell>
          <cell r="D712" t="str">
            <v>Epiniac</v>
          </cell>
          <cell r="E712">
            <v>35120</v>
          </cell>
          <cell r="F712" t="str">
            <v>22 La Grivais</v>
          </cell>
          <cell r="H712" t="str">
            <v>06 89 64 91 56</v>
          </cell>
          <cell r="I712" t="str">
            <v>nolwenn.thomas@wanadoo.fr</v>
          </cell>
          <cell r="N712" t="str">
            <v>M. et Mme</v>
          </cell>
        </row>
        <row r="713">
          <cell r="B713" t="str">
            <v>THOMAS</v>
          </cell>
          <cell r="C713" t="str">
            <v>Christiane</v>
          </cell>
          <cell r="D713" t="str">
            <v>Laignelet</v>
          </cell>
          <cell r="E713">
            <v>35133</v>
          </cell>
          <cell r="F713" t="str">
            <v>50, le Grésillon</v>
          </cell>
          <cell r="G713" t="str">
            <v>02 99 94 46 80</v>
          </cell>
          <cell r="I713" t="str">
            <v>christiane.thomas17@orange.fr</v>
          </cell>
          <cell r="N713" t="str">
            <v>Mme</v>
          </cell>
        </row>
        <row r="714">
          <cell r="B714" t="str">
            <v>TIREL</v>
          </cell>
          <cell r="C714" t="str">
            <v>Regis</v>
          </cell>
          <cell r="D714" t="str">
            <v>Landujan</v>
          </cell>
          <cell r="E714">
            <v>35360</v>
          </cell>
          <cell r="F714" t="str">
            <v>Le Clos Pelé</v>
          </cell>
          <cell r="G714">
            <v>299091322</v>
          </cell>
          <cell r="I714" t="str">
            <v>tirel.rjnmk@orange.fr</v>
          </cell>
          <cell r="N714" t="str">
            <v>M. et Mme</v>
          </cell>
        </row>
        <row r="715">
          <cell r="B715" t="str">
            <v>TIREL HINGAMP PRUVOST</v>
          </cell>
          <cell r="D715" t="str">
            <v>Québriac</v>
          </cell>
          <cell r="E715">
            <v>35190</v>
          </cell>
          <cell r="F715" t="str">
            <v>ZA ROLIN La Lande de Tanouarn</v>
          </cell>
          <cell r="G715">
            <v>615255898</v>
          </cell>
          <cell r="I715" t="str">
            <v>simon.hingamp@ekube-env.fr</v>
          </cell>
          <cell r="M715" t="str">
            <v>SCI</v>
          </cell>
        </row>
        <row r="716">
          <cell r="B716" t="str">
            <v>TIREL-ADLER</v>
          </cell>
          <cell r="D716" t="str">
            <v>Chapelle-aux-Filtzméens (La)</v>
          </cell>
          <cell r="E716">
            <v>35190</v>
          </cell>
          <cell r="F716" t="str">
            <v>VISSEICHE</v>
          </cell>
          <cell r="H716">
            <v>688930994</v>
          </cell>
          <cell r="I716" t="str">
            <v>sarl.tirel@wibox.fr</v>
          </cell>
          <cell r="N716" t="str">
            <v>M. et Mme</v>
          </cell>
        </row>
        <row r="717">
          <cell r="B717" t="str">
            <v>TOCZE</v>
          </cell>
          <cell r="C717" t="str">
            <v>Nathalie</v>
          </cell>
          <cell r="D717" t="str">
            <v>Saint-Domineuc</v>
          </cell>
          <cell r="E717">
            <v>35190</v>
          </cell>
          <cell r="F717" t="str">
            <v>7 rue du Noc 35190</v>
          </cell>
          <cell r="G717" t="str">
            <v>02 99 45 26 93</v>
          </cell>
          <cell r="I717" t="str">
            <v>nathalie.tocze@free.fr</v>
          </cell>
          <cell r="N717" t="str">
            <v>Mme</v>
          </cell>
        </row>
        <row r="718">
          <cell r="B718" t="str">
            <v>TOMAS</v>
          </cell>
          <cell r="C718" t="str">
            <v>Jennifer</v>
          </cell>
          <cell r="D718" t="str">
            <v>Chapelle-aux-Filtzméens (La)</v>
          </cell>
          <cell r="E718">
            <v>35190</v>
          </cell>
          <cell r="F718" t="str">
            <v>La Courte ès Derennes</v>
          </cell>
          <cell r="G718">
            <v>682103502</v>
          </cell>
          <cell r="I718" t="str">
            <v>tomas.jennifer@hotmail.fr</v>
          </cell>
          <cell r="N718" t="str">
            <v>M.</v>
          </cell>
        </row>
        <row r="719">
          <cell r="B719" t="str">
            <v>TOSTIVINT</v>
          </cell>
          <cell r="C719" t="str">
            <v>Serge</v>
          </cell>
          <cell r="D719" t="str">
            <v>Vignoc</v>
          </cell>
          <cell r="E719">
            <v>35630</v>
          </cell>
          <cell r="F719" t="str">
            <v>bel-air</v>
          </cell>
          <cell r="I719" t="str">
            <v>tosivint.serge@orange.fr</v>
          </cell>
          <cell r="N719" t="str">
            <v>M.</v>
          </cell>
        </row>
        <row r="720">
          <cell r="B720" t="str">
            <v>TOUFFET</v>
          </cell>
          <cell r="D720" t="str">
            <v>Hermitage (L')</v>
          </cell>
          <cell r="E720">
            <v>35590</v>
          </cell>
          <cell r="F720" t="str">
            <v>La Tertrais</v>
          </cell>
          <cell r="H720">
            <v>611970563</v>
          </cell>
          <cell r="I720" t="str">
            <v>philippe.toufet@wanadoo.fr</v>
          </cell>
          <cell r="N720" t="str">
            <v>M.et Mme</v>
          </cell>
        </row>
        <row r="721">
          <cell r="B721" t="str">
            <v>TOURNEUR</v>
          </cell>
          <cell r="C721" t="str">
            <v>Eva</v>
          </cell>
          <cell r="D721" t="str">
            <v>Andouillé-Neuville</v>
          </cell>
          <cell r="E721">
            <v>35250</v>
          </cell>
          <cell r="F721" t="str">
            <v>La Touche</v>
          </cell>
          <cell r="H721" t="str">
            <v>06 64 38 23 79</v>
          </cell>
          <cell r="I721" t="str">
            <v>shizuma@hotmail.fr</v>
          </cell>
          <cell r="J721" t="str">
            <v>Saint-Aubin-d'Aubigné</v>
          </cell>
          <cell r="K721">
            <v>35250</v>
          </cell>
          <cell r="L721" t="str">
            <v>22, rue de Chasne</v>
          </cell>
          <cell r="N721" t="str">
            <v>Mme</v>
          </cell>
        </row>
        <row r="722">
          <cell r="B722" t="str">
            <v>TOURNOUD</v>
          </cell>
          <cell r="D722" t="str">
            <v>Iffendic</v>
          </cell>
          <cell r="E722">
            <v>35750</v>
          </cell>
          <cell r="F722" t="str">
            <v>Les 4 routes</v>
          </cell>
          <cell r="H722" t="str">
            <v xml:space="preserve">02 99 09 50 18 </v>
          </cell>
          <cell r="I722" t="str">
            <v>tournoudisabelle@orange.fr</v>
          </cell>
          <cell r="N722" t="str">
            <v>M. et Mme</v>
          </cell>
        </row>
        <row r="723">
          <cell r="B723" t="str">
            <v>TRAN</v>
          </cell>
          <cell r="C723" t="str">
            <v>Diêm</v>
          </cell>
          <cell r="D723" t="str">
            <v>Saint-Marc-le-Blanc</v>
          </cell>
          <cell r="E723">
            <v>35460</v>
          </cell>
          <cell r="F723" t="str">
            <v>Brais, 35490 Vieux Vy sur Couesnon</v>
          </cell>
          <cell r="G723">
            <v>666649355</v>
          </cell>
          <cell r="I723" t="str">
            <v>diemtt@gmail.com</v>
          </cell>
          <cell r="N723" t="str">
            <v>M.</v>
          </cell>
        </row>
        <row r="724">
          <cell r="B724" t="str">
            <v>TRANCHEVENT</v>
          </cell>
          <cell r="C724" t="str">
            <v>Michel</v>
          </cell>
          <cell r="D724" t="str">
            <v>Saint-Coulomb</v>
          </cell>
          <cell r="E724">
            <v>35350</v>
          </cell>
          <cell r="F724" t="str">
            <v>La Ville-Es-Goblets</v>
          </cell>
          <cell r="H724" t="str">
            <v>06 81 99 73 29</v>
          </cell>
          <cell r="I724" t="str">
            <v>michel.tranchevent@wanadoo.fr</v>
          </cell>
          <cell r="N724" t="str">
            <v>M.</v>
          </cell>
        </row>
        <row r="725">
          <cell r="B725" t="str">
            <v>TROADEC</v>
          </cell>
          <cell r="C725" t="str">
            <v>Geneviève</v>
          </cell>
          <cell r="D725" t="str">
            <v>Tressé</v>
          </cell>
          <cell r="E725">
            <v>35720</v>
          </cell>
          <cell r="F725" t="str">
            <v>Le Gué Briand</v>
          </cell>
          <cell r="G725" t="str">
            <v>02 99 73 89 56</v>
          </cell>
          <cell r="H725" t="str">
            <v>06 86 02 14 61</v>
          </cell>
          <cell r="I725" t="str">
            <v>gitesdeletang@wanadoo.fr</v>
          </cell>
          <cell r="N725" t="str">
            <v>Mme</v>
          </cell>
        </row>
        <row r="726">
          <cell r="B726" t="str">
            <v>TROPEE</v>
          </cell>
          <cell r="C726" t="str">
            <v>Pascal</v>
          </cell>
          <cell r="D726" t="str">
            <v>Saint-Jean-sur-Couesnon</v>
          </cell>
          <cell r="E726">
            <v>35140</v>
          </cell>
          <cell r="F726" t="str">
            <v>12 La Ménardais</v>
          </cell>
          <cell r="G726" t="str">
            <v>07 81 94 71 18</v>
          </cell>
          <cell r="I726" t="str">
            <v>fabiennepascal@tropee.fr</v>
          </cell>
          <cell r="N726" t="str">
            <v>M.</v>
          </cell>
        </row>
        <row r="727">
          <cell r="B727" t="str">
            <v>TUAL</v>
          </cell>
          <cell r="C727" t="str">
            <v>Annick</v>
          </cell>
          <cell r="D727" t="str">
            <v>Liffré</v>
          </cell>
          <cell r="E727">
            <v>35340</v>
          </cell>
          <cell r="F727" t="str">
            <v>La Croisette</v>
          </cell>
          <cell r="H727">
            <v>683216184</v>
          </cell>
          <cell r="I727" t="str">
            <v>tual_a@orange.fr</v>
          </cell>
          <cell r="J727" t="str">
            <v>Liffré</v>
          </cell>
          <cell r="K727">
            <v>35340</v>
          </cell>
          <cell r="L727" t="str">
            <v>Le Bertaud</v>
          </cell>
          <cell r="N727" t="str">
            <v>Mme</v>
          </cell>
        </row>
        <row r="728">
          <cell r="B728" t="str">
            <v xml:space="preserve">URTH </v>
          </cell>
          <cell r="C728" t="str">
            <v>André</v>
          </cell>
          <cell r="D728" t="str">
            <v>Saint-Rieul</v>
          </cell>
          <cell r="E728">
            <v>22270</v>
          </cell>
          <cell r="F728" t="str">
            <v>3 rue du Fournil</v>
          </cell>
          <cell r="G728" t="str">
            <v>02 56 40 50 53</v>
          </cell>
          <cell r="H728" t="str">
            <v>06 83 46 28 12</v>
          </cell>
          <cell r="I728" t="str">
            <v>gitesbretagne22@outlook.fr</v>
          </cell>
          <cell r="N728" t="str">
            <v>M.</v>
          </cell>
        </row>
        <row r="729">
          <cell r="B729" t="str">
            <v>VALLEE</v>
          </cell>
          <cell r="C729" t="str">
            <v>Henriette</v>
          </cell>
          <cell r="D729" t="str">
            <v>Saint-Pôtan</v>
          </cell>
          <cell r="E729">
            <v>22550</v>
          </cell>
          <cell r="F729" t="str">
            <v xml:space="preserve">La Croix Michel Alain </v>
          </cell>
          <cell r="H729" t="str">
            <v>06 43 84 98 77</v>
          </cell>
          <cell r="I729" t="str">
            <v>pascal144@wanadoo.fr</v>
          </cell>
          <cell r="N729" t="str">
            <v>Mme</v>
          </cell>
        </row>
        <row r="730">
          <cell r="B730" t="str">
            <v>VALO</v>
          </cell>
          <cell r="C730" t="str">
            <v>Florent</v>
          </cell>
          <cell r="D730" t="str">
            <v>Merdrignac</v>
          </cell>
          <cell r="E730">
            <v>22230</v>
          </cell>
          <cell r="F730" t="str">
            <v>19, la ville es coupeaux</v>
          </cell>
          <cell r="H730">
            <v>632715684</v>
          </cell>
          <cell r="I730" t="str">
            <v>flo.valo@gmail.com</v>
          </cell>
          <cell r="N730" t="str">
            <v>M.et Mme</v>
          </cell>
        </row>
        <row r="731">
          <cell r="B731" t="str">
            <v>VAN DER HORST</v>
          </cell>
          <cell r="C731" t="str">
            <v>MARC</v>
          </cell>
          <cell r="D731" t="str">
            <v>Rimou</v>
          </cell>
          <cell r="E731">
            <v>35560</v>
          </cell>
          <cell r="F731" t="str">
            <v>Rue du Bois de la Vigne</v>
          </cell>
          <cell r="H731">
            <v>614311126</v>
          </cell>
          <cell r="I731" t="str">
            <v>iconepaysage@gmail.com</v>
          </cell>
          <cell r="M731" t="str">
            <v xml:space="preserve">ICONE PAYSAGE </v>
          </cell>
        </row>
        <row r="732">
          <cell r="B732" t="str">
            <v>VANDAME</v>
          </cell>
          <cell r="C732" t="str">
            <v>Eric</v>
          </cell>
          <cell r="D732" t="str">
            <v>Saint-Cast-le-Guildo</v>
          </cell>
          <cell r="E732">
            <v>22380</v>
          </cell>
          <cell r="F732" t="str">
            <v>Allée des épinettes</v>
          </cell>
          <cell r="H732" t="str">
            <v xml:space="preserve">06 11 34 27 10 </v>
          </cell>
          <cell r="I732" t="str">
            <v>ericvandame@hotmail.fr</v>
          </cell>
          <cell r="N732" t="str">
            <v>M.</v>
          </cell>
        </row>
        <row r="733">
          <cell r="B733" t="str">
            <v>VANDENBUSSCHE</v>
          </cell>
          <cell r="C733" t="str">
            <v>Yves</v>
          </cell>
          <cell r="D733" t="str">
            <v>Guenroc</v>
          </cell>
          <cell r="E733">
            <v>22350</v>
          </cell>
          <cell r="F733" t="str">
            <v>La Choltais</v>
          </cell>
          <cell r="H733">
            <v>675749202</v>
          </cell>
          <cell r="I733" t="str">
            <v>yves.vdb@hotmail.fr</v>
          </cell>
          <cell r="N733" t="str">
            <v>M.</v>
          </cell>
        </row>
        <row r="734">
          <cell r="B734" t="str">
            <v>VANEL</v>
          </cell>
          <cell r="C734" t="str">
            <v>Hugues</v>
          </cell>
          <cell r="D734" t="str">
            <v>Pacé</v>
          </cell>
          <cell r="E734">
            <v>35740</v>
          </cell>
          <cell r="F734" t="str">
            <v>Launay Sinan</v>
          </cell>
          <cell r="H734" t="str">
            <v>06 33 55 51 77</v>
          </cell>
          <cell r="I734" t="str">
            <v>matthieuhuin@gmail.com</v>
          </cell>
          <cell r="N734" t="str">
            <v>M.</v>
          </cell>
        </row>
        <row r="735">
          <cell r="B735" t="str">
            <v>VERNIER</v>
          </cell>
          <cell r="D735" t="str">
            <v>Ruca</v>
          </cell>
          <cell r="E735">
            <v>22550</v>
          </cell>
          <cell r="F735" t="str">
            <v>Le bas beuneuf</v>
          </cell>
          <cell r="G735">
            <v>222131714</v>
          </cell>
          <cell r="H735" t="str">
            <v>0674627254/068713667</v>
          </cell>
          <cell r="I735" t="str">
            <v>ppvernier@gmail.com</v>
          </cell>
          <cell r="N735" t="str">
            <v>M.</v>
          </cell>
        </row>
        <row r="736">
          <cell r="B736" t="str">
            <v>VERRIER</v>
          </cell>
          <cell r="D736" t="str">
            <v>Gaël</v>
          </cell>
          <cell r="E736">
            <v>35290</v>
          </cell>
          <cell r="F736" t="str">
            <v>La Touche Gourd</v>
          </cell>
          <cell r="H736" t="str">
            <v>06 32 81 03 69</v>
          </cell>
          <cell r="I736" t="str">
            <v>paul.ve@wanadoo.fr</v>
          </cell>
          <cell r="N736" t="str">
            <v>M. et Mme</v>
          </cell>
        </row>
        <row r="737">
          <cell r="B737" t="str">
            <v>VEYSSIERE</v>
          </cell>
          <cell r="C737" t="str">
            <v>Magali</v>
          </cell>
          <cell r="D737" t="str">
            <v>Saint-Georges-de-Chesné</v>
          </cell>
          <cell r="E737">
            <v>35140</v>
          </cell>
          <cell r="F737" t="str">
            <v>La Rabonais</v>
          </cell>
          <cell r="H737" t="str">
            <v>06 42 04 97 04</v>
          </cell>
          <cell r="I737" t="str">
            <v>magali.veyssiere@gmail.com</v>
          </cell>
          <cell r="N737" t="str">
            <v>Mme</v>
          </cell>
        </row>
        <row r="738">
          <cell r="B738" t="str">
            <v>VISTRY / GUILLOUZOUIC</v>
          </cell>
          <cell r="C738" t="str">
            <v>Johann</v>
          </cell>
          <cell r="D738" t="str">
            <v>Iffs (Les)</v>
          </cell>
          <cell r="E738">
            <v>35630</v>
          </cell>
          <cell r="F738" t="str">
            <v>Petit Mont-Muran</v>
          </cell>
          <cell r="G738">
            <v>953702104</v>
          </cell>
          <cell r="I738" t="str">
            <v>julisanie@hotmail.fr</v>
          </cell>
          <cell r="J738" t="str">
            <v>Chapelle-Chaussée (La)</v>
          </cell>
          <cell r="K738">
            <v>35630</v>
          </cell>
          <cell r="L738" t="str">
            <v>Le Clos Couvé</v>
          </cell>
          <cell r="N738" t="str">
            <v>M.</v>
          </cell>
        </row>
        <row r="739">
          <cell r="B739" t="str">
            <v>VITARD</v>
          </cell>
          <cell r="D739" t="str">
            <v>Saint-Germain-sur-Ille</v>
          </cell>
          <cell r="E739">
            <v>35250</v>
          </cell>
          <cell r="F739" t="str">
            <v>15, Le Champ Hamon</v>
          </cell>
          <cell r="H739" t="str">
            <v>06 16 67 26 80</v>
          </cell>
          <cell r="I739" t="str">
            <v>sebvitard-div@yahoo.fr</v>
          </cell>
          <cell r="N739" t="str">
            <v>M.</v>
          </cell>
        </row>
        <row r="740">
          <cell r="B740" t="str">
            <v>Vol</v>
          </cell>
          <cell r="C740" t="str">
            <v>Elise</v>
          </cell>
          <cell r="D740" t="str">
            <v>Lourmais</v>
          </cell>
          <cell r="E740">
            <v>35270</v>
          </cell>
          <cell r="F740" t="str">
            <v>8, La Barre</v>
          </cell>
          <cell r="G740">
            <v>621706905</v>
          </cell>
          <cell r="I740" t="str">
            <v>elise.vol@laposte.net</v>
          </cell>
          <cell r="N740" t="str">
            <v>M.</v>
          </cell>
        </row>
        <row r="741">
          <cell r="B741" t="str">
            <v>VOLANT</v>
          </cell>
          <cell r="D741" t="str">
            <v>Dolo</v>
          </cell>
          <cell r="E741">
            <v>22270</v>
          </cell>
          <cell r="F741" t="str">
            <v>la croix des hauts champs</v>
          </cell>
          <cell r="G741" t="str">
            <v xml:space="preserve">02 96 31 68 87 </v>
          </cell>
          <cell r="I741" t="str">
            <v>philippe.volant@aliceadsl.fr</v>
          </cell>
          <cell r="N741" t="str">
            <v>M. et Mme</v>
          </cell>
        </row>
        <row r="742">
          <cell r="B742" t="str">
            <v>VRIGNEAU-ALLAIN/ RONCO-LASHINE</v>
          </cell>
          <cell r="C742" t="str">
            <v>Claire</v>
          </cell>
          <cell r="D742" t="str">
            <v>Melesse</v>
          </cell>
          <cell r="E742">
            <v>35520</v>
          </cell>
          <cell r="F742" t="str">
            <v>l'Amiral</v>
          </cell>
          <cell r="H742">
            <v>611424392</v>
          </cell>
          <cell r="I742" t="str">
            <v>claire.allain@hotmail.fr</v>
          </cell>
          <cell r="J742" t="str">
            <v>Iffendic</v>
          </cell>
          <cell r="K742">
            <v>35750</v>
          </cell>
          <cell r="L742" t="str">
            <v>14, la basse houssaye</v>
          </cell>
          <cell r="N742" t="str">
            <v>M. et Mme</v>
          </cell>
        </row>
        <row r="743">
          <cell r="B743" t="str">
            <v>VUE</v>
          </cell>
          <cell r="D743" t="str">
            <v>Pléven</v>
          </cell>
          <cell r="E743">
            <v>22130</v>
          </cell>
          <cell r="F743" t="str">
            <v>La Touche Habel</v>
          </cell>
          <cell r="G743">
            <v>251294812</v>
          </cell>
          <cell r="I743" t="str">
            <v>plantes.nature@outlook.fr</v>
          </cell>
          <cell r="J743" t="str">
            <v>Champagné-les-Marais</v>
          </cell>
          <cell r="K743">
            <v>85450</v>
          </cell>
          <cell r="L743" t="str">
            <v>15, chem de Neuf Pieds</v>
          </cell>
          <cell r="N743" t="str">
            <v>M. et Mme</v>
          </cell>
        </row>
        <row r="744">
          <cell r="B744" t="str">
            <v>WARLET</v>
          </cell>
          <cell r="C744" t="str">
            <v>Jean-Marc</v>
          </cell>
          <cell r="D744" t="str">
            <v>Saint-Marcan</v>
          </cell>
          <cell r="E744">
            <v>35120</v>
          </cell>
          <cell r="F744" t="str">
            <v>6, Le Petit Gerault</v>
          </cell>
          <cell r="H744" t="str">
            <v>06 60 17 22 21</v>
          </cell>
          <cell r="I744" t="str">
            <v>jean-marc.warlet@laposte.net</v>
          </cell>
          <cell r="N744" t="str">
            <v>M.</v>
          </cell>
        </row>
        <row r="745">
          <cell r="B745" t="str">
            <v>WELFRINGER</v>
          </cell>
          <cell r="D745" t="str">
            <v>Saint-Vran</v>
          </cell>
          <cell r="E745">
            <v>22230</v>
          </cell>
          <cell r="F745" t="str">
            <v>Les Bourdonnais</v>
          </cell>
          <cell r="G745">
            <v>256170076</v>
          </cell>
          <cell r="H745">
            <v>686786684</v>
          </cell>
          <cell r="I745" t="str">
            <v>thomas_gaelle@hotmail.fr</v>
          </cell>
          <cell r="N745" t="str">
            <v>M.et Mme</v>
          </cell>
        </row>
        <row r="746">
          <cell r="B746" t="str">
            <v>WETE</v>
          </cell>
          <cell r="C746" t="str">
            <v>marc</v>
          </cell>
          <cell r="D746" t="str">
            <v>Pacé</v>
          </cell>
          <cell r="E746">
            <v>35740</v>
          </cell>
          <cell r="F746" t="str">
            <v>20 Villages des Sablonne</v>
          </cell>
          <cell r="G746">
            <v>778513429</v>
          </cell>
          <cell r="I746" t="str">
            <v>bmwete@gmail.com</v>
          </cell>
        </row>
        <row r="747">
          <cell r="B747" t="str">
            <v>WIDEHEM</v>
          </cell>
          <cell r="C747" t="str">
            <v>Damien</v>
          </cell>
          <cell r="D747" t="str">
            <v>Irodouër</v>
          </cell>
          <cell r="E747">
            <v>35850</v>
          </cell>
          <cell r="F747" t="str">
            <v>LeVillage es Mauny</v>
          </cell>
          <cell r="H747" t="str">
            <v xml:space="preserve"> 06.86.16.21.88</v>
          </cell>
          <cell r="I747" t="str">
            <v>damien.widehem@gmail.com</v>
          </cell>
          <cell r="N747" t="str">
            <v>M.</v>
          </cell>
        </row>
      </sheetData>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Catégorie1" xr10:uid="{00000000-0013-0000-FFFF-FFFF01000000}" sourceName="Catégorie">
  <extLst>
    <x:ext xmlns:x15="http://schemas.microsoft.com/office/spreadsheetml/2010/11/main" uri="{2F2917AC-EB37-4324-AD4E-5DD8C200BD13}">
      <x15:tableSlicerCache tableId="5"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Catégorie2" xr10:uid="{00000000-0013-0000-FFFF-FFFF02000000}" sourceName="Catégorie">
  <extLst>
    <x:ext xmlns:x15="http://schemas.microsoft.com/office/spreadsheetml/2010/11/main" uri="{2F2917AC-EB37-4324-AD4E-5DD8C200BD13}">
      <x15:tableSlicerCache tableId="4" column="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Catégorie3" xr10:uid="{00000000-0013-0000-FFFF-FFFF03000000}" sourceName="Catégorie">
  <extLst>
    <x:ext xmlns:x15="http://schemas.microsoft.com/office/spreadsheetml/2010/11/main" uri="{2F2917AC-EB37-4324-AD4E-5DD8C200BD13}">
      <x15:tableSlicerCache tableId="1"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FOURNISSEURS" xr10:uid="{00000000-0013-0000-FFFF-FFFF04000000}" sourceName="FOURNISSEURS">
  <extLst>
    <x:ext xmlns:x15="http://schemas.microsoft.com/office/spreadsheetml/2010/11/main" uri="{2F2917AC-EB37-4324-AD4E-5DD8C200BD13}">
      <x15:tableSlicerCache tableId="3" column="3"/>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Catégorie" xr10:uid="{00000000-0013-0000-FFFF-FFFF05000000}" sourceName="Catégorie">
  <extLst>
    <x:ext xmlns:x15="http://schemas.microsoft.com/office/spreadsheetml/2010/11/main" uri="{2F2917AC-EB37-4324-AD4E-5DD8C200BD13}">
      <x15:tableSlicerCache tableId="3"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OURNISSEURS" xr10:uid="{00000000-0014-0000-FFFF-FFFF01000000}" cache="Segment_FOURNISSEURS" caption="FOURNISSEURS" startItem="6" rowHeight="241300"/>
  <slicer name="Catégorie" xr10:uid="{00000000-0014-0000-FFFF-FFFF02000000}" cache="Segment_Catégorie" caption="Catégorie" startItem="3" style="SlicerStyleLight6" rowHeight="241300"/>
  <slicer name="Catégorie 1" xr10:uid="{00000000-0014-0000-FFFF-FFFF03000000}" cache="Segment_Catégorie" caption="Catégorie" startItem="23" style="SlicerStyleLight6"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égorieMP" xr10:uid="{00000000-0014-0000-FFFF-FFFF04000000}" cache="Segment_Catégorie1" caption="Catégorie"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égorie 2" xr10:uid="{00000000-0014-0000-FFFF-FFFF05000000}" cache="Segment_Catégorie2" caption="Catégorie"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égorie 3" xr10:uid="{00000000-0014-0000-FFFF-FFFF06000000}" cache="Segment_Catégorie3" caption="Colonne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PRIXMA" displayName="PRIXMA" ref="A1:I437" totalsRowShown="0" headerRowDxfId="17">
  <autoFilter ref="A1:I437" xr:uid="{00000000-0009-0000-0100-000003000000}"/>
  <sortState ref="A2:G131">
    <sortCondition ref="B1:B131"/>
  </sortState>
  <tableColumns count="9">
    <tableColumn id="1" xr3:uid="{00000000-0010-0000-0000-000001000000}" name="PRODUIT/PRESTA" dataDxfId="16"/>
    <tableColumn id="2" xr3:uid="{00000000-0010-0000-0000-000002000000}" name="Catégorie" dataDxfId="15"/>
    <tableColumn id="3" xr3:uid="{00000000-0010-0000-0000-000003000000}" name="FOURNISSEURS" dataDxfId="14"/>
    <tableColumn id="4" xr3:uid="{00000000-0010-0000-0000-000004000000}" name="PRIX MATIERES (€)" dataDxfId="13"/>
    <tableColumn id="5" xr3:uid="{00000000-0010-0000-0000-000005000000}" name="Unités" dataDxfId="12" dataCellStyle="Excel Built-in Normal"/>
    <tableColumn id="6" xr3:uid="{00000000-0010-0000-0000-000006000000}" name="DETAILS" dataDxfId="11" dataCellStyle="Excel Built-in Normal"/>
    <tableColumn id="7" xr3:uid="{00000000-0010-0000-0000-000007000000}" name="Prix sans transport" dataDxfId="10" dataCellStyle="Excel Built-in Normal"/>
    <tableColumn id="8" xr3:uid="{00000000-0010-0000-0000-000008000000}" name="Colonne1" dataDxfId="9" dataCellStyle="Excel Built-in Normal"/>
    <tableColumn id="9" xr3:uid="{00000000-0010-0000-0000-000009000000}" name="Colonne2" dataDxfId="8" dataCellStyle="Excel Built-in Normal"/>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PRIXMP" displayName="PRIXMP" ref="A1:F28" totalsRowShown="0">
  <autoFilter ref="A1:F28" xr:uid="{00000000-0009-0000-0100-000005000000}"/>
  <sortState ref="A2:F28">
    <sortCondition ref="B1:B28"/>
  </sortState>
  <tableColumns count="6">
    <tableColumn id="1" xr3:uid="{00000000-0010-0000-0100-000001000000}" name="PRESTA"/>
    <tableColumn id="2" xr3:uid="{00000000-0010-0000-0100-000002000000}" name="Catégorie"/>
    <tableColumn id="3" xr3:uid="{00000000-0010-0000-0100-000003000000}" name="UNITES"/>
    <tableColumn id="4" xr3:uid="{00000000-0010-0000-0100-000004000000}" name="COEF MINIPELLE"/>
    <tableColumn id="5" xr3:uid="{00000000-0010-0000-0100-000005000000}" name="Détails" dataDxfId="7" dataCellStyle="Excel Built-in Normal"/>
    <tableColumn id="6" xr3:uid="{00000000-0010-0000-0100-000006000000}" name="Code" dataDxfId="6" dataCellStyle="Excel Built-in Normal"/>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PRIXMOC" displayName="PRIXMOC" ref="A1:E83" totalsRowShown="0">
  <autoFilter ref="A1:E83" xr:uid="{00000000-0009-0000-0100-000004000000}"/>
  <sortState ref="A2:E77">
    <sortCondition ref="B1:B77"/>
  </sortState>
  <tableColumns count="5">
    <tableColumn id="1" xr3:uid="{00000000-0010-0000-0200-000001000000}" name="PRESTA"/>
    <tableColumn id="2" xr3:uid="{00000000-0010-0000-0200-000002000000}" name="Catégorie"/>
    <tableColumn id="3" xr3:uid="{00000000-0010-0000-0200-000003000000}" name="UNITES"/>
    <tableColumn id="4" xr3:uid="{00000000-0010-0000-0200-000004000000}" name="COEF MOC"/>
    <tableColumn id="5" xr3:uid="{00000000-0010-0000-0200-000005000000}" name="Détails" dataCellStyle="Excel Built-in Normal"/>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MOA" displayName="MOA" ref="A1:F78" totalsRowShown="0" headerRowBorderDxfId="5">
  <autoFilter ref="A1:F78" xr:uid="{00000000-0009-0000-0100-000001000000}">
    <filterColumn colId="0">
      <filters>
        <filter val="Collage"/>
      </filters>
    </filterColumn>
  </autoFilter>
  <sortState ref="A2:F78">
    <sortCondition ref="B1:B78"/>
  </sortState>
  <tableColumns count="6">
    <tableColumn id="1" xr3:uid="{00000000-0010-0000-0300-000001000000}" name="PRODUIT/PRESTA"/>
    <tableColumn id="2" xr3:uid="{00000000-0010-0000-0300-000002000000}" name="Catégorie" dataDxfId="4" dataCellStyle="Excel Built-in Normal"/>
    <tableColumn id="3" xr3:uid="{00000000-0010-0000-0300-000003000000}" name="UNITES" dataDxfId="3" dataCellStyle="Excel Built-in Normal"/>
    <tableColumn id="4" xr3:uid="{00000000-0010-0000-0300-000004000000}" name="COEF MOA" dataDxfId="2" dataCellStyle="Excel Built-in Normal"/>
    <tableColumn id="5" xr3:uid="{00000000-0010-0000-0300-000005000000}" name="Poste" dataDxfId="1" dataCellStyle="Excel Built-in Normal"/>
    <tableColumn id="6" xr3:uid="{00000000-0010-0000-0300-000006000000}" name="Détail" dataDxfId="0" dataCellStyle="Excel Built-in Normal"/>
  </tableColumns>
  <tableStyleInfo showFirstColumn="0" showLastColumn="0" showRowStripes="0"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drawing" Target="../drawings/drawing4.xml"/><Relationship Id="rId16" Type="http://schemas.openxmlformats.org/officeDocument/2006/relationships/ctrlProp" Target="../ctrlProps/ctrlProp14.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hyperlink" Target="mailto:philippe.gosselin@aquatiris.fr"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microsoft.com/office/2007/relationships/slicer" Target="../slicers/slicer2.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microsoft.com/office/2007/relationships/slicer" Target="../slicers/slicer3.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microsoft.com/office/2007/relationships/slicer" Target="../slicers/slicer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38.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39.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0.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1.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2.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3.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4.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5.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6.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47.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48.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49.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0.bin"/></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3.xml"/><Relationship Id="rId1" Type="http://schemas.openxmlformats.org/officeDocument/2006/relationships/printerSettings" Target="../printerSettings/printerSettings51.bin"/><Relationship Id="rId4" Type="http://schemas.openxmlformats.org/officeDocument/2006/relationships/ctrlProp" Target="../ctrlProps/ctrlProp18.xml"/></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2.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3.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4.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6.bin"/></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5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ublished="0" codeName="Feuil1">
    <pageSetUpPr fitToPage="1"/>
  </sheetPr>
  <dimension ref="A1:ACZ33"/>
  <sheetViews>
    <sheetView tabSelected="1" zoomScale="90" zoomScaleNormal="90" workbookViewId="0">
      <selection sqref="A1:B4"/>
    </sheetView>
  </sheetViews>
  <sheetFormatPr baseColWidth="10" defaultRowHeight="14.25" x14ac:dyDescent="0.2"/>
  <cols>
    <col min="1" max="1" width="11.5" customWidth="1"/>
    <col min="2" max="2" width="18.125" customWidth="1"/>
    <col min="3" max="3" width="13.5" customWidth="1"/>
    <col min="4" max="4" width="6" customWidth="1"/>
    <col min="5" max="5" width="12.125" customWidth="1"/>
    <col min="6" max="7" width="10.625" customWidth="1"/>
    <col min="8" max="8" width="35.625" customWidth="1"/>
    <col min="9" max="9" width="18.125" customWidth="1"/>
    <col min="10" max="10" width="17.125" customWidth="1"/>
    <col min="11" max="11" width="10.625" customWidth="1"/>
    <col min="12" max="12" width="8" customWidth="1"/>
    <col min="13" max="780" width="10.625" customWidth="1"/>
  </cols>
  <sheetData>
    <row r="1" spans="1:780" ht="12" customHeight="1" x14ac:dyDescent="0.2">
      <c r="A1" s="1425" t="s">
        <v>1475</v>
      </c>
      <c r="B1" s="1425"/>
      <c r="C1" s="1"/>
      <c r="D1" s="2"/>
      <c r="E1" s="1426" t="s">
        <v>0</v>
      </c>
      <c r="F1" s="1426"/>
      <c r="G1" s="1426"/>
      <c r="H1" s="1426"/>
      <c r="I1" s="2"/>
      <c r="J1" s="1427" t="s">
        <v>1476</v>
      </c>
      <c r="K1" s="1427"/>
      <c r="L1" s="2"/>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row>
    <row r="2" spans="1:780" ht="22.35" customHeight="1" x14ac:dyDescent="0.2">
      <c r="A2" s="1425"/>
      <c r="B2" s="1425"/>
      <c r="C2" s="1"/>
      <c r="D2" s="2"/>
      <c r="E2" s="1426"/>
      <c r="F2" s="1426"/>
      <c r="G2" s="1426"/>
      <c r="H2" s="1426"/>
      <c r="I2" s="2"/>
      <c r="J2" s="1427"/>
      <c r="K2" s="1427"/>
      <c r="L2" s="2"/>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c r="HF2" s="3"/>
      <c r="HG2" s="3"/>
      <c r="HH2" s="3"/>
      <c r="HI2" s="3"/>
      <c r="HJ2" s="3"/>
      <c r="HK2" s="3"/>
      <c r="HL2" s="3"/>
      <c r="HM2" s="3"/>
      <c r="HN2" s="3"/>
      <c r="HO2" s="3"/>
      <c r="HP2" s="3"/>
      <c r="HQ2" s="3"/>
      <c r="HR2" s="3"/>
      <c r="HS2" s="3"/>
      <c r="HT2" s="3"/>
      <c r="HU2" s="3"/>
      <c r="HV2" s="3"/>
      <c r="HW2" s="3"/>
      <c r="HX2" s="3"/>
      <c r="HY2" s="3"/>
      <c r="HZ2" s="3"/>
      <c r="IA2" s="3"/>
      <c r="IB2" s="3"/>
      <c r="IC2" s="3"/>
      <c r="ID2" s="3"/>
      <c r="IE2" s="3"/>
      <c r="IF2" s="3"/>
      <c r="IG2" s="3"/>
      <c r="IH2" s="3"/>
      <c r="II2" s="3"/>
      <c r="IJ2" s="3"/>
      <c r="IK2" s="3"/>
      <c r="IL2" s="3"/>
      <c r="IM2" s="3"/>
      <c r="IN2" s="3"/>
      <c r="IO2" s="3"/>
      <c r="IP2" s="3"/>
      <c r="IQ2" s="3"/>
      <c r="IR2" s="3"/>
      <c r="IS2" s="3"/>
      <c r="IT2" s="3"/>
      <c r="IU2" s="3"/>
      <c r="IV2" s="3"/>
      <c r="IW2" s="3"/>
      <c r="IX2" s="3"/>
      <c r="IY2" s="3"/>
      <c r="IZ2" s="3"/>
      <c r="JA2" s="3"/>
      <c r="JB2" s="3"/>
      <c r="JC2" s="3"/>
      <c r="JD2" s="3"/>
      <c r="JE2" s="3"/>
      <c r="JF2" s="3"/>
      <c r="JG2" s="3"/>
      <c r="JH2" s="3"/>
      <c r="JI2" s="3"/>
      <c r="JJ2" s="3"/>
      <c r="JK2" s="3"/>
      <c r="JL2" s="3"/>
      <c r="JM2" s="3"/>
      <c r="JN2" s="3"/>
      <c r="JO2" s="3"/>
      <c r="JP2" s="3"/>
      <c r="JQ2" s="3"/>
      <c r="JR2" s="3"/>
      <c r="JS2" s="3"/>
      <c r="JT2" s="3"/>
      <c r="JU2" s="3"/>
      <c r="JV2" s="3"/>
      <c r="JW2" s="3"/>
      <c r="JX2" s="3"/>
      <c r="JY2" s="3"/>
      <c r="JZ2" s="3"/>
      <c r="KA2" s="3"/>
      <c r="KB2" s="3"/>
      <c r="KC2" s="3"/>
      <c r="KD2" s="3"/>
      <c r="KE2" s="3"/>
      <c r="KF2" s="3"/>
      <c r="KG2" s="3"/>
      <c r="KH2" s="3"/>
      <c r="KI2" s="3"/>
      <c r="KJ2" s="3"/>
      <c r="KK2" s="3"/>
      <c r="KL2" s="3"/>
      <c r="KM2" s="3"/>
      <c r="KN2" s="3"/>
      <c r="KO2" s="3"/>
      <c r="KP2" s="3"/>
      <c r="KQ2" s="3"/>
      <c r="KR2" s="3"/>
      <c r="KS2" s="3"/>
      <c r="KT2" s="3"/>
      <c r="KU2" s="3"/>
      <c r="KV2" s="3"/>
      <c r="KW2" s="3"/>
      <c r="KX2" s="3"/>
      <c r="KY2" s="3"/>
      <c r="KZ2" s="3"/>
      <c r="LA2" s="3"/>
      <c r="LB2" s="3"/>
      <c r="LC2" s="3"/>
      <c r="LD2" s="3"/>
      <c r="LE2" s="3"/>
      <c r="LF2" s="3"/>
      <c r="LG2" s="3"/>
      <c r="LH2" s="3"/>
      <c r="LI2" s="3"/>
      <c r="LJ2" s="3"/>
      <c r="LK2" s="3"/>
      <c r="LL2" s="3"/>
      <c r="LM2" s="3"/>
      <c r="LN2" s="3"/>
      <c r="LO2" s="3"/>
      <c r="LP2" s="3"/>
      <c r="LQ2" s="3"/>
      <c r="LR2" s="3"/>
      <c r="LS2" s="3"/>
      <c r="LT2" s="3"/>
      <c r="LU2" s="3"/>
      <c r="LV2" s="3"/>
      <c r="LW2" s="3"/>
      <c r="LX2" s="3"/>
      <c r="LY2" s="3"/>
      <c r="LZ2" s="3"/>
      <c r="MA2" s="3"/>
      <c r="MB2" s="3"/>
      <c r="MC2" s="3"/>
      <c r="MD2" s="3"/>
      <c r="ME2" s="3"/>
      <c r="MF2" s="3"/>
      <c r="MG2" s="3"/>
      <c r="MH2" s="3"/>
      <c r="MI2" s="3"/>
      <c r="MJ2" s="3"/>
      <c r="MK2" s="3"/>
      <c r="ML2" s="3"/>
      <c r="MM2" s="3"/>
      <c r="MN2" s="3"/>
      <c r="MO2" s="3"/>
      <c r="MP2" s="3"/>
      <c r="MQ2" s="3"/>
      <c r="MR2" s="3"/>
      <c r="MS2" s="3"/>
      <c r="MT2" s="3"/>
      <c r="MU2" s="3"/>
      <c r="MV2" s="3"/>
      <c r="MW2" s="3"/>
      <c r="MX2" s="3"/>
      <c r="MY2" s="3"/>
      <c r="MZ2" s="3"/>
      <c r="NA2" s="3"/>
      <c r="NB2" s="3"/>
      <c r="NC2" s="3"/>
      <c r="ND2" s="3"/>
      <c r="NE2" s="3"/>
      <c r="NF2" s="3"/>
      <c r="NG2" s="3"/>
      <c r="NH2" s="3"/>
      <c r="NI2" s="3"/>
      <c r="NJ2" s="3"/>
      <c r="NK2" s="3"/>
      <c r="NL2" s="3"/>
      <c r="NM2" s="3"/>
      <c r="NN2" s="3"/>
      <c r="NO2" s="3"/>
      <c r="NP2" s="3"/>
      <c r="NQ2" s="3"/>
      <c r="NR2" s="3"/>
      <c r="NS2" s="3"/>
      <c r="NT2" s="3"/>
      <c r="NU2" s="3"/>
      <c r="NV2" s="3"/>
      <c r="NW2" s="3"/>
      <c r="NX2" s="3"/>
      <c r="NY2" s="3"/>
      <c r="NZ2" s="3"/>
      <c r="OA2" s="3"/>
      <c r="OB2" s="3"/>
      <c r="OC2" s="3"/>
      <c r="OD2" s="3"/>
      <c r="OE2" s="3"/>
      <c r="OF2" s="3"/>
      <c r="OG2" s="3"/>
      <c r="OH2" s="3"/>
      <c r="OI2" s="3"/>
      <c r="OJ2" s="3"/>
      <c r="OK2" s="3"/>
      <c r="OL2" s="3"/>
      <c r="OM2" s="3"/>
      <c r="ON2" s="3"/>
      <c r="OO2" s="3"/>
      <c r="OP2" s="3"/>
      <c r="OQ2" s="3"/>
      <c r="OR2" s="3"/>
      <c r="OS2" s="3"/>
      <c r="OT2" s="3"/>
      <c r="OU2" s="3"/>
      <c r="OV2" s="3"/>
      <c r="OW2" s="3"/>
      <c r="OX2" s="3"/>
      <c r="OY2" s="3"/>
      <c r="OZ2" s="3"/>
      <c r="PA2" s="3"/>
      <c r="PB2" s="3"/>
      <c r="PC2" s="3"/>
      <c r="PD2" s="3"/>
      <c r="PE2" s="3"/>
      <c r="PF2" s="3"/>
      <c r="PG2" s="3"/>
      <c r="PH2" s="3"/>
      <c r="PI2" s="3"/>
      <c r="PJ2" s="3"/>
      <c r="PK2" s="3"/>
      <c r="PL2" s="3"/>
      <c r="PM2" s="3"/>
      <c r="PN2" s="3"/>
      <c r="PO2" s="3"/>
      <c r="PP2" s="3"/>
      <c r="PQ2" s="3"/>
      <c r="PR2" s="3"/>
      <c r="PS2" s="3"/>
      <c r="PT2" s="3"/>
      <c r="PU2" s="3"/>
      <c r="PV2" s="3"/>
      <c r="PW2" s="3"/>
      <c r="PX2" s="3"/>
      <c r="PY2" s="3"/>
      <c r="PZ2" s="3"/>
      <c r="QA2" s="3"/>
      <c r="QB2" s="3"/>
      <c r="QC2" s="3"/>
      <c r="QD2" s="3"/>
      <c r="QE2" s="3"/>
      <c r="QF2" s="3"/>
      <c r="QG2" s="3"/>
      <c r="QH2" s="3"/>
      <c r="QI2" s="3"/>
      <c r="QJ2" s="3"/>
      <c r="QK2" s="3"/>
      <c r="QL2" s="3"/>
      <c r="QM2" s="3"/>
      <c r="QN2" s="3"/>
      <c r="QO2" s="3"/>
      <c r="QP2" s="3"/>
      <c r="QQ2" s="3"/>
      <c r="QR2" s="3"/>
      <c r="QS2" s="3"/>
      <c r="QT2" s="3"/>
      <c r="QU2" s="3"/>
      <c r="QV2" s="3"/>
      <c r="QW2" s="3"/>
      <c r="QX2" s="3"/>
      <c r="QY2" s="3"/>
      <c r="QZ2" s="3"/>
      <c r="RA2" s="3"/>
      <c r="RB2" s="3"/>
      <c r="RC2" s="3"/>
      <c r="RD2" s="3"/>
      <c r="RE2" s="3"/>
      <c r="RF2" s="3"/>
      <c r="RG2" s="3"/>
      <c r="RH2" s="3"/>
      <c r="RI2" s="3"/>
      <c r="RJ2" s="3"/>
      <c r="RK2" s="3"/>
      <c r="RL2" s="3"/>
      <c r="RM2" s="3"/>
      <c r="RN2" s="3"/>
      <c r="RO2" s="3"/>
      <c r="RP2" s="3"/>
      <c r="RQ2" s="3"/>
      <c r="RR2" s="3"/>
      <c r="RS2" s="3"/>
      <c r="RT2" s="3"/>
      <c r="RU2" s="3"/>
      <c r="RV2" s="3"/>
      <c r="RW2" s="3"/>
      <c r="RX2" s="3"/>
      <c r="RY2" s="3"/>
      <c r="RZ2" s="3"/>
      <c r="SA2" s="3"/>
      <c r="SB2" s="3"/>
      <c r="SC2" s="3"/>
      <c r="SD2" s="3"/>
      <c r="SE2" s="3"/>
      <c r="SF2" s="3"/>
      <c r="SG2" s="3"/>
      <c r="SH2" s="3"/>
      <c r="SI2" s="3"/>
      <c r="SJ2" s="3"/>
      <c r="SK2" s="3"/>
      <c r="SL2" s="3"/>
      <c r="SM2" s="3"/>
      <c r="SN2" s="3"/>
      <c r="SO2" s="3"/>
      <c r="SP2" s="3"/>
      <c r="SQ2" s="3"/>
      <c r="SR2" s="3"/>
      <c r="SS2" s="3"/>
      <c r="ST2" s="3"/>
      <c r="SU2" s="3"/>
      <c r="SV2" s="3"/>
      <c r="SW2" s="3"/>
      <c r="SX2" s="3"/>
      <c r="SY2" s="3"/>
      <c r="SZ2" s="3"/>
      <c r="TA2" s="3"/>
      <c r="TB2" s="3"/>
      <c r="TC2" s="3"/>
      <c r="TD2" s="3"/>
      <c r="TE2" s="3"/>
      <c r="TF2" s="3"/>
      <c r="TG2" s="3"/>
      <c r="TH2" s="3"/>
      <c r="TI2" s="3"/>
      <c r="TJ2" s="3"/>
      <c r="TK2" s="3"/>
      <c r="TL2" s="3"/>
      <c r="TM2" s="3"/>
      <c r="TN2" s="3"/>
      <c r="TO2" s="3"/>
      <c r="TP2" s="3"/>
      <c r="TQ2" s="3"/>
      <c r="TR2" s="3"/>
      <c r="TS2" s="3"/>
      <c r="TT2" s="3"/>
      <c r="TU2" s="3"/>
      <c r="TV2" s="3"/>
      <c r="TW2" s="3"/>
      <c r="TX2" s="3"/>
      <c r="TY2" s="3"/>
      <c r="TZ2" s="3"/>
      <c r="UA2" s="3"/>
      <c r="UB2" s="3"/>
      <c r="UC2" s="3"/>
      <c r="UD2" s="3"/>
      <c r="UE2" s="3"/>
      <c r="UF2" s="3"/>
      <c r="UG2" s="3"/>
      <c r="UH2" s="3"/>
      <c r="UI2" s="3"/>
      <c r="UJ2" s="3"/>
      <c r="UK2" s="3"/>
      <c r="UL2" s="3"/>
      <c r="UM2" s="3"/>
      <c r="UN2" s="3"/>
      <c r="UO2" s="3"/>
      <c r="UP2" s="3"/>
      <c r="UQ2" s="3"/>
      <c r="UR2" s="3"/>
      <c r="US2" s="3"/>
      <c r="UT2" s="3"/>
      <c r="UU2" s="3"/>
      <c r="UV2" s="3"/>
      <c r="UW2" s="3"/>
      <c r="UX2" s="3"/>
      <c r="UY2" s="3"/>
      <c r="UZ2" s="3"/>
      <c r="VA2" s="3"/>
      <c r="VB2" s="3"/>
      <c r="VC2" s="3"/>
      <c r="VD2" s="3"/>
      <c r="VE2" s="3"/>
      <c r="VF2" s="3"/>
      <c r="VG2" s="3"/>
      <c r="VH2" s="3"/>
      <c r="VI2" s="3"/>
      <c r="VJ2" s="3"/>
      <c r="VK2" s="3"/>
      <c r="VL2" s="3"/>
      <c r="VM2" s="3"/>
      <c r="VN2" s="3"/>
      <c r="VO2" s="3"/>
      <c r="VP2" s="3"/>
      <c r="VQ2" s="3"/>
      <c r="VR2" s="3"/>
      <c r="VS2" s="3"/>
      <c r="VT2" s="3"/>
      <c r="VU2" s="3"/>
      <c r="VV2" s="3"/>
      <c r="VW2" s="3"/>
      <c r="VX2" s="3"/>
      <c r="VY2" s="3"/>
      <c r="VZ2" s="3"/>
      <c r="WA2" s="3"/>
      <c r="WB2" s="3"/>
      <c r="WC2" s="3"/>
      <c r="WD2" s="3"/>
      <c r="WE2" s="3"/>
      <c r="WF2" s="3"/>
      <c r="WG2" s="3"/>
      <c r="WH2" s="3"/>
      <c r="WI2" s="3"/>
      <c r="WJ2" s="3"/>
      <c r="WK2" s="3"/>
      <c r="WL2" s="3"/>
      <c r="WM2" s="3"/>
      <c r="WN2" s="3"/>
      <c r="WO2" s="3"/>
      <c r="WP2" s="3"/>
      <c r="WQ2" s="3"/>
      <c r="WR2" s="3"/>
      <c r="WS2" s="3"/>
      <c r="WT2" s="3"/>
      <c r="WU2" s="3"/>
      <c r="WV2" s="3"/>
      <c r="WW2" s="3"/>
      <c r="WX2" s="3"/>
      <c r="WY2" s="3"/>
      <c r="WZ2" s="3"/>
      <c r="XA2" s="3"/>
      <c r="XB2" s="3"/>
      <c r="XC2" s="3"/>
      <c r="XD2" s="3"/>
      <c r="XE2" s="3"/>
      <c r="XF2" s="3"/>
      <c r="XG2" s="3"/>
      <c r="XH2" s="3"/>
      <c r="XI2" s="3"/>
      <c r="XJ2" s="3"/>
      <c r="XK2" s="3"/>
      <c r="XL2" s="3"/>
      <c r="XM2" s="3"/>
      <c r="XN2" s="3"/>
      <c r="XO2" s="3"/>
      <c r="XP2" s="3"/>
      <c r="XQ2" s="3"/>
      <c r="XR2" s="3"/>
      <c r="XS2" s="3"/>
      <c r="XT2" s="3"/>
      <c r="XU2" s="3"/>
      <c r="XV2" s="3"/>
      <c r="XW2" s="3"/>
      <c r="XX2" s="3"/>
      <c r="XY2" s="3"/>
      <c r="XZ2" s="3"/>
      <c r="YA2" s="3"/>
      <c r="YB2" s="3"/>
      <c r="YC2" s="3"/>
      <c r="YD2" s="3"/>
      <c r="YE2" s="3"/>
      <c r="YF2" s="3"/>
      <c r="YG2" s="3"/>
      <c r="YH2" s="3"/>
      <c r="YI2" s="3"/>
      <c r="YJ2" s="3"/>
      <c r="YK2" s="3"/>
      <c r="YL2" s="3"/>
      <c r="YM2" s="3"/>
      <c r="YN2" s="3"/>
      <c r="YO2" s="3"/>
      <c r="YP2" s="3"/>
      <c r="YQ2" s="3"/>
      <c r="YR2" s="3"/>
      <c r="YS2" s="3"/>
      <c r="YT2" s="3"/>
      <c r="YU2" s="3"/>
      <c r="YV2" s="3"/>
      <c r="YW2" s="3"/>
      <c r="YX2" s="3"/>
      <c r="YY2" s="3"/>
      <c r="YZ2" s="3"/>
      <c r="ZA2" s="3"/>
      <c r="ZB2" s="3"/>
      <c r="ZC2" s="3"/>
      <c r="ZD2" s="3"/>
      <c r="ZE2" s="3"/>
      <c r="ZF2" s="3"/>
      <c r="ZG2" s="3"/>
      <c r="ZH2" s="3"/>
      <c r="ZI2" s="3"/>
      <c r="ZJ2" s="3"/>
      <c r="ZK2" s="3"/>
      <c r="ZL2" s="3"/>
      <c r="ZM2" s="3"/>
      <c r="ZN2" s="3"/>
      <c r="ZO2" s="3"/>
      <c r="ZP2" s="3"/>
      <c r="ZQ2" s="3"/>
      <c r="ZR2" s="3"/>
      <c r="ZS2" s="3"/>
      <c r="ZT2" s="3"/>
      <c r="ZU2" s="3"/>
      <c r="ZV2" s="3"/>
      <c r="ZW2" s="3"/>
      <c r="ZX2" s="3"/>
      <c r="ZY2" s="3"/>
      <c r="ZZ2" s="3"/>
      <c r="AAA2" s="3"/>
      <c r="AAB2" s="3"/>
      <c r="AAC2" s="3"/>
      <c r="AAD2" s="3"/>
      <c r="AAE2" s="3"/>
      <c r="AAF2" s="3"/>
      <c r="AAG2" s="3"/>
      <c r="AAH2" s="3"/>
      <c r="AAI2" s="3"/>
      <c r="AAJ2" s="3"/>
      <c r="AAK2" s="3"/>
      <c r="AAL2" s="3"/>
      <c r="AAM2" s="3"/>
      <c r="AAN2" s="3"/>
      <c r="AAO2" s="3"/>
      <c r="AAP2" s="3"/>
      <c r="AAQ2" s="3"/>
      <c r="AAR2" s="3"/>
      <c r="AAS2" s="3"/>
      <c r="AAT2" s="3"/>
      <c r="AAU2" s="3"/>
      <c r="AAV2" s="3"/>
      <c r="AAW2" s="3"/>
      <c r="AAX2" s="3"/>
      <c r="AAY2" s="3"/>
      <c r="AAZ2" s="3"/>
      <c r="ABA2" s="3"/>
      <c r="ABB2" s="3"/>
      <c r="ABC2" s="3"/>
      <c r="ABD2" s="3"/>
      <c r="ABE2" s="3"/>
      <c r="ABF2" s="3"/>
      <c r="ABG2" s="3"/>
      <c r="ABH2" s="3"/>
      <c r="ABI2" s="3"/>
      <c r="ABJ2" s="3"/>
      <c r="ABK2" s="3"/>
      <c r="ABL2" s="3"/>
      <c r="ABM2" s="3"/>
      <c r="ABN2" s="3"/>
      <c r="ABO2" s="3"/>
      <c r="ABP2" s="3"/>
      <c r="ABQ2" s="3"/>
      <c r="ABR2" s="3"/>
      <c r="ABS2" s="3"/>
      <c r="ABT2" s="3"/>
      <c r="ABU2" s="3"/>
      <c r="ABV2" s="3"/>
      <c r="ABW2" s="3"/>
      <c r="ABX2" s="3"/>
      <c r="ABY2" s="3"/>
      <c r="ABZ2" s="3"/>
      <c r="ACA2" s="3"/>
      <c r="ACB2" s="3"/>
      <c r="ACC2" s="3"/>
      <c r="ACD2" s="3"/>
      <c r="ACE2" s="3"/>
      <c r="ACF2" s="3"/>
      <c r="ACG2" s="3"/>
      <c r="ACH2" s="3"/>
      <c r="ACI2" s="3"/>
      <c r="ACJ2" s="3"/>
      <c r="ACK2" s="3"/>
      <c r="ACL2" s="3"/>
      <c r="ACM2" s="3"/>
      <c r="ACN2" s="3"/>
      <c r="ACO2" s="3"/>
      <c r="ACP2" s="3"/>
      <c r="ACQ2" s="3"/>
      <c r="ACR2" s="3"/>
      <c r="ACS2" s="3"/>
      <c r="ACT2" s="3"/>
      <c r="ACU2" s="3"/>
      <c r="ACV2" s="3"/>
      <c r="ACW2" s="3"/>
      <c r="ACX2" s="3"/>
      <c r="ACY2" s="3"/>
      <c r="ACZ2" s="3"/>
    </row>
    <row r="3" spans="1:780" x14ac:dyDescent="0.2">
      <c r="A3" s="1425"/>
      <c r="B3" s="1425"/>
      <c r="C3" s="1"/>
      <c r="D3" s="2"/>
      <c r="E3" s="1426"/>
      <c r="F3" s="1426"/>
      <c r="G3" s="1426"/>
      <c r="H3" s="1426"/>
      <c r="I3" s="2"/>
      <c r="J3" s="1427"/>
      <c r="K3" s="1427"/>
      <c r="L3" s="2"/>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c r="DC3" s="3"/>
      <c r="DD3" s="3"/>
      <c r="DE3" s="3"/>
      <c r="DF3" s="3"/>
      <c r="DG3" s="3"/>
      <c r="DH3" s="3"/>
      <c r="DI3" s="3"/>
      <c r="DJ3" s="3"/>
      <c r="DK3" s="3"/>
      <c r="DL3" s="3"/>
      <c r="DM3" s="3"/>
      <c r="DN3" s="3"/>
      <c r="DO3" s="3"/>
      <c r="DP3" s="3"/>
      <c r="DQ3" s="3"/>
      <c r="DR3" s="3"/>
      <c r="DS3" s="3"/>
      <c r="DT3" s="3"/>
      <c r="DU3" s="3"/>
      <c r="DV3" s="3"/>
      <c r="DW3" s="3"/>
      <c r="DX3" s="3"/>
      <c r="DY3" s="3"/>
      <c r="DZ3" s="3"/>
      <c r="EA3" s="3"/>
      <c r="EB3" s="3"/>
      <c r="EC3" s="3"/>
      <c r="ED3" s="3"/>
      <c r="EE3" s="3"/>
      <c r="EF3" s="3"/>
      <c r="EG3" s="3"/>
      <c r="EH3" s="3"/>
      <c r="EI3" s="3"/>
      <c r="EJ3" s="3"/>
      <c r="EK3" s="3"/>
      <c r="EL3" s="3"/>
      <c r="EM3" s="3"/>
      <c r="EN3" s="3"/>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c r="HF3" s="3"/>
      <c r="HG3" s="3"/>
      <c r="HH3" s="3"/>
      <c r="HI3" s="3"/>
      <c r="HJ3" s="3"/>
      <c r="HK3" s="3"/>
      <c r="HL3" s="3"/>
      <c r="HM3" s="3"/>
      <c r="HN3" s="3"/>
      <c r="HO3" s="3"/>
      <c r="HP3" s="3"/>
      <c r="HQ3" s="3"/>
      <c r="HR3" s="3"/>
      <c r="HS3" s="3"/>
      <c r="HT3" s="3"/>
      <c r="HU3" s="3"/>
      <c r="HV3" s="3"/>
      <c r="HW3" s="3"/>
      <c r="HX3" s="3"/>
      <c r="HY3" s="3"/>
      <c r="HZ3" s="3"/>
      <c r="IA3" s="3"/>
      <c r="IB3" s="3"/>
      <c r="IC3" s="3"/>
      <c r="ID3" s="3"/>
      <c r="IE3" s="3"/>
      <c r="IF3" s="3"/>
      <c r="IG3" s="3"/>
      <c r="IH3" s="3"/>
      <c r="II3" s="3"/>
      <c r="IJ3" s="3"/>
      <c r="IK3" s="3"/>
      <c r="IL3" s="3"/>
      <c r="IM3" s="3"/>
      <c r="IN3" s="3"/>
      <c r="IO3" s="3"/>
      <c r="IP3" s="3"/>
      <c r="IQ3" s="3"/>
      <c r="IR3" s="3"/>
      <c r="IS3" s="3"/>
      <c r="IT3" s="3"/>
      <c r="IU3" s="3"/>
      <c r="IV3" s="3"/>
      <c r="IW3" s="3"/>
      <c r="IX3" s="3"/>
      <c r="IY3" s="3"/>
      <c r="IZ3" s="3"/>
      <c r="JA3" s="3"/>
      <c r="JB3" s="3"/>
      <c r="JC3" s="3"/>
      <c r="JD3" s="3"/>
      <c r="JE3" s="3"/>
      <c r="JF3" s="3"/>
      <c r="JG3" s="3"/>
      <c r="JH3" s="3"/>
      <c r="JI3" s="3"/>
      <c r="JJ3" s="3"/>
      <c r="JK3" s="3"/>
      <c r="JL3" s="3"/>
      <c r="JM3" s="3"/>
      <c r="JN3" s="3"/>
      <c r="JO3" s="3"/>
      <c r="JP3" s="3"/>
      <c r="JQ3" s="3"/>
      <c r="JR3" s="3"/>
      <c r="JS3" s="3"/>
      <c r="JT3" s="3"/>
      <c r="JU3" s="3"/>
      <c r="JV3" s="3"/>
      <c r="JW3" s="3"/>
      <c r="JX3" s="3"/>
      <c r="JY3" s="3"/>
      <c r="JZ3" s="3"/>
      <c r="KA3" s="3"/>
      <c r="KB3" s="3"/>
      <c r="KC3" s="3"/>
      <c r="KD3" s="3"/>
      <c r="KE3" s="3"/>
      <c r="KF3" s="3"/>
      <c r="KG3" s="3"/>
      <c r="KH3" s="3"/>
      <c r="KI3" s="3"/>
      <c r="KJ3" s="3"/>
      <c r="KK3" s="3"/>
      <c r="KL3" s="3"/>
      <c r="KM3" s="3"/>
      <c r="KN3" s="3"/>
      <c r="KO3" s="3"/>
      <c r="KP3" s="3"/>
      <c r="KQ3" s="3"/>
      <c r="KR3" s="3"/>
      <c r="KS3" s="3"/>
      <c r="KT3" s="3"/>
      <c r="KU3" s="3"/>
      <c r="KV3" s="3"/>
      <c r="KW3" s="3"/>
      <c r="KX3" s="3"/>
      <c r="KY3" s="3"/>
      <c r="KZ3" s="3"/>
      <c r="LA3" s="3"/>
      <c r="LB3" s="3"/>
      <c r="LC3" s="3"/>
      <c r="LD3" s="3"/>
      <c r="LE3" s="3"/>
      <c r="LF3" s="3"/>
      <c r="LG3" s="3"/>
      <c r="LH3" s="3"/>
      <c r="LI3" s="3"/>
      <c r="LJ3" s="3"/>
      <c r="LK3" s="3"/>
      <c r="LL3" s="3"/>
      <c r="LM3" s="3"/>
      <c r="LN3" s="3"/>
      <c r="LO3" s="3"/>
      <c r="LP3" s="3"/>
      <c r="LQ3" s="3"/>
      <c r="LR3" s="3"/>
      <c r="LS3" s="3"/>
      <c r="LT3" s="3"/>
      <c r="LU3" s="3"/>
      <c r="LV3" s="3"/>
      <c r="LW3" s="3"/>
      <c r="LX3" s="3"/>
      <c r="LY3" s="3"/>
      <c r="LZ3" s="3"/>
      <c r="MA3" s="3"/>
      <c r="MB3" s="3"/>
      <c r="MC3" s="3"/>
      <c r="MD3" s="3"/>
      <c r="ME3" s="3"/>
      <c r="MF3" s="3"/>
      <c r="MG3" s="3"/>
      <c r="MH3" s="3"/>
      <c r="MI3" s="3"/>
      <c r="MJ3" s="3"/>
      <c r="MK3" s="3"/>
      <c r="ML3" s="3"/>
      <c r="MM3" s="3"/>
      <c r="MN3" s="3"/>
      <c r="MO3" s="3"/>
      <c r="MP3" s="3"/>
      <c r="MQ3" s="3"/>
      <c r="MR3" s="3"/>
      <c r="MS3" s="3"/>
      <c r="MT3" s="3"/>
      <c r="MU3" s="3"/>
      <c r="MV3" s="3"/>
      <c r="MW3" s="3"/>
      <c r="MX3" s="3"/>
      <c r="MY3" s="3"/>
      <c r="MZ3" s="3"/>
      <c r="NA3" s="3"/>
      <c r="NB3" s="3"/>
      <c r="NC3" s="3"/>
      <c r="ND3" s="3"/>
      <c r="NE3" s="3"/>
      <c r="NF3" s="3"/>
      <c r="NG3" s="3"/>
      <c r="NH3" s="3"/>
      <c r="NI3" s="3"/>
      <c r="NJ3" s="3"/>
      <c r="NK3" s="3"/>
      <c r="NL3" s="3"/>
      <c r="NM3" s="3"/>
      <c r="NN3" s="3"/>
      <c r="NO3" s="3"/>
      <c r="NP3" s="3"/>
      <c r="NQ3" s="3"/>
      <c r="NR3" s="3"/>
      <c r="NS3" s="3"/>
      <c r="NT3" s="3"/>
      <c r="NU3" s="3"/>
      <c r="NV3" s="3"/>
      <c r="NW3" s="3"/>
      <c r="NX3" s="3"/>
      <c r="NY3" s="3"/>
      <c r="NZ3" s="3"/>
      <c r="OA3" s="3"/>
      <c r="OB3" s="3"/>
      <c r="OC3" s="3"/>
      <c r="OD3" s="3"/>
      <c r="OE3" s="3"/>
      <c r="OF3" s="3"/>
      <c r="OG3" s="3"/>
      <c r="OH3" s="3"/>
      <c r="OI3" s="3"/>
      <c r="OJ3" s="3"/>
      <c r="OK3" s="3"/>
      <c r="OL3" s="3"/>
      <c r="OM3" s="3"/>
      <c r="ON3" s="3"/>
      <c r="OO3" s="3"/>
      <c r="OP3" s="3"/>
      <c r="OQ3" s="3"/>
      <c r="OR3" s="3"/>
      <c r="OS3" s="3"/>
      <c r="OT3" s="3"/>
      <c r="OU3" s="3"/>
      <c r="OV3" s="3"/>
      <c r="OW3" s="3"/>
      <c r="OX3" s="3"/>
      <c r="OY3" s="3"/>
      <c r="OZ3" s="3"/>
      <c r="PA3" s="3"/>
      <c r="PB3" s="3"/>
      <c r="PC3" s="3"/>
      <c r="PD3" s="3"/>
      <c r="PE3" s="3"/>
      <c r="PF3" s="3"/>
      <c r="PG3" s="3"/>
      <c r="PH3" s="3"/>
      <c r="PI3" s="3"/>
      <c r="PJ3" s="3"/>
      <c r="PK3" s="3"/>
      <c r="PL3" s="3"/>
      <c r="PM3" s="3"/>
      <c r="PN3" s="3"/>
      <c r="PO3" s="3"/>
      <c r="PP3" s="3"/>
      <c r="PQ3" s="3"/>
      <c r="PR3" s="3"/>
      <c r="PS3" s="3"/>
      <c r="PT3" s="3"/>
      <c r="PU3" s="3"/>
      <c r="PV3" s="3"/>
      <c r="PW3" s="3"/>
      <c r="PX3" s="3"/>
      <c r="PY3" s="3"/>
      <c r="PZ3" s="3"/>
      <c r="QA3" s="3"/>
      <c r="QB3" s="3"/>
      <c r="QC3" s="3"/>
      <c r="QD3" s="3"/>
      <c r="QE3" s="3"/>
      <c r="QF3" s="3"/>
      <c r="QG3" s="3"/>
      <c r="QH3" s="3"/>
      <c r="QI3" s="3"/>
      <c r="QJ3" s="3"/>
      <c r="QK3" s="3"/>
      <c r="QL3" s="3"/>
      <c r="QM3" s="3"/>
      <c r="QN3" s="3"/>
      <c r="QO3" s="3"/>
      <c r="QP3" s="3"/>
      <c r="QQ3" s="3"/>
      <c r="QR3" s="3"/>
      <c r="QS3" s="3"/>
      <c r="QT3" s="3"/>
      <c r="QU3" s="3"/>
      <c r="QV3" s="3"/>
      <c r="QW3" s="3"/>
      <c r="QX3" s="3"/>
      <c r="QY3" s="3"/>
      <c r="QZ3" s="3"/>
      <c r="RA3" s="3"/>
      <c r="RB3" s="3"/>
      <c r="RC3" s="3"/>
      <c r="RD3" s="3"/>
      <c r="RE3" s="3"/>
      <c r="RF3" s="3"/>
      <c r="RG3" s="3"/>
      <c r="RH3" s="3"/>
      <c r="RI3" s="3"/>
      <c r="RJ3" s="3"/>
      <c r="RK3" s="3"/>
      <c r="RL3" s="3"/>
      <c r="RM3" s="3"/>
      <c r="RN3" s="3"/>
      <c r="RO3" s="3"/>
      <c r="RP3" s="3"/>
      <c r="RQ3" s="3"/>
      <c r="RR3" s="3"/>
      <c r="RS3" s="3"/>
      <c r="RT3" s="3"/>
      <c r="RU3" s="3"/>
      <c r="RV3" s="3"/>
      <c r="RW3" s="3"/>
      <c r="RX3" s="3"/>
      <c r="RY3" s="3"/>
      <c r="RZ3" s="3"/>
      <c r="SA3" s="3"/>
      <c r="SB3" s="3"/>
      <c r="SC3" s="3"/>
      <c r="SD3" s="3"/>
      <c r="SE3" s="3"/>
      <c r="SF3" s="3"/>
      <c r="SG3" s="3"/>
      <c r="SH3" s="3"/>
      <c r="SI3" s="3"/>
      <c r="SJ3" s="3"/>
      <c r="SK3" s="3"/>
      <c r="SL3" s="3"/>
      <c r="SM3" s="3"/>
      <c r="SN3" s="3"/>
      <c r="SO3" s="3"/>
      <c r="SP3" s="3"/>
      <c r="SQ3" s="3"/>
      <c r="SR3" s="3"/>
      <c r="SS3" s="3"/>
      <c r="ST3" s="3"/>
      <c r="SU3" s="3"/>
      <c r="SV3" s="3"/>
      <c r="SW3" s="3"/>
      <c r="SX3" s="3"/>
      <c r="SY3" s="3"/>
      <c r="SZ3" s="3"/>
      <c r="TA3" s="3"/>
      <c r="TB3" s="3"/>
      <c r="TC3" s="3"/>
      <c r="TD3" s="3"/>
      <c r="TE3" s="3"/>
      <c r="TF3" s="3"/>
      <c r="TG3" s="3"/>
      <c r="TH3" s="3"/>
      <c r="TI3" s="3"/>
      <c r="TJ3" s="3"/>
      <c r="TK3" s="3"/>
      <c r="TL3" s="3"/>
      <c r="TM3" s="3"/>
      <c r="TN3" s="3"/>
      <c r="TO3" s="3"/>
      <c r="TP3" s="3"/>
      <c r="TQ3" s="3"/>
      <c r="TR3" s="3"/>
      <c r="TS3" s="3"/>
      <c r="TT3" s="3"/>
      <c r="TU3" s="3"/>
      <c r="TV3" s="3"/>
      <c r="TW3" s="3"/>
      <c r="TX3" s="3"/>
      <c r="TY3" s="3"/>
      <c r="TZ3" s="3"/>
      <c r="UA3" s="3"/>
      <c r="UB3" s="3"/>
      <c r="UC3" s="3"/>
      <c r="UD3" s="3"/>
      <c r="UE3" s="3"/>
      <c r="UF3" s="3"/>
      <c r="UG3" s="3"/>
      <c r="UH3" s="3"/>
      <c r="UI3" s="3"/>
      <c r="UJ3" s="3"/>
      <c r="UK3" s="3"/>
      <c r="UL3" s="3"/>
      <c r="UM3" s="3"/>
      <c r="UN3" s="3"/>
      <c r="UO3" s="3"/>
      <c r="UP3" s="3"/>
      <c r="UQ3" s="3"/>
      <c r="UR3" s="3"/>
      <c r="US3" s="3"/>
      <c r="UT3" s="3"/>
      <c r="UU3" s="3"/>
      <c r="UV3" s="3"/>
      <c r="UW3" s="3"/>
      <c r="UX3" s="3"/>
      <c r="UY3" s="3"/>
      <c r="UZ3" s="3"/>
      <c r="VA3" s="3"/>
      <c r="VB3" s="3"/>
      <c r="VC3" s="3"/>
      <c r="VD3" s="3"/>
      <c r="VE3" s="3"/>
      <c r="VF3" s="3"/>
      <c r="VG3" s="3"/>
      <c r="VH3" s="3"/>
      <c r="VI3" s="3"/>
      <c r="VJ3" s="3"/>
      <c r="VK3" s="3"/>
      <c r="VL3" s="3"/>
      <c r="VM3" s="3"/>
      <c r="VN3" s="3"/>
      <c r="VO3" s="3"/>
      <c r="VP3" s="3"/>
      <c r="VQ3" s="3"/>
      <c r="VR3" s="3"/>
      <c r="VS3" s="3"/>
      <c r="VT3" s="3"/>
      <c r="VU3" s="3"/>
      <c r="VV3" s="3"/>
      <c r="VW3" s="3"/>
      <c r="VX3" s="3"/>
      <c r="VY3" s="3"/>
      <c r="VZ3" s="3"/>
      <c r="WA3" s="3"/>
      <c r="WB3" s="3"/>
      <c r="WC3" s="3"/>
      <c r="WD3" s="3"/>
      <c r="WE3" s="3"/>
      <c r="WF3" s="3"/>
      <c r="WG3" s="3"/>
      <c r="WH3" s="3"/>
      <c r="WI3" s="3"/>
      <c r="WJ3" s="3"/>
      <c r="WK3" s="3"/>
      <c r="WL3" s="3"/>
      <c r="WM3" s="3"/>
      <c r="WN3" s="3"/>
      <c r="WO3" s="3"/>
      <c r="WP3" s="3"/>
      <c r="WQ3" s="3"/>
      <c r="WR3" s="3"/>
      <c r="WS3" s="3"/>
      <c r="WT3" s="3"/>
      <c r="WU3" s="3"/>
      <c r="WV3" s="3"/>
      <c r="WW3" s="3"/>
      <c r="WX3" s="3"/>
      <c r="WY3" s="3"/>
      <c r="WZ3" s="3"/>
      <c r="XA3" s="3"/>
      <c r="XB3" s="3"/>
      <c r="XC3" s="3"/>
      <c r="XD3" s="3"/>
      <c r="XE3" s="3"/>
      <c r="XF3" s="3"/>
      <c r="XG3" s="3"/>
      <c r="XH3" s="3"/>
      <c r="XI3" s="3"/>
      <c r="XJ3" s="3"/>
      <c r="XK3" s="3"/>
      <c r="XL3" s="3"/>
      <c r="XM3" s="3"/>
      <c r="XN3" s="3"/>
      <c r="XO3" s="3"/>
      <c r="XP3" s="3"/>
      <c r="XQ3" s="3"/>
      <c r="XR3" s="3"/>
      <c r="XS3" s="3"/>
      <c r="XT3" s="3"/>
      <c r="XU3" s="3"/>
      <c r="XV3" s="3"/>
      <c r="XW3" s="3"/>
      <c r="XX3" s="3"/>
      <c r="XY3" s="3"/>
      <c r="XZ3" s="3"/>
      <c r="YA3" s="3"/>
      <c r="YB3" s="3"/>
      <c r="YC3" s="3"/>
      <c r="YD3" s="3"/>
      <c r="YE3" s="3"/>
      <c r="YF3" s="3"/>
      <c r="YG3" s="3"/>
      <c r="YH3" s="3"/>
      <c r="YI3" s="3"/>
      <c r="YJ3" s="3"/>
      <c r="YK3" s="3"/>
      <c r="YL3" s="3"/>
      <c r="YM3" s="3"/>
      <c r="YN3" s="3"/>
      <c r="YO3" s="3"/>
      <c r="YP3" s="3"/>
      <c r="YQ3" s="3"/>
      <c r="YR3" s="3"/>
      <c r="YS3" s="3"/>
      <c r="YT3" s="3"/>
      <c r="YU3" s="3"/>
      <c r="YV3" s="3"/>
      <c r="YW3" s="3"/>
      <c r="YX3" s="3"/>
      <c r="YY3" s="3"/>
      <c r="YZ3" s="3"/>
      <c r="ZA3" s="3"/>
      <c r="ZB3" s="3"/>
      <c r="ZC3" s="3"/>
      <c r="ZD3" s="3"/>
      <c r="ZE3" s="3"/>
      <c r="ZF3" s="3"/>
      <c r="ZG3" s="3"/>
      <c r="ZH3" s="3"/>
      <c r="ZI3" s="3"/>
      <c r="ZJ3" s="3"/>
      <c r="ZK3" s="3"/>
      <c r="ZL3" s="3"/>
      <c r="ZM3" s="3"/>
      <c r="ZN3" s="3"/>
      <c r="ZO3" s="3"/>
      <c r="ZP3" s="3"/>
      <c r="ZQ3" s="3"/>
      <c r="ZR3" s="3"/>
      <c r="ZS3" s="3"/>
      <c r="ZT3" s="3"/>
      <c r="ZU3" s="3"/>
      <c r="ZV3" s="3"/>
      <c r="ZW3" s="3"/>
      <c r="ZX3" s="3"/>
      <c r="ZY3" s="3"/>
      <c r="ZZ3" s="3"/>
      <c r="AAA3" s="3"/>
      <c r="AAB3" s="3"/>
      <c r="AAC3" s="3"/>
      <c r="AAD3" s="3"/>
      <c r="AAE3" s="3"/>
      <c r="AAF3" s="3"/>
      <c r="AAG3" s="3"/>
      <c r="AAH3" s="3"/>
      <c r="AAI3" s="3"/>
      <c r="AAJ3" s="3"/>
      <c r="AAK3" s="3"/>
      <c r="AAL3" s="3"/>
      <c r="AAM3" s="3"/>
      <c r="AAN3" s="3"/>
      <c r="AAO3" s="3"/>
      <c r="AAP3" s="3"/>
      <c r="AAQ3" s="3"/>
      <c r="AAR3" s="3"/>
      <c r="AAS3" s="3"/>
      <c r="AAT3" s="3"/>
      <c r="AAU3" s="3"/>
      <c r="AAV3" s="3"/>
      <c r="AAW3" s="3"/>
      <c r="AAX3" s="3"/>
      <c r="AAY3" s="3"/>
      <c r="AAZ3" s="3"/>
      <c r="ABA3" s="3"/>
      <c r="ABB3" s="3"/>
      <c r="ABC3" s="3"/>
      <c r="ABD3" s="3"/>
      <c r="ABE3" s="3"/>
      <c r="ABF3" s="3"/>
      <c r="ABG3" s="3"/>
      <c r="ABH3" s="3"/>
      <c r="ABI3" s="3"/>
      <c r="ABJ3" s="3"/>
      <c r="ABK3" s="3"/>
      <c r="ABL3" s="3"/>
      <c r="ABM3" s="3"/>
      <c r="ABN3" s="3"/>
      <c r="ABO3" s="3"/>
      <c r="ABP3" s="3"/>
      <c r="ABQ3" s="3"/>
      <c r="ABR3" s="3"/>
      <c r="ABS3" s="3"/>
      <c r="ABT3" s="3"/>
      <c r="ABU3" s="3"/>
      <c r="ABV3" s="3"/>
      <c r="ABW3" s="3"/>
      <c r="ABX3" s="3"/>
      <c r="ABY3" s="3"/>
      <c r="ABZ3" s="3"/>
      <c r="ACA3" s="3"/>
      <c r="ACB3" s="3"/>
      <c r="ACC3" s="3"/>
      <c r="ACD3" s="3"/>
      <c r="ACE3" s="3"/>
      <c r="ACF3" s="3"/>
      <c r="ACG3" s="3"/>
      <c r="ACH3" s="3"/>
      <c r="ACI3" s="3"/>
      <c r="ACJ3" s="3"/>
      <c r="ACK3" s="3"/>
      <c r="ACL3" s="3"/>
      <c r="ACM3" s="3"/>
      <c r="ACN3" s="3"/>
      <c r="ACO3" s="3"/>
      <c r="ACP3" s="3"/>
      <c r="ACQ3" s="3"/>
      <c r="ACR3" s="3"/>
      <c r="ACS3" s="3"/>
      <c r="ACT3" s="3"/>
      <c r="ACU3" s="3"/>
      <c r="ACV3" s="3"/>
      <c r="ACW3" s="3"/>
      <c r="ACX3" s="3"/>
      <c r="ACY3" s="3"/>
      <c r="ACZ3" s="3"/>
    </row>
    <row r="4" spans="1:780" ht="38.85" customHeight="1" x14ac:dyDescent="0.2">
      <c r="A4" s="1425"/>
      <c r="B4" s="1425"/>
      <c r="C4" s="1"/>
      <c r="D4" s="2"/>
      <c r="E4" s="1426"/>
      <c r="F4" s="1426"/>
      <c r="G4" s="1426"/>
      <c r="H4" s="1426"/>
      <c r="I4" s="2"/>
      <c r="J4" s="4"/>
      <c r="K4" s="4"/>
      <c r="L4" s="2"/>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3"/>
      <c r="CH4" s="3"/>
      <c r="CI4" s="3"/>
      <c r="CJ4" s="3"/>
      <c r="CK4" s="3"/>
      <c r="CL4" s="3"/>
      <c r="CM4" s="3"/>
      <c r="CN4" s="3"/>
      <c r="CO4" s="3"/>
      <c r="CP4" s="3"/>
      <c r="CQ4" s="3"/>
      <c r="CR4" s="3"/>
      <c r="CS4" s="3"/>
      <c r="CT4" s="3"/>
      <c r="CU4" s="3"/>
      <c r="CV4" s="3"/>
      <c r="CW4" s="3"/>
      <c r="CX4" s="3"/>
      <c r="CY4" s="3"/>
      <c r="CZ4" s="3"/>
      <c r="DA4" s="3"/>
      <c r="DB4" s="3"/>
      <c r="DC4" s="3"/>
      <c r="DD4" s="3"/>
      <c r="DE4" s="3"/>
      <c r="DF4" s="3"/>
      <c r="DG4" s="3"/>
      <c r="DH4" s="3"/>
      <c r="DI4" s="3"/>
      <c r="DJ4" s="3"/>
      <c r="DK4" s="3"/>
      <c r="DL4" s="3"/>
      <c r="DM4" s="3"/>
      <c r="DN4" s="3"/>
      <c r="DO4" s="3"/>
      <c r="DP4" s="3"/>
      <c r="DQ4" s="3"/>
      <c r="DR4" s="3"/>
      <c r="DS4" s="3"/>
      <c r="DT4" s="3"/>
      <c r="DU4" s="3"/>
      <c r="DV4" s="3"/>
      <c r="DW4" s="3"/>
      <c r="DX4" s="3"/>
      <c r="DY4" s="3"/>
      <c r="DZ4" s="3"/>
      <c r="EA4" s="3"/>
      <c r="EB4" s="3"/>
      <c r="EC4" s="3"/>
      <c r="ED4" s="3"/>
      <c r="EE4" s="3"/>
      <c r="EF4" s="3"/>
      <c r="EG4" s="3"/>
      <c r="EH4" s="3"/>
      <c r="EI4" s="3"/>
      <c r="EJ4" s="3"/>
      <c r="EK4" s="3"/>
      <c r="EL4" s="3"/>
      <c r="EM4" s="3"/>
      <c r="EN4" s="3"/>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c r="HF4" s="3"/>
      <c r="HG4" s="3"/>
      <c r="HH4" s="3"/>
      <c r="HI4" s="3"/>
      <c r="HJ4" s="3"/>
      <c r="HK4" s="3"/>
      <c r="HL4" s="3"/>
      <c r="HM4" s="3"/>
      <c r="HN4" s="3"/>
      <c r="HO4" s="3"/>
      <c r="HP4" s="3"/>
      <c r="HQ4" s="3"/>
      <c r="HR4" s="3"/>
      <c r="HS4" s="3"/>
      <c r="HT4" s="3"/>
      <c r="HU4" s="3"/>
      <c r="HV4" s="3"/>
      <c r="HW4" s="3"/>
      <c r="HX4" s="3"/>
      <c r="HY4" s="3"/>
      <c r="HZ4" s="3"/>
      <c r="IA4" s="3"/>
      <c r="IB4" s="3"/>
      <c r="IC4" s="3"/>
      <c r="ID4" s="3"/>
      <c r="IE4" s="3"/>
      <c r="IF4" s="3"/>
      <c r="IG4" s="3"/>
      <c r="IH4" s="3"/>
      <c r="II4" s="3"/>
      <c r="IJ4" s="3"/>
      <c r="IK4" s="3"/>
      <c r="IL4" s="3"/>
      <c r="IM4" s="3"/>
      <c r="IN4" s="3"/>
      <c r="IO4" s="3"/>
      <c r="IP4" s="3"/>
      <c r="IQ4" s="3"/>
      <c r="IR4" s="3"/>
      <c r="IS4" s="3"/>
      <c r="IT4" s="3"/>
      <c r="IU4" s="3"/>
      <c r="IV4" s="3"/>
      <c r="IW4" s="3"/>
      <c r="IX4" s="3"/>
      <c r="IY4" s="3"/>
      <c r="IZ4" s="3"/>
      <c r="JA4" s="3"/>
      <c r="JB4" s="3"/>
      <c r="JC4" s="3"/>
      <c r="JD4" s="3"/>
      <c r="JE4" s="3"/>
      <c r="JF4" s="3"/>
      <c r="JG4" s="3"/>
      <c r="JH4" s="3"/>
      <c r="JI4" s="3"/>
      <c r="JJ4" s="3"/>
      <c r="JK4" s="3"/>
      <c r="JL4" s="3"/>
      <c r="JM4" s="3"/>
      <c r="JN4" s="3"/>
      <c r="JO4" s="3"/>
      <c r="JP4" s="3"/>
      <c r="JQ4" s="3"/>
      <c r="JR4" s="3"/>
      <c r="JS4" s="3"/>
      <c r="JT4" s="3"/>
      <c r="JU4" s="3"/>
      <c r="JV4" s="3"/>
      <c r="JW4" s="3"/>
      <c r="JX4" s="3"/>
      <c r="JY4" s="3"/>
      <c r="JZ4" s="3"/>
      <c r="KA4" s="3"/>
      <c r="KB4" s="3"/>
      <c r="KC4" s="3"/>
      <c r="KD4" s="3"/>
      <c r="KE4" s="3"/>
      <c r="KF4" s="3"/>
      <c r="KG4" s="3"/>
      <c r="KH4" s="3"/>
      <c r="KI4" s="3"/>
      <c r="KJ4" s="3"/>
      <c r="KK4" s="3"/>
      <c r="KL4" s="3"/>
      <c r="KM4" s="3"/>
      <c r="KN4" s="3"/>
      <c r="KO4" s="3"/>
      <c r="KP4" s="3"/>
      <c r="KQ4" s="3"/>
      <c r="KR4" s="3"/>
      <c r="KS4" s="3"/>
      <c r="KT4" s="3"/>
      <c r="KU4" s="3"/>
      <c r="KV4" s="3"/>
      <c r="KW4" s="3"/>
      <c r="KX4" s="3"/>
      <c r="KY4" s="3"/>
      <c r="KZ4" s="3"/>
      <c r="LA4" s="3"/>
      <c r="LB4" s="3"/>
      <c r="LC4" s="3"/>
      <c r="LD4" s="3"/>
      <c r="LE4" s="3"/>
      <c r="LF4" s="3"/>
      <c r="LG4" s="3"/>
      <c r="LH4" s="3"/>
      <c r="LI4" s="3"/>
      <c r="LJ4" s="3"/>
      <c r="LK4" s="3"/>
      <c r="LL4" s="3"/>
      <c r="LM4" s="3"/>
      <c r="LN4" s="3"/>
      <c r="LO4" s="3"/>
      <c r="LP4" s="3"/>
      <c r="LQ4" s="3"/>
      <c r="LR4" s="3"/>
      <c r="LS4" s="3"/>
      <c r="LT4" s="3"/>
      <c r="LU4" s="3"/>
      <c r="LV4" s="3"/>
      <c r="LW4" s="3"/>
      <c r="LX4" s="3"/>
      <c r="LY4" s="3"/>
      <c r="LZ4" s="3"/>
      <c r="MA4" s="3"/>
      <c r="MB4" s="3"/>
      <c r="MC4" s="3"/>
      <c r="MD4" s="3"/>
      <c r="ME4" s="3"/>
      <c r="MF4" s="3"/>
      <c r="MG4" s="3"/>
      <c r="MH4" s="3"/>
      <c r="MI4" s="3"/>
      <c r="MJ4" s="3"/>
      <c r="MK4" s="3"/>
      <c r="ML4" s="3"/>
      <c r="MM4" s="3"/>
      <c r="MN4" s="3"/>
      <c r="MO4" s="3"/>
      <c r="MP4" s="3"/>
      <c r="MQ4" s="3"/>
      <c r="MR4" s="3"/>
      <c r="MS4" s="3"/>
      <c r="MT4" s="3"/>
      <c r="MU4" s="3"/>
      <c r="MV4" s="3"/>
      <c r="MW4" s="3"/>
      <c r="MX4" s="3"/>
      <c r="MY4" s="3"/>
      <c r="MZ4" s="3"/>
      <c r="NA4" s="3"/>
      <c r="NB4" s="3"/>
      <c r="NC4" s="3"/>
      <c r="ND4" s="3"/>
      <c r="NE4" s="3"/>
      <c r="NF4" s="3"/>
      <c r="NG4" s="3"/>
      <c r="NH4" s="3"/>
      <c r="NI4" s="3"/>
      <c r="NJ4" s="3"/>
      <c r="NK4" s="3"/>
      <c r="NL4" s="3"/>
      <c r="NM4" s="3"/>
      <c r="NN4" s="3"/>
      <c r="NO4" s="3"/>
      <c r="NP4" s="3"/>
      <c r="NQ4" s="3"/>
      <c r="NR4" s="3"/>
      <c r="NS4" s="3"/>
      <c r="NT4" s="3"/>
      <c r="NU4" s="3"/>
      <c r="NV4" s="3"/>
      <c r="NW4" s="3"/>
      <c r="NX4" s="3"/>
      <c r="NY4" s="3"/>
      <c r="NZ4" s="3"/>
      <c r="OA4" s="3"/>
      <c r="OB4" s="3"/>
      <c r="OC4" s="3"/>
      <c r="OD4" s="3"/>
      <c r="OE4" s="3"/>
      <c r="OF4" s="3"/>
      <c r="OG4" s="3"/>
      <c r="OH4" s="3"/>
      <c r="OI4" s="3"/>
      <c r="OJ4" s="3"/>
      <c r="OK4" s="3"/>
      <c r="OL4" s="3"/>
      <c r="OM4" s="3"/>
      <c r="ON4" s="3"/>
      <c r="OO4" s="3"/>
      <c r="OP4" s="3"/>
      <c r="OQ4" s="3"/>
      <c r="OR4" s="3"/>
      <c r="OS4" s="3"/>
      <c r="OT4" s="3"/>
      <c r="OU4" s="3"/>
      <c r="OV4" s="3"/>
      <c r="OW4" s="3"/>
      <c r="OX4" s="3"/>
      <c r="OY4" s="3"/>
      <c r="OZ4" s="3"/>
      <c r="PA4" s="3"/>
      <c r="PB4" s="3"/>
      <c r="PC4" s="3"/>
      <c r="PD4" s="3"/>
      <c r="PE4" s="3"/>
      <c r="PF4" s="3"/>
      <c r="PG4" s="3"/>
      <c r="PH4" s="3"/>
      <c r="PI4" s="3"/>
      <c r="PJ4" s="3"/>
      <c r="PK4" s="3"/>
      <c r="PL4" s="3"/>
      <c r="PM4" s="3"/>
      <c r="PN4" s="3"/>
      <c r="PO4" s="3"/>
      <c r="PP4" s="3"/>
      <c r="PQ4" s="3"/>
      <c r="PR4" s="3"/>
      <c r="PS4" s="3"/>
      <c r="PT4" s="3"/>
      <c r="PU4" s="3"/>
      <c r="PV4" s="3"/>
      <c r="PW4" s="3"/>
      <c r="PX4" s="3"/>
      <c r="PY4" s="3"/>
      <c r="PZ4" s="3"/>
      <c r="QA4" s="3"/>
      <c r="QB4" s="3"/>
      <c r="QC4" s="3"/>
      <c r="QD4" s="3"/>
      <c r="QE4" s="3"/>
      <c r="QF4" s="3"/>
      <c r="QG4" s="3"/>
      <c r="QH4" s="3"/>
      <c r="QI4" s="3"/>
      <c r="QJ4" s="3"/>
      <c r="QK4" s="3"/>
      <c r="QL4" s="3"/>
      <c r="QM4" s="3"/>
      <c r="QN4" s="3"/>
      <c r="QO4" s="3"/>
      <c r="QP4" s="3"/>
      <c r="QQ4" s="3"/>
      <c r="QR4" s="3"/>
      <c r="QS4" s="3"/>
      <c r="QT4" s="3"/>
      <c r="QU4" s="3"/>
      <c r="QV4" s="3"/>
      <c r="QW4" s="3"/>
      <c r="QX4" s="3"/>
      <c r="QY4" s="3"/>
      <c r="QZ4" s="3"/>
      <c r="RA4" s="3"/>
      <c r="RB4" s="3"/>
      <c r="RC4" s="3"/>
      <c r="RD4" s="3"/>
      <c r="RE4" s="3"/>
      <c r="RF4" s="3"/>
      <c r="RG4" s="3"/>
      <c r="RH4" s="3"/>
      <c r="RI4" s="3"/>
      <c r="RJ4" s="3"/>
      <c r="RK4" s="3"/>
      <c r="RL4" s="3"/>
      <c r="RM4" s="3"/>
      <c r="RN4" s="3"/>
      <c r="RO4" s="3"/>
      <c r="RP4" s="3"/>
      <c r="RQ4" s="3"/>
      <c r="RR4" s="3"/>
      <c r="RS4" s="3"/>
      <c r="RT4" s="3"/>
      <c r="RU4" s="3"/>
      <c r="RV4" s="3"/>
      <c r="RW4" s="3"/>
      <c r="RX4" s="3"/>
      <c r="RY4" s="3"/>
      <c r="RZ4" s="3"/>
      <c r="SA4" s="3"/>
      <c r="SB4" s="3"/>
      <c r="SC4" s="3"/>
      <c r="SD4" s="3"/>
      <c r="SE4" s="3"/>
      <c r="SF4" s="3"/>
      <c r="SG4" s="3"/>
      <c r="SH4" s="3"/>
      <c r="SI4" s="3"/>
      <c r="SJ4" s="3"/>
      <c r="SK4" s="3"/>
      <c r="SL4" s="3"/>
      <c r="SM4" s="3"/>
      <c r="SN4" s="3"/>
      <c r="SO4" s="3"/>
      <c r="SP4" s="3"/>
      <c r="SQ4" s="3"/>
      <c r="SR4" s="3"/>
      <c r="SS4" s="3"/>
      <c r="ST4" s="3"/>
      <c r="SU4" s="3"/>
      <c r="SV4" s="3"/>
      <c r="SW4" s="3"/>
      <c r="SX4" s="3"/>
      <c r="SY4" s="3"/>
      <c r="SZ4" s="3"/>
      <c r="TA4" s="3"/>
      <c r="TB4" s="3"/>
      <c r="TC4" s="3"/>
      <c r="TD4" s="3"/>
      <c r="TE4" s="3"/>
      <c r="TF4" s="3"/>
      <c r="TG4" s="3"/>
      <c r="TH4" s="3"/>
      <c r="TI4" s="3"/>
      <c r="TJ4" s="3"/>
      <c r="TK4" s="3"/>
      <c r="TL4" s="3"/>
      <c r="TM4" s="3"/>
      <c r="TN4" s="3"/>
      <c r="TO4" s="3"/>
      <c r="TP4" s="3"/>
      <c r="TQ4" s="3"/>
      <c r="TR4" s="3"/>
      <c r="TS4" s="3"/>
      <c r="TT4" s="3"/>
      <c r="TU4" s="3"/>
      <c r="TV4" s="3"/>
      <c r="TW4" s="3"/>
      <c r="TX4" s="3"/>
      <c r="TY4" s="3"/>
      <c r="TZ4" s="3"/>
      <c r="UA4" s="3"/>
      <c r="UB4" s="3"/>
      <c r="UC4" s="3"/>
      <c r="UD4" s="3"/>
      <c r="UE4" s="3"/>
      <c r="UF4" s="3"/>
      <c r="UG4" s="3"/>
      <c r="UH4" s="3"/>
      <c r="UI4" s="3"/>
      <c r="UJ4" s="3"/>
      <c r="UK4" s="3"/>
      <c r="UL4" s="3"/>
      <c r="UM4" s="3"/>
      <c r="UN4" s="3"/>
      <c r="UO4" s="3"/>
      <c r="UP4" s="3"/>
      <c r="UQ4" s="3"/>
      <c r="UR4" s="3"/>
      <c r="US4" s="3"/>
      <c r="UT4" s="3"/>
      <c r="UU4" s="3"/>
      <c r="UV4" s="3"/>
      <c r="UW4" s="3"/>
      <c r="UX4" s="3"/>
      <c r="UY4" s="3"/>
      <c r="UZ4" s="3"/>
      <c r="VA4" s="3"/>
      <c r="VB4" s="3"/>
      <c r="VC4" s="3"/>
      <c r="VD4" s="3"/>
      <c r="VE4" s="3"/>
      <c r="VF4" s="3"/>
      <c r="VG4" s="3"/>
      <c r="VH4" s="3"/>
      <c r="VI4" s="3"/>
      <c r="VJ4" s="3"/>
      <c r="VK4" s="3"/>
      <c r="VL4" s="3"/>
      <c r="VM4" s="3"/>
      <c r="VN4" s="3"/>
      <c r="VO4" s="3"/>
      <c r="VP4" s="3"/>
      <c r="VQ4" s="3"/>
      <c r="VR4" s="3"/>
      <c r="VS4" s="3"/>
      <c r="VT4" s="3"/>
      <c r="VU4" s="3"/>
      <c r="VV4" s="3"/>
      <c r="VW4" s="3"/>
      <c r="VX4" s="3"/>
      <c r="VY4" s="3"/>
      <c r="VZ4" s="3"/>
      <c r="WA4" s="3"/>
      <c r="WB4" s="3"/>
      <c r="WC4" s="3"/>
      <c r="WD4" s="3"/>
      <c r="WE4" s="3"/>
      <c r="WF4" s="3"/>
      <c r="WG4" s="3"/>
      <c r="WH4" s="3"/>
      <c r="WI4" s="3"/>
      <c r="WJ4" s="3"/>
      <c r="WK4" s="3"/>
      <c r="WL4" s="3"/>
      <c r="WM4" s="3"/>
      <c r="WN4" s="3"/>
      <c r="WO4" s="3"/>
      <c r="WP4" s="3"/>
      <c r="WQ4" s="3"/>
      <c r="WR4" s="3"/>
      <c r="WS4" s="3"/>
      <c r="WT4" s="3"/>
      <c r="WU4" s="3"/>
      <c r="WV4" s="3"/>
      <c r="WW4" s="3"/>
      <c r="WX4" s="3"/>
      <c r="WY4" s="3"/>
      <c r="WZ4" s="3"/>
      <c r="XA4" s="3"/>
      <c r="XB4" s="3"/>
      <c r="XC4" s="3"/>
      <c r="XD4" s="3"/>
      <c r="XE4" s="3"/>
      <c r="XF4" s="3"/>
      <c r="XG4" s="3"/>
      <c r="XH4" s="3"/>
      <c r="XI4" s="3"/>
      <c r="XJ4" s="3"/>
      <c r="XK4" s="3"/>
      <c r="XL4" s="3"/>
      <c r="XM4" s="3"/>
      <c r="XN4" s="3"/>
      <c r="XO4" s="3"/>
      <c r="XP4" s="3"/>
      <c r="XQ4" s="3"/>
      <c r="XR4" s="3"/>
      <c r="XS4" s="3"/>
      <c r="XT4" s="3"/>
      <c r="XU4" s="3"/>
      <c r="XV4" s="3"/>
      <c r="XW4" s="3"/>
      <c r="XX4" s="3"/>
      <c r="XY4" s="3"/>
      <c r="XZ4" s="3"/>
      <c r="YA4" s="3"/>
      <c r="YB4" s="3"/>
      <c r="YC4" s="3"/>
      <c r="YD4" s="3"/>
      <c r="YE4" s="3"/>
      <c r="YF4" s="3"/>
      <c r="YG4" s="3"/>
      <c r="YH4" s="3"/>
      <c r="YI4" s="3"/>
      <c r="YJ4" s="3"/>
      <c r="YK4" s="3"/>
      <c r="YL4" s="3"/>
      <c r="YM4" s="3"/>
      <c r="YN4" s="3"/>
      <c r="YO4" s="3"/>
      <c r="YP4" s="3"/>
      <c r="YQ4" s="3"/>
      <c r="YR4" s="3"/>
      <c r="YS4" s="3"/>
      <c r="YT4" s="3"/>
      <c r="YU4" s="3"/>
      <c r="YV4" s="3"/>
      <c r="YW4" s="3"/>
      <c r="YX4" s="3"/>
      <c r="YY4" s="3"/>
      <c r="YZ4" s="3"/>
      <c r="ZA4" s="3"/>
      <c r="ZB4" s="3"/>
      <c r="ZC4" s="3"/>
      <c r="ZD4" s="3"/>
      <c r="ZE4" s="3"/>
      <c r="ZF4" s="3"/>
      <c r="ZG4" s="3"/>
      <c r="ZH4" s="3"/>
      <c r="ZI4" s="3"/>
      <c r="ZJ4" s="3"/>
      <c r="ZK4" s="3"/>
      <c r="ZL4" s="3"/>
      <c r="ZM4" s="3"/>
      <c r="ZN4" s="3"/>
      <c r="ZO4" s="3"/>
      <c r="ZP4" s="3"/>
      <c r="ZQ4" s="3"/>
      <c r="ZR4" s="3"/>
      <c r="ZS4" s="3"/>
      <c r="ZT4" s="3"/>
      <c r="ZU4" s="3"/>
      <c r="ZV4" s="3"/>
      <c r="ZW4" s="3"/>
      <c r="ZX4" s="3"/>
      <c r="ZY4" s="3"/>
      <c r="ZZ4" s="3"/>
      <c r="AAA4" s="3"/>
      <c r="AAB4" s="3"/>
      <c r="AAC4" s="3"/>
      <c r="AAD4" s="3"/>
      <c r="AAE4" s="3"/>
      <c r="AAF4" s="3"/>
      <c r="AAG4" s="3"/>
      <c r="AAH4" s="3"/>
      <c r="AAI4" s="3"/>
      <c r="AAJ4" s="3"/>
      <c r="AAK4" s="3"/>
      <c r="AAL4" s="3"/>
      <c r="AAM4" s="3"/>
      <c r="AAN4" s="3"/>
      <c r="AAO4" s="3"/>
      <c r="AAP4" s="3"/>
      <c r="AAQ4" s="3"/>
      <c r="AAR4" s="3"/>
      <c r="AAS4" s="3"/>
      <c r="AAT4" s="3"/>
      <c r="AAU4" s="3"/>
      <c r="AAV4" s="3"/>
      <c r="AAW4" s="3"/>
      <c r="AAX4" s="3"/>
      <c r="AAY4" s="3"/>
      <c r="AAZ4" s="3"/>
      <c r="ABA4" s="3"/>
      <c r="ABB4" s="3"/>
      <c r="ABC4" s="3"/>
      <c r="ABD4" s="3"/>
      <c r="ABE4" s="3"/>
      <c r="ABF4" s="3"/>
      <c r="ABG4" s="3"/>
      <c r="ABH4" s="3"/>
      <c r="ABI4" s="3"/>
      <c r="ABJ4" s="3"/>
      <c r="ABK4" s="3"/>
      <c r="ABL4" s="3"/>
      <c r="ABM4" s="3"/>
      <c r="ABN4" s="3"/>
      <c r="ABO4" s="3"/>
      <c r="ABP4" s="3"/>
      <c r="ABQ4" s="3"/>
      <c r="ABR4" s="3"/>
      <c r="ABS4" s="3"/>
      <c r="ABT4" s="3"/>
      <c r="ABU4" s="3"/>
      <c r="ABV4" s="3"/>
      <c r="ABW4" s="3"/>
      <c r="ABX4" s="3"/>
      <c r="ABY4" s="3"/>
      <c r="ABZ4" s="3"/>
      <c r="ACA4" s="3"/>
      <c r="ACB4" s="3"/>
      <c r="ACC4" s="3"/>
      <c r="ACD4" s="3"/>
      <c r="ACE4" s="3"/>
      <c r="ACF4" s="3"/>
      <c r="ACG4" s="3"/>
      <c r="ACH4" s="3"/>
      <c r="ACI4" s="3"/>
      <c r="ACJ4" s="3"/>
      <c r="ACK4" s="3"/>
      <c r="ACL4" s="3"/>
      <c r="ACM4" s="3"/>
      <c r="ACN4" s="3"/>
      <c r="ACO4" s="3"/>
      <c r="ACP4" s="3"/>
      <c r="ACQ4" s="3"/>
      <c r="ACR4" s="3"/>
      <c r="ACS4" s="3"/>
      <c r="ACT4" s="3"/>
      <c r="ACU4" s="3"/>
      <c r="ACV4" s="3"/>
      <c r="ACW4" s="3"/>
      <c r="ACX4" s="3"/>
      <c r="ACY4" s="3"/>
      <c r="ACZ4" s="3"/>
    </row>
    <row r="5" spans="1:780" ht="38.1" customHeight="1" x14ac:dyDescent="0.25">
      <c r="A5" s="5"/>
      <c r="B5" s="5"/>
      <c r="C5" s="1"/>
      <c r="D5" s="2"/>
      <c r="E5" s="6"/>
      <c r="F5" s="6"/>
      <c r="G5" s="6"/>
      <c r="H5" s="6"/>
      <c r="I5" s="2"/>
      <c r="J5" s="4"/>
      <c r="K5" s="4"/>
      <c r="L5" s="2"/>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c r="IR5" s="3"/>
      <c r="IS5" s="3"/>
      <c r="IT5" s="3"/>
      <c r="IU5" s="3"/>
      <c r="IV5" s="3"/>
      <c r="IW5" s="3"/>
      <c r="IX5" s="3"/>
      <c r="IY5" s="3"/>
      <c r="IZ5" s="3"/>
      <c r="JA5" s="3"/>
      <c r="JB5" s="3"/>
      <c r="JC5" s="3"/>
      <c r="JD5" s="3"/>
      <c r="JE5" s="3"/>
      <c r="JF5" s="3"/>
      <c r="JG5" s="3"/>
      <c r="JH5" s="3"/>
      <c r="JI5" s="3"/>
      <c r="JJ5" s="3"/>
      <c r="JK5" s="3"/>
      <c r="JL5" s="3"/>
      <c r="JM5" s="3"/>
      <c r="JN5" s="3"/>
      <c r="JO5" s="3"/>
      <c r="JP5" s="3"/>
      <c r="JQ5" s="3"/>
      <c r="JR5" s="3"/>
      <c r="JS5" s="3"/>
      <c r="JT5" s="3"/>
      <c r="JU5" s="3"/>
      <c r="JV5" s="3"/>
      <c r="JW5" s="3"/>
      <c r="JX5" s="3"/>
      <c r="JY5" s="3"/>
      <c r="JZ5" s="3"/>
      <c r="KA5" s="3"/>
      <c r="KB5" s="3"/>
      <c r="KC5" s="3"/>
      <c r="KD5" s="3"/>
      <c r="KE5" s="3"/>
      <c r="KF5" s="3"/>
      <c r="KG5" s="3"/>
      <c r="KH5" s="3"/>
      <c r="KI5" s="3"/>
      <c r="KJ5" s="3"/>
      <c r="KK5" s="3"/>
      <c r="KL5" s="3"/>
      <c r="KM5" s="3"/>
      <c r="KN5" s="3"/>
      <c r="KO5" s="3"/>
      <c r="KP5" s="3"/>
      <c r="KQ5" s="3"/>
      <c r="KR5" s="3"/>
      <c r="KS5" s="3"/>
      <c r="KT5" s="3"/>
      <c r="KU5" s="3"/>
      <c r="KV5" s="3"/>
      <c r="KW5" s="3"/>
      <c r="KX5" s="3"/>
      <c r="KY5" s="3"/>
      <c r="KZ5" s="3"/>
      <c r="LA5" s="3"/>
      <c r="LB5" s="3"/>
      <c r="LC5" s="3"/>
      <c r="LD5" s="3"/>
      <c r="LE5" s="3"/>
      <c r="LF5" s="3"/>
      <c r="LG5" s="3"/>
      <c r="LH5" s="3"/>
      <c r="LI5" s="3"/>
      <c r="LJ5" s="3"/>
      <c r="LK5" s="3"/>
      <c r="LL5" s="3"/>
      <c r="LM5" s="3"/>
      <c r="LN5" s="3"/>
      <c r="LO5" s="3"/>
      <c r="LP5" s="3"/>
      <c r="LQ5" s="3"/>
      <c r="LR5" s="3"/>
      <c r="LS5" s="3"/>
      <c r="LT5" s="3"/>
      <c r="LU5" s="3"/>
      <c r="LV5" s="3"/>
      <c r="LW5" s="3"/>
      <c r="LX5" s="3"/>
      <c r="LY5" s="3"/>
      <c r="LZ5" s="3"/>
      <c r="MA5" s="3"/>
      <c r="MB5" s="3"/>
      <c r="MC5" s="3"/>
      <c r="MD5" s="3"/>
      <c r="ME5" s="3"/>
      <c r="MF5" s="3"/>
      <c r="MG5" s="3"/>
      <c r="MH5" s="3"/>
      <c r="MI5" s="3"/>
      <c r="MJ5" s="3"/>
      <c r="MK5" s="3"/>
      <c r="ML5" s="3"/>
      <c r="MM5" s="3"/>
      <c r="MN5" s="3"/>
      <c r="MO5" s="3"/>
      <c r="MP5" s="3"/>
      <c r="MQ5" s="3"/>
      <c r="MR5" s="3"/>
      <c r="MS5" s="3"/>
      <c r="MT5" s="3"/>
      <c r="MU5" s="3"/>
      <c r="MV5" s="3"/>
      <c r="MW5" s="3"/>
      <c r="MX5" s="3"/>
      <c r="MY5" s="3"/>
      <c r="MZ5" s="3"/>
      <c r="NA5" s="3"/>
      <c r="NB5" s="3"/>
      <c r="NC5" s="3"/>
      <c r="ND5" s="3"/>
      <c r="NE5" s="3"/>
      <c r="NF5" s="3"/>
      <c r="NG5" s="3"/>
      <c r="NH5" s="3"/>
      <c r="NI5" s="3"/>
      <c r="NJ5" s="3"/>
      <c r="NK5" s="3"/>
      <c r="NL5" s="3"/>
      <c r="NM5" s="3"/>
      <c r="NN5" s="3"/>
      <c r="NO5" s="3"/>
      <c r="NP5" s="3"/>
      <c r="NQ5" s="3"/>
      <c r="NR5" s="3"/>
      <c r="NS5" s="3"/>
      <c r="NT5" s="3"/>
      <c r="NU5" s="3"/>
      <c r="NV5" s="3"/>
      <c r="NW5" s="3"/>
      <c r="NX5" s="3"/>
      <c r="NY5" s="3"/>
      <c r="NZ5" s="3"/>
      <c r="OA5" s="3"/>
      <c r="OB5" s="3"/>
      <c r="OC5" s="3"/>
      <c r="OD5" s="3"/>
      <c r="OE5" s="3"/>
      <c r="OF5" s="3"/>
      <c r="OG5" s="3"/>
      <c r="OH5" s="3"/>
      <c r="OI5" s="3"/>
      <c r="OJ5" s="3"/>
      <c r="OK5" s="3"/>
      <c r="OL5" s="3"/>
      <c r="OM5" s="3"/>
      <c r="ON5" s="3"/>
      <c r="OO5" s="3"/>
      <c r="OP5" s="3"/>
      <c r="OQ5" s="3"/>
      <c r="OR5" s="3"/>
      <c r="OS5" s="3"/>
      <c r="OT5" s="3"/>
      <c r="OU5" s="3"/>
      <c r="OV5" s="3"/>
      <c r="OW5" s="3"/>
      <c r="OX5" s="3"/>
      <c r="OY5" s="3"/>
      <c r="OZ5" s="3"/>
      <c r="PA5" s="3"/>
      <c r="PB5" s="3"/>
      <c r="PC5" s="3"/>
      <c r="PD5" s="3"/>
      <c r="PE5" s="3"/>
      <c r="PF5" s="3"/>
      <c r="PG5" s="3"/>
      <c r="PH5" s="3"/>
      <c r="PI5" s="3"/>
      <c r="PJ5" s="3"/>
      <c r="PK5" s="3"/>
      <c r="PL5" s="3"/>
      <c r="PM5" s="3"/>
      <c r="PN5" s="3"/>
      <c r="PO5" s="3"/>
      <c r="PP5" s="3"/>
      <c r="PQ5" s="3"/>
      <c r="PR5" s="3"/>
      <c r="PS5" s="3"/>
      <c r="PT5" s="3"/>
      <c r="PU5" s="3"/>
      <c r="PV5" s="3"/>
      <c r="PW5" s="3"/>
      <c r="PX5" s="3"/>
      <c r="PY5" s="3"/>
      <c r="PZ5" s="3"/>
      <c r="QA5" s="3"/>
      <c r="QB5" s="3"/>
      <c r="QC5" s="3"/>
      <c r="QD5" s="3"/>
      <c r="QE5" s="3"/>
      <c r="QF5" s="3"/>
      <c r="QG5" s="3"/>
      <c r="QH5" s="3"/>
      <c r="QI5" s="3"/>
      <c r="QJ5" s="3"/>
      <c r="QK5" s="3"/>
      <c r="QL5" s="3"/>
      <c r="QM5" s="3"/>
      <c r="QN5" s="3"/>
      <c r="QO5" s="3"/>
      <c r="QP5" s="3"/>
      <c r="QQ5" s="3"/>
      <c r="QR5" s="3"/>
      <c r="QS5" s="3"/>
      <c r="QT5" s="3"/>
      <c r="QU5" s="3"/>
      <c r="QV5" s="3"/>
      <c r="QW5" s="3"/>
      <c r="QX5" s="3"/>
      <c r="QY5" s="3"/>
      <c r="QZ5" s="3"/>
      <c r="RA5" s="3"/>
      <c r="RB5" s="3"/>
      <c r="RC5" s="3"/>
      <c r="RD5" s="3"/>
      <c r="RE5" s="3"/>
      <c r="RF5" s="3"/>
      <c r="RG5" s="3"/>
      <c r="RH5" s="3"/>
      <c r="RI5" s="3"/>
      <c r="RJ5" s="3"/>
      <c r="RK5" s="3"/>
      <c r="RL5" s="3"/>
      <c r="RM5" s="3"/>
      <c r="RN5" s="3"/>
      <c r="RO5" s="3"/>
      <c r="RP5" s="3"/>
      <c r="RQ5" s="3"/>
      <c r="RR5" s="3"/>
      <c r="RS5" s="3"/>
      <c r="RT5" s="3"/>
      <c r="RU5" s="3"/>
      <c r="RV5" s="3"/>
      <c r="RW5" s="3"/>
      <c r="RX5" s="3"/>
      <c r="RY5" s="3"/>
      <c r="RZ5" s="3"/>
      <c r="SA5" s="3"/>
      <c r="SB5" s="3"/>
      <c r="SC5" s="3"/>
      <c r="SD5" s="3"/>
      <c r="SE5" s="3"/>
      <c r="SF5" s="3"/>
      <c r="SG5" s="3"/>
      <c r="SH5" s="3"/>
      <c r="SI5" s="3"/>
      <c r="SJ5" s="3"/>
      <c r="SK5" s="3"/>
      <c r="SL5" s="3"/>
      <c r="SM5" s="3"/>
      <c r="SN5" s="3"/>
      <c r="SO5" s="3"/>
      <c r="SP5" s="3"/>
      <c r="SQ5" s="3"/>
      <c r="SR5" s="3"/>
      <c r="SS5" s="3"/>
      <c r="ST5" s="3"/>
      <c r="SU5" s="3"/>
      <c r="SV5" s="3"/>
      <c r="SW5" s="3"/>
      <c r="SX5" s="3"/>
      <c r="SY5" s="3"/>
      <c r="SZ5" s="3"/>
      <c r="TA5" s="3"/>
      <c r="TB5" s="3"/>
      <c r="TC5" s="3"/>
      <c r="TD5" s="3"/>
      <c r="TE5" s="3"/>
      <c r="TF5" s="3"/>
      <c r="TG5" s="3"/>
      <c r="TH5" s="3"/>
      <c r="TI5" s="3"/>
      <c r="TJ5" s="3"/>
      <c r="TK5" s="3"/>
      <c r="TL5" s="3"/>
      <c r="TM5" s="3"/>
      <c r="TN5" s="3"/>
      <c r="TO5" s="3"/>
      <c r="TP5" s="3"/>
      <c r="TQ5" s="3"/>
      <c r="TR5" s="3"/>
      <c r="TS5" s="3"/>
      <c r="TT5" s="3"/>
      <c r="TU5" s="3"/>
      <c r="TV5" s="3"/>
      <c r="TW5" s="3"/>
      <c r="TX5" s="3"/>
      <c r="TY5" s="3"/>
      <c r="TZ5" s="3"/>
      <c r="UA5" s="3"/>
      <c r="UB5" s="3"/>
      <c r="UC5" s="3"/>
      <c r="UD5" s="3"/>
      <c r="UE5" s="3"/>
      <c r="UF5" s="3"/>
      <c r="UG5" s="3"/>
      <c r="UH5" s="3"/>
      <c r="UI5" s="3"/>
      <c r="UJ5" s="3"/>
      <c r="UK5" s="3"/>
      <c r="UL5" s="3"/>
      <c r="UM5" s="3"/>
      <c r="UN5" s="3"/>
      <c r="UO5" s="3"/>
      <c r="UP5" s="3"/>
      <c r="UQ5" s="3"/>
      <c r="UR5" s="3"/>
      <c r="US5" s="3"/>
      <c r="UT5" s="3"/>
      <c r="UU5" s="3"/>
      <c r="UV5" s="3"/>
      <c r="UW5" s="3"/>
      <c r="UX5" s="3"/>
      <c r="UY5" s="3"/>
      <c r="UZ5" s="3"/>
      <c r="VA5" s="3"/>
      <c r="VB5" s="3"/>
      <c r="VC5" s="3"/>
      <c r="VD5" s="3"/>
      <c r="VE5" s="3"/>
      <c r="VF5" s="3"/>
      <c r="VG5" s="3"/>
      <c r="VH5" s="3"/>
      <c r="VI5" s="3"/>
      <c r="VJ5" s="3"/>
      <c r="VK5" s="3"/>
      <c r="VL5" s="3"/>
      <c r="VM5" s="3"/>
      <c r="VN5" s="3"/>
      <c r="VO5" s="3"/>
      <c r="VP5" s="3"/>
      <c r="VQ5" s="3"/>
      <c r="VR5" s="3"/>
      <c r="VS5" s="3"/>
      <c r="VT5" s="3"/>
      <c r="VU5" s="3"/>
      <c r="VV5" s="3"/>
      <c r="VW5" s="3"/>
      <c r="VX5" s="3"/>
      <c r="VY5" s="3"/>
      <c r="VZ5" s="3"/>
      <c r="WA5" s="3"/>
      <c r="WB5" s="3"/>
      <c r="WC5" s="3"/>
      <c r="WD5" s="3"/>
      <c r="WE5" s="3"/>
      <c r="WF5" s="3"/>
      <c r="WG5" s="3"/>
      <c r="WH5" s="3"/>
      <c r="WI5" s="3"/>
      <c r="WJ5" s="3"/>
      <c r="WK5" s="3"/>
      <c r="WL5" s="3"/>
      <c r="WM5" s="3"/>
      <c r="WN5" s="3"/>
      <c r="WO5" s="3"/>
      <c r="WP5" s="3"/>
      <c r="WQ5" s="3"/>
      <c r="WR5" s="3"/>
      <c r="WS5" s="3"/>
      <c r="WT5" s="3"/>
      <c r="WU5" s="3"/>
      <c r="WV5" s="3"/>
      <c r="WW5" s="3"/>
      <c r="WX5" s="3"/>
      <c r="WY5" s="3"/>
      <c r="WZ5" s="3"/>
      <c r="XA5" s="3"/>
      <c r="XB5" s="3"/>
      <c r="XC5" s="3"/>
      <c r="XD5" s="3"/>
      <c r="XE5" s="3"/>
      <c r="XF5" s="3"/>
      <c r="XG5" s="3"/>
      <c r="XH5" s="3"/>
      <c r="XI5" s="3"/>
      <c r="XJ5" s="3"/>
      <c r="XK5" s="3"/>
      <c r="XL5" s="3"/>
      <c r="XM5" s="3"/>
      <c r="XN5" s="3"/>
      <c r="XO5" s="3"/>
      <c r="XP5" s="3"/>
      <c r="XQ5" s="3"/>
      <c r="XR5" s="3"/>
      <c r="XS5" s="3"/>
      <c r="XT5" s="3"/>
      <c r="XU5" s="3"/>
      <c r="XV5" s="3"/>
      <c r="XW5" s="3"/>
      <c r="XX5" s="3"/>
      <c r="XY5" s="3"/>
      <c r="XZ5" s="3"/>
      <c r="YA5" s="3"/>
      <c r="YB5" s="3"/>
      <c r="YC5" s="3"/>
      <c r="YD5" s="3"/>
      <c r="YE5" s="3"/>
      <c r="YF5" s="3"/>
      <c r="YG5" s="3"/>
      <c r="YH5" s="3"/>
      <c r="YI5" s="3"/>
      <c r="YJ5" s="3"/>
      <c r="YK5" s="3"/>
      <c r="YL5" s="3"/>
      <c r="YM5" s="3"/>
      <c r="YN5" s="3"/>
      <c r="YO5" s="3"/>
      <c r="YP5" s="3"/>
      <c r="YQ5" s="3"/>
      <c r="YR5" s="3"/>
      <c r="YS5" s="3"/>
      <c r="YT5" s="3"/>
      <c r="YU5" s="3"/>
      <c r="YV5" s="3"/>
      <c r="YW5" s="3"/>
      <c r="YX5" s="3"/>
      <c r="YY5" s="3"/>
      <c r="YZ5" s="3"/>
      <c r="ZA5" s="3"/>
      <c r="ZB5" s="3"/>
      <c r="ZC5" s="3"/>
      <c r="ZD5" s="3"/>
      <c r="ZE5" s="3"/>
      <c r="ZF5" s="3"/>
      <c r="ZG5" s="3"/>
      <c r="ZH5" s="3"/>
      <c r="ZI5" s="3"/>
      <c r="ZJ5" s="3"/>
      <c r="ZK5" s="3"/>
      <c r="ZL5" s="3"/>
      <c r="ZM5" s="3"/>
      <c r="ZN5" s="3"/>
      <c r="ZO5" s="3"/>
      <c r="ZP5" s="3"/>
      <c r="ZQ5" s="3"/>
      <c r="ZR5" s="3"/>
      <c r="ZS5" s="3"/>
      <c r="ZT5" s="3"/>
      <c r="ZU5" s="3"/>
      <c r="ZV5" s="3"/>
      <c r="ZW5" s="3"/>
      <c r="ZX5" s="3"/>
      <c r="ZY5" s="3"/>
      <c r="ZZ5" s="3"/>
      <c r="AAA5" s="3"/>
      <c r="AAB5" s="3"/>
      <c r="AAC5" s="3"/>
      <c r="AAD5" s="3"/>
      <c r="AAE5" s="3"/>
      <c r="AAF5" s="3"/>
      <c r="AAG5" s="3"/>
      <c r="AAH5" s="3"/>
      <c r="AAI5" s="3"/>
      <c r="AAJ5" s="3"/>
      <c r="AAK5" s="3"/>
      <c r="AAL5" s="3"/>
      <c r="AAM5" s="3"/>
      <c r="AAN5" s="3"/>
      <c r="AAO5" s="3"/>
      <c r="AAP5" s="3"/>
      <c r="AAQ5" s="3"/>
      <c r="AAR5" s="3"/>
      <c r="AAS5" s="3"/>
      <c r="AAT5" s="3"/>
      <c r="AAU5" s="3"/>
      <c r="AAV5" s="3"/>
      <c r="AAW5" s="3"/>
      <c r="AAX5" s="3"/>
      <c r="AAY5" s="3"/>
      <c r="AAZ5" s="3"/>
      <c r="ABA5" s="3"/>
      <c r="ABB5" s="3"/>
      <c r="ABC5" s="3"/>
      <c r="ABD5" s="3"/>
      <c r="ABE5" s="3"/>
      <c r="ABF5" s="3"/>
      <c r="ABG5" s="3"/>
      <c r="ABH5" s="3"/>
      <c r="ABI5" s="3"/>
      <c r="ABJ5" s="3"/>
      <c r="ABK5" s="3"/>
      <c r="ABL5" s="3"/>
      <c r="ABM5" s="3"/>
      <c r="ABN5" s="3"/>
      <c r="ABO5" s="3"/>
      <c r="ABP5" s="3"/>
      <c r="ABQ5" s="3"/>
      <c r="ABR5" s="3"/>
      <c r="ABS5" s="3"/>
      <c r="ABT5" s="3"/>
      <c r="ABU5" s="3"/>
      <c r="ABV5" s="3"/>
      <c r="ABW5" s="3"/>
      <c r="ABX5" s="3"/>
      <c r="ABY5" s="3"/>
      <c r="ABZ5" s="3"/>
      <c r="ACA5" s="3"/>
      <c r="ACB5" s="3"/>
      <c r="ACC5" s="3"/>
      <c r="ACD5" s="3"/>
      <c r="ACE5" s="3"/>
      <c r="ACF5" s="3"/>
      <c r="ACG5" s="3"/>
      <c r="ACH5" s="3"/>
      <c r="ACI5" s="3"/>
      <c r="ACJ5" s="3"/>
      <c r="ACK5" s="3"/>
      <c r="ACL5" s="3"/>
      <c r="ACM5" s="3"/>
      <c r="ACN5" s="3"/>
      <c r="ACO5" s="3"/>
      <c r="ACP5" s="3"/>
      <c r="ACQ5" s="3"/>
      <c r="ACR5" s="3"/>
      <c r="ACS5" s="3"/>
      <c r="ACT5" s="3"/>
      <c r="ACU5" s="3"/>
      <c r="ACV5" s="3"/>
      <c r="ACW5" s="3"/>
      <c r="ACX5" s="3"/>
      <c r="ACY5" s="3"/>
      <c r="ACZ5" s="3"/>
    </row>
    <row r="6" spans="1:780" x14ac:dyDescent="0.2">
      <c r="A6" s="7"/>
      <c r="B6" s="7"/>
      <c r="C6" s="2"/>
      <c r="D6" s="2"/>
      <c r="E6" s="6"/>
      <c r="F6" s="6"/>
      <c r="G6" s="6"/>
      <c r="H6" s="6"/>
      <c r="I6" s="2"/>
      <c r="J6" s="4"/>
      <c r="K6" s="4"/>
      <c r="L6" s="2"/>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c r="HF6" s="3"/>
      <c r="HG6" s="3"/>
      <c r="HH6" s="3"/>
      <c r="HI6" s="3"/>
      <c r="HJ6" s="3"/>
      <c r="HK6" s="3"/>
      <c r="HL6" s="3"/>
      <c r="HM6" s="3"/>
      <c r="HN6" s="3"/>
      <c r="HO6" s="3"/>
      <c r="HP6" s="3"/>
      <c r="HQ6" s="3"/>
      <c r="HR6" s="3"/>
      <c r="HS6" s="3"/>
      <c r="HT6" s="3"/>
      <c r="HU6" s="3"/>
      <c r="HV6" s="3"/>
      <c r="HW6" s="3"/>
      <c r="HX6" s="3"/>
      <c r="HY6" s="3"/>
      <c r="HZ6" s="3"/>
      <c r="IA6" s="3"/>
      <c r="IB6" s="3"/>
      <c r="IC6" s="3"/>
      <c r="ID6" s="3"/>
      <c r="IE6" s="3"/>
      <c r="IF6" s="3"/>
      <c r="IG6" s="3"/>
      <c r="IH6" s="3"/>
      <c r="II6" s="3"/>
      <c r="IJ6" s="3"/>
      <c r="IK6" s="3"/>
      <c r="IL6" s="3"/>
      <c r="IM6" s="3"/>
      <c r="IN6" s="3"/>
      <c r="IO6" s="3"/>
      <c r="IP6" s="3"/>
      <c r="IQ6" s="3"/>
      <c r="IR6" s="3"/>
      <c r="IS6" s="3"/>
      <c r="IT6" s="3"/>
      <c r="IU6" s="3"/>
      <c r="IV6" s="3"/>
      <c r="IW6" s="3"/>
      <c r="IX6" s="3"/>
      <c r="IY6" s="3"/>
      <c r="IZ6" s="3"/>
      <c r="JA6" s="3"/>
      <c r="JB6" s="3"/>
      <c r="JC6" s="3"/>
      <c r="JD6" s="3"/>
      <c r="JE6" s="3"/>
      <c r="JF6" s="3"/>
      <c r="JG6" s="3"/>
      <c r="JH6" s="3"/>
      <c r="JI6" s="3"/>
      <c r="JJ6" s="3"/>
      <c r="JK6" s="3"/>
      <c r="JL6" s="3"/>
      <c r="JM6" s="3"/>
      <c r="JN6" s="3"/>
      <c r="JO6" s="3"/>
      <c r="JP6" s="3"/>
      <c r="JQ6" s="3"/>
      <c r="JR6" s="3"/>
      <c r="JS6" s="3"/>
      <c r="JT6" s="3"/>
      <c r="JU6" s="3"/>
      <c r="JV6" s="3"/>
      <c r="JW6" s="3"/>
      <c r="JX6" s="3"/>
      <c r="JY6" s="3"/>
      <c r="JZ6" s="3"/>
      <c r="KA6" s="3"/>
      <c r="KB6" s="3"/>
      <c r="KC6" s="3"/>
      <c r="KD6" s="3"/>
      <c r="KE6" s="3"/>
      <c r="KF6" s="3"/>
      <c r="KG6" s="3"/>
      <c r="KH6" s="3"/>
      <c r="KI6" s="3"/>
      <c r="KJ6" s="3"/>
      <c r="KK6" s="3"/>
      <c r="KL6" s="3"/>
      <c r="KM6" s="3"/>
      <c r="KN6" s="3"/>
      <c r="KO6" s="3"/>
      <c r="KP6" s="3"/>
      <c r="KQ6" s="3"/>
      <c r="KR6" s="3"/>
      <c r="KS6" s="3"/>
      <c r="KT6" s="3"/>
      <c r="KU6" s="3"/>
      <c r="KV6" s="3"/>
      <c r="KW6" s="3"/>
      <c r="KX6" s="3"/>
      <c r="KY6" s="3"/>
      <c r="KZ6" s="3"/>
      <c r="LA6" s="3"/>
      <c r="LB6" s="3"/>
      <c r="LC6" s="3"/>
      <c r="LD6" s="3"/>
      <c r="LE6" s="3"/>
      <c r="LF6" s="3"/>
      <c r="LG6" s="3"/>
      <c r="LH6" s="3"/>
      <c r="LI6" s="3"/>
      <c r="LJ6" s="3"/>
      <c r="LK6" s="3"/>
      <c r="LL6" s="3"/>
      <c r="LM6" s="3"/>
      <c r="LN6" s="3"/>
      <c r="LO6" s="3"/>
      <c r="LP6" s="3"/>
      <c r="LQ6" s="3"/>
      <c r="LR6" s="3"/>
      <c r="LS6" s="3"/>
      <c r="LT6" s="3"/>
      <c r="LU6" s="3"/>
      <c r="LV6" s="3"/>
      <c r="LW6" s="3"/>
      <c r="LX6" s="3"/>
      <c r="LY6" s="3"/>
      <c r="LZ6" s="3"/>
      <c r="MA6" s="3"/>
      <c r="MB6" s="3"/>
      <c r="MC6" s="3"/>
      <c r="MD6" s="3"/>
      <c r="ME6" s="3"/>
      <c r="MF6" s="3"/>
      <c r="MG6" s="3"/>
      <c r="MH6" s="3"/>
      <c r="MI6" s="3"/>
      <c r="MJ6" s="3"/>
      <c r="MK6" s="3"/>
      <c r="ML6" s="3"/>
      <c r="MM6" s="3"/>
      <c r="MN6" s="3"/>
      <c r="MO6" s="3"/>
      <c r="MP6" s="3"/>
      <c r="MQ6" s="3"/>
      <c r="MR6" s="3"/>
      <c r="MS6" s="3"/>
      <c r="MT6" s="3"/>
      <c r="MU6" s="3"/>
      <c r="MV6" s="3"/>
      <c r="MW6" s="3"/>
      <c r="MX6" s="3"/>
      <c r="MY6" s="3"/>
      <c r="MZ6" s="3"/>
      <c r="NA6" s="3"/>
      <c r="NB6" s="3"/>
      <c r="NC6" s="3"/>
      <c r="ND6" s="3"/>
      <c r="NE6" s="3"/>
      <c r="NF6" s="3"/>
      <c r="NG6" s="3"/>
      <c r="NH6" s="3"/>
      <c r="NI6" s="3"/>
      <c r="NJ6" s="3"/>
      <c r="NK6" s="3"/>
      <c r="NL6" s="3"/>
      <c r="NM6" s="3"/>
      <c r="NN6" s="3"/>
      <c r="NO6" s="3"/>
      <c r="NP6" s="3"/>
      <c r="NQ6" s="3"/>
      <c r="NR6" s="3"/>
      <c r="NS6" s="3"/>
      <c r="NT6" s="3"/>
      <c r="NU6" s="3"/>
      <c r="NV6" s="3"/>
      <c r="NW6" s="3"/>
      <c r="NX6" s="3"/>
      <c r="NY6" s="3"/>
      <c r="NZ6" s="3"/>
      <c r="OA6" s="3"/>
      <c r="OB6" s="3"/>
      <c r="OC6" s="3"/>
      <c r="OD6" s="3"/>
      <c r="OE6" s="3"/>
      <c r="OF6" s="3"/>
      <c r="OG6" s="3"/>
      <c r="OH6" s="3"/>
      <c r="OI6" s="3"/>
      <c r="OJ6" s="3"/>
      <c r="OK6" s="3"/>
      <c r="OL6" s="3"/>
      <c r="OM6" s="3"/>
      <c r="ON6" s="3"/>
      <c r="OO6" s="3"/>
      <c r="OP6" s="3"/>
      <c r="OQ6" s="3"/>
      <c r="OR6" s="3"/>
      <c r="OS6" s="3"/>
      <c r="OT6" s="3"/>
      <c r="OU6" s="3"/>
      <c r="OV6" s="3"/>
      <c r="OW6" s="3"/>
      <c r="OX6" s="3"/>
      <c r="OY6" s="3"/>
      <c r="OZ6" s="3"/>
      <c r="PA6" s="3"/>
      <c r="PB6" s="3"/>
      <c r="PC6" s="3"/>
      <c r="PD6" s="3"/>
      <c r="PE6" s="3"/>
      <c r="PF6" s="3"/>
      <c r="PG6" s="3"/>
      <c r="PH6" s="3"/>
      <c r="PI6" s="3"/>
      <c r="PJ6" s="3"/>
      <c r="PK6" s="3"/>
      <c r="PL6" s="3"/>
      <c r="PM6" s="3"/>
      <c r="PN6" s="3"/>
      <c r="PO6" s="3"/>
      <c r="PP6" s="3"/>
      <c r="PQ6" s="3"/>
      <c r="PR6" s="3"/>
      <c r="PS6" s="3"/>
      <c r="PT6" s="3"/>
      <c r="PU6" s="3"/>
      <c r="PV6" s="3"/>
      <c r="PW6" s="3"/>
      <c r="PX6" s="3"/>
      <c r="PY6" s="3"/>
      <c r="PZ6" s="3"/>
      <c r="QA6" s="3"/>
      <c r="QB6" s="3"/>
      <c r="QC6" s="3"/>
      <c r="QD6" s="3"/>
      <c r="QE6" s="3"/>
      <c r="QF6" s="3"/>
      <c r="QG6" s="3"/>
      <c r="QH6" s="3"/>
      <c r="QI6" s="3"/>
      <c r="QJ6" s="3"/>
      <c r="QK6" s="3"/>
      <c r="QL6" s="3"/>
      <c r="QM6" s="3"/>
      <c r="QN6" s="3"/>
      <c r="QO6" s="3"/>
      <c r="QP6" s="3"/>
      <c r="QQ6" s="3"/>
      <c r="QR6" s="3"/>
      <c r="QS6" s="3"/>
      <c r="QT6" s="3"/>
      <c r="QU6" s="3"/>
      <c r="QV6" s="3"/>
      <c r="QW6" s="3"/>
      <c r="QX6" s="3"/>
      <c r="QY6" s="3"/>
      <c r="QZ6" s="3"/>
      <c r="RA6" s="3"/>
      <c r="RB6" s="3"/>
      <c r="RC6" s="3"/>
      <c r="RD6" s="3"/>
      <c r="RE6" s="3"/>
      <c r="RF6" s="3"/>
      <c r="RG6" s="3"/>
      <c r="RH6" s="3"/>
      <c r="RI6" s="3"/>
      <c r="RJ6" s="3"/>
      <c r="RK6" s="3"/>
      <c r="RL6" s="3"/>
      <c r="RM6" s="3"/>
      <c r="RN6" s="3"/>
      <c r="RO6" s="3"/>
      <c r="RP6" s="3"/>
      <c r="RQ6" s="3"/>
      <c r="RR6" s="3"/>
      <c r="RS6" s="3"/>
      <c r="RT6" s="3"/>
      <c r="RU6" s="3"/>
      <c r="RV6" s="3"/>
      <c r="RW6" s="3"/>
      <c r="RX6" s="3"/>
      <c r="RY6" s="3"/>
      <c r="RZ6" s="3"/>
      <c r="SA6" s="3"/>
      <c r="SB6" s="3"/>
      <c r="SC6" s="3"/>
      <c r="SD6" s="3"/>
      <c r="SE6" s="3"/>
      <c r="SF6" s="3"/>
      <c r="SG6" s="3"/>
      <c r="SH6" s="3"/>
      <c r="SI6" s="3"/>
      <c r="SJ6" s="3"/>
      <c r="SK6" s="3"/>
      <c r="SL6" s="3"/>
      <c r="SM6" s="3"/>
      <c r="SN6" s="3"/>
      <c r="SO6" s="3"/>
      <c r="SP6" s="3"/>
      <c r="SQ6" s="3"/>
      <c r="SR6" s="3"/>
      <c r="SS6" s="3"/>
      <c r="ST6" s="3"/>
      <c r="SU6" s="3"/>
      <c r="SV6" s="3"/>
      <c r="SW6" s="3"/>
      <c r="SX6" s="3"/>
      <c r="SY6" s="3"/>
      <c r="SZ6" s="3"/>
      <c r="TA6" s="3"/>
      <c r="TB6" s="3"/>
      <c r="TC6" s="3"/>
      <c r="TD6" s="3"/>
      <c r="TE6" s="3"/>
      <c r="TF6" s="3"/>
      <c r="TG6" s="3"/>
      <c r="TH6" s="3"/>
      <c r="TI6" s="3"/>
      <c r="TJ6" s="3"/>
      <c r="TK6" s="3"/>
      <c r="TL6" s="3"/>
      <c r="TM6" s="3"/>
      <c r="TN6" s="3"/>
      <c r="TO6" s="3"/>
      <c r="TP6" s="3"/>
      <c r="TQ6" s="3"/>
      <c r="TR6" s="3"/>
      <c r="TS6" s="3"/>
      <c r="TT6" s="3"/>
      <c r="TU6" s="3"/>
      <c r="TV6" s="3"/>
      <c r="TW6" s="3"/>
      <c r="TX6" s="3"/>
      <c r="TY6" s="3"/>
      <c r="TZ6" s="3"/>
      <c r="UA6" s="3"/>
      <c r="UB6" s="3"/>
      <c r="UC6" s="3"/>
      <c r="UD6" s="3"/>
      <c r="UE6" s="3"/>
      <c r="UF6" s="3"/>
      <c r="UG6" s="3"/>
      <c r="UH6" s="3"/>
      <c r="UI6" s="3"/>
      <c r="UJ6" s="3"/>
      <c r="UK6" s="3"/>
      <c r="UL6" s="3"/>
      <c r="UM6" s="3"/>
      <c r="UN6" s="3"/>
      <c r="UO6" s="3"/>
      <c r="UP6" s="3"/>
      <c r="UQ6" s="3"/>
      <c r="UR6" s="3"/>
      <c r="US6" s="3"/>
      <c r="UT6" s="3"/>
      <c r="UU6" s="3"/>
      <c r="UV6" s="3"/>
      <c r="UW6" s="3"/>
      <c r="UX6" s="3"/>
      <c r="UY6" s="3"/>
      <c r="UZ6" s="3"/>
      <c r="VA6" s="3"/>
      <c r="VB6" s="3"/>
      <c r="VC6" s="3"/>
      <c r="VD6" s="3"/>
      <c r="VE6" s="3"/>
      <c r="VF6" s="3"/>
      <c r="VG6" s="3"/>
      <c r="VH6" s="3"/>
      <c r="VI6" s="3"/>
      <c r="VJ6" s="3"/>
      <c r="VK6" s="3"/>
      <c r="VL6" s="3"/>
      <c r="VM6" s="3"/>
      <c r="VN6" s="3"/>
      <c r="VO6" s="3"/>
      <c r="VP6" s="3"/>
      <c r="VQ6" s="3"/>
      <c r="VR6" s="3"/>
      <c r="VS6" s="3"/>
      <c r="VT6" s="3"/>
      <c r="VU6" s="3"/>
      <c r="VV6" s="3"/>
      <c r="VW6" s="3"/>
      <c r="VX6" s="3"/>
      <c r="VY6" s="3"/>
      <c r="VZ6" s="3"/>
      <c r="WA6" s="3"/>
      <c r="WB6" s="3"/>
      <c r="WC6" s="3"/>
      <c r="WD6" s="3"/>
      <c r="WE6" s="3"/>
      <c r="WF6" s="3"/>
      <c r="WG6" s="3"/>
      <c r="WH6" s="3"/>
      <c r="WI6" s="3"/>
      <c r="WJ6" s="3"/>
      <c r="WK6" s="3"/>
      <c r="WL6" s="3"/>
      <c r="WM6" s="3"/>
      <c r="WN6" s="3"/>
      <c r="WO6" s="3"/>
      <c r="WP6" s="3"/>
      <c r="WQ6" s="3"/>
      <c r="WR6" s="3"/>
      <c r="WS6" s="3"/>
      <c r="WT6" s="3"/>
      <c r="WU6" s="3"/>
      <c r="WV6" s="3"/>
      <c r="WW6" s="3"/>
      <c r="WX6" s="3"/>
      <c r="WY6" s="3"/>
      <c r="WZ6" s="3"/>
      <c r="XA6" s="3"/>
      <c r="XB6" s="3"/>
      <c r="XC6" s="3"/>
      <c r="XD6" s="3"/>
      <c r="XE6" s="3"/>
      <c r="XF6" s="3"/>
      <c r="XG6" s="3"/>
      <c r="XH6" s="3"/>
      <c r="XI6" s="3"/>
      <c r="XJ6" s="3"/>
      <c r="XK6" s="3"/>
      <c r="XL6" s="3"/>
      <c r="XM6" s="3"/>
      <c r="XN6" s="3"/>
      <c r="XO6" s="3"/>
      <c r="XP6" s="3"/>
      <c r="XQ6" s="3"/>
      <c r="XR6" s="3"/>
      <c r="XS6" s="3"/>
      <c r="XT6" s="3"/>
      <c r="XU6" s="3"/>
      <c r="XV6" s="3"/>
      <c r="XW6" s="3"/>
      <c r="XX6" s="3"/>
      <c r="XY6" s="3"/>
      <c r="XZ6" s="3"/>
      <c r="YA6" s="3"/>
      <c r="YB6" s="3"/>
      <c r="YC6" s="3"/>
      <c r="YD6" s="3"/>
      <c r="YE6" s="3"/>
      <c r="YF6" s="3"/>
      <c r="YG6" s="3"/>
      <c r="YH6" s="3"/>
      <c r="YI6" s="3"/>
      <c r="YJ6" s="3"/>
      <c r="YK6" s="3"/>
      <c r="YL6" s="3"/>
      <c r="YM6" s="3"/>
      <c r="YN6" s="3"/>
      <c r="YO6" s="3"/>
      <c r="YP6" s="3"/>
      <c r="YQ6" s="3"/>
      <c r="YR6" s="3"/>
      <c r="YS6" s="3"/>
      <c r="YT6" s="3"/>
      <c r="YU6" s="3"/>
      <c r="YV6" s="3"/>
      <c r="YW6" s="3"/>
      <c r="YX6" s="3"/>
      <c r="YY6" s="3"/>
      <c r="YZ6" s="3"/>
      <c r="ZA6" s="3"/>
      <c r="ZB6" s="3"/>
      <c r="ZC6" s="3"/>
      <c r="ZD6" s="3"/>
      <c r="ZE6" s="3"/>
      <c r="ZF6" s="3"/>
      <c r="ZG6" s="3"/>
      <c r="ZH6" s="3"/>
      <c r="ZI6" s="3"/>
      <c r="ZJ6" s="3"/>
      <c r="ZK6" s="3"/>
      <c r="ZL6" s="3"/>
      <c r="ZM6" s="3"/>
      <c r="ZN6" s="3"/>
      <c r="ZO6" s="3"/>
      <c r="ZP6" s="3"/>
      <c r="ZQ6" s="3"/>
      <c r="ZR6" s="3"/>
      <c r="ZS6" s="3"/>
      <c r="ZT6" s="3"/>
      <c r="ZU6" s="3"/>
      <c r="ZV6" s="3"/>
      <c r="ZW6" s="3"/>
      <c r="ZX6" s="3"/>
      <c r="ZY6" s="3"/>
      <c r="ZZ6" s="3"/>
      <c r="AAA6" s="3"/>
      <c r="AAB6" s="3"/>
      <c r="AAC6" s="3"/>
      <c r="AAD6" s="3"/>
      <c r="AAE6" s="3"/>
      <c r="AAF6" s="3"/>
      <c r="AAG6" s="3"/>
      <c r="AAH6" s="3"/>
      <c r="AAI6" s="3"/>
      <c r="AAJ6" s="3"/>
      <c r="AAK6" s="3"/>
      <c r="AAL6" s="3"/>
      <c r="AAM6" s="3"/>
      <c r="AAN6" s="3"/>
      <c r="AAO6" s="3"/>
      <c r="AAP6" s="3"/>
      <c r="AAQ6" s="3"/>
      <c r="AAR6" s="3"/>
      <c r="AAS6" s="3"/>
      <c r="AAT6" s="3"/>
      <c r="AAU6" s="3"/>
      <c r="AAV6" s="3"/>
      <c r="AAW6" s="3"/>
      <c r="AAX6" s="3"/>
      <c r="AAY6" s="3"/>
      <c r="AAZ6" s="3"/>
      <c r="ABA6" s="3"/>
      <c r="ABB6" s="3"/>
      <c r="ABC6" s="3"/>
      <c r="ABD6" s="3"/>
      <c r="ABE6" s="3"/>
      <c r="ABF6" s="3"/>
      <c r="ABG6" s="3"/>
      <c r="ABH6" s="3"/>
      <c r="ABI6" s="3"/>
      <c r="ABJ6" s="3"/>
      <c r="ABK6" s="3"/>
      <c r="ABL6" s="3"/>
      <c r="ABM6" s="3"/>
      <c r="ABN6" s="3"/>
      <c r="ABO6" s="3"/>
      <c r="ABP6" s="3"/>
      <c r="ABQ6" s="3"/>
      <c r="ABR6" s="3"/>
      <c r="ABS6" s="3"/>
      <c r="ABT6" s="3"/>
      <c r="ABU6" s="3"/>
      <c r="ABV6" s="3"/>
      <c r="ABW6" s="3"/>
      <c r="ABX6" s="3"/>
      <c r="ABY6" s="3"/>
      <c r="ABZ6" s="3"/>
      <c r="ACA6" s="3"/>
      <c r="ACB6" s="3"/>
      <c r="ACC6" s="3"/>
      <c r="ACD6" s="3"/>
      <c r="ACE6" s="3"/>
      <c r="ACF6" s="3"/>
      <c r="ACG6" s="3"/>
      <c r="ACH6" s="3"/>
      <c r="ACI6" s="3"/>
      <c r="ACJ6" s="3"/>
      <c r="ACK6" s="3"/>
      <c r="ACL6" s="3"/>
      <c r="ACM6" s="3"/>
      <c r="ACN6" s="3"/>
      <c r="ACO6" s="3"/>
      <c r="ACP6" s="3"/>
      <c r="ACQ6" s="3"/>
      <c r="ACR6" s="3"/>
      <c r="ACS6" s="3"/>
      <c r="ACT6" s="3"/>
      <c r="ACU6" s="3"/>
      <c r="ACV6" s="3"/>
      <c r="ACW6" s="3"/>
      <c r="ACX6" s="3"/>
      <c r="ACY6" s="3"/>
      <c r="ACZ6" s="3"/>
    </row>
    <row r="7" spans="1:780" x14ac:dyDescent="0.2">
      <c r="A7" s="7"/>
      <c r="B7" s="7"/>
      <c r="C7" s="2"/>
      <c r="D7" s="2"/>
      <c r="E7" s="6"/>
      <c r="F7" s="6"/>
      <c r="G7" s="6"/>
      <c r="H7" s="6"/>
      <c r="I7" s="2"/>
      <c r="J7" s="4"/>
      <c r="K7" s="4"/>
      <c r="L7" s="2"/>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c r="HF7" s="3"/>
      <c r="HG7" s="3"/>
      <c r="HH7" s="3"/>
      <c r="HI7" s="3"/>
      <c r="HJ7" s="3"/>
      <c r="HK7" s="3"/>
      <c r="HL7" s="3"/>
      <c r="HM7" s="3"/>
      <c r="HN7" s="3"/>
      <c r="HO7" s="3"/>
      <c r="HP7" s="3"/>
      <c r="HQ7" s="3"/>
      <c r="HR7" s="3"/>
      <c r="HS7" s="3"/>
      <c r="HT7" s="3"/>
      <c r="HU7" s="3"/>
      <c r="HV7" s="3"/>
      <c r="HW7" s="3"/>
      <c r="HX7" s="3"/>
      <c r="HY7" s="3"/>
      <c r="HZ7" s="3"/>
      <c r="IA7" s="3"/>
      <c r="IB7" s="3"/>
      <c r="IC7" s="3"/>
      <c r="ID7" s="3"/>
      <c r="IE7" s="3"/>
      <c r="IF7" s="3"/>
      <c r="IG7" s="3"/>
      <c r="IH7" s="3"/>
      <c r="II7" s="3"/>
      <c r="IJ7" s="3"/>
      <c r="IK7" s="3"/>
      <c r="IL7" s="3"/>
      <c r="IM7" s="3"/>
      <c r="IN7" s="3"/>
      <c r="IO7" s="3"/>
      <c r="IP7" s="3"/>
      <c r="IQ7" s="3"/>
      <c r="IR7" s="3"/>
      <c r="IS7" s="3"/>
      <c r="IT7" s="3"/>
      <c r="IU7" s="3"/>
      <c r="IV7" s="3"/>
      <c r="IW7" s="3"/>
      <c r="IX7" s="3"/>
      <c r="IY7" s="3"/>
      <c r="IZ7" s="3"/>
      <c r="JA7" s="3"/>
      <c r="JB7" s="3"/>
      <c r="JC7" s="3"/>
      <c r="JD7" s="3"/>
      <c r="JE7" s="3"/>
      <c r="JF7" s="3"/>
      <c r="JG7" s="3"/>
      <c r="JH7" s="3"/>
      <c r="JI7" s="3"/>
      <c r="JJ7" s="3"/>
      <c r="JK7" s="3"/>
      <c r="JL7" s="3"/>
      <c r="JM7" s="3"/>
      <c r="JN7" s="3"/>
      <c r="JO7" s="3"/>
      <c r="JP7" s="3"/>
      <c r="JQ7" s="3"/>
      <c r="JR7" s="3"/>
      <c r="JS7" s="3"/>
      <c r="JT7" s="3"/>
      <c r="JU7" s="3"/>
      <c r="JV7" s="3"/>
      <c r="JW7" s="3"/>
      <c r="JX7" s="3"/>
      <c r="JY7" s="3"/>
      <c r="JZ7" s="3"/>
      <c r="KA7" s="3"/>
      <c r="KB7" s="3"/>
      <c r="KC7" s="3"/>
      <c r="KD7" s="3"/>
      <c r="KE7" s="3"/>
      <c r="KF7" s="3"/>
      <c r="KG7" s="3"/>
      <c r="KH7" s="3"/>
      <c r="KI7" s="3"/>
      <c r="KJ7" s="3"/>
      <c r="KK7" s="3"/>
      <c r="KL7" s="3"/>
      <c r="KM7" s="3"/>
      <c r="KN7" s="3"/>
      <c r="KO7" s="3"/>
      <c r="KP7" s="3"/>
      <c r="KQ7" s="3"/>
      <c r="KR7" s="3"/>
      <c r="KS7" s="3"/>
      <c r="KT7" s="3"/>
      <c r="KU7" s="3"/>
      <c r="KV7" s="3"/>
      <c r="KW7" s="3"/>
      <c r="KX7" s="3"/>
      <c r="KY7" s="3"/>
      <c r="KZ7" s="3"/>
      <c r="LA7" s="3"/>
      <c r="LB7" s="3"/>
      <c r="LC7" s="3"/>
      <c r="LD7" s="3"/>
      <c r="LE7" s="3"/>
      <c r="LF7" s="3"/>
      <c r="LG7" s="3"/>
      <c r="LH7" s="3"/>
      <c r="LI7" s="3"/>
      <c r="LJ7" s="3"/>
      <c r="LK7" s="3"/>
      <c r="LL7" s="3"/>
      <c r="LM7" s="3"/>
      <c r="LN7" s="3"/>
      <c r="LO7" s="3"/>
      <c r="LP7" s="3"/>
      <c r="LQ7" s="3"/>
      <c r="LR7" s="3"/>
      <c r="LS7" s="3"/>
      <c r="LT7" s="3"/>
      <c r="LU7" s="3"/>
      <c r="LV7" s="3"/>
      <c r="LW7" s="3"/>
      <c r="LX7" s="3"/>
      <c r="LY7" s="3"/>
      <c r="LZ7" s="3"/>
      <c r="MA7" s="3"/>
      <c r="MB7" s="3"/>
      <c r="MC7" s="3"/>
      <c r="MD7" s="3"/>
      <c r="ME7" s="3"/>
      <c r="MF7" s="3"/>
      <c r="MG7" s="3"/>
      <c r="MH7" s="3"/>
      <c r="MI7" s="3"/>
      <c r="MJ7" s="3"/>
      <c r="MK7" s="3"/>
      <c r="ML7" s="3"/>
      <c r="MM7" s="3"/>
      <c r="MN7" s="3"/>
      <c r="MO7" s="3"/>
      <c r="MP7" s="3"/>
      <c r="MQ7" s="3"/>
      <c r="MR7" s="3"/>
      <c r="MS7" s="3"/>
      <c r="MT7" s="3"/>
      <c r="MU7" s="3"/>
      <c r="MV7" s="3"/>
      <c r="MW7" s="3"/>
      <c r="MX7" s="3"/>
      <c r="MY7" s="3"/>
      <c r="MZ7" s="3"/>
      <c r="NA7" s="3"/>
      <c r="NB7" s="3"/>
      <c r="NC7" s="3"/>
      <c r="ND7" s="3"/>
      <c r="NE7" s="3"/>
      <c r="NF7" s="3"/>
      <c r="NG7" s="3"/>
      <c r="NH7" s="3"/>
      <c r="NI7" s="3"/>
      <c r="NJ7" s="3"/>
      <c r="NK7" s="3"/>
      <c r="NL7" s="3"/>
      <c r="NM7" s="3"/>
      <c r="NN7" s="3"/>
      <c r="NO7" s="3"/>
      <c r="NP7" s="3"/>
      <c r="NQ7" s="3"/>
      <c r="NR7" s="3"/>
      <c r="NS7" s="3"/>
      <c r="NT7" s="3"/>
      <c r="NU7" s="3"/>
      <c r="NV7" s="3"/>
      <c r="NW7" s="3"/>
      <c r="NX7" s="3"/>
      <c r="NY7" s="3"/>
      <c r="NZ7" s="3"/>
      <c r="OA7" s="3"/>
      <c r="OB7" s="3"/>
      <c r="OC7" s="3"/>
      <c r="OD7" s="3"/>
      <c r="OE7" s="3"/>
      <c r="OF7" s="3"/>
      <c r="OG7" s="3"/>
      <c r="OH7" s="3"/>
      <c r="OI7" s="3"/>
      <c r="OJ7" s="3"/>
      <c r="OK7" s="3"/>
      <c r="OL7" s="3"/>
      <c r="OM7" s="3"/>
      <c r="ON7" s="3"/>
      <c r="OO7" s="3"/>
      <c r="OP7" s="3"/>
      <c r="OQ7" s="3"/>
      <c r="OR7" s="3"/>
      <c r="OS7" s="3"/>
      <c r="OT7" s="3"/>
      <c r="OU7" s="3"/>
      <c r="OV7" s="3"/>
      <c r="OW7" s="3"/>
      <c r="OX7" s="3"/>
      <c r="OY7" s="3"/>
      <c r="OZ7" s="3"/>
      <c r="PA7" s="3"/>
      <c r="PB7" s="3"/>
      <c r="PC7" s="3"/>
      <c r="PD7" s="3"/>
      <c r="PE7" s="3"/>
      <c r="PF7" s="3"/>
      <c r="PG7" s="3"/>
      <c r="PH7" s="3"/>
      <c r="PI7" s="3"/>
      <c r="PJ7" s="3"/>
      <c r="PK7" s="3"/>
      <c r="PL7" s="3"/>
      <c r="PM7" s="3"/>
      <c r="PN7" s="3"/>
      <c r="PO7" s="3"/>
      <c r="PP7" s="3"/>
      <c r="PQ7" s="3"/>
      <c r="PR7" s="3"/>
      <c r="PS7" s="3"/>
      <c r="PT7" s="3"/>
      <c r="PU7" s="3"/>
      <c r="PV7" s="3"/>
      <c r="PW7" s="3"/>
      <c r="PX7" s="3"/>
      <c r="PY7" s="3"/>
      <c r="PZ7" s="3"/>
      <c r="QA7" s="3"/>
      <c r="QB7" s="3"/>
      <c r="QC7" s="3"/>
      <c r="QD7" s="3"/>
      <c r="QE7" s="3"/>
      <c r="QF7" s="3"/>
      <c r="QG7" s="3"/>
      <c r="QH7" s="3"/>
      <c r="QI7" s="3"/>
      <c r="QJ7" s="3"/>
      <c r="QK7" s="3"/>
      <c r="QL7" s="3"/>
      <c r="QM7" s="3"/>
      <c r="QN7" s="3"/>
      <c r="QO7" s="3"/>
      <c r="QP7" s="3"/>
      <c r="QQ7" s="3"/>
      <c r="QR7" s="3"/>
      <c r="QS7" s="3"/>
      <c r="QT7" s="3"/>
      <c r="QU7" s="3"/>
      <c r="QV7" s="3"/>
      <c r="QW7" s="3"/>
      <c r="QX7" s="3"/>
      <c r="QY7" s="3"/>
      <c r="QZ7" s="3"/>
      <c r="RA7" s="3"/>
      <c r="RB7" s="3"/>
      <c r="RC7" s="3"/>
      <c r="RD7" s="3"/>
      <c r="RE7" s="3"/>
      <c r="RF7" s="3"/>
      <c r="RG7" s="3"/>
      <c r="RH7" s="3"/>
      <c r="RI7" s="3"/>
      <c r="RJ7" s="3"/>
      <c r="RK7" s="3"/>
      <c r="RL7" s="3"/>
      <c r="RM7" s="3"/>
      <c r="RN7" s="3"/>
      <c r="RO7" s="3"/>
      <c r="RP7" s="3"/>
      <c r="RQ7" s="3"/>
      <c r="RR7" s="3"/>
      <c r="RS7" s="3"/>
      <c r="RT7" s="3"/>
      <c r="RU7" s="3"/>
      <c r="RV7" s="3"/>
      <c r="RW7" s="3"/>
      <c r="RX7" s="3"/>
      <c r="RY7" s="3"/>
      <c r="RZ7" s="3"/>
      <c r="SA7" s="3"/>
      <c r="SB7" s="3"/>
      <c r="SC7" s="3"/>
      <c r="SD7" s="3"/>
      <c r="SE7" s="3"/>
      <c r="SF7" s="3"/>
      <c r="SG7" s="3"/>
      <c r="SH7" s="3"/>
      <c r="SI7" s="3"/>
      <c r="SJ7" s="3"/>
      <c r="SK7" s="3"/>
      <c r="SL7" s="3"/>
      <c r="SM7" s="3"/>
      <c r="SN7" s="3"/>
      <c r="SO7" s="3"/>
      <c r="SP7" s="3"/>
      <c r="SQ7" s="3"/>
      <c r="SR7" s="3"/>
      <c r="SS7" s="3"/>
      <c r="ST7" s="3"/>
      <c r="SU7" s="3"/>
      <c r="SV7" s="3"/>
      <c r="SW7" s="3"/>
      <c r="SX7" s="3"/>
      <c r="SY7" s="3"/>
      <c r="SZ7" s="3"/>
      <c r="TA7" s="3"/>
      <c r="TB7" s="3"/>
      <c r="TC7" s="3"/>
      <c r="TD7" s="3"/>
      <c r="TE7" s="3"/>
      <c r="TF7" s="3"/>
      <c r="TG7" s="3"/>
      <c r="TH7" s="3"/>
      <c r="TI7" s="3"/>
      <c r="TJ7" s="3"/>
      <c r="TK7" s="3"/>
      <c r="TL7" s="3"/>
      <c r="TM7" s="3"/>
      <c r="TN7" s="3"/>
      <c r="TO7" s="3"/>
      <c r="TP7" s="3"/>
      <c r="TQ7" s="3"/>
      <c r="TR7" s="3"/>
      <c r="TS7" s="3"/>
      <c r="TT7" s="3"/>
      <c r="TU7" s="3"/>
      <c r="TV7" s="3"/>
      <c r="TW7" s="3"/>
      <c r="TX7" s="3"/>
      <c r="TY7" s="3"/>
      <c r="TZ7" s="3"/>
      <c r="UA7" s="3"/>
      <c r="UB7" s="3"/>
      <c r="UC7" s="3"/>
      <c r="UD7" s="3"/>
      <c r="UE7" s="3"/>
      <c r="UF7" s="3"/>
      <c r="UG7" s="3"/>
      <c r="UH7" s="3"/>
      <c r="UI7" s="3"/>
      <c r="UJ7" s="3"/>
      <c r="UK7" s="3"/>
      <c r="UL7" s="3"/>
      <c r="UM7" s="3"/>
      <c r="UN7" s="3"/>
      <c r="UO7" s="3"/>
      <c r="UP7" s="3"/>
      <c r="UQ7" s="3"/>
      <c r="UR7" s="3"/>
      <c r="US7" s="3"/>
      <c r="UT7" s="3"/>
      <c r="UU7" s="3"/>
      <c r="UV7" s="3"/>
      <c r="UW7" s="3"/>
      <c r="UX7" s="3"/>
      <c r="UY7" s="3"/>
      <c r="UZ7" s="3"/>
      <c r="VA7" s="3"/>
      <c r="VB7" s="3"/>
      <c r="VC7" s="3"/>
      <c r="VD7" s="3"/>
      <c r="VE7" s="3"/>
      <c r="VF7" s="3"/>
      <c r="VG7" s="3"/>
      <c r="VH7" s="3"/>
      <c r="VI7" s="3"/>
      <c r="VJ7" s="3"/>
      <c r="VK7" s="3"/>
      <c r="VL7" s="3"/>
      <c r="VM7" s="3"/>
      <c r="VN7" s="3"/>
      <c r="VO7" s="3"/>
      <c r="VP7" s="3"/>
      <c r="VQ7" s="3"/>
      <c r="VR7" s="3"/>
      <c r="VS7" s="3"/>
      <c r="VT7" s="3"/>
      <c r="VU7" s="3"/>
      <c r="VV7" s="3"/>
      <c r="VW7" s="3"/>
      <c r="VX7" s="3"/>
      <c r="VY7" s="3"/>
      <c r="VZ7" s="3"/>
      <c r="WA7" s="3"/>
      <c r="WB7" s="3"/>
      <c r="WC7" s="3"/>
      <c r="WD7" s="3"/>
      <c r="WE7" s="3"/>
      <c r="WF7" s="3"/>
      <c r="WG7" s="3"/>
      <c r="WH7" s="3"/>
      <c r="WI7" s="3"/>
      <c r="WJ7" s="3"/>
      <c r="WK7" s="3"/>
      <c r="WL7" s="3"/>
      <c r="WM7" s="3"/>
      <c r="WN7" s="3"/>
      <c r="WO7" s="3"/>
      <c r="WP7" s="3"/>
      <c r="WQ7" s="3"/>
      <c r="WR7" s="3"/>
      <c r="WS7" s="3"/>
      <c r="WT7" s="3"/>
      <c r="WU7" s="3"/>
      <c r="WV7" s="3"/>
      <c r="WW7" s="3"/>
      <c r="WX7" s="3"/>
      <c r="WY7" s="3"/>
      <c r="WZ7" s="3"/>
      <c r="XA7" s="3"/>
      <c r="XB7" s="3"/>
      <c r="XC7" s="3"/>
      <c r="XD7" s="3"/>
      <c r="XE7" s="3"/>
      <c r="XF7" s="3"/>
      <c r="XG7" s="3"/>
      <c r="XH7" s="3"/>
      <c r="XI7" s="3"/>
      <c r="XJ7" s="3"/>
      <c r="XK7" s="3"/>
      <c r="XL7" s="3"/>
      <c r="XM7" s="3"/>
      <c r="XN7" s="3"/>
      <c r="XO7" s="3"/>
      <c r="XP7" s="3"/>
      <c r="XQ7" s="3"/>
      <c r="XR7" s="3"/>
      <c r="XS7" s="3"/>
      <c r="XT7" s="3"/>
      <c r="XU7" s="3"/>
      <c r="XV7" s="3"/>
      <c r="XW7" s="3"/>
      <c r="XX7" s="3"/>
      <c r="XY7" s="3"/>
      <c r="XZ7" s="3"/>
      <c r="YA7" s="3"/>
      <c r="YB7" s="3"/>
      <c r="YC7" s="3"/>
      <c r="YD7" s="3"/>
      <c r="YE7" s="3"/>
      <c r="YF7" s="3"/>
      <c r="YG7" s="3"/>
      <c r="YH7" s="3"/>
      <c r="YI7" s="3"/>
      <c r="YJ7" s="3"/>
      <c r="YK7" s="3"/>
      <c r="YL7" s="3"/>
      <c r="YM7" s="3"/>
      <c r="YN7" s="3"/>
      <c r="YO7" s="3"/>
      <c r="YP7" s="3"/>
      <c r="YQ7" s="3"/>
      <c r="YR7" s="3"/>
      <c r="YS7" s="3"/>
      <c r="YT7" s="3"/>
      <c r="YU7" s="3"/>
      <c r="YV7" s="3"/>
      <c r="YW7" s="3"/>
      <c r="YX7" s="3"/>
      <c r="YY7" s="3"/>
      <c r="YZ7" s="3"/>
      <c r="ZA7" s="3"/>
      <c r="ZB7" s="3"/>
      <c r="ZC7" s="3"/>
      <c r="ZD7" s="3"/>
      <c r="ZE7" s="3"/>
      <c r="ZF7" s="3"/>
      <c r="ZG7" s="3"/>
      <c r="ZH7" s="3"/>
      <c r="ZI7" s="3"/>
      <c r="ZJ7" s="3"/>
      <c r="ZK7" s="3"/>
      <c r="ZL7" s="3"/>
      <c r="ZM7" s="3"/>
      <c r="ZN7" s="3"/>
      <c r="ZO7" s="3"/>
      <c r="ZP7" s="3"/>
      <c r="ZQ7" s="3"/>
      <c r="ZR7" s="3"/>
      <c r="ZS7" s="3"/>
      <c r="ZT7" s="3"/>
      <c r="ZU7" s="3"/>
      <c r="ZV7" s="3"/>
      <c r="ZW7" s="3"/>
      <c r="ZX7" s="3"/>
      <c r="ZY7" s="3"/>
      <c r="ZZ7" s="3"/>
      <c r="AAA7" s="3"/>
      <c r="AAB7" s="3"/>
      <c r="AAC7" s="3"/>
      <c r="AAD7" s="3"/>
      <c r="AAE7" s="3"/>
      <c r="AAF7" s="3"/>
      <c r="AAG7" s="3"/>
      <c r="AAH7" s="3"/>
      <c r="AAI7" s="3"/>
      <c r="AAJ7" s="3"/>
      <c r="AAK7" s="3"/>
      <c r="AAL7" s="3"/>
      <c r="AAM7" s="3"/>
      <c r="AAN7" s="3"/>
      <c r="AAO7" s="3"/>
      <c r="AAP7" s="3"/>
      <c r="AAQ7" s="3"/>
      <c r="AAR7" s="3"/>
      <c r="AAS7" s="3"/>
      <c r="AAT7" s="3"/>
      <c r="AAU7" s="3"/>
      <c r="AAV7" s="3"/>
      <c r="AAW7" s="3"/>
      <c r="AAX7" s="3"/>
      <c r="AAY7" s="3"/>
      <c r="AAZ7" s="3"/>
      <c r="ABA7" s="3"/>
      <c r="ABB7" s="3"/>
      <c r="ABC7" s="3"/>
      <c r="ABD7" s="3"/>
      <c r="ABE7" s="3"/>
      <c r="ABF7" s="3"/>
      <c r="ABG7" s="3"/>
      <c r="ABH7" s="3"/>
      <c r="ABI7" s="3"/>
      <c r="ABJ7" s="3"/>
      <c r="ABK7" s="3"/>
      <c r="ABL7" s="3"/>
      <c r="ABM7" s="3"/>
      <c r="ABN7" s="3"/>
      <c r="ABO7" s="3"/>
      <c r="ABP7" s="3"/>
      <c r="ABQ7" s="3"/>
      <c r="ABR7" s="3"/>
      <c r="ABS7" s="3"/>
      <c r="ABT7" s="3"/>
      <c r="ABU7" s="3"/>
      <c r="ABV7" s="3"/>
      <c r="ABW7" s="3"/>
      <c r="ABX7" s="3"/>
      <c r="ABY7" s="3"/>
      <c r="ABZ7" s="3"/>
      <c r="ACA7" s="3"/>
      <c r="ACB7" s="3"/>
      <c r="ACC7" s="3"/>
      <c r="ACD7" s="3"/>
      <c r="ACE7" s="3"/>
      <c r="ACF7" s="3"/>
      <c r="ACG7" s="3"/>
      <c r="ACH7" s="3"/>
      <c r="ACI7" s="3"/>
      <c r="ACJ7" s="3"/>
      <c r="ACK7" s="3"/>
      <c r="ACL7" s="3"/>
      <c r="ACM7" s="3"/>
      <c r="ACN7" s="3"/>
      <c r="ACO7" s="3"/>
      <c r="ACP7" s="3"/>
      <c r="ACQ7" s="3"/>
      <c r="ACR7" s="3"/>
      <c r="ACS7" s="3"/>
      <c r="ACT7" s="3"/>
      <c r="ACU7" s="3"/>
      <c r="ACV7" s="3"/>
      <c r="ACW7" s="3"/>
      <c r="ACX7" s="3"/>
      <c r="ACY7" s="3"/>
      <c r="ACZ7" s="3"/>
    </row>
    <row r="8" spans="1:780" x14ac:dyDescent="0.2">
      <c r="A8" s="7"/>
      <c r="B8" s="7"/>
      <c r="C8" s="2"/>
      <c r="D8" s="2"/>
      <c r="E8" s="6"/>
      <c r="F8" s="6"/>
      <c r="G8" s="6"/>
      <c r="H8" s="6"/>
      <c r="I8" s="2"/>
      <c r="J8" s="4"/>
      <c r="K8" s="4"/>
      <c r="L8" s="2"/>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c r="HF8" s="3"/>
      <c r="HG8" s="3"/>
      <c r="HH8" s="3"/>
      <c r="HI8" s="3"/>
      <c r="HJ8" s="3"/>
      <c r="HK8" s="3"/>
      <c r="HL8" s="3"/>
      <c r="HM8" s="3"/>
      <c r="HN8" s="3"/>
      <c r="HO8" s="3"/>
      <c r="HP8" s="3"/>
      <c r="HQ8" s="3"/>
      <c r="HR8" s="3"/>
      <c r="HS8" s="3"/>
      <c r="HT8" s="3"/>
      <c r="HU8" s="3"/>
      <c r="HV8" s="3"/>
      <c r="HW8" s="3"/>
      <c r="HX8" s="3"/>
      <c r="HY8" s="3"/>
      <c r="HZ8" s="3"/>
      <c r="IA8" s="3"/>
      <c r="IB8" s="3"/>
      <c r="IC8" s="3"/>
      <c r="ID8" s="3"/>
      <c r="IE8" s="3"/>
      <c r="IF8" s="3"/>
      <c r="IG8" s="3"/>
      <c r="IH8" s="3"/>
      <c r="II8" s="3"/>
      <c r="IJ8" s="3"/>
      <c r="IK8" s="3"/>
      <c r="IL8" s="3"/>
      <c r="IM8" s="3"/>
      <c r="IN8" s="3"/>
      <c r="IO8" s="3"/>
      <c r="IP8" s="3"/>
      <c r="IQ8" s="3"/>
      <c r="IR8" s="3"/>
      <c r="IS8" s="3"/>
      <c r="IT8" s="3"/>
      <c r="IU8" s="3"/>
      <c r="IV8" s="3"/>
      <c r="IW8" s="3"/>
      <c r="IX8" s="3"/>
      <c r="IY8" s="3"/>
      <c r="IZ8" s="3"/>
      <c r="JA8" s="3"/>
      <c r="JB8" s="3"/>
      <c r="JC8" s="3"/>
      <c r="JD8" s="3"/>
      <c r="JE8" s="3"/>
      <c r="JF8" s="3"/>
      <c r="JG8" s="3"/>
      <c r="JH8" s="3"/>
      <c r="JI8" s="3"/>
      <c r="JJ8" s="3"/>
      <c r="JK8" s="3"/>
      <c r="JL8" s="3"/>
      <c r="JM8" s="3"/>
      <c r="JN8" s="3"/>
      <c r="JO8" s="3"/>
      <c r="JP8" s="3"/>
      <c r="JQ8" s="3"/>
      <c r="JR8" s="3"/>
      <c r="JS8" s="3"/>
      <c r="JT8" s="3"/>
      <c r="JU8" s="3"/>
      <c r="JV8" s="3"/>
      <c r="JW8" s="3"/>
      <c r="JX8" s="3"/>
      <c r="JY8" s="3"/>
      <c r="JZ8" s="3"/>
      <c r="KA8" s="3"/>
      <c r="KB8" s="3"/>
      <c r="KC8" s="3"/>
      <c r="KD8" s="3"/>
      <c r="KE8" s="3"/>
      <c r="KF8" s="3"/>
      <c r="KG8" s="3"/>
      <c r="KH8" s="3"/>
      <c r="KI8" s="3"/>
      <c r="KJ8" s="3"/>
      <c r="KK8" s="3"/>
      <c r="KL8" s="3"/>
      <c r="KM8" s="3"/>
      <c r="KN8" s="3"/>
      <c r="KO8" s="3"/>
      <c r="KP8" s="3"/>
      <c r="KQ8" s="3"/>
      <c r="KR8" s="3"/>
      <c r="KS8" s="3"/>
      <c r="KT8" s="3"/>
      <c r="KU8" s="3"/>
      <c r="KV8" s="3"/>
      <c r="KW8" s="3"/>
      <c r="KX8" s="3"/>
      <c r="KY8" s="3"/>
      <c r="KZ8" s="3"/>
      <c r="LA8" s="3"/>
      <c r="LB8" s="3"/>
      <c r="LC8" s="3"/>
      <c r="LD8" s="3"/>
      <c r="LE8" s="3"/>
      <c r="LF8" s="3"/>
      <c r="LG8" s="3"/>
      <c r="LH8" s="3"/>
      <c r="LI8" s="3"/>
      <c r="LJ8" s="3"/>
      <c r="LK8" s="3"/>
      <c r="LL8" s="3"/>
      <c r="LM8" s="3"/>
      <c r="LN8" s="3"/>
      <c r="LO8" s="3"/>
      <c r="LP8" s="3"/>
      <c r="LQ8" s="3"/>
      <c r="LR8" s="3"/>
      <c r="LS8" s="3"/>
      <c r="LT8" s="3"/>
      <c r="LU8" s="3"/>
      <c r="LV8" s="3"/>
      <c r="LW8" s="3"/>
      <c r="LX8" s="3"/>
      <c r="LY8" s="3"/>
      <c r="LZ8" s="3"/>
      <c r="MA8" s="3"/>
      <c r="MB8" s="3"/>
      <c r="MC8" s="3"/>
      <c r="MD8" s="3"/>
      <c r="ME8" s="3"/>
      <c r="MF8" s="3"/>
      <c r="MG8" s="3"/>
      <c r="MH8" s="3"/>
      <c r="MI8" s="3"/>
      <c r="MJ8" s="3"/>
      <c r="MK8" s="3"/>
      <c r="ML8" s="3"/>
      <c r="MM8" s="3"/>
      <c r="MN8" s="3"/>
      <c r="MO8" s="3"/>
      <c r="MP8" s="3"/>
      <c r="MQ8" s="3"/>
      <c r="MR8" s="3"/>
      <c r="MS8" s="3"/>
      <c r="MT8" s="3"/>
      <c r="MU8" s="3"/>
      <c r="MV8" s="3"/>
      <c r="MW8" s="3"/>
      <c r="MX8" s="3"/>
      <c r="MY8" s="3"/>
      <c r="MZ8" s="3"/>
      <c r="NA8" s="3"/>
      <c r="NB8" s="3"/>
      <c r="NC8" s="3"/>
      <c r="ND8" s="3"/>
      <c r="NE8" s="3"/>
      <c r="NF8" s="3"/>
      <c r="NG8" s="3"/>
      <c r="NH8" s="3"/>
      <c r="NI8" s="3"/>
      <c r="NJ8" s="3"/>
      <c r="NK8" s="3"/>
      <c r="NL8" s="3"/>
      <c r="NM8" s="3"/>
      <c r="NN8" s="3"/>
      <c r="NO8" s="3"/>
      <c r="NP8" s="3"/>
      <c r="NQ8" s="3"/>
      <c r="NR8" s="3"/>
      <c r="NS8" s="3"/>
      <c r="NT8" s="3"/>
      <c r="NU8" s="3"/>
      <c r="NV8" s="3"/>
      <c r="NW8" s="3"/>
      <c r="NX8" s="3"/>
      <c r="NY8" s="3"/>
      <c r="NZ8" s="3"/>
      <c r="OA8" s="3"/>
      <c r="OB8" s="3"/>
      <c r="OC8" s="3"/>
      <c r="OD8" s="3"/>
      <c r="OE8" s="3"/>
      <c r="OF8" s="3"/>
      <c r="OG8" s="3"/>
      <c r="OH8" s="3"/>
      <c r="OI8" s="3"/>
      <c r="OJ8" s="3"/>
      <c r="OK8" s="3"/>
      <c r="OL8" s="3"/>
      <c r="OM8" s="3"/>
      <c r="ON8" s="3"/>
      <c r="OO8" s="3"/>
      <c r="OP8" s="3"/>
      <c r="OQ8" s="3"/>
      <c r="OR8" s="3"/>
      <c r="OS8" s="3"/>
      <c r="OT8" s="3"/>
      <c r="OU8" s="3"/>
      <c r="OV8" s="3"/>
      <c r="OW8" s="3"/>
      <c r="OX8" s="3"/>
      <c r="OY8" s="3"/>
      <c r="OZ8" s="3"/>
      <c r="PA8" s="3"/>
      <c r="PB8" s="3"/>
      <c r="PC8" s="3"/>
      <c r="PD8" s="3"/>
      <c r="PE8" s="3"/>
      <c r="PF8" s="3"/>
      <c r="PG8" s="3"/>
      <c r="PH8" s="3"/>
      <c r="PI8" s="3"/>
      <c r="PJ8" s="3"/>
      <c r="PK8" s="3"/>
      <c r="PL8" s="3"/>
      <c r="PM8" s="3"/>
      <c r="PN8" s="3"/>
      <c r="PO8" s="3"/>
      <c r="PP8" s="3"/>
      <c r="PQ8" s="3"/>
      <c r="PR8" s="3"/>
      <c r="PS8" s="3"/>
      <c r="PT8" s="3"/>
      <c r="PU8" s="3"/>
      <c r="PV8" s="3"/>
      <c r="PW8" s="3"/>
      <c r="PX8" s="3"/>
      <c r="PY8" s="3"/>
      <c r="PZ8" s="3"/>
      <c r="QA8" s="3"/>
      <c r="QB8" s="3"/>
      <c r="QC8" s="3"/>
      <c r="QD8" s="3"/>
      <c r="QE8" s="3"/>
      <c r="QF8" s="3"/>
      <c r="QG8" s="3"/>
      <c r="QH8" s="3"/>
      <c r="QI8" s="3"/>
      <c r="QJ8" s="3"/>
      <c r="QK8" s="3"/>
      <c r="QL8" s="3"/>
      <c r="QM8" s="3"/>
      <c r="QN8" s="3"/>
      <c r="QO8" s="3"/>
      <c r="QP8" s="3"/>
      <c r="QQ8" s="3"/>
      <c r="QR8" s="3"/>
      <c r="QS8" s="3"/>
      <c r="QT8" s="3"/>
      <c r="QU8" s="3"/>
      <c r="QV8" s="3"/>
      <c r="QW8" s="3"/>
      <c r="QX8" s="3"/>
      <c r="QY8" s="3"/>
      <c r="QZ8" s="3"/>
      <c r="RA8" s="3"/>
      <c r="RB8" s="3"/>
      <c r="RC8" s="3"/>
      <c r="RD8" s="3"/>
      <c r="RE8" s="3"/>
      <c r="RF8" s="3"/>
      <c r="RG8" s="3"/>
      <c r="RH8" s="3"/>
      <c r="RI8" s="3"/>
      <c r="RJ8" s="3"/>
      <c r="RK8" s="3"/>
      <c r="RL8" s="3"/>
      <c r="RM8" s="3"/>
      <c r="RN8" s="3"/>
      <c r="RO8" s="3"/>
      <c r="RP8" s="3"/>
      <c r="RQ8" s="3"/>
      <c r="RR8" s="3"/>
      <c r="RS8" s="3"/>
      <c r="RT8" s="3"/>
      <c r="RU8" s="3"/>
      <c r="RV8" s="3"/>
      <c r="RW8" s="3"/>
      <c r="RX8" s="3"/>
      <c r="RY8" s="3"/>
      <c r="RZ8" s="3"/>
      <c r="SA8" s="3"/>
      <c r="SB8" s="3"/>
      <c r="SC8" s="3"/>
      <c r="SD8" s="3"/>
      <c r="SE8" s="3"/>
      <c r="SF8" s="3"/>
      <c r="SG8" s="3"/>
      <c r="SH8" s="3"/>
      <c r="SI8" s="3"/>
      <c r="SJ8" s="3"/>
      <c r="SK8" s="3"/>
      <c r="SL8" s="3"/>
      <c r="SM8" s="3"/>
      <c r="SN8" s="3"/>
      <c r="SO8" s="3"/>
      <c r="SP8" s="3"/>
      <c r="SQ8" s="3"/>
      <c r="SR8" s="3"/>
      <c r="SS8" s="3"/>
      <c r="ST8" s="3"/>
      <c r="SU8" s="3"/>
      <c r="SV8" s="3"/>
      <c r="SW8" s="3"/>
      <c r="SX8" s="3"/>
      <c r="SY8" s="3"/>
      <c r="SZ8" s="3"/>
      <c r="TA8" s="3"/>
      <c r="TB8" s="3"/>
      <c r="TC8" s="3"/>
      <c r="TD8" s="3"/>
      <c r="TE8" s="3"/>
      <c r="TF8" s="3"/>
      <c r="TG8" s="3"/>
      <c r="TH8" s="3"/>
      <c r="TI8" s="3"/>
      <c r="TJ8" s="3"/>
      <c r="TK8" s="3"/>
      <c r="TL8" s="3"/>
      <c r="TM8" s="3"/>
      <c r="TN8" s="3"/>
      <c r="TO8" s="3"/>
      <c r="TP8" s="3"/>
      <c r="TQ8" s="3"/>
      <c r="TR8" s="3"/>
      <c r="TS8" s="3"/>
      <c r="TT8" s="3"/>
      <c r="TU8" s="3"/>
      <c r="TV8" s="3"/>
      <c r="TW8" s="3"/>
      <c r="TX8" s="3"/>
      <c r="TY8" s="3"/>
      <c r="TZ8" s="3"/>
      <c r="UA8" s="3"/>
      <c r="UB8" s="3"/>
      <c r="UC8" s="3"/>
      <c r="UD8" s="3"/>
      <c r="UE8" s="3"/>
      <c r="UF8" s="3"/>
      <c r="UG8" s="3"/>
      <c r="UH8" s="3"/>
      <c r="UI8" s="3"/>
      <c r="UJ8" s="3"/>
      <c r="UK8" s="3"/>
      <c r="UL8" s="3"/>
      <c r="UM8" s="3"/>
      <c r="UN8" s="3"/>
      <c r="UO8" s="3"/>
      <c r="UP8" s="3"/>
      <c r="UQ8" s="3"/>
      <c r="UR8" s="3"/>
      <c r="US8" s="3"/>
      <c r="UT8" s="3"/>
      <c r="UU8" s="3"/>
      <c r="UV8" s="3"/>
      <c r="UW8" s="3"/>
      <c r="UX8" s="3"/>
      <c r="UY8" s="3"/>
      <c r="UZ8" s="3"/>
      <c r="VA8" s="3"/>
      <c r="VB8" s="3"/>
      <c r="VC8" s="3"/>
      <c r="VD8" s="3"/>
      <c r="VE8" s="3"/>
      <c r="VF8" s="3"/>
      <c r="VG8" s="3"/>
      <c r="VH8" s="3"/>
      <c r="VI8" s="3"/>
      <c r="VJ8" s="3"/>
      <c r="VK8" s="3"/>
      <c r="VL8" s="3"/>
      <c r="VM8" s="3"/>
      <c r="VN8" s="3"/>
      <c r="VO8" s="3"/>
      <c r="VP8" s="3"/>
      <c r="VQ8" s="3"/>
      <c r="VR8" s="3"/>
      <c r="VS8" s="3"/>
      <c r="VT8" s="3"/>
      <c r="VU8" s="3"/>
      <c r="VV8" s="3"/>
      <c r="VW8" s="3"/>
      <c r="VX8" s="3"/>
      <c r="VY8" s="3"/>
      <c r="VZ8" s="3"/>
      <c r="WA8" s="3"/>
      <c r="WB8" s="3"/>
      <c r="WC8" s="3"/>
      <c r="WD8" s="3"/>
      <c r="WE8" s="3"/>
      <c r="WF8" s="3"/>
      <c r="WG8" s="3"/>
      <c r="WH8" s="3"/>
      <c r="WI8" s="3"/>
      <c r="WJ8" s="3"/>
      <c r="WK8" s="3"/>
      <c r="WL8" s="3"/>
      <c r="WM8" s="3"/>
      <c r="WN8" s="3"/>
      <c r="WO8" s="3"/>
      <c r="WP8" s="3"/>
      <c r="WQ8" s="3"/>
      <c r="WR8" s="3"/>
      <c r="WS8" s="3"/>
      <c r="WT8" s="3"/>
      <c r="WU8" s="3"/>
      <c r="WV8" s="3"/>
      <c r="WW8" s="3"/>
      <c r="WX8" s="3"/>
      <c r="WY8" s="3"/>
      <c r="WZ8" s="3"/>
      <c r="XA8" s="3"/>
      <c r="XB8" s="3"/>
      <c r="XC8" s="3"/>
      <c r="XD8" s="3"/>
      <c r="XE8" s="3"/>
      <c r="XF8" s="3"/>
      <c r="XG8" s="3"/>
      <c r="XH8" s="3"/>
      <c r="XI8" s="3"/>
      <c r="XJ8" s="3"/>
      <c r="XK8" s="3"/>
      <c r="XL8" s="3"/>
      <c r="XM8" s="3"/>
      <c r="XN8" s="3"/>
      <c r="XO8" s="3"/>
      <c r="XP8" s="3"/>
      <c r="XQ8" s="3"/>
      <c r="XR8" s="3"/>
      <c r="XS8" s="3"/>
      <c r="XT8" s="3"/>
      <c r="XU8" s="3"/>
      <c r="XV8" s="3"/>
      <c r="XW8" s="3"/>
      <c r="XX8" s="3"/>
      <c r="XY8" s="3"/>
      <c r="XZ8" s="3"/>
      <c r="YA8" s="3"/>
      <c r="YB8" s="3"/>
      <c r="YC8" s="3"/>
      <c r="YD8" s="3"/>
      <c r="YE8" s="3"/>
      <c r="YF8" s="3"/>
      <c r="YG8" s="3"/>
      <c r="YH8" s="3"/>
      <c r="YI8" s="3"/>
      <c r="YJ8" s="3"/>
      <c r="YK8" s="3"/>
      <c r="YL8" s="3"/>
      <c r="YM8" s="3"/>
      <c r="YN8" s="3"/>
      <c r="YO8" s="3"/>
      <c r="YP8" s="3"/>
      <c r="YQ8" s="3"/>
      <c r="YR8" s="3"/>
      <c r="YS8" s="3"/>
      <c r="YT8" s="3"/>
      <c r="YU8" s="3"/>
      <c r="YV8" s="3"/>
      <c r="YW8" s="3"/>
      <c r="YX8" s="3"/>
      <c r="YY8" s="3"/>
      <c r="YZ8" s="3"/>
      <c r="ZA8" s="3"/>
      <c r="ZB8" s="3"/>
      <c r="ZC8" s="3"/>
      <c r="ZD8" s="3"/>
      <c r="ZE8" s="3"/>
      <c r="ZF8" s="3"/>
      <c r="ZG8" s="3"/>
      <c r="ZH8" s="3"/>
      <c r="ZI8" s="3"/>
      <c r="ZJ8" s="3"/>
      <c r="ZK8" s="3"/>
      <c r="ZL8" s="3"/>
      <c r="ZM8" s="3"/>
      <c r="ZN8" s="3"/>
      <c r="ZO8" s="3"/>
      <c r="ZP8" s="3"/>
      <c r="ZQ8" s="3"/>
      <c r="ZR8" s="3"/>
      <c r="ZS8" s="3"/>
      <c r="ZT8" s="3"/>
      <c r="ZU8" s="3"/>
      <c r="ZV8" s="3"/>
      <c r="ZW8" s="3"/>
      <c r="ZX8" s="3"/>
      <c r="ZY8" s="3"/>
      <c r="ZZ8" s="3"/>
      <c r="AAA8" s="3"/>
      <c r="AAB8" s="3"/>
      <c r="AAC8" s="3"/>
      <c r="AAD8" s="3"/>
      <c r="AAE8" s="3"/>
      <c r="AAF8" s="3"/>
      <c r="AAG8" s="3"/>
      <c r="AAH8" s="3"/>
      <c r="AAI8" s="3"/>
      <c r="AAJ8" s="3"/>
      <c r="AAK8" s="3"/>
      <c r="AAL8" s="3"/>
      <c r="AAM8" s="3"/>
      <c r="AAN8" s="3"/>
      <c r="AAO8" s="3"/>
      <c r="AAP8" s="3"/>
      <c r="AAQ8" s="3"/>
      <c r="AAR8" s="3"/>
      <c r="AAS8" s="3"/>
      <c r="AAT8" s="3"/>
      <c r="AAU8" s="3"/>
      <c r="AAV8" s="3"/>
      <c r="AAW8" s="3"/>
      <c r="AAX8" s="3"/>
      <c r="AAY8" s="3"/>
      <c r="AAZ8" s="3"/>
      <c r="ABA8" s="3"/>
      <c r="ABB8" s="3"/>
      <c r="ABC8" s="3"/>
      <c r="ABD8" s="3"/>
      <c r="ABE8" s="3"/>
      <c r="ABF8" s="3"/>
      <c r="ABG8" s="3"/>
      <c r="ABH8" s="3"/>
      <c r="ABI8" s="3"/>
      <c r="ABJ8" s="3"/>
      <c r="ABK8" s="3"/>
      <c r="ABL8" s="3"/>
      <c r="ABM8" s="3"/>
      <c r="ABN8" s="3"/>
      <c r="ABO8" s="3"/>
      <c r="ABP8" s="3"/>
      <c r="ABQ8" s="3"/>
      <c r="ABR8" s="3"/>
      <c r="ABS8" s="3"/>
      <c r="ABT8" s="3"/>
      <c r="ABU8" s="3"/>
      <c r="ABV8" s="3"/>
      <c r="ABW8" s="3"/>
      <c r="ABX8" s="3"/>
      <c r="ABY8" s="3"/>
      <c r="ABZ8" s="3"/>
      <c r="ACA8" s="3"/>
      <c r="ACB8" s="3"/>
      <c r="ACC8" s="3"/>
      <c r="ACD8" s="3"/>
      <c r="ACE8" s="3"/>
      <c r="ACF8" s="3"/>
      <c r="ACG8" s="3"/>
      <c r="ACH8" s="3"/>
      <c r="ACI8" s="3"/>
      <c r="ACJ8" s="3"/>
      <c r="ACK8" s="3"/>
      <c r="ACL8" s="3"/>
      <c r="ACM8" s="3"/>
      <c r="ACN8" s="3"/>
      <c r="ACO8" s="3"/>
      <c r="ACP8" s="3"/>
      <c r="ACQ8" s="3"/>
      <c r="ACR8" s="3"/>
      <c r="ACS8" s="3"/>
      <c r="ACT8" s="3"/>
      <c r="ACU8" s="3"/>
      <c r="ACV8" s="3"/>
      <c r="ACW8" s="3"/>
      <c r="ACX8" s="3"/>
      <c r="ACY8" s="3"/>
      <c r="ACZ8" s="3"/>
    </row>
    <row r="9" spans="1:780" x14ac:dyDescent="0.2">
      <c r="A9" s="7"/>
      <c r="B9" s="7"/>
      <c r="C9" s="2"/>
      <c r="D9" s="2"/>
      <c r="E9" s="6"/>
      <c r="F9" s="6"/>
      <c r="G9" s="6"/>
      <c r="H9" s="6"/>
      <c r="I9" s="2"/>
      <c r="J9" s="4"/>
      <c r="K9" s="4"/>
      <c r="L9" s="2"/>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c r="HF9" s="3"/>
      <c r="HG9" s="3"/>
      <c r="HH9" s="3"/>
      <c r="HI9" s="3"/>
      <c r="HJ9" s="3"/>
      <c r="HK9" s="3"/>
      <c r="HL9" s="3"/>
      <c r="HM9" s="3"/>
      <c r="HN9" s="3"/>
      <c r="HO9" s="3"/>
      <c r="HP9" s="3"/>
      <c r="HQ9" s="3"/>
      <c r="HR9" s="3"/>
      <c r="HS9" s="3"/>
      <c r="HT9" s="3"/>
      <c r="HU9" s="3"/>
      <c r="HV9" s="3"/>
      <c r="HW9" s="3"/>
      <c r="HX9" s="3"/>
      <c r="HY9" s="3"/>
      <c r="HZ9" s="3"/>
      <c r="IA9" s="3"/>
      <c r="IB9" s="3"/>
      <c r="IC9" s="3"/>
      <c r="ID9" s="3"/>
      <c r="IE9" s="3"/>
      <c r="IF9" s="3"/>
      <c r="IG9" s="3"/>
      <c r="IH9" s="3"/>
      <c r="II9" s="3"/>
      <c r="IJ9" s="3"/>
      <c r="IK9" s="3"/>
      <c r="IL9" s="3"/>
      <c r="IM9" s="3"/>
      <c r="IN9" s="3"/>
      <c r="IO9" s="3"/>
      <c r="IP9" s="3"/>
      <c r="IQ9" s="3"/>
      <c r="IR9" s="3"/>
      <c r="IS9" s="3"/>
      <c r="IT9" s="3"/>
      <c r="IU9" s="3"/>
      <c r="IV9" s="3"/>
      <c r="IW9" s="3"/>
      <c r="IX9" s="3"/>
      <c r="IY9" s="3"/>
      <c r="IZ9" s="3"/>
      <c r="JA9" s="3"/>
      <c r="JB9" s="3"/>
      <c r="JC9" s="3"/>
      <c r="JD9" s="3"/>
      <c r="JE9" s="3"/>
      <c r="JF9" s="3"/>
      <c r="JG9" s="3"/>
      <c r="JH9" s="3"/>
      <c r="JI9" s="3"/>
      <c r="JJ9" s="3"/>
      <c r="JK9" s="3"/>
      <c r="JL9" s="3"/>
      <c r="JM9" s="3"/>
      <c r="JN9" s="3"/>
      <c r="JO9" s="3"/>
      <c r="JP9" s="3"/>
      <c r="JQ9" s="3"/>
      <c r="JR9" s="3"/>
      <c r="JS9" s="3"/>
      <c r="JT9" s="3"/>
      <c r="JU9" s="3"/>
      <c r="JV9" s="3"/>
      <c r="JW9" s="3"/>
      <c r="JX9" s="3"/>
      <c r="JY9" s="3"/>
      <c r="JZ9" s="3"/>
      <c r="KA9" s="3"/>
      <c r="KB9" s="3"/>
      <c r="KC9" s="3"/>
      <c r="KD9" s="3"/>
      <c r="KE9" s="3"/>
      <c r="KF9" s="3"/>
      <c r="KG9" s="3"/>
      <c r="KH9" s="3"/>
      <c r="KI9" s="3"/>
      <c r="KJ9" s="3"/>
      <c r="KK9" s="3"/>
      <c r="KL9" s="3"/>
      <c r="KM9" s="3"/>
      <c r="KN9" s="3"/>
      <c r="KO9" s="3"/>
      <c r="KP9" s="3"/>
      <c r="KQ9" s="3"/>
      <c r="KR9" s="3"/>
      <c r="KS9" s="3"/>
      <c r="KT9" s="3"/>
      <c r="KU9" s="3"/>
      <c r="KV9" s="3"/>
      <c r="KW9" s="3"/>
      <c r="KX9" s="3"/>
      <c r="KY9" s="3"/>
      <c r="KZ9" s="3"/>
      <c r="LA9" s="3"/>
      <c r="LB9" s="3"/>
      <c r="LC9" s="3"/>
      <c r="LD9" s="3"/>
      <c r="LE9" s="3"/>
      <c r="LF9" s="3"/>
      <c r="LG9" s="3"/>
      <c r="LH9" s="3"/>
      <c r="LI9" s="3"/>
      <c r="LJ9" s="3"/>
      <c r="LK9" s="3"/>
      <c r="LL9" s="3"/>
      <c r="LM9" s="3"/>
      <c r="LN9" s="3"/>
      <c r="LO9" s="3"/>
      <c r="LP9" s="3"/>
      <c r="LQ9" s="3"/>
      <c r="LR9" s="3"/>
      <c r="LS9" s="3"/>
      <c r="LT9" s="3"/>
      <c r="LU9" s="3"/>
      <c r="LV9" s="3"/>
      <c r="LW9" s="3"/>
      <c r="LX9" s="3"/>
      <c r="LY9" s="3"/>
      <c r="LZ9" s="3"/>
      <c r="MA9" s="3"/>
      <c r="MB9" s="3"/>
      <c r="MC9" s="3"/>
      <c r="MD9" s="3"/>
      <c r="ME9" s="3"/>
      <c r="MF9" s="3"/>
      <c r="MG9" s="3"/>
      <c r="MH9" s="3"/>
      <c r="MI9" s="3"/>
      <c r="MJ9" s="3"/>
      <c r="MK9" s="3"/>
      <c r="ML9" s="3"/>
      <c r="MM9" s="3"/>
      <c r="MN9" s="3"/>
      <c r="MO9" s="3"/>
      <c r="MP9" s="3"/>
      <c r="MQ9" s="3"/>
      <c r="MR9" s="3"/>
      <c r="MS9" s="3"/>
      <c r="MT9" s="3"/>
      <c r="MU9" s="3"/>
      <c r="MV9" s="3"/>
      <c r="MW9" s="3"/>
      <c r="MX9" s="3"/>
      <c r="MY9" s="3"/>
      <c r="MZ9" s="3"/>
      <c r="NA9" s="3"/>
      <c r="NB9" s="3"/>
      <c r="NC9" s="3"/>
      <c r="ND9" s="3"/>
      <c r="NE9" s="3"/>
      <c r="NF9" s="3"/>
      <c r="NG9" s="3"/>
      <c r="NH9" s="3"/>
      <c r="NI9" s="3"/>
      <c r="NJ9" s="3"/>
      <c r="NK9" s="3"/>
      <c r="NL9" s="3"/>
      <c r="NM9" s="3"/>
      <c r="NN9" s="3"/>
      <c r="NO9" s="3"/>
      <c r="NP9" s="3"/>
      <c r="NQ9" s="3"/>
      <c r="NR9" s="3"/>
      <c r="NS9" s="3"/>
      <c r="NT9" s="3"/>
      <c r="NU9" s="3"/>
      <c r="NV9" s="3"/>
      <c r="NW9" s="3"/>
      <c r="NX9" s="3"/>
      <c r="NY9" s="3"/>
      <c r="NZ9" s="3"/>
      <c r="OA9" s="3"/>
      <c r="OB9" s="3"/>
      <c r="OC9" s="3"/>
      <c r="OD9" s="3"/>
      <c r="OE9" s="3"/>
      <c r="OF9" s="3"/>
      <c r="OG9" s="3"/>
      <c r="OH9" s="3"/>
      <c r="OI9" s="3"/>
      <c r="OJ9" s="3"/>
      <c r="OK9" s="3"/>
      <c r="OL9" s="3"/>
      <c r="OM9" s="3"/>
      <c r="ON9" s="3"/>
      <c r="OO9" s="3"/>
      <c r="OP9" s="3"/>
      <c r="OQ9" s="3"/>
      <c r="OR9" s="3"/>
      <c r="OS9" s="3"/>
      <c r="OT9" s="3"/>
      <c r="OU9" s="3"/>
      <c r="OV9" s="3"/>
      <c r="OW9" s="3"/>
      <c r="OX9" s="3"/>
      <c r="OY9" s="3"/>
      <c r="OZ9" s="3"/>
      <c r="PA9" s="3"/>
      <c r="PB9" s="3"/>
      <c r="PC9" s="3"/>
      <c r="PD9" s="3"/>
      <c r="PE9" s="3"/>
      <c r="PF9" s="3"/>
      <c r="PG9" s="3"/>
      <c r="PH9" s="3"/>
      <c r="PI9" s="3"/>
      <c r="PJ9" s="3"/>
      <c r="PK9" s="3"/>
      <c r="PL9" s="3"/>
      <c r="PM9" s="3"/>
      <c r="PN9" s="3"/>
      <c r="PO9" s="3"/>
      <c r="PP9" s="3"/>
      <c r="PQ9" s="3"/>
      <c r="PR9" s="3"/>
      <c r="PS9" s="3"/>
      <c r="PT9" s="3"/>
      <c r="PU9" s="3"/>
      <c r="PV9" s="3"/>
      <c r="PW9" s="3"/>
      <c r="PX9" s="3"/>
      <c r="PY9" s="3"/>
      <c r="PZ9" s="3"/>
      <c r="QA9" s="3"/>
      <c r="QB9" s="3"/>
      <c r="QC9" s="3"/>
      <c r="QD9" s="3"/>
      <c r="QE9" s="3"/>
      <c r="QF9" s="3"/>
      <c r="QG9" s="3"/>
      <c r="QH9" s="3"/>
      <c r="QI9" s="3"/>
      <c r="QJ9" s="3"/>
      <c r="QK9" s="3"/>
      <c r="QL9" s="3"/>
      <c r="QM9" s="3"/>
      <c r="QN9" s="3"/>
      <c r="QO9" s="3"/>
      <c r="QP9" s="3"/>
      <c r="QQ9" s="3"/>
      <c r="QR9" s="3"/>
      <c r="QS9" s="3"/>
      <c r="QT9" s="3"/>
      <c r="QU9" s="3"/>
      <c r="QV9" s="3"/>
      <c r="QW9" s="3"/>
      <c r="QX9" s="3"/>
      <c r="QY9" s="3"/>
      <c r="QZ9" s="3"/>
      <c r="RA9" s="3"/>
      <c r="RB9" s="3"/>
      <c r="RC9" s="3"/>
      <c r="RD9" s="3"/>
      <c r="RE9" s="3"/>
      <c r="RF9" s="3"/>
      <c r="RG9" s="3"/>
      <c r="RH9" s="3"/>
      <c r="RI9" s="3"/>
      <c r="RJ9" s="3"/>
      <c r="RK9" s="3"/>
      <c r="RL9" s="3"/>
      <c r="RM9" s="3"/>
      <c r="RN9" s="3"/>
      <c r="RO9" s="3"/>
      <c r="RP9" s="3"/>
      <c r="RQ9" s="3"/>
      <c r="RR9" s="3"/>
      <c r="RS9" s="3"/>
      <c r="RT9" s="3"/>
      <c r="RU9" s="3"/>
      <c r="RV9" s="3"/>
      <c r="RW9" s="3"/>
      <c r="RX9" s="3"/>
      <c r="RY9" s="3"/>
      <c r="RZ9" s="3"/>
      <c r="SA9" s="3"/>
      <c r="SB9" s="3"/>
      <c r="SC9" s="3"/>
      <c r="SD9" s="3"/>
      <c r="SE9" s="3"/>
      <c r="SF9" s="3"/>
      <c r="SG9" s="3"/>
      <c r="SH9" s="3"/>
      <c r="SI9" s="3"/>
      <c r="SJ9" s="3"/>
      <c r="SK9" s="3"/>
      <c r="SL9" s="3"/>
      <c r="SM9" s="3"/>
      <c r="SN9" s="3"/>
      <c r="SO9" s="3"/>
      <c r="SP9" s="3"/>
      <c r="SQ9" s="3"/>
      <c r="SR9" s="3"/>
      <c r="SS9" s="3"/>
      <c r="ST9" s="3"/>
      <c r="SU9" s="3"/>
      <c r="SV9" s="3"/>
      <c r="SW9" s="3"/>
      <c r="SX9" s="3"/>
      <c r="SY9" s="3"/>
      <c r="SZ9" s="3"/>
      <c r="TA9" s="3"/>
      <c r="TB9" s="3"/>
      <c r="TC9" s="3"/>
      <c r="TD9" s="3"/>
      <c r="TE9" s="3"/>
      <c r="TF9" s="3"/>
      <c r="TG9" s="3"/>
      <c r="TH9" s="3"/>
      <c r="TI9" s="3"/>
      <c r="TJ9" s="3"/>
      <c r="TK9" s="3"/>
      <c r="TL9" s="3"/>
      <c r="TM9" s="3"/>
      <c r="TN9" s="3"/>
      <c r="TO9" s="3"/>
      <c r="TP9" s="3"/>
      <c r="TQ9" s="3"/>
      <c r="TR9" s="3"/>
      <c r="TS9" s="3"/>
      <c r="TT9" s="3"/>
      <c r="TU9" s="3"/>
      <c r="TV9" s="3"/>
      <c r="TW9" s="3"/>
      <c r="TX9" s="3"/>
      <c r="TY9" s="3"/>
      <c r="TZ9" s="3"/>
      <c r="UA9" s="3"/>
      <c r="UB9" s="3"/>
      <c r="UC9" s="3"/>
      <c r="UD9" s="3"/>
      <c r="UE9" s="3"/>
      <c r="UF9" s="3"/>
      <c r="UG9" s="3"/>
      <c r="UH9" s="3"/>
      <c r="UI9" s="3"/>
      <c r="UJ9" s="3"/>
      <c r="UK9" s="3"/>
      <c r="UL9" s="3"/>
      <c r="UM9" s="3"/>
      <c r="UN9" s="3"/>
      <c r="UO9" s="3"/>
      <c r="UP9" s="3"/>
      <c r="UQ9" s="3"/>
      <c r="UR9" s="3"/>
      <c r="US9" s="3"/>
      <c r="UT9" s="3"/>
      <c r="UU9" s="3"/>
      <c r="UV9" s="3"/>
      <c r="UW9" s="3"/>
      <c r="UX9" s="3"/>
      <c r="UY9" s="3"/>
      <c r="UZ9" s="3"/>
      <c r="VA9" s="3"/>
      <c r="VB9" s="3"/>
      <c r="VC9" s="3"/>
      <c r="VD9" s="3"/>
      <c r="VE9" s="3"/>
      <c r="VF9" s="3"/>
      <c r="VG9" s="3"/>
      <c r="VH9" s="3"/>
      <c r="VI9" s="3"/>
      <c r="VJ9" s="3"/>
      <c r="VK9" s="3"/>
      <c r="VL9" s="3"/>
      <c r="VM9" s="3"/>
      <c r="VN9" s="3"/>
      <c r="VO9" s="3"/>
      <c r="VP9" s="3"/>
      <c r="VQ9" s="3"/>
      <c r="VR9" s="3"/>
      <c r="VS9" s="3"/>
      <c r="VT9" s="3"/>
      <c r="VU9" s="3"/>
      <c r="VV9" s="3"/>
      <c r="VW9" s="3"/>
      <c r="VX9" s="3"/>
      <c r="VY9" s="3"/>
      <c r="VZ9" s="3"/>
      <c r="WA9" s="3"/>
      <c r="WB9" s="3"/>
      <c r="WC9" s="3"/>
      <c r="WD9" s="3"/>
      <c r="WE9" s="3"/>
      <c r="WF9" s="3"/>
      <c r="WG9" s="3"/>
      <c r="WH9" s="3"/>
      <c r="WI9" s="3"/>
      <c r="WJ9" s="3"/>
      <c r="WK9" s="3"/>
      <c r="WL9" s="3"/>
      <c r="WM9" s="3"/>
      <c r="WN9" s="3"/>
      <c r="WO9" s="3"/>
      <c r="WP9" s="3"/>
      <c r="WQ9" s="3"/>
      <c r="WR9" s="3"/>
      <c r="WS9" s="3"/>
      <c r="WT9" s="3"/>
      <c r="WU9" s="3"/>
      <c r="WV9" s="3"/>
      <c r="WW9" s="3"/>
      <c r="WX9" s="3"/>
      <c r="WY9" s="3"/>
      <c r="WZ9" s="3"/>
      <c r="XA9" s="3"/>
      <c r="XB9" s="3"/>
      <c r="XC9" s="3"/>
      <c r="XD9" s="3"/>
      <c r="XE9" s="3"/>
      <c r="XF9" s="3"/>
      <c r="XG9" s="3"/>
      <c r="XH9" s="3"/>
      <c r="XI9" s="3"/>
      <c r="XJ9" s="3"/>
      <c r="XK9" s="3"/>
      <c r="XL9" s="3"/>
      <c r="XM9" s="3"/>
      <c r="XN9" s="3"/>
      <c r="XO9" s="3"/>
      <c r="XP9" s="3"/>
      <c r="XQ9" s="3"/>
      <c r="XR9" s="3"/>
      <c r="XS9" s="3"/>
      <c r="XT9" s="3"/>
      <c r="XU9" s="3"/>
      <c r="XV9" s="3"/>
      <c r="XW9" s="3"/>
      <c r="XX9" s="3"/>
      <c r="XY9" s="3"/>
      <c r="XZ9" s="3"/>
      <c r="YA9" s="3"/>
      <c r="YB9" s="3"/>
      <c r="YC9" s="3"/>
      <c r="YD9" s="3"/>
      <c r="YE9" s="3"/>
      <c r="YF9" s="3"/>
      <c r="YG9" s="3"/>
      <c r="YH9" s="3"/>
      <c r="YI9" s="3"/>
      <c r="YJ9" s="3"/>
      <c r="YK9" s="3"/>
      <c r="YL9" s="3"/>
      <c r="YM9" s="3"/>
      <c r="YN9" s="3"/>
      <c r="YO9" s="3"/>
      <c r="YP9" s="3"/>
      <c r="YQ9" s="3"/>
      <c r="YR9" s="3"/>
      <c r="YS9" s="3"/>
      <c r="YT9" s="3"/>
      <c r="YU9" s="3"/>
      <c r="YV9" s="3"/>
      <c r="YW9" s="3"/>
      <c r="YX9" s="3"/>
      <c r="YY9" s="3"/>
      <c r="YZ9" s="3"/>
      <c r="ZA9" s="3"/>
      <c r="ZB9" s="3"/>
      <c r="ZC9" s="3"/>
      <c r="ZD9" s="3"/>
      <c r="ZE9" s="3"/>
      <c r="ZF9" s="3"/>
      <c r="ZG9" s="3"/>
      <c r="ZH9" s="3"/>
      <c r="ZI9" s="3"/>
      <c r="ZJ9" s="3"/>
      <c r="ZK9" s="3"/>
      <c r="ZL9" s="3"/>
      <c r="ZM9" s="3"/>
      <c r="ZN9" s="3"/>
      <c r="ZO9" s="3"/>
      <c r="ZP9" s="3"/>
      <c r="ZQ9" s="3"/>
      <c r="ZR9" s="3"/>
      <c r="ZS9" s="3"/>
      <c r="ZT9" s="3"/>
      <c r="ZU9" s="3"/>
      <c r="ZV9" s="3"/>
      <c r="ZW9" s="3"/>
      <c r="ZX9" s="3"/>
      <c r="ZY9" s="3"/>
      <c r="ZZ9" s="3"/>
      <c r="AAA9" s="3"/>
      <c r="AAB9" s="3"/>
      <c r="AAC9" s="3"/>
      <c r="AAD9" s="3"/>
      <c r="AAE9" s="3"/>
      <c r="AAF9" s="3"/>
      <c r="AAG9" s="3"/>
      <c r="AAH9" s="3"/>
      <c r="AAI9" s="3"/>
      <c r="AAJ9" s="3"/>
      <c r="AAK9" s="3"/>
      <c r="AAL9" s="3"/>
      <c r="AAM9" s="3"/>
      <c r="AAN9" s="3"/>
      <c r="AAO9" s="3"/>
      <c r="AAP9" s="3"/>
      <c r="AAQ9" s="3"/>
      <c r="AAR9" s="3"/>
      <c r="AAS9" s="3"/>
      <c r="AAT9" s="3"/>
      <c r="AAU9" s="3"/>
      <c r="AAV9" s="3"/>
      <c r="AAW9" s="3"/>
      <c r="AAX9" s="3"/>
      <c r="AAY9" s="3"/>
      <c r="AAZ9" s="3"/>
      <c r="ABA9" s="3"/>
      <c r="ABB9" s="3"/>
      <c r="ABC9" s="3"/>
      <c r="ABD9" s="3"/>
      <c r="ABE9" s="3"/>
      <c r="ABF9" s="3"/>
      <c r="ABG9" s="3"/>
      <c r="ABH9" s="3"/>
      <c r="ABI9" s="3"/>
      <c r="ABJ9" s="3"/>
      <c r="ABK9" s="3"/>
      <c r="ABL9" s="3"/>
      <c r="ABM9" s="3"/>
      <c r="ABN9" s="3"/>
      <c r="ABO9" s="3"/>
      <c r="ABP9" s="3"/>
      <c r="ABQ9" s="3"/>
      <c r="ABR9" s="3"/>
      <c r="ABS9" s="3"/>
      <c r="ABT9" s="3"/>
      <c r="ABU9" s="3"/>
      <c r="ABV9" s="3"/>
      <c r="ABW9" s="3"/>
      <c r="ABX9" s="3"/>
      <c r="ABY9" s="3"/>
      <c r="ABZ9" s="3"/>
      <c r="ACA9" s="3"/>
      <c r="ACB9" s="3"/>
      <c r="ACC9" s="3"/>
      <c r="ACD9" s="3"/>
      <c r="ACE9" s="3"/>
      <c r="ACF9" s="3"/>
      <c r="ACG9" s="3"/>
      <c r="ACH9" s="3"/>
      <c r="ACI9" s="3"/>
      <c r="ACJ9" s="3"/>
      <c r="ACK9" s="3"/>
      <c r="ACL9" s="3"/>
      <c r="ACM9" s="3"/>
      <c r="ACN9" s="3"/>
      <c r="ACO9" s="3"/>
      <c r="ACP9" s="3"/>
      <c r="ACQ9" s="3"/>
      <c r="ACR9" s="3"/>
      <c r="ACS9" s="3"/>
      <c r="ACT9" s="3"/>
      <c r="ACU9" s="3"/>
      <c r="ACV9" s="3"/>
      <c r="ACW9" s="3"/>
      <c r="ACX9" s="3"/>
      <c r="ACY9" s="3"/>
      <c r="ACZ9" s="3"/>
    </row>
    <row r="10" spans="1:780" x14ac:dyDescent="0.2">
      <c r="A10" s="7"/>
      <c r="B10" s="7"/>
      <c r="C10" s="2"/>
      <c r="D10" s="2"/>
      <c r="E10" s="6"/>
      <c r="F10" s="6"/>
      <c r="G10" s="6"/>
      <c r="H10" s="6"/>
      <c r="I10" s="2"/>
      <c r="J10" s="4"/>
      <c r="K10" s="4"/>
      <c r="L10" s="2"/>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c r="HF10" s="3"/>
      <c r="HG10" s="3"/>
      <c r="HH10" s="3"/>
      <c r="HI10" s="3"/>
      <c r="HJ10" s="3"/>
      <c r="HK10" s="3"/>
      <c r="HL10" s="3"/>
      <c r="HM10" s="3"/>
      <c r="HN10" s="3"/>
      <c r="HO10" s="3"/>
      <c r="HP10" s="3"/>
      <c r="HQ10" s="3"/>
      <c r="HR10" s="3"/>
      <c r="HS10" s="3"/>
      <c r="HT10" s="3"/>
      <c r="HU10" s="3"/>
      <c r="HV10" s="3"/>
      <c r="HW10" s="3"/>
      <c r="HX10" s="3"/>
      <c r="HY10" s="3"/>
      <c r="HZ10" s="3"/>
      <c r="IA10" s="3"/>
      <c r="IB10" s="3"/>
      <c r="IC10" s="3"/>
      <c r="ID10" s="3"/>
      <c r="IE10" s="3"/>
      <c r="IF10" s="3"/>
      <c r="IG10" s="3"/>
      <c r="IH10" s="3"/>
      <c r="II10" s="3"/>
      <c r="IJ10" s="3"/>
      <c r="IK10" s="3"/>
      <c r="IL10" s="3"/>
      <c r="IM10" s="3"/>
      <c r="IN10" s="3"/>
      <c r="IO10" s="3"/>
      <c r="IP10" s="3"/>
      <c r="IQ10" s="3"/>
      <c r="IR10" s="3"/>
      <c r="IS10" s="3"/>
      <c r="IT10" s="3"/>
      <c r="IU10" s="3"/>
      <c r="IV10" s="3"/>
      <c r="IW10" s="3"/>
      <c r="IX10" s="3"/>
      <c r="IY10" s="3"/>
      <c r="IZ10" s="3"/>
      <c r="JA10" s="3"/>
      <c r="JB10" s="3"/>
      <c r="JC10" s="3"/>
      <c r="JD10" s="3"/>
      <c r="JE10" s="3"/>
      <c r="JF10" s="3"/>
      <c r="JG10" s="3"/>
      <c r="JH10" s="3"/>
      <c r="JI10" s="3"/>
      <c r="JJ10" s="3"/>
      <c r="JK10" s="3"/>
      <c r="JL10" s="3"/>
      <c r="JM10" s="3"/>
      <c r="JN10" s="3"/>
      <c r="JO10" s="3"/>
      <c r="JP10" s="3"/>
      <c r="JQ10" s="3"/>
      <c r="JR10" s="3"/>
      <c r="JS10" s="3"/>
      <c r="JT10" s="3"/>
      <c r="JU10" s="3"/>
      <c r="JV10" s="3"/>
      <c r="JW10" s="3"/>
      <c r="JX10" s="3"/>
      <c r="JY10" s="3"/>
      <c r="JZ10" s="3"/>
      <c r="KA10" s="3"/>
      <c r="KB10" s="3"/>
      <c r="KC10" s="3"/>
      <c r="KD10" s="3"/>
      <c r="KE10" s="3"/>
      <c r="KF10" s="3"/>
      <c r="KG10" s="3"/>
      <c r="KH10" s="3"/>
      <c r="KI10" s="3"/>
      <c r="KJ10" s="3"/>
      <c r="KK10" s="3"/>
      <c r="KL10" s="3"/>
      <c r="KM10" s="3"/>
      <c r="KN10" s="3"/>
      <c r="KO10" s="3"/>
      <c r="KP10" s="3"/>
      <c r="KQ10" s="3"/>
      <c r="KR10" s="3"/>
      <c r="KS10" s="3"/>
      <c r="KT10" s="3"/>
      <c r="KU10" s="3"/>
      <c r="KV10" s="3"/>
      <c r="KW10" s="3"/>
      <c r="KX10" s="3"/>
      <c r="KY10" s="3"/>
      <c r="KZ10" s="3"/>
      <c r="LA10" s="3"/>
      <c r="LB10" s="3"/>
      <c r="LC10" s="3"/>
      <c r="LD10" s="3"/>
      <c r="LE10" s="3"/>
      <c r="LF10" s="3"/>
      <c r="LG10" s="3"/>
      <c r="LH10" s="3"/>
      <c r="LI10" s="3"/>
      <c r="LJ10" s="3"/>
      <c r="LK10" s="3"/>
      <c r="LL10" s="3"/>
      <c r="LM10" s="3"/>
      <c r="LN10" s="3"/>
      <c r="LO10" s="3"/>
      <c r="LP10" s="3"/>
      <c r="LQ10" s="3"/>
      <c r="LR10" s="3"/>
      <c r="LS10" s="3"/>
      <c r="LT10" s="3"/>
      <c r="LU10" s="3"/>
      <c r="LV10" s="3"/>
      <c r="LW10" s="3"/>
      <c r="LX10" s="3"/>
      <c r="LY10" s="3"/>
      <c r="LZ10" s="3"/>
      <c r="MA10" s="3"/>
      <c r="MB10" s="3"/>
      <c r="MC10" s="3"/>
      <c r="MD10" s="3"/>
      <c r="ME10" s="3"/>
      <c r="MF10" s="3"/>
      <c r="MG10" s="3"/>
      <c r="MH10" s="3"/>
      <c r="MI10" s="3"/>
      <c r="MJ10" s="3"/>
      <c r="MK10" s="3"/>
      <c r="ML10" s="3"/>
      <c r="MM10" s="3"/>
      <c r="MN10" s="3"/>
      <c r="MO10" s="3"/>
      <c r="MP10" s="3"/>
      <c r="MQ10" s="3"/>
      <c r="MR10" s="3"/>
      <c r="MS10" s="3"/>
      <c r="MT10" s="3"/>
      <c r="MU10" s="3"/>
      <c r="MV10" s="3"/>
      <c r="MW10" s="3"/>
      <c r="MX10" s="3"/>
      <c r="MY10" s="3"/>
      <c r="MZ10" s="3"/>
      <c r="NA10" s="3"/>
      <c r="NB10" s="3"/>
      <c r="NC10" s="3"/>
      <c r="ND10" s="3"/>
      <c r="NE10" s="3"/>
      <c r="NF10" s="3"/>
      <c r="NG10" s="3"/>
      <c r="NH10" s="3"/>
      <c r="NI10" s="3"/>
      <c r="NJ10" s="3"/>
      <c r="NK10" s="3"/>
      <c r="NL10" s="3"/>
      <c r="NM10" s="3"/>
      <c r="NN10" s="3"/>
      <c r="NO10" s="3"/>
      <c r="NP10" s="3"/>
      <c r="NQ10" s="3"/>
      <c r="NR10" s="3"/>
      <c r="NS10" s="3"/>
      <c r="NT10" s="3"/>
      <c r="NU10" s="3"/>
      <c r="NV10" s="3"/>
      <c r="NW10" s="3"/>
      <c r="NX10" s="3"/>
      <c r="NY10" s="3"/>
      <c r="NZ10" s="3"/>
      <c r="OA10" s="3"/>
      <c r="OB10" s="3"/>
      <c r="OC10" s="3"/>
      <c r="OD10" s="3"/>
      <c r="OE10" s="3"/>
      <c r="OF10" s="3"/>
      <c r="OG10" s="3"/>
      <c r="OH10" s="3"/>
      <c r="OI10" s="3"/>
      <c r="OJ10" s="3"/>
      <c r="OK10" s="3"/>
      <c r="OL10" s="3"/>
      <c r="OM10" s="3"/>
      <c r="ON10" s="3"/>
      <c r="OO10" s="3"/>
      <c r="OP10" s="3"/>
      <c r="OQ10" s="3"/>
      <c r="OR10" s="3"/>
      <c r="OS10" s="3"/>
      <c r="OT10" s="3"/>
      <c r="OU10" s="3"/>
      <c r="OV10" s="3"/>
      <c r="OW10" s="3"/>
      <c r="OX10" s="3"/>
      <c r="OY10" s="3"/>
      <c r="OZ10" s="3"/>
      <c r="PA10" s="3"/>
      <c r="PB10" s="3"/>
      <c r="PC10" s="3"/>
      <c r="PD10" s="3"/>
      <c r="PE10" s="3"/>
      <c r="PF10" s="3"/>
      <c r="PG10" s="3"/>
      <c r="PH10" s="3"/>
      <c r="PI10" s="3"/>
      <c r="PJ10" s="3"/>
      <c r="PK10" s="3"/>
      <c r="PL10" s="3"/>
      <c r="PM10" s="3"/>
      <c r="PN10" s="3"/>
      <c r="PO10" s="3"/>
      <c r="PP10" s="3"/>
      <c r="PQ10" s="3"/>
      <c r="PR10" s="3"/>
      <c r="PS10" s="3"/>
      <c r="PT10" s="3"/>
      <c r="PU10" s="3"/>
      <c r="PV10" s="3"/>
      <c r="PW10" s="3"/>
      <c r="PX10" s="3"/>
      <c r="PY10" s="3"/>
      <c r="PZ10" s="3"/>
      <c r="QA10" s="3"/>
      <c r="QB10" s="3"/>
      <c r="QC10" s="3"/>
      <c r="QD10" s="3"/>
      <c r="QE10" s="3"/>
      <c r="QF10" s="3"/>
      <c r="QG10" s="3"/>
      <c r="QH10" s="3"/>
      <c r="QI10" s="3"/>
      <c r="QJ10" s="3"/>
      <c r="QK10" s="3"/>
      <c r="QL10" s="3"/>
      <c r="QM10" s="3"/>
      <c r="QN10" s="3"/>
      <c r="QO10" s="3"/>
      <c r="QP10" s="3"/>
      <c r="QQ10" s="3"/>
      <c r="QR10" s="3"/>
      <c r="QS10" s="3"/>
      <c r="QT10" s="3"/>
      <c r="QU10" s="3"/>
      <c r="QV10" s="3"/>
      <c r="QW10" s="3"/>
      <c r="QX10" s="3"/>
      <c r="QY10" s="3"/>
      <c r="QZ10" s="3"/>
      <c r="RA10" s="3"/>
      <c r="RB10" s="3"/>
      <c r="RC10" s="3"/>
      <c r="RD10" s="3"/>
      <c r="RE10" s="3"/>
      <c r="RF10" s="3"/>
      <c r="RG10" s="3"/>
      <c r="RH10" s="3"/>
      <c r="RI10" s="3"/>
      <c r="RJ10" s="3"/>
      <c r="RK10" s="3"/>
      <c r="RL10" s="3"/>
      <c r="RM10" s="3"/>
      <c r="RN10" s="3"/>
      <c r="RO10" s="3"/>
      <c r="RP10" s="3"/>
      <c r="RQ10" s="3"/>
      <c r="RR10" s="3"/>
      <c r="RS10" s="3"/>
      <c r="RT10" s="3"/>
      <c r="RU10" s="3"/>
      <c r="RV10" s="3"/>
      <c r="RW10" s="3"/>
      <c r="RX10" s="3"/>
      <c r="RY10" s="3"/>
      <c r="RZ10" s="3"/>
      <c r="SA10" s="3"/>
      <c r="SB10" s="3"/>
      <c r="SC10" s="3"/>
      <c r="SD10" s="3"/>
      <c r="SE10" s="3"/>
      <c r="SF10" s="3"/>
      <c r="SG10" s="3"/>
      <c r="SH10" s="3"/>
      <c r="SI10" s="3"/>
      <c r="SJ10" s="3"/>
      <c r="SK10" s="3"/>
      <c r="SL10" s="3"/>
      <c r="SM10" s="3"/>
      <c r="SN10" s="3"/>
      <c r="SO10" s="3"/>
      <c r="SP10" s="3"/>
      <c r="SQ10" s="3"/>
      <c r="SR10" s="3"/>
      <c r="SS10" s="3"/>
      <c r="ST10" s="3"/>
      <c r="SU10" s="3"/>
      <c r="SV10" s="3"/>
      <c r="SW10" s="3"/>
      <c r="SX10" s="3"/>
      <c r="SY10" s="3"/>
      <c r="SZ10" s="3"/>
      <c r="TA10" s="3"/>
      <c r="TB10" s="3"/>
      <c r="TC10" s="3"/>
      <c r="TD10" s="3"/>
      <c r="TE10" s="3"/>
      <c r="TF10" s="3"/>
      <c r="TG10" s="3"/>
      <c r="TH10" s="3"/>
      <c r="TI10" s="3"/>
      <c r="TJ10" s="3"/>
      <c r="TK10" s="3"/>
      <c r="TL10" s="3"/>
      <c r="TM10" s="3"/>
      <c r="TN10" s="3"/>
      <c r="TO10" s="3"/>
      <c r="TP10" s="3"/>
      <c r="TQ10" s="3"/>
      <c r="TR10" s="3"/>
      <c r="TS10" s="3"/>
      <c r="TT10" s="3"/>
      <c r="TU10" s="3"/>
      <c r="TV10" s="3"/>
      <c r="TW10" s="3"/>
      <c r="TX10" s="3"/>
      <c r="TY10" s="3"/>
      <c r="TZ10" s="3"/>
      <c r="UA10" s="3"/>
      <c r="UB10" s="3"/>
      <c r="UC10" s="3"/>
      <c r="UD10" s="3"/>
      <c r="UE10" s="3"/>
      <c r="UF10" s="3"/>
      <c r="UG10" s="3"/>
      <c r="UH10" s="3"/>
      <c r="UI10" s="3"/>
      <c r="UJ10" s="3"/>
      <c r="UK10" s="3"/>
      <c r="UL10" s="3"/>
      <c r="UM10" s="3"/>
      <c r="UN10" s="3"/>
      <c r="UO10" s="3"/>
      <c r="UP10" s="3"/>
      <c r="UQ10" s="3"/>
      <c r="UR10" s="3"/>
      <c r="US10" s="3"/>
      <c r="UT10" s="3"/>
      <c r="UU10" s="3"/>
      <c r="UV10" s="3"/>
      <c r="UW10" s="3"/>
      <c r="UX10" s="3"/>
      <c r="UY10" s="3"/>
      <c r="UZ10" s="3"/>
      <c r="VA10" s="3"/>
      <c r="VB10" s="3"/>
      <c r="VC10" s="3"/>
      <c r="VD10" s="3"/>
      <c r="VE10" s="3"/>
      <c r="VF10" s="3"/>
      <c r="VG10" s="3"/>
      <c r="VH10" s="3"/>
      <c r="VI10" s="3"/>
      <c r="VJ10" s="3"/>
      <c r="VK10" s="3"/>
      <c r="VL10" s="3"/>
      <c r="VM10" s="3"/>
      <c r="VN10" s="3"/>
      <c r="VO10" s="3"/>
      <c r="VP10" s="3"/>
      <c r="VQ10" s="3"/>
      <c r="VR10" s="3"/>
      <c r="VS10" s="3"/>
      <c r="VT10" s="3"/>
      <c r="VU10" s="3"/>
      <c r="VV10" s="3"/>
      <c r="VW10" s="3"/>
      <c r="VX10" s="3"/>
      <c r="VY10" s="3"/>
      <c r="VZ10" s="3"/>
      <c r="WA10" s="3"/>
      <c r="WB10" s="3"/>
      <c r="WC10" s="3"/>
      <c r="WD10" s="3"/>
      <c r="WE10" s="3"/>
      <c r="WF10" s="3"/>
      <c r="WG10" s="3"/>
      <c r="WH10" s="3"/>
      <c r="WI10" s="3"/>
      <c r="WJ10" s="3"/>
      <c r="WK10" s="3"/>
      <c r="WL10" s="3"/>
      <c r="WM10" s="3"/>
      <c r="WN10" s="3"/>
      <c r="WO10" s="3"/>
      <c r="WP10" s="3"/>
      <c r="WQ10" s="3"/>
      <c r="WR10" s="3"/>
      <c r="WS10" s="3"/>
      <c r="WT10" s="3"/>
      <c r="WU10" s="3"/>
      <c r="WV10" s="3"/>
      <c r="WW10" s="3"/>
      <c r="WX10" s="3"/>
      <c r="WY10" s="3"/>
      <c r="WZ10" s="3"/>
      <c r="XA10" s="3"/>
      <c r="XB10" s="3"/>
      <c r="XC10" s="3"/>
      <c r="XD10" s="3"/>
      <c r="XE10" s="3"/>
      <c r="XF10" s="3"/>
      <c r="XG10" s="3"/>
      <c r="XH10" s="3"/>
      <c r="XI10" s="3"/>
      <c r="XJ10" s="3"/>
      <c r="XK10" s="3"/>
      <c r="XL10" s="3"/>
      <c r="XM10" s="3"/>
      <c r="XN10" s="3"/>
      <c r="XO10" s="3"/>
      <c r="XP10" s="3"/>
      <c r="XQ10" s="3"/>
      <c r="XR10" s="3"/>
      <c r="XS10" s="3"/>
      <c r="XT10" s="3"/>
      <c r="XU10" s="3"/>
      <c r="XV10" s="3"/>
      <c r="XW10" s="3"/>
      <c r="XX10" s="3"/>
      <c r="XY10" s="3"/>
      <c r="XZ10" s="3"/>
      <c r="YA10" s="3"/>
      <c r="YB10" s="3"/>
      <c r="YC10" s="3"/>
      <c r="YD10" s="3"/>
      <c r="YE10" s="3"/>
      <c r="YF10" s="3"/>
      <c r="YG10" s="3"/>
      <c r="YH10" s="3"/>
      <c r="YI10" s="3"/>
      <c r="YJ10" s="3"/>
      <c r="YK10" s="3"/>
      <c r="YL10" s="3"/>
      <c r="YM10" s="3"/>
      <c r="YN10" s="3"/>
      <c r="YO10" s="3"/>
      <c r="YP10" s="3"/>
      <c r="YQ10" s="3"/>
      <c r="YR10" s="3"/>
      <c r="YS10" s="3"/>
      <c r="YT10" s="3"/>
      <c r="YU10" s="3"/>
      <c r="YV10" s="3"/>
      <c r="YW10" s="3"/>
      <c r="YX10" s="3"/>
      <c r="YY10" s="3"/>
      <c r="YZ10" s="3"/>
      <c r="ZA10" s="3"/>
      <c r="ZB10" s="3"/>
      <c r="ZC10" s="3"/>
      <c r="ZD10" s="3"/>
      <c r="ZE10" s="3"/>
      <c r="ZF10" s="3"/>
      <c r="ZG10" s="3"/>
      <c r="ZH10" s="3"/>
      <c r="ZI10" s="3"/>
      <c r="ZJ10" s="3"/>
      <c r="ZK10" s="3"/>
      <c r="ZL10" s="3"/>
      <c r="ZM10" s="3"/>
      <c r="ZN10" s="3"/>
      <c r="ZO10" s="3"/>
      <c r="ZP10" s="3"/>
      <c r="ZQ10" s="3"/>
      <c r="ZR10" s="3"/>
      <c r="ZS10" s="3"/>
      <c r="ZT10" s="3"/>
      <c r="ZU10" s="3"/>
      <c r="ZV10" s="3"/>
      <c r="ZW10" s="3"/>
      <c r="ZX10" s="3"/>
      <c r="ZY10" s="3"/>
      <c r="ZZ10" s="3"/>
      <c r="AAA10" s="3"/>
      <c r="AAB10" s="3"/>
      <c r="AAC10" s="3"/>
      <c r="AAD10" s="3"/>
      <c r="AAE10" s="3"/>
      <c r="AAF10" s="3"/>
      <c r="AAG10" s="3"/>
      <c r="AAH10" s="3"/>
      <c r="AAI10" s="3"/>
      <c r="AAJ10" s="3"/>
      <c r="AAK10" s="3"/>
      <c r="AAL10" s="3"/>
      <c r="AAM10" s="3"/>
      <c r="AAN10" s="3"/>
      <c r="AAO10" s="3"/>
      <c r="AAP10" s="3"/>
      <c r="AAQ10" s="3"/>
      <c r="AAR10" s="3"/>
      <c r="AAS10" s="3"/>
      <c r="AAT10" s="3"/>
      <c r="AAU10" s="3"/>
      <c r="AAV10" s="3"/>
      <c r="AAW10" s="3"/>
      <c r="AAX10" s="3"/>
      <c r="AAY10" s="3"/>
      <c r="AAZ10" s="3"/>
      <c r="ABA10" s="3"/>
      <c r="ABB10" s="3"/>
      <c r="ABC10" s="3"/>
      <c r="ABD10" s="3"/>
      <c r="ABE10" s="3"/>
      <c r="ABF10" s="3"/>
      <c r="ABG10" s="3"/>
      <c r="ABH10" s="3"/>
      <c r="ABI10" s="3"/>
      <c r="ABJ10" s="3"/>
      <c r="ABK10" s="3"/>
      <c r="ABL10" s="3"/>
      <c r="ABM10" s="3"/>
      <c r="ABN10" s="3"/>
      <c r="ABO10" s="3"/>
      <c r="ABP10" s="3"/>
      <c r="ABQ10" s="3"/>
      <c r="ABR10" s="3"/>
      <c r="ABS10" s="3"/>
      <c r="ABT10" s="3"/>
      <c r="ABU10" s="3"/>
      <c r="ABV10" s="3"/>
      <c r="ABW10" s="3"/>
      <c r="ABX10" s="3"/>
      <c r="ABY10" s="3"/>
      <c r="ABZ10" s="3"/>
      <c r="ACA10" s="3"/>
      <c r="ACB10" s="3"/>
      <c r="ACC10" s="3"/>
      <c r="ACD10" s="3"/>
      <c r="ACE10" s="3"/>
      <c r="ACF10" s="3"/>
      <c r="ACG10" s="3"/>
      <c r="ACH10" s="3"/>
      <c r="ACI10" s="3"/>
      <c r="ACJ10" s="3"/>
      <c r="ACK10" s="3"/>
      <c r="ACL10" s="3"/>
      <c r="ACM10" s="3"/>
      <c r="ACN10" s="3"/>
      <c r="ACO10" s="3"/>
      <c r="ACP10" s="3"/>
      <c r="ACQ10" s="3"/>
      <c r="ACR10" s="3"/>
      <c r="ACS10" s="3"/>
      <c r="ACT10" s="3"/>
      <c r="ACU10" s="3"/>
      <c r="ACV10" s="3"/>
      <c r="ACW10" s="3"/>
      <c r="ACX10" s="3"/>
      <c r="ACY10" s="3"/>
      <c r="ACZ10" s="3"/>
    </row>
    <row r="11" spans="1:780" x14ac:dyDescent="0.2">
      <c r="A11" s="7"/>
      <c r="B11" s="7"/>
      <c r="C11" s="2"/>
      <c r="D11" s="2"/>
      <c r="E11" s="6"/>
      <c r="F11" s="6"/>
      <c r="G11" s="6"/>
      <c r="H11" s="6"/>
      <c r="I11" s="2"/>
      <c r="J11" s="4"/>
      <c r="K11" s="4"/>
      <c r="L11" s="2"/>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c r="HF11" s="3"/>
      <c r="HG11" s="3"/>
      <c r="HH11" s="3"/>
      <c r="HI11" s="3"/>
      <c r="HJ11" s="3"/>
      <c r="HK11" s="3"/>
      <c r="HL11" s="3"/>
      <c r="HM11" s="3"/>
      <c r="HN11" s="3"/>
      <c r="HO11" s="3"/>
      <c r="HP11" s="3"/>
      <c r="HQ11" s="3"/>
      <c r="HR11" s="3"/>
      <c r="HS11" s="3"/>
      <c r="HT11" s="3"/>
      <c r="HU11" s="3"/>
      <c r="HV11" s="3"/>
      <c r="HW11" s="3"/>
      <c r="HX11" s="3"/>
      <c r="HY11" s="3"/>
      <c r="HZ11" s="3"/>
      <c r="IA11" s="3"/>
      <c r="IB11" s="3"/>
      <c r="IC11" s="3"/>
      <c r="ID11" s="3"/>
      <c r="IE11" s="3"/>
      <c r="IF11" s="3"/>
      <c r="IG11" s="3"/>
      <c r="IH11" s="3"/>
      <c r="II11" s="3"/>
      <c r="IJ11" s="3"/>
      <c r="IK11" s="3"/>
      <c r="IL11" s="3"/>
      <c r="IM11" s="3"/>
      <c r="IN11" s="3"/>
      <c r="IO11" s="3"/>
      <c r="IP11" s="3"/>
      <c r="IQ11" s="3"/>
      <c r="IR11" s="3"/>
      <c r="IS11" s="3"/>
      <c r="IT11" s="3"/>
      <c r="IU11" s="3"/>
      <c r="IV11" s="3"/>
      <c r="IW11" s="3"/>
      <c r="IX11" s="3"/>
      <c r="IY11" s="3"/>
      <c r="IZ11" s="3"/>
      <c r="JA11" s="3"/>
      <c r="JB11" s="3"/>
      <c r="JC11" s="3"/>
      <c r="JD11" s="3"/>
      <c r="JE11" s="3"/>
      <c r="JF11" s="3"/>
      <c r="JG11" s="3"/>
      <c r="JH11" s="3"/>
      <c r="JI11" s="3"/>
      <c r="JJ11" s="3"/>
      <c r="JK11" s="3"/>
      <c r="JL11" s="3"/>
      <c r="JM11" s="3"/>
      <c r="JN11" s="3"/>
      <c r="JO11" s="3"/>
      <c r="JP11" s="3"/>
      <c r="JQ11" s="3"/>
      <c r="JR11" s="3"/>
      <c r="JS11" s="3"/>
      <c r="JT11" s="3"/>
      <c r="JU11" s="3"/>
      <c r="JV11" s="3"/>
      <c r="JW11" s="3"/>
      <c r="JX11" s="3"/>
      <c r="JY11" s="3"/>
      <c r="JZ11" s="3"/>
      <c r="KA11" s="3"/>
      <c r="KB11" s="3"/>
      <c r="KC11" s="3"/>
      <c r="KD11" s="3"/>
      <c r="KE11" s="3"/>
      <c r="KF11" s="3"/>
      <c r="KG11" s="3"/>
      <c r="KH11" s="3"/>
      <c r="KI11" s="3"/>
      <c r="KJ11" s="3"/>
      <c r="KK11" s="3"/>
      <c r="KL11" s="3"/>
      <c r="KM11" s="3"/>
      <c r="KN11" s="3"/>
      <c r="KO11" s="3"/>
      <c r="KP11" s="3"/>
      <c r="KQ11" s="3"/>
      <c r="KR11" s="3"/>
      <c r="KS11" s="3"/>
      <c r="KT11" s="3"/>
      <c r="KU11" s="3"/>
      <c r="KV11" s="3"/>
      <c r="KW11" s="3"/>
      <c r="KX11" s="3"/>
      <c r="KY11" s="3"/>
      <c r="KZ11" s="3"/>
      <c r="LA11" s="3"/>
      <c r="LB11" s="3"/>
      <c r="LC11" s="3"/>
      <c r="LD11" s="3"/>
      <c r="LE11" s="3"/>
      <c r="LF11" s="3"/>
      <c r="LG11" s="3"/>
      <c r="LH11" s="3"/>
      <c r="LI11" s="3"/>
      <c r="LJ11" s="3"/>
      <c r="LK11" s="3"/>
      <c r="LL11" s="3"/>
      <c r="LM11" s="3"/>
      <c r="LN11" s="3"/>
      <c r="LO11" s="3"/>
      <c r="LP11" s="3"/>
      <c r="LQ11" s="3"/>
      <c r="LR11" s="3"/>
      <c r="LS11" s="3"/>
      <c r="LT11" s="3"/>
      <c r="LU11" s="3"/>
      <c r="LV11" s="3"/>
      <c r="LW11" s="3"/>
      <c r="LX11" s="3"/>
      <c r="LY11" s="3"/>
      <c r="LZ11" s="3"/>
      <c r="MA11" s="3"/>
      <c r="MB11" s="3"/>
      <c r="MC11" s="3"/>
      <c r="MD11" s="3"/>
      <c r="ME11" s="3"/>
      <c r="MF11" s="3"/>
      <c r="MG11" s="3"/>
      <c r="MH11" s="3"/>
      <c r="MI11" s="3"/>
      <c r="MJ11" s="3"/>
      <c r="MK11" s="3"/>
      <c r="ML11" s="3"/>
      <c r="MM11" s="3"/>
      <c r="MN11" s="3"/>
      <c r="MO11" s="3"/>
      <c r="MP11" s="3"/>
      <c r="MQ11" s="3"/>
      <c r="MR11" s="3"/>
      <c r="MS11" s="3"/>
      <c r="MT11" s="3"/>
      <c r="MU11" s="3"/>
      <c r="MV11" s="3"/>
      <c r="MW11" s="3"/>
      <c r="MX11" s="3"/>
      <c r="MY11" s="3"/>
      <c r="MZ11" s="3"/>
      <c r="NA11" s="3"/>
      <c r="NB11" s="3"/>
      <c r="NC11" s="3"/>
      <c r="ND11" s="3"/>
      <c r="NE11" s="3"/>
      <c r="NF11" s="3"/>
      <c r="NG11" s="3"/>
      <c r="NH11" s="3"/>
      <c r="NI11" s="3"/>
      <c r="NJ11" s="3"/>
      <c r="NK11" s="3"/>
      <c r="NL11" s="3"/>
      <c r="NM11" s="3"/>
      <c r="NN11" s="3"/>
      <c r="NO11" s="3"/>
      <c r="NP11" s="3"/>
      <c r="NQ11" s="3"/>
      <c r="NR11" s="3"/>
      <c r="NS11" s="3"/>
      <c r="NT11" s="3"/>
      <c r="NU11" s="3"/>
      <c r="NV11" s="3"/>
      <c r="NW11" s="3"/>
      <c r="NX11" s="3"/>
      <c r="NY11" s="3"/>
      <c r="NZ11" s="3"/>
      <c r="OA11" s="3"/>
      <c r="OB11" s="3"/>
      <c r="OC11" s="3"/>
      <c r="OD11" s="3"/>
      <c r="OE11" s="3"/>
      <c r="OF11" s="3"/>
      <c r="OG11" s="3"/>
      <c r="OH11" s="3"/>
      <c r="OI11" s="3"/>
      <c r="OJ11" s="3"/>
      <c r="OK11" s="3"/>
      <c r="OL11" s="3"/>
      <c r="OM11" s="3"/>
      <c r="ON11" s="3"/>
      <c r="OO11" s="3"/>
      <c r="OP11" s="3"/>
      <c r="OQ11" s="3"/>
      <c r="OR11" s="3"/>
      <c r="OS11" s="3"/>
      <c r="OT11" s="3"/>
      <c r="OU11" s="3"/>
      <c r="OV11" s="3"/>
      <c r="OW11" s="3"/>
      <c r="OX11" s="3"/>
      <c r="OY11" s="3"/>
      <c r="OZ11" s="3"/>
      <c r="PA11" s="3"/>
      <c r="PB11" s="3"/>
      <c r="PC11" s="3"/>
      <c r="PD11" s="3"/>
      <c r="PE11" s="3"/>
      <c r="PF11" s="3"/>
      <c r="PG11" s="3"/>
      <c r="PH11" s="3"/>
      <c r="PI11" s="3"/>
      <c r="PJ11" s="3"/>
      <c r="PK11" s="3"/>
      <c r="PL11" s="3"/>
      <c r="PM11" s="3"/>
      <c r="PN11" s="3"/>
      <c r="PO11" s="3"/>
      <c r="PP11" s="3"/>
      <c r="PQ11" s="3"/>
      <c r="PR11" s="3"/>
      <c r="PS11" s="3"/>
      <c r="PT11" s="3"/>
      <c r="PU11" s="3"/>
      <c r="PV11" s="3"/>
      <c r="PW11" s="3"/>
      <c r="PX11" s="3"/>
      <c r="PY11" s="3"/>
      <c r="PZ11" s="3"/>
      <c r="QA11" s="3"/>
      <c r="QB11" s="3"/>
      <c r="QC11" s="3"/>
      <c r="QD11" s="3"/>
      <c r="QE11" s="3"/>
      <c r="QF11" s="3"/>
      <c r="QG11" s="3"/>
      <c r="QH11" s="3"/>
      <c r="QI11" s="3"/>
      <c r="QJ11" s="3"/>
      <c r="QK11" s="3"/>
      <c r="QL11" s="3"/>
      <c r="QM11" s="3"/>
      <c r="QN11" s="3"/>
      <c r="QO11" s="3"/>
      <c r="QP11" s="3"/>
      <c r="QQ11" s="3"/>
      <c r="QR11" s="3"/>
      <c r="QS11" s="3"/>
      <c r="QT11" s="3"/>
      <c r="QU11" s="3"/>
      <c r="QV11" s="3"/>
      <c r="QW11" s="3"/>
      <c r="QX11" s="3"/>
      <c r="QY11" s="3"/>
      <c r="QZ11" s="3"/>
      <c r="RA11" s="3"/>
      <c r="RB11" s="3"/>
      <c r="RC11" s="3"/>
      <c r="RD11" s="3"/>
      <c r="RE11" s="3"/>
      <c r="RF11" s="3"/>
      <c r="RG11" s="3"/>
      <c r="RH11" s="3"/>
      <c r="RI11" s="3"/>
      <c r="RJ11" s="3"/>
      <c r="RK11" s="3"/>
      <c r="RL11" s="3"/>
      <c r="RM11" s="3"/>
      <c r="RN11" s="3"/>
      <c r="RO11" s="3"/>
      <c r="RP11" s="3"/>
      <c r="RQ11" s="3"/>
      <c r="RR11" s="3"/>
      <c r="RS11" s="3"/>
      <c r="RT11" s="3"/>
      <c r="RU11" s="3"/>
      <c r="RV11" s="3"/>
      <c r="RW11" s="3"/>
      <c r="RX11" s="3"/>
      <c r="RY11" s="3"/>
      <c r="RZ11" s="3"/>
      <c r="SA11" s="3"/>
      <c r="SB11" s="3"/>
      <c r="SC11" s="3"/>
      <c r="SD11" s="3"/>
      <c r="SE11" s="3"/>
      <c r="SF11" s="3"/>
      <c r="SG11" s="3"/>
      <c r="SH11" s="3"/>
      <c r="SI11" s="3"/>
      <c r="SJ11" s="3"/>
      <c r="SK11" s="3"/>
      <c r="SL11" s="3"/>
      <c r="SM11" s="3"/>
      <c r="SN11" s="3"/>
      <c r="SO11" s="3"/>
      <c r="SP11" s="3"/>
      <c r="SQ11" s="3"/>
      <c r="SR11" s="3"/>
      <c r="SS11" s="3"/>
      <c r="ST11" s="3"/>
      <c r="SU11" s="3"/>
      <c r="SV11" s="3"/>
      <c r="SW11" s="3"/>
      <c r="SX11" s="3"/>
      <c r="SY11" s="3"/>
      <c r="SZ11" s="3"/>
      <c r="TA11" s="3"/>
      <c r="TB11" s="3"/>
      <c r="TC11" s="3"/>
      <c r="TD11" s="3"/>
      <c r="TE11" s="3"/>
      <c r="TF11" s="3"/>
      <c r="TG11" s="3"/>
      <c r="TH11" s="3"/>
      <c r="TI11" s="3"/>
      <c r="TJ11" s="3"/>
      <c r="TK11" s="3"/>
      <c r="TL11" s="3"/>
      <c r="TM11" s="3"/>
      <c r="TN11" s="3"/>
      <c r="TO11" s="3"/>
      <c r="TP11" s="3"/>
      <c r="TQ11" s="3"/>
      <c r="TR11" s="3"/>
      <c r="TS11" s="3"/>
      <c r="TT11" s="3"/>
      <c r="TU11" s="3"/>
      <c r="TV11" s="3"/>
      <c r="TW11" s="3"/>
      <c r="TX11" s="3"/>
      <c r="TY11" s="3"/>
      <c r="TZ11" s="3"/>
      <c r="UA11" s="3"/>
      <c r="UB11" s="3"/>
      <c r="UC11" s="3"/>
      <c r="UD11" s="3"/>
      <c r="UE11" s="3"/>
      <c r="UF11" s="3"/>
      <c r="UG11" s="3"/>
      <c r="UH11" s="3"/>
      <c r="UI11" s="3"/>
      <c r="UJ11" s="3"/>
      <c r="UK11" s="3"/>
      <c r="UL11" s="3"/>
      <c r="UM11" s="3"/>
      <c r="UN11" s="3"/>
      <c r="UO11" s="3"/>
      <c r="UP11" s="3"/>
      <c r="UQ11" s="3"/>
      <c r="UR11" s="3"/>
      <c r="US11" s="3"/>
      <c r="UT11" s="3"/>
      <c r="UU11" s="3"/>
      <c r="UV11" s="3"/>
      <c r="UW11" s="3"/>
      <c r="UX11" s="3"/>
      <c r="UY11" s="3"/>
      <c r="UZ11" s="3"/>
      <c r="VA11" s="3"/>
      <c r="VB11" s="3"/>
      <c r="VC11" s="3"/>
      <c r="VD11" s="3"/>
      <c r="VE11" s="3"/>
      <c r="VF11" s="3"/>
      <c r="VG11" s="3"/>
      <c r="VH11" s="3"/>
      <c r="VI11" s="3"/>
      <c r="VJ11" s="3"/>
      <c r="VK11" s="3"/>
      <c r="VL11" s="3"/>
      <c r="VM11" s="3"/>
      <c r="VN11" s="3"/>
      <c r="VO11" s="3"/>
      <c r="VP11" s="3"/>
      <c r="VQ11" s="3"/>
      <c r="VR11" s="3"/>
      <c r="VS11" s="3"/>
      <c r="VT11" s="3"/>
      <c r="VU11" s="3"/>
      <c r="VV11" s="3"/>
      <c r="VW11" s="3"/>
      <c r="VX11" s="3"/>
      <c r="VY11" s="3"/>
      <c r="VZ11" s="3"/>
      <c r="WA11" s="3"/>
      <c r="WB11" s="3"/>
      <c r="WC11" s="3"/>
      <c r="WD11" s="3"/>
      <c r="WE11" s="3"/>
      <c r="WF11" s="3"/>
      <c r="WG11" s="3"/>
      <c r="WH11" s="3"/>
      <c r="WI11" s="3"/>
      <c r="WJ11" s="3"/>
      <c r="WK11" s="3"/>
      <c r="WL11" s="3"/>
      <c r="WM11" s="3"/>
      <c r="WN11" s="3"/>
      <c r="WO11" s="3"/>
      <c r="WP11" s="3"/>
      <c r="WQ11" s="3"/>
      <c r="WR11" s="3"/>
      <c r="WS11" s="3"/>
      <c r="WT11" s="3"/>
      <c r="WU11" s="3"/>
      <c r="WV11" s="3"/>
      <c r="WW11" s="3"/>
      <c r="WX11" s="3"/>
      <c r="WY11" s="3"/>
      <c r="WZ11" s="3"/>
      <c r="XA11" s="3"/>
      <c r="XB11" s="3"/>
      <c r="XC11" s="3"/>
      <c r="XD11" s="3"/>
      <c r="XE11" s="3"/>
      <c r="XF11" s="3"/>
      <c r="XG11" s="3"/>
      <c r="XH11" s="3"/>
      <c r="XI11" s="3"/>
      <c r="XJ11" s="3"/>
      <c r="XK11" s="3"/>
      <c r="XL11" s="3"/>
      <c r="XM11" s="3"/>
      <c r="XN11" s="3"/>
      <c r="XO11" s="3"/>
      <c r="XP11" s="3"/>
      <c r="XQ11" s="3"/>
      <c r="XR11" s="3"/>
      <c r="XS11" s="3"/>
      <c r="XT11" s="3"/>
      <c r="XU11" s="3"/>
      <c r="XV11" s="3"/>
      <c r="XW11" s="3"/>
      <c r="XX11" s="3"/>
      <c r="XY11" s="3"/>
      <c r="XZ11" s="3"/>
      <c r="YA11" s="3"/>
      <c r="YB11" s="3"/>
      <c r="YC11" s="3"/>
      <c r="YD11" s="3"/>
      <c r="YE11" s="3"/>
      <c r="YF11" s="3"/>
      <c r="YG11" s="3"/>
      <c r="YH11" s="3"/>
      <c r="YI11" s="3"/>
      <c r="YJ11" s="3"/>
      <c r="YK11" s="3"/>
      <c r="YL11" s="3"/>
      <c r="YM11" s="3"/>
      <c r="YN11" s="3"/>
      <c r="YO11" s="3"/>
      <c r="YP11" s="3"/>
      <c r="YQ11" s="3"/>
      <c r="YR11" s="3"/>
      <c r="YS11" s="3"/>
      <c r="YT11" s="3"/>
      <c r="YU11" s="3"/>
      <c r="YV11" s="3"/>
      <c r="YW11" s="3"/>
      <c r="YX11" s="3"/>
      <c r="YY11" s="3"/>
      <c r="YZ11" s="3"/>
      <c r="ZA11" s="3"/>
      <c r="ZB11" s="3"/>
      <c r="ZC11" s="3"/>
      <c r="ZD11" s="3"/>
      <c r="ZE11" s="3"/>
      <c r="ZF11" s="3"/>
      <c r="ZG11" s="3"/>
      <c r="ZH11" s="3"/>
      <c r="ZI11" s="3"/>
      <c r="ZJ11" s="3"/>
      <c r="ZK11" s="3"/>
      <c r="ZL11" s="3"/>
      <c r="ZM11" s="3"/>
      <c r="ZN11" s="3"/>
      <c r="ZO11" s="3"/>
      <c r="ZP11" s="3"/>
      <c r="ZQ11" s="3"/>
      <c r="ZR11" s="3"/>
      <c r="ZS11" s="3"/>
      <c r="ZT11" s="3"/>
      <c r="ZU11" s="3"/>
      <c r="ZV11" s="3"/>
      <c r="ZW11" s="3"/>
      <c r="ZX11" s="3"/>
      <c r="ZY11" s="3"/>
      <c r="ZZ11" s="3"/>
      <c r="AAA11" s="3"/>
      <c r="AAB11" s="3"/>
      <c r="AAC11" s="3"/>
      <c r="AAD11" s="3"/>
      <c r="AAE11" s="3"/>
      <c r="AAF11" s="3"/>
      <c r="AAG11" s="3"/>
      <c r="AAH11" s="3"/>
      <c r="AAI11" s="3"/>
      <c r="AAJ11" s="3"/>
      <c r="AAK11" s="3"/>
      <c r="AAL11" s="3"/>
      <c r="AAM11" s="3"/>
      <c r="AAN11" s="3"/>
      <c r="AAO11" s="3"/>
      <c r="AAP11" s="3"/>
      <c r="AAQ11" s="3"/>
      <c r="AAR11" s="3"/>
      <c r="AAS11" s="3"/>
      <c r="AAT11" s="3"/>
      <c r="AAU11" s="3"/>
      <c r="AAV11" s="3"/>
      <c r="AAW11" s="3"/>
      <c r="AAX11" s="3"/>
      <c r="AAY11" s="3"/>
      <c r="AAZ11" s="3"/>
      <c r="ABA11" s="3"/>
      <c r="ABB11" s="3"/>
      <c r="ABC11" s="3"/>
      <c r="ABD11" s="3"/>
      <c r="ABE11" s="3"/>
      <c r="ABF11" s="3"/>
      <c r="ABG11" s="3"/>
      <c r="ABH11" s="3"/>
      <c r="ABI11" s="3"/>
      <c r="ABJ11" s="3"/>
      <c r="ABK11" s="3"/>
      <c r="ABL11" s="3"/>
      <c r="ABM11" s="3"/>
      <c r="ABN11" s="3"/>
      <c r="ABO11" s="3"/>
      <c r="ABP11" s="3"/>
      <c r="ABQ11" s="3"/>
      <c r="ABR11" s="3"/>
      <c r="ABS11" s="3"/>
      <c r="ABT11" s="3"/>
      <c r="ABU11" s="3"/>
      <c r="ABV11" s="3"/>
      <c r="ABW11" s="3"/>
      <c r="ABX11" s="3"/>
      <c r="ABY11" s="3"/>
      <c r="ABZ11" s="3"/>
      <c r="ACA11" s="3"/>
      <c r="ACB11" s="3"/>
      <c r="ACC11" s="3"/>
      <c r="ACD11" s="3"/>
      <c r="ACE11" s="3"/>
      <c r="ACF11" s="3"/>
      <c r="ACG11" s="3"/>
      <c r="ACH11" s="3"/>
      <c r="ACI11" s="3"/>
      <c r="ACJ11" s="3"/>
      <c r="ACK11" s="3"/>
      <c r="ACL11" s="3"/>
      <c r="ACM11" s="3"/>
      <c r="ACN11" s="3"/>
      <c r="ACO11" s="3"/>
      <c r="ACP11" s="3"/>
      <c r="ACQ11" s="3"/>
      <c r="ACR11" s="3"/>
      <c r="ACS11" s="3"/>
      <c r="ACT11" s="3"/>
      <c r="ACU11" s="3"/>
      <c r="ACV11" s="3"/>
      <c r="ACW11" s="3"/>
      <c r="ACX11" s="3"/>
      <c r="ACY11" s="3"/>
      <c r="ACZ11" s="3"/>
    </row>
    <row r="12" spans="1:780" x14ac:dyDescent="0.2">
      <c r="A12" s="7"/>
      <c r="B12" s="7"/>
      <c r="C12" s="2"/>
      <c r="D12" s="2"/>
      <c r="E12" s="6"/>
      <c r="F12" s="6"/>
      <c r="G12" s="6"/>
      <c r="H12" s="6"/>
      <c r="I12" s="2"/>
      <c r="J12" s="4"/>
      <c r="K12" s="4"/>
      <c r="L12" s="2"/>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c r="HF12" s="3"/>
      <c r="HG12" s="3"/>
      <c r="HH12" s="3"/>
      <c r="HI12" s="3"/>
      <c r="HJ12" s="3"/>
      <c r="HK12" s="3"/>
      <c r="HL12" s="3"/>
      <c r="HM12" s="3"/>
      <c r="HN12" s="3"/>
      <c r="HO12" s="3"/>
      <c r="HP12" s="3"/>
      <c r="HQ12" s="3"/>
      <c r="HR12" s="3"/>
      <c r="HS12" s="3"/>
      <c r="HT12" s="3"/>
      <c r="HU12" s="3"/>
      <c r="HV12" s="3"/>
      <c r="HW12" s="3"/>
      <c r="HX12" s="3"/>
      <c r="HY12" s="3"/>
      <c r="HZ12" s="3"/>
      <c r="IA12" s="3"/>
      <c r="IB12" s="3"/>
      <c r="IC12" s="3"/>
      <c r="ID12" s="3"/>
      <c r="IE12" s="3"/>
      <c r="IF12" s="3"/>
      <c r="IG12" s="3"/>
      <c r="IH12" s="3"/>
      <c r="II12" s="3"/>
      <c r="IJ12" s="3"/>
      <c r="IK12" s="3"/>
      <c r="IL12" s="3"/>
      <c r="IM12" s="3"/>
      <c r="IN12" s="3"/>
      <c r="IO12" s="3"/>
      <c r="IP12" s="3"/>
      <c r="IQ12" s="3"/>
      <c r="IR12" s="3"/>
      <c r="IS12" s="3"/>
      <c r="IT12" s="3"/>
      <c r="IU12" s="3"/>
      <c r="IV12" s="3"/>
      <c r="IW12" s="3"/>
      <c r="IX12" s="3"/>
      <c r="IY12" s="3"/>
      <c r="IZ12" s="3"/>
      <c r="JA12" s="3"/>
      <c r="JB12" s="3"/>
      <c r="JC12" s="3"/>
      <c r="JD12" s="3"/>
      <c r="JE12" s="3"/>
      <c r="JF12" s="3"/>
      <c r="JG12" s="3"/>
      <c r="JH12" s="3"/>
      <c r="JI12" s="3"/>
      <c r="JJ12" s="3"/>
      <c r="JK12" s="3"/>
      <c r="JL12" s="3"/>
      <c r="JM12" s="3"/>
      <c r="JN12" s="3"/>
      <c r="JO12" s="3"/>
      <c r="JP12" s="3"/>
      <c r="JQ12" s="3"/>
      <c r="JR12" s="3"/>
      <c r="JS12" s="3"/>
      <c r="JT12" s="3"/>
      <c r="JU12" s="3"/>
      <c r="JV12" s="3"/>
      <c r="JW12" s="3"/>
      <c r="JX12" s="3"/>
      <c r="JY12" s="3"/>
      <c r="JZ12" s="3"/>
      <c r="KA12" s="3"/>
      <c r="KB12" s="3"/>
      <c r="KC12" s="3"/>
      <c r="KD12" s="3"/>
      <c r="KE12" s="3"/>
      <c r="KF12" s="3"/>
      <c r="KG12" s="3"/>
      <c r="KH12" s="3"/>
      <c r="KI12" s="3"/>
      <c r="KJ12" s="3"/>
      <c r="KK12" s="3"/>
      <c r="KL12" s="3"/>
      <c r="KM12" s="3"/>
      <c r="KN12" s="3"/>
      <c r="KO12" s="3"/>
      <c r="KP12" s="3"/>
      <c r="KQ12" s="3"/>
      <c r="KR12" s="3"/>
      <c r="KS12" s="3"/>
      <c r="KT12" s="3"/>
      <c r="KU12" s="3"/>
      <c r="KV12" s="3"/>
      <c r="KW12" s="3"/>
      <c r="KX12" s="3"/>
      <c r="KY12" s="3"/>
      <c r="KZ12" s="3"/>
      <c r="LA12" s="3"/>
      <c r="LB12" s="3"/>
      <c r="LC12" s="3"/>
      <c r="LD12" s="3"/>
      <c r="LE12" s="3"/>
      <c r="LF12" s="3"/>
      <c r="LG12" s="3"/>
      <c r="LH12" s="3"/>
      <c r="LI12" s="3"/>
      <c r="LJ12" s="3"/>
      <c r="LK12" s="3"/>
      <c r="LL12" s="3"/>
      <c r="LM12" s="3"/>
      <c r="LN12" s="3"/>
      <c r="LO12" s="3"/>
      <c r="LP12" s="3"/>
      <c r="LQ12" s="3"/>
      <c r="LR12" s="3"/>
      <c r="LS12" s="3"/>
      <c r="LT12" s="3"/>
      <c r="LU12" s="3"/>
      <c r="LV12" s="3"/>
      <c r="LW12" s="3"/>
      <c r="LX12" s="3"/>
      <c r="LY12" s="3"/>
      <c r="LZ12" s="3"/>
      <c r="MA12" s="3"/>
      <c r="MB12" s="3"/>
      <c r="MC12" s="3"/>
      <c r="MD12" s="3"/>
      <c r="ME12" s="3"/>
      <c r="MF12" s="3"/>
      <c r="MG12" s="3"/>
      <c r="MH12" s="3"/>
      <c r="MI12" s="3"/>
      <c r="MJ12" s="3"/>
      <c r="MK12" s="3"/>
      <c r="ML12" s="3"/>
      <c r="MM12" s="3"/>
      <c r="MN12" s="3"/>
      <c r="MO12" s="3"/>
      <c r="MP12" s="3"/>
      <c r="MQ12" s="3"/>
      <c r="MR12" s="3"/>
      <c r="MS12" s="3"/>
      <c r="MT12" s="3"/>
      <c r="MU12" s="3"/>
      <c r="MV12" s="3"/>
      <c r="MW12" s="3"/>
      <c r="MX12" s="3"/>
      <c r="MY12" s="3"/>
      <c r="MZ12" s="3"/>
      <c r="NA12" s="3"/>
      <c r="NB12" s="3"/>
      <c r="NC12" s="3"/>
      <c r="ND12" s="3"/>
      <c r="NE12" s="3"/>
      <c r="NF12" s="3"/>
      <c r="NG12" s="3"/>
      <c r="NH12" s="3"/>
      <c r="NI12" s="3"/>
      <c r="NJ12" s="3"/>
      <c r="NK12" s="3"/>
      <c r="NL12" s="3"/>
      <c r="NM12" s="3"/>
      <c r="NN12" s="3"/>
      <c r="NO12" s="3"/>
      <c r="NP12" s="3"/>
      <c r="NQ12" s="3"/>
      <c r="NR12" s="3"/>
      <c r="NS12" s="3"/>
      <c r="NT12" s="3"/>
      <c r="NU12" s="3"/>
      <c r="NV12" s="3"/>
      <c r="NW12" s="3"/>
      <c r="NX12" s="3"/>
      <c r="NY12" s="3"/>
      <c r="NZ12" s="3"/>
      <c r="OA12" s="3"/>
      <c r="OB12" s="3"/>
      <c r="OC12" s="3"/>
      <c r="OD12" s="3"/>
      <c r="OE12" s="3"/>
      <c r="OF12" s="3"/>
      <c r="OG12" s="3"/>
      <c r="OH12" s="3"/>
      <c r="OI12" s="3"/>
      <c r="OJ12" s="3"/>
      <c r="OK12" s="3"/>
      <c r="OL12" s="3"/>
      <c r="OM12" s="3"/>
      <c r="ON12" s="3"/>
      <c r="OO12" s="3"/>
      <c r="OP12" s="3"/>
      <c r="OQ12" s="3"/>
      <c r="OR12" s="3"/>
      <c r="OS12" s="3"/>
      <c r="OT12" s="3"/>
      <c r="OU12" s="3"/>
      <c r="OV12" s="3"/>
      <c r="OW12" s="3"/>
      <c r="OX12" s="3"/>
      <c r="OY12" s="3"/>
      <c r="OZ12" s="3"/>
      <c r="PA12" s="3"/>
      <c r="PB12" s="3"/>
      <c r="PC12" s="3"/>
      <c r="PD12" s="3"/>
      <c r="PE12" s="3"/>
      <c r="PF12" s="3"/>
      <c r="PG12" s="3"/>
      <c r="PH12" s="3"/>
      <c r="PI12" s="3"/>
      <c r="PJ12" s="3"/>
      <c r="PK12" s="3"/>
      <c r="PL12" s="3"/>
      <c r="PM12" s="3"/>
      <c r="PN12" s="3"/>
      <c r="PO12" s="3"/>
      <c r="PP12" s="3"/>
      <c r="PQ12" s="3"/>
      <c r="PR12" s="3"/>
      <c r="PS12" s="3"/>
      <c r="PT12" s="3"/>
      <c r="PU12" s="3"/>
      <c r="PV12" s="3"/>
      <c r="PW12" s="3"/>
      <c r="PX12" s="3"/>
      <c r="PY12" s="3"/>
      <c r="PZ12" s="3"/>
      <c r="QA12" s="3"/>
      <c r="QB12" s="3"/>
      <c r="QC12" s="3"/>
      <c r="QD12" s="3"/>
      <c r="QE12" s="3"/>
      <c r="QF12" s="3"/>
      <c r="QG12" s="3"/>
      <c r="QH12" s="3"/>
      <c r="QI12" s="3"/>
      <c r="QJ12" s="3"/>
      <c r="QK12" s="3"/>
      <c r="QL12" s="3"/>
      <c r="QM12" s="3"/>
      <c r="QN12" s="3"/>
      <c r="QO12" s="3"/>
      <c r="QP12" s="3"/>
      <c r="QQ12" s="3"/>
      <c r="QR12" s="3"/>
      <c r="QS12" s="3"/>
      <c r="QT12" s="3"/>
      <c r="QU12" s="3"/>
      <c r="QV12" s="3"/>
      <c r="QW12" s="3"/>
      <c r="QX12" s="3"/>
      <c r="QY12" s="3"/>
      <c r="QZ12" s="3"/>
      <c r="RA12" s="3"/>
      <c r="RB12" s="3"/>
      <c r="RC12" s="3"/>
      <c r="RD12" s="3"/>
      <c r="RE12" s="3"/>
      <c r="RF12" s="3"/>
      <c r="RG12" s="3"/>
      <c r="RH12" s="3"/>
      <c r="RI12" s="3"/>
      <c r="RJ12" s="3"/>
      <c r="RK12" s="3"/>
      <c r="RL12" s="3"/>
      <c r="RM12" s="3"/>
      <c r="RN12" s="3"/>
      <c r="RO12" s="3"/>
      <c r="RP12" s="3"/>
      <c r="RQ12" s="3"/>
      <c r="RR12" s="3"/>
      <c r="RS12" s="3"/>
      <c r="RT12" s="3"/>
      <c r="RU12" s="3"/>
      <c r="RV12" s="3"/>
      <c r="RW12" s="3"/>
      <c r="RX12" s="3"/>
      <c r="RY12" s="3"/>
      <c r="RZ12" s="3"/>
      <c r="SA12" s="3"/>
      <c r="SB12" s="3"/>
      <c r="SC12" s="3"/>
      <c r="SD12" s="3"/>
      <c r="SE12" s="3"/>
      <c r="SF12" s="3"/>
      <c r="SG12" s="3"/>
      <c r="SH12" s="3"/>
      <c r="SI12" s="3"/>
      <c r="SJ12" s="3"/>
      <c r="SK12" s="3"/>
      <c r="SL12" s="3"/>
      <c r="SM12" s="3"/>
      <c r="SN12" s="3"/>
      <c r="SO12" s="3"/>
      <c r="SP12" s="3"/>
      <c r="SQ12" s="3"/>
      <c r="SR12" s="3"/>
      <c r="SS12" s="3"/>
      <c r="ST12" s="3"/>
      <c r="SU12" s="3"/>
      <c r="SV12" s="3"/>
      <c r="SW12" s="3"/>
      <c r="SX12" s="3"/>
      <c r="SY12" s="3"/>
      <c r="SZ12" s="3"/>
      <c r="TA12" s="3"/>
      <c r="TB12" s="3"/>
      <c r="TC12" s="3"/>
      <c r="TD12" s="3"/>
      <c r="TE12" s="3"/>
      <c r="TF12" s="3"/>
      <c r="TG12" s="3"/>
      <c r="TH12" s="3"/>
      <c r="TI12" s="3"/>
      <c r="TJ12" s="3"/>
      <c r="TK12" s="3"/>
      <c r="TL12" s="3"/>
      <c r="TM12" s="3"/>
      <c r="TN12" s="3"/>
      <c r="TO12" s="3"/>
      <c r="TP12" s="3"/>
      <c r="TQ12" s="3"/>
      <c r="TR12" s="3"/>
      <c r="TS12" s="3"/>
      <c r="TT12" s="3"/>
      <c r="TU12" s="3"/>
      <c r="TV12" s="3"/>
      <c r="TW12" s="3"/>
      <c r="TX12" s="3"/>
      <c r="TY12" s="3"/>
      <c r="TZ12" s="3"/>
      <c r="UA12" s="3"/>
      <c r="UB12" s="3"/>
      <c r="UC12" s="3"/>
      <c r="UD12" s="3"/>
      <c r="UE12" s="3"/>
      <c r="UF12" s="3"/>
      <c r="UG12" s="3"/>
      <c r="UH12" s="3"/>
      <c r="UI12" s="3"/>
      <c r="UJ12" s="3"/>
      <c r="UK12" s="3"/>
      <c r="UL12" s="3"/>
      <c r="UM12" s="3"/>
      <c r="UN12" s="3"/>
      <c r="UO12" s="3"/>
      <c r="UP12" s="3"/>
      <c r="UQ12" s="3"/>
      <c r="UR12" s="3"/>
      <c r="US12" s="3"/>
      <c r="UT12" s="3"/>
      <c r="UU12" s="3"/>
      <c r="UV12" s="3"/>
      <c r="UW12" s="3"/>
      <c r="UX12" s="3"/>
      <c r="UY12" s="3"/>
      <c r="UZ12" s="3"/>
      <c r="VA12" s="3"/>
      <c r="VB12" s="3"/>
      <c r="VC12" s="3"/>
      <c r="VD12" s="3"/>
      <c r="VE12" s="3"/>
      <c r="VF12" s="3"/>
      <c r="VG12" s="3"/>
      <c r="VH12" s="3"/>
      <c r="VI12" s="3"/>
      <c r="VJ12" s="3"/>
      <c r="VK12" s="3"/>
      <c r="VL12" s="3"/>
      <c r="VM12" s="3"/>
      <c r="VN12" s="3"/>
      <c r="VO12" s="3"/>
      <c r="VP12" s="3"/>
      <c r="VQ12" s="3"/>
      <c r="VR12" s="3"/>
      <c r="VS12" s="3"/>
      <c r="VT12" s="3"/>
      <c r="VU12" s="3"/>
      <c r="VV12" s="3"/>
      <c r="VW12" s="3"/>
      <c r="VX12" s="3"/>
      <c r="VY12" s="3"/>
      <c r="VZ12" s="3"/>
      <c r="WA12" s="3"/>
      <c r="WB12" s="3"/>
      <c r="WC12" s="3"/>
      <c r="WD12" s="3"/>
      <c r="WE12" s="3"/>
      <c r="WF12" s="3"/>
      <c r="WG12" s="3"/>
      <c r="WH12" s="3"/>
      <c r="WI12" s="3"/>
      <c r="WJ12" s="3"/>
      <c r="WK12" s="3"/>
      <c r="WL12" s="3"/>
      <c r="WM12" s="3"/>
      <c r="WN12" s="3"/>
      <c r="WO12" s="3"/>
      <c r="WP12" s="3"/>
      <c r="WQ12" s="3"/>
      <c r="WR12" s="3"/>
      <c r="WS12" s="3"/>
      <c r="WT12" s="3"/>
      <c r="WU12" s="3"/>
      <c r="WV12" s="3"/>
      <c r="WW12" s="3"/>
      <c r="WX12" s="3"/>
      <c r="WY12" s="3"/>
      <c r="WZ12" s="3"/>
      <c r="XA12" s="3"/>
      <c r="XB12" s="3"/>
      <c r="XC12" s="3"/>
      <c r="XD12" s="3"/>
      <c r="XE12" s="3"/>
      <c r="XF12" s="3"/>
      <c r="XG12" s="3"/>
      <c r="XH12" s="3"/>
      <c r="XI12" s="3"/>
      <c r="XJ12" s="3"/>
      <c r="XK12" s="3"/>
      <c r="XL12" s="3"/>
      <c r="XM12" s="3"/>
      <c r="XN12" s="3"/>
      <c r="XO12" s="3"/>
      <c r="XP12" s="3"/>
      <c r="XQ12" s="3"/>
      <c r="XR12" s="3"/>
      <c r="XS12" s="3"/>
      <c r="XT12" s="3"/>
      <c r="XU12" s="3"/>
      <c r="XV12" s="3"/>
      <c r="XW12" s="3"/>
      <c r="XX12" s="3"/>
      <c r="XY12" s="3"/>
      <c r="XZ12" s="3"/>
      <c r="YA12" s="3"/>
      <c r="YB12" s="3"/>
      <c r="YC12" s="3"/>
      <c r="YD12" s="3"/>
      <c r="YE12" s="3"/>
      <c r="YF12" s="3"/>
      <c r="YG12" s="3"/>
      <c r="YH12" s="3"/>
      <c r="YI12" s="3"/>
      <c r="YJ12" s="3"/>
      <c r="YK12" s="3"/>
      <c r="YL12" s="3"/>
      <c r="YM12" s="3"/>
      <c r="YN12" s="3"/>
      <c r="YO12" s="3"/>
      <c r="YP12" s="3"/>
      <c r="YQ12" s="3"/>
      <c r="YR12" s="3"/>
      <c r="YS12" s="3"/>
      <c r="YT12" s="3"/>
      <c r="YU12" s="3"/>
      <c r="YV12" s="3"/>
      <c r="YW12" s="3"/>
      <c r="YX12" s="3"/>
      <c r="YY12" s="3"/>
      <c r="YZ12" s="3"/>
      <c r="ZA12" s="3"/>
      <c r="ZB12" s="3"/>
      <c r="ZC12" s="3"/>
      <c r="ZD12" s="3"/>
      <c r="ZE12" s="3"/>
      <c r="ZF12" s="3"/>
      <c r="ZG12" s="3"/>
      <c r="ZH12" s="3"/>
      <c r="ZI12" s="3"/>
      <c r="ZJ12" s="3"/>
      <c r="ZK12" s="3"/>
      <c r="ZL12" s="3"/>
      <c r="ZM12" s="3"/>
      <c r="ZN12" s="3"/>
      <c r="ZO12" s="3"/>
      <c r="ZP12" s="3"/>
      <c r="ZQ12" s="3"/>
      <c r="ZR12" s="3"/>
      <c r="ZS12" s="3"/>
      <c r="ZT12" s="3"/>
      <c r="ZU12" s="3"/>
      <c r="ZV12" s="3"/>
      <c r="ZW12" s="3"/>
      <c r="ZX12" s="3"/>
      <c r="ZY12" s="3"/>
      <c r="ZZ12" s="3"/>
      <c r="AAA12" s="3"/>
      <c r="AAB12" s="3"/>
      <c r="AAC12" s="3"/>
      <c r="AAD12" s="3"/>
      <c r="AAE12" s="3"/>
      <c r="AAF12" s="3"/>
      <c r="AAG12" s="3"/>
      <c r="AAH12" s="3"/>
      <c r="AAI12" s="3"/>
      <c r="AAJ12" s="3"/>
      <c r="AAK12" s="3"/>
      <c r="AAL12" s="3"/>
      <c r="AAM12" s="3"/>
      <c r="AAN12" s="3"/>
      <c r="AAO12" s="3"/>
      <c r="AAP12" s="3"/>
      <c r="AAQ12" s="3"/>
      <c r="AAR12" s="3"/>
      <c r="AAS12" s="3"/>
      <c r="AAT12" s="3"/>
      <c r="AAU12" s="3"/>
      <c r="AAV12" s="3"/>
      <c r="AAW12" s="3"/>
      <c r="AAX12" s="3"/>
      <c r="AAY12" s="3"/>
      <c r="AAZ12" s="3"/>
      <c r="ABA12" s="3"/>
      <c r="ABB12" s="3"/>
      <c r="ABC12" s="3"/>
      <c r="ABD12" s="3"/>
      <c r="ABE12" s="3"/>
      <c r="ABF12" s="3"/>
      <c r="ABG12" s="3"/>
      <c r="ABH12" s="3"/>
      <c r="ABI12" s="3"/>
      <c r="ABJ12" s="3"/>
      <c r="ABK12" s="3"/>
      <c r="ABL12" s="3"/>
      <c r="ABM12" s="3"/>
      <c r="ABN12" s="3"/>
      <c r="ABO12" s="3"/>
      <c r="ABP12" s="3"/>
      <c r="ABQ12" s="3"/>
      <c r="ABR12" s="3"/>
      <c r="ABS12" s="3"/>
      <c r="ABT12" s="3"/>
      <c r="ABU12" s="3"/>
      <c r="ABV12" s="3"/>
      <c r="ABW12" s="3"/>
      <c r="ABX12" s="3"/>
      <c r="ABY12" s="3"/>
      <c r="ABZ12" s="3"/>
      <c r="ACA12" s="3"/>
      <c r="ACB12" s="3"/>
      <c r="ACC12" s="3"/>
      <c r="ACD12" s="3"/>
      <c r="ACE12" s="3"/>
      <c r="ACF12" s="3"/>
      <c r="ACG12" s="3"/>
      <c r="ACH12" s="3"/>
      <c r="ACI12" s="3"/>
      <c r="ACJ12" s="3"/>
      <c r="ACK12" s="3"/>
      <c r="ACL12" s="3"/>
      <c r="ACM12" s="3"/>
      <c r="ACN12" s="3"/>
      <c r="ACO12" s="3"/>
      <c r="ACP12" s="3"/>
      <c r="ACQ12" s="3"/>
      <c r="ACR12" s="3"/>
      <c r="ACS12" s="3"/>
      <c r="ACT12" s="3"/>
      <c r="ACU12" s="3"/>
      <c r="ACV12" s="3"/>
      <c r="ACW12" s="3"/>
      <c r="ACX12" s="3"/>
      <c r="ACY12" s="3"/>
      <c r="ACZ12" s="3"/>
    </row>
    <row r="13" spans="1:780" x14ac:dyDescent="0.2">
      <c r="A13" s="7"/>
      <c r="B13" s="7"/>
      <c r="C13" s="2"/>
      <c r="D13" s="2"/>
      <c r="E13" s="6"/>
      <c r="F13" s="6"/>
      <c r="G13" s="6"/>
      <c r="H13" s="6"/>
      <c r="I13" s="2"/>
      <c r="J13" s="4"/>
      <c r="K13" s="4"/>
      <c r="L13" s="2"/>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c r="HF13" s="3"/>
      <c r="HG13" s="3"/>
      <c r="HH13" s="3"/>
      <c r="HI13" s="3"/>
      <c r="HJ13" s="3"/>
      <c r="HK13" s="3"/>
      <c r="HL13" s="3"/>
      <c r="HM13" s="3"/>
      <c r="HN13" s="3"/>
      <c r="HO13" s="3"/>
      <c r="HP13" s="3"/>
      <c r="HQ13" s="3"/>
      <c r="HR13" s="3"/>
      <c r="HS13" s="3"/>
      <c r="HT13" s="3"/>
      <c r="HU13" s="3"/>
      <c r="HV13" s="3"/>
      <c r="HW13" s="3"/>
      <c r="HX13" s="3"/>
      <c r="HY13" s="3"/>
      <c r="HZ13" s="3"/>
      <c r="IA13" s="3"/>
      <c r="IB13" s="3"/>
      <c r="IC13" s="3"/>
      <c r="ID13" s="3"/>
      <c r="IE13" s="3"/>
      <c r="IF13" s="3"/>
      <c r="IG13" s="3"/>
      <c r="IH13" s="3"/>
      <c r="II13" s="3"/>
      <c r="IJ13" s="3"/>
      <c r="IK13" s="3"/>
      <c r="IL13" s="3"/>
      <c r="IM13" s="3"/>
      <c r="IN13" s="3"/>
      <c r="IO13" s="3"/>
      <c r="IP13" s="3"/>
      <c r="IQ13" s="3"/>
      <c r="IR13" s="3"/>
      <c r="IS13" s="3"/>
      <c r="IT13" s="3"/>
      <c r="IU13" s="3"/>
      <c r="IV13" s="3"/>
      <c r="IW13" s="3"/>
      <c r="IX13" s="3"/>
      <c r="IY13" s="3"/>
      <c r="IZ13" s="3"/>
      <c r="JA13" s="3"/>
      <c r="JB13" s="3"/>
      <c r="JC13" s="3"/>
      <c r="JD13" s="3"/>
      <c r="JE13" s="3"/>
      <c r="JF13" s="3"/>
      <c r="JG13" s="3"/>
      <c r="JH13" s="3"/>
      <c r="JI13" s="3"/>
      <c r="JJ13" s="3"/>
      <c r="JK13" s="3"/>
      <c r="JL13" s="3"/>
      <c r="JM13" s="3"/>
      <c r="JN13" s="3"/>
      <c r="JO13" s="3"/>
      <c r="JP13" s="3"/>
      <c r="JQ13" s="3"/>
      <c r="JR13" s="3"/>
      <c r="JS13" s="3"/>
      <c r="JT13" s="3"/>
      <c r="JU13" s="3"/>
      <c r="JV13" s="3"/>
      <c r="JW13" s="3"/>
      <c r="JX13" s="3"/>
      <c r="JY13" s="3"/>
      <c r="JZ13" s="3"/>
      <c r="KA13" s="3"/>
      <c r="KB13" s="3"/>
      <c r="KC13" s="3"/>
      <c r="KD13" s="3"/>
      <c r="KE13" s="3"/>
      <c r="KF13" s="3"/>
      <c r="KG13" s="3"/>
      <c r="KH13" s="3"/>
      <c r="KI13" s="3"/>
      <c r="KJ13" s="3"/>
      <c r="KK13" s="3"/>
      <c r="KL13" s="3"/>
      <c r="KM13" s="3"/>
      <c r="KN13" s="3"/>
      <c r="KO13" s="3"/>
      <c r="KP13" s="3"/>
      <c r="KQ13" s="3"/>
      <c r="KR13" s="3"/>
      <c r="KS13" s="3"/>
      <c r="KT13" s="3"/>
      <c r="KU13" s="3"/>
      <c r="KV13" s="3"/>
      <c r="KW13" s="3"/>
      <c r="KX13" s="3"/>
      <c r="KY13" s="3"/>
      <c r="KZ13" s="3"/>
      <c r="LA13" s="3"/>
      <c r="LB13" s="3"/>
      <c r="LC13" s="3"/>
      <c r="LD13" s="3"/>
      <c r="LE13" s="3"/>
      <c r="LF13" s="3"/>
      <c r="LG13" s="3"/>
      <c r="LH13" s="3"/>
      <c r="LI13" s="3"/>
      <c r="LJ13" s="3"/>
      <c r="LK13" s="3"/>
      <c r="LL13" s="3"/>
      <c r="LM13" s="3"/>
      <c r="LN13" s="3"/>
      <c r="LO13" s="3"/>
      <c r="LP13" s="3"/>
      <c r="LQ13" s="3"/>
      <c r="LR13" s="3"/>
      <c r="LS13" s="3"/>
      <c r="LT13" s="3"/>
      <c r="LU13" s="3"/>
      <c r="LV13" s="3"/>
      <c r="LW13" s="3"/>
      <c r="LX13" s="3"/>
      <c r="LY13" s="3"/>
      <c r="LZ13" s="3"/>
      <c r="MA13" s="3"/>
      <c r="MB13" s="3"/>
      <c r="MC13" s="3"/>
      <c r="MD13" s="3"/>
      <c r="ME13" s="3"/>
      <c r="MF13" s="3"/>
      <c r="MG13" s="3"/>
      <c r="MH13" s="3"/>
      <c r="MI13" s="3"/>
      <c r="MJ13" s="3"/>
      <c r="MK13" s="3"/>
      <c r="ML13" s="3"/>
      <c r="MM13" s="3"/>
      <c r="MN13" s="3"/>
      <c r="MO13" s="3"/>
      <c r="MP13" s="3"/>
      <c r="MQ13" s="3"/>
      <c r="MR13" s="3"/>
      <c r="MS13" s="3"/>
      <c r="MT13" s="3"/>
      <c r="MU13" s="3"/>
      <c r="MV13" s="3"/>
      <c r="MW13" s="3"/>
      <c r="MX13" s="3"/>
      <c r="MY13" s="3"/>
      <c r="MZ13" s="3"/>
      <c r="NA13" s="3"/>
      <c r="NB13" s="3"/>
      <c r="NC13" s="3"/>
      <c r="ND13" s="3"/>
      <c r="NE13" s="3"/>
      <c r="NF13" s="3"/>
      <c r="NG13" s="3"/>
      <c r="NH13" s="3"/>
      <c r="NI13" s="3"/>
      <c r="NJ13" s="3"/>
      <c r="NK13" s="3"/>
      <c r="NL13" s="3"/>
      <c r="NM13" s="3"/>
      <c r="NN13" s="3"/>
      <c r="NO13" s="3"/>
      <c r="NP13" s="3"/>
      <c r="NQ13" s="3"/>
      <c r="NR13" s="3"/>
      <c r="NS13" s="3"/>
      <c r="NT13" s="3"/>
      <c r="NU13" s="3"/>
      <c r="NV13" s="3"/>
      <c r="NW13" s="3"/>
      <c r="NX13" s="3"/>
      <c r="NY13" s="3"/>
      <c r="NZ13" s="3"/>
      <c r="OA13" s="3"/>
      <c r="OB13" s="3"/>
      <c r="OC13" s="3"/>
      <c r="OD13" s="3"/>
      <c r="OE13" s="3"/>
      <c r="OF13" s="3"/>
      <c r="OG13" s="3"/>
      <c r="OH13" s="3"/>
      <c r="OI13" s="3"/>
      <c r="OJ13" s="3"/>
      <c r="OK13" s="3"/>
      <c r="OL13" s="3"/>
      <c r="OM13" s="3"/>
      <c r="ON13" s="3"/>
      <c r="OO13" s="3"/>
      <c r="OP13" s="3"/>
      <c r="OQ13" s="3"/>
      <c r="OR13" s="3"/>
      <c r="OS13" s="3"/>
      <c r="OT13" s="3"/>
      <c r="OU13" s="3"/>
      <c r="OV13" s="3"/>
      <c r="OW13" s="3"/>
      <c r="OX13" s="3"/>
      <c r="OY13" s="3"/>
      <c r="OZ13" s="3"/>
      <c r="PA13" s="3"/>
      <c r="PB13" s="3"/>
      <c r="PC13" s="3"/>
      <c r="PD13" s="3"/>
      <c r="PE13" s="3"/>
      <c r="PF13" s="3"/>
      <c r="PG13" s="3"/>
      <c r="PH13" s="3"/>
      <c r="PI13" s="3"/>
      <c r="PJ13" s="3"/>
      <c r="PK13" s="3"/>
      <c r="PL13" s="3"/>
      <c r="PM13" s="3"/>
      <c r="PN13" s="3"/>
      <c r="PO13" s="3"/>
      <c r="PP13" s="3"/>
      <c r="PQ13" s="3"/>
      <c r="PR13" s="3"/>
      <c r="PS13" s="3"/>
      <c r="PT13" s="3"/>
      <c r="PU13" s="3"/>
      <c r="PV13" s="3"/>
      <c r="PW13" s="3"/>
      <c r="PX13" s="3"/>
      <c r="PY13" s="3"/>
      <c r="PZ13" s="3"/>
      <c r="QA13" s="3"/>
      <c r="QB13" s="3"/>
      <c r="QC13" s="3"/>
      <c r="QD13" s="3"/>
      <c r="QE13" s="3"/>
      <c r="QF13" s="3"/>
      <c r="QG13" s="3"/>
      <c r="QH13" s="3"/>
      <c r="QI13" s="3"/>
      <c r="QJ13" s="3"/>
      <c r="QK13" s="3"/>
      <c r="QL13" s="3"/>
      <c r="QM13" s="3"/>
      <c r="QN13" s="3"/>
      <c r="QO13" s="3"/>
      <c r="QP13" s="3"/>
      <c r="QQ13" s="3"/>
      <c r="QR13" s="3"/>
      <c r="QS13" s="3"/>
      <c r="QT13" s="3"/>
      <c r="QU13" s="3"/>
      <c r="QV13" s="3"/>
      <c r="QW13" s="3"/>
      <c r="QX13" s="3"/>
      <c r="QY13" s="3"/>
      <c r="QZ13" s="3"/>
      <c r="RA13" s="3"/>
      <c r="RB13" s="3"/>
      <c r="RC13" s="3"/>
      <c r="RD13" s="3"/>
      <c r="RE13" s="3"/>
      <c r="RF13" s="3"/>
      <c r="RG13" s="3"/>
      <c r="RH13" s="3"/>
      <c r="RI13" s="3"/>
      <c r="RJ13" s="3"/>
      <c r="RK13" s="3"/>
      <c r="RL13" s="3"/>
      <c r="RM13" s="3"/>
      <c r="RN13" s="3"/>
      <c r="RO13" s="3"/>
      <c r="RP13" s="3"/>
      <c r="RQ13" s="3"/>
      <c r="RR13" s="3"/>
      <c r="RS13" s="3"/>
      <c r="RT13" s="3"/>
      <c r="RU13" s="3"/>
      <c r="RV13" s="3"/>
      <c r="RW13" s="3"/>
      <c r="RX13" s="3"/>
      <c r="RY13" s="3"/>
      <c r="RZ13" s="3"/>
      <c r="SA13" s="3"/>
      <c r="SB13" s="3"/>
      <c r="SC13" s="3"/>
      <c r="SD13" s="3"/>
      <c r="SE13" s="3"/>
      <c r="SF13" s="3"/>
      <c r="SG13" s="3"/>
      <c r="SH13" s="3"/>
      <c r="SI13" s="3"/>
      <c r="SJ13" s="3"/>
      <c r="SK13" s="3"/>
      <c r="SL13" s="3"/>
      <c r="SM13" s="3"/>
      <c r="SN13" s="3"/>
      <c r="SO13" s="3"/>
      <c r="SP13" s="3"/>
      <c r="SQ13" s="3"/>
      <c r="SR13" s="3"/>
      <c r="SS13" s="3"/>
      <c r="ST13" s="3"/>
      <c r="SU13" s="3"/>
      <c r="SV13" s="3"/>
      <c r="SW13" s="3"/>
      <c r="SX13" s="3"/>
      <c r="SY13" s="3"/>
      <c r="SZ13" s="3"/>
      <c r="TA13" s="3"/>
      <c r="TB13" s="3"/>
      <c r="TC13" s="3"/>
      <c r="TD13" s="3"/>
      <c r="TE13" s="3"/>
      <c r="TF13" s="3"/>
      <c r="TG13" s="3"/>
      <c r="TH13" s="3"/>
      <c r="TI13" s="3"/>
      <c r="TJ13" s="3"/>
      <c r="TK13" s="3"/>
      <c r="TL13" s="3"/>
      <c r="TM13" s="3"/>
      <c r="TN13" s="3"/>
      <c r="TO13" s="3"/>
      <c r="TP13" s="3"/>
      <c r="TQ13" s="3"/>
      <c r="TR13" s="3"/>
      <c r="TS13" s="3"/>
      <c r="TT13" s="3"/>
      <c r="TU13" s="3"/>
      <c r="TV13" s="3"/>
      <c r="TW13" s="3"/>
      <c r="TX13" s="3"/>
      <c r="TY13" s="3"/>
      <c r="TZ13" s="3"/>
      <c r="UA13" s="3"/>
      <c r="UB13" s="3"/>
      <c r="UC13" s="3"/>
      <c r="UD13" s="3"/>
      <c r="UE13" s="3"/>
      <c r="UF13" s="3"/>
      <c r="UG13" s="3"/>
      <c r="UH13" s="3"/>
      <c r="UI13" s="3"/>
      <c r="UJ13" s="3"/>
      <c r="UK13" s="3"/>
      <c r="UL13" s="3"/>
      <c r="UM13" s="3"/>
      <c r="UN13" s="3"/>
      <c r="UO13" s="3"/>
      <c r="UP13" s="3"/>
      <c r="UQ13" s="3"/>
      <c r="UR13" s="3"/>
      <c r="US13" s="3"/>
      <c r="UT13" s="3"/>
      <c r="UU13" s="3"/>
      <c r="UV13" s="3"/>
      <c r="UW13" s="3"/>
      <c r="UX13" s="3"/>
      <c r="UY13" s="3"/>
      <c r="UZ13" s="3"/>
      <c r="VA13" s="3"/>
      <c r="VB13" s="3"/>
      <c r="VC13" s="3"/>
      <c r="VD13" s="3"/>
      <c r="VE13" s="3"/>
      <c r="VF13" s="3"/>
      <c r="VG13" s="3"/>
      <c r="VH13" s="3"/>
      <c r="VI13" s="3"/>
      <c r="VJ13" s="3"/>
      <c r="VK13" s="3"/>
      <c r="VL13" s="3"/>
      <c r="VM13" s="3"/>
      <c r="VN13" s="3"/>
      <c r="VO13" s="3"/>
      <c r="VP13" s="3"/>
      <c r="VQ13" s="3"/>
      <c r="VR13" s="3"/>
      <c r="VS13" s="3"/>
      <c r="VT13" s="3"/>
      <c r="VU13" s="3"/>
      <c r="VV13" s="3"/>
      <c r="VW13" s="3"/>
      <c r="VX13" s="3"/>
      <c r="VY13" s="3"/>
      <c r="VZ13" s="3"/>
      <c r="WA13" s="3"/>
      <c r="WB13" s="3"/>
      <c r="WC13" s="3"/>
      <c r="WD13" s="3"/>
      <c r="WE13" s="3"/>
      <c r="WF13" s="3"/>
      <c r="WG13" s="3"/>
      <c r="WH13" s="3"/>
      <c r="WI13" s="3"/>
      <c r="WJ13" s="3"/>
      <c r="WK13" s="3"/>
      <c r="WL13" s="3"/>
      <c r="WM13" s="3"/>
      <c r="WN13" s="3"/>
      <c r="WO13" s="3"/>
      <c r="WP13" s="3"/>
      <c r="WQ13" s="3"/>
      <c r="WR13" s="3"/>
      <c r="WS13" s="3"/>
      <c r="WT13" s="3"/>
      <c r="WU13" s="3"/>
      <c r="WV13" s="3"/>
      <c r="WW13" s="3"/>
      <c r="WX13" s="3"/>
      <c r="WY13" s="3"/>
      <c r="WZ13" s="3"/>
      <c r="XA13" s="3"/>
      <c r="XB13" s="3"/>
      <c r="XC13" s="3"/>
      <c r="XD13" s="3"/>
      <c r="XE13" s="3"/>
      <c r="XF13" s="3"/>
      <c r="XG13" s="3"/>
      <c r="XH13" s="3"/>
      <c r="XI13" s="3"/>
      <c r="XJ13" s="3"/>
      <c r="XK13" s="3"/>
      <c r="XL13" s="3"/>
      <c r="XM13" s="3"/>
      <c r="XN13" s="3"/>
      <c r="XO13" s="3"/>
      <c r="XP13" s="3"/>
      <c r="XQ13" s="3"/>
      <c r="XR13" s="3"/>
      <c r="XS13" s="3"/>
      <c r="XT13" s="3"/>
      <c r="XU13" s="3"/>
      <c r="XV13" s="3"/>
      <c r="XW13" s="3"/>
      <c r="XX13" s="3"/>
      <c r="XY13" s="3"/>
      <c r="XZ13" s="3"/>
      <c r="YA13" s="3"/>
      <c r="YB13" s="3"/>
      <c r="YC13" s="3"/>
      <c r="YD13" s="3"/>
      <c r="YE13" s="3"/>
      <c r="YF13" s="3"/>
      <c r="YG13" s="3"/>
      <c r="YH13" s="3"/>
      <c r="YI13" s="3"/>
      <c r="YJ13" s="3"/>
      <c r="YK13" s="3"/>
      <c r="YL13" s="3"/>
      <c r="YM13" s="3"/>
      <c r="YN13" s="3"/>
      <c r="YO13" s="3"/>
      <c r="YP13" s="3"/>
      <c r="YQ13" s="3"/>
      <c r="YR13" s="3"/>
      <c r="YS13" s="3"/>
      <c r="YT13" s="3"/>
      <c r="YU13" s="3"/>
      <c r="YV13" s="3"/>
      <c r="YW13" s="3"/>
      <c r="YX13" s="3"/>
      <c r="YY13" s="3"/>
      <c r="YZ13" s="3"/>
      <c r="ZA13" s="3"/>
      <c r="ZB13" s="3"/>
      <c r="ZC13" s="3"/>
      <c r="ZD13" s="3"/>
      <c r="ZE13" s="3"/>
      <c r="ZF13" s="3"/>
      <c r="ZG13" s="3"/>
      <c r="ZH13" s="3"/>
      <c r="ZI13" s="3"/>
      <c r="ZJ13" s="3"/>
      <c r="ZK13" s="3"/>
      <c r="ZL13" s="3"/>
      <c r="ZM13" s="3"/>
      <c r="ZN13" s="3"/>
      <c r="ZO13" s="3"/>
      <c r="ZP13" s="3"/>
      <c r="ZQ13" s="3"/>
      <c r="ZR13" s="3"/>
      <c r="ZS13" s="3"/>
      <c r="ZT13" s="3"/>
      <c r="ZU13" s="3"/>
      <c r="ZV13" s="3"/>
      <c r="ZW13" s="3"/>
      <c r="ZX13" s="3"/>
      <c r="ZY13" s="3"/>
      <c r="ZZ13" s="3"/>
      <c r="AAA13" s="3"/>
      <c r="AAB13" s="3"/>
      <c r="AAC13" s="3"/>
      <c r="AAD13" s="3"/>
      <c r="AAE13" s="3"/>
      <c r="AAF13" s="3"/>
      <c r="AAG13" s="3"/>
      <c r="AAH13" s="3"/>
      <c r="AAI13" s="3"/>
      <c r="AAJ13" s="3"/>
      <c r="AAK13" s="3"/>
      <c r="AAL13" s="3"/>
      <c r="AAM13" s="3"/>
      <c r="AAN13" s="3"/>
      <c r="AAO13" s="3"/>
      <c r="AAP13" s="3"/>
      <c r="AAQ13" s="3"/>
      <c r="AAR13" s="3"/>
      <c r="AAS13" s="3"/>
      <c r="AAT13" s="3"/>
      <c r="AAU13" s="3"/>
      <c r="AAV13" s="3"/>
      <c r="AAW13" s="3"/>
      <c r="AAX13" s="3"/>
      <c r="AAY13" s="3"/>
      <c r="AAZ13" s="3"/>
      <c r="ABA13" s="3"/>
      <c r="ABB13" s="3"/>
      <c r="ABC13" s="3"/>
      <c r="ABD13" s="3"/>
      <c r="ABE13" s="3"/>
      <c r="ABF13" s="3"/>
      <c r="ABG13" s="3"/>
      <c r="ABH13" s="3"/>
      <c r="ABI13" s="3"/>
      <c r="ABJ13" s="3"/>
      <c r="ABK13" s="3"/>
      <c r="ABL13" s="3"/>
      <c r="ABM13" s="3"/>
      <c r="ABN13" s="3"/>
      <c r="ABO13" s="3"/>
      <c r="ABP13" s="3"/>
      <c r="ABQ13" s="3"/>
      <c r="ABR13" s="3"/>
      <c r="ABS13" s="3"/>
      <c r="ABT13" s="3"/>
      <c r="ABU13" s="3"/>
      <c r="ABV13" s="3"/>
      <c r="ABW13" s="3"/>
      <c r="ABX13" s="3"/>
      <c r="ABY13" s="3"/>
      <c r="ABZ13" s="3"/>
      <c r="ACA13" s="3"/>
      <c r="ACB13" s="3"/>
      <c r="ACC13" s="3"/>
      <c r="ACD13" s="3"/>
      <c r="ACE13" s="3"/>
      <c r="ACF13" s="3"/>
      <c r="ACG13" s="3"/>
      <c r="ACH13" s="3"/>
      <c r="ACI13" s="3"/>
      <c r="ACJ13" s="3"/>
      <c r="ACK13" s="3"/>
      <c r="ACL13" s="3"/>
      <c r="ACM13" s="3"/>
      <c r="ACN13" s="3"/>
      <c r="ACO13" s="3"/>
      <c r="ACP13" s="3"/>
      <c r="ACQ13" s="3"/>
      <c r="ACR13" s="3"/>
      <c r="ACS13" s="3"/>
      <c r="ACT13" s="3"/>
      <c r="ACU13" s="3"/>
      <c r="ACV13" s="3"/>
      <c r="ACW13" s="3"/>
      <c r="ACX13" s="3"/>
      <c r="ACY13" s="3"/>
      <c r="ACZ13" s="3"/>
    </row>
    <row r="14" spans="1:780" x14ac:dyDescent="0.2">
      <c r="A14" s="7"/>
      <c r="B14" s="7"/>
      <c r="C14" s="2"/>
      <c r="D14" s="2"/>
      <c r="E14" s="6"/>
      <c r="F14" s="6"/>
      <c r="G14" s="6"/>
      <c r="H14" s="6"/>
      <c r="I14" s="2"/>
      <c r="J14" s="4"/>
      <c r="K14" s="4"/>
      <c r="L14" s="2"/>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c r="HF14" s="3"/>
      <c r="HG14" s="3"/>
      <c r="HH14" s="3"/>
      <c r="HI14" s="3"/>
      <c r="HJ14" s="3"/>
      <c r="HK14" s="3"/>
      <c r="HL14" s="3"/>
      <c r="HM14" s="3"/>
      <c r="HN14" s="3"/>
      <c r="HO14" s="3"/>
      <c r="HP14" s="3"/>
      <c r="HQ14" s="3"/>
      <c r="HR14" s="3"/>
      <c r="HS14" s="3"/>
      <c r="HT14" s="3"/>
      <c r="HU14" s="3"/>
      <c r="HV14" s="3"/>
      <c r="HW14" s="3"/>
      <c r="HX14" s="3"/>
      <c r="HY14" s="3"/>
      <c r="HZ14" s="3"/>
      <c r="IA14" s="3"/>
      <c r="IB14" s="3"/>
      <c r="IC14" s="3"/>
      <c r="ID14" s="3"/>
      <c r="IE14" s="3"/>
      <c r="IF14" s="3"/>
      <c r="IG14" s="3"/>
      <c r="IH14" s="3"/>
      <c r="II14" s="3"/>
      <c r="IJ14" s="3"/>
      <c r="IK14" s="3"/>
      <c r="IL14" s="3"/>
      <c r="IM14" s="3"/>
      <c r="IN14" s="3"/>
      <c r="IO14" s="3"/>
      <c r="IP14" s="3"/>
      <c r="IQ14" s="3"/>
      <c r="IR14" s="3"/>
      <c r="IS14" s="3"/>
      <c r="IT14" s="3"/>
      <c r="IU14" s="3"/>
      <c r="IV14" s="3"/>
      <c r="IW14" s="3"/>
      <c r="IX14" s="3"/>
      <c r="IY14" s="3"/>
      <c r="IZ14" s="3"/>
      <c r="JA14" s="3"/>
      <c r="JB14" s="3"/>
      <c r="JC14" s="3"/>
      <c r="JD14" s="3"/>
      <c r="JE14" s="3"/>
      <c r="JF14" s="3"/>
      <c r="JG14" s="3"/>
      <c r="JH14" s="3"/>
      <c r="JI14" s="3"/>
      <c r="JJ14" s="3"/>
      <c r="JK14" s="3"/>
      <c r="JL14" s="3"/>
      <c r="JM14" s="3"/>
      <c r="JN14" s="3"/>
      <c r="JO14" s="3"/>
      <c r="JP14" s="3"/>
      <c r="JQ14" s="3"/>
      <c r="JR14" s="3"/>
      <c r="JS14" s="3"/>
      <c r="JT14" s="3"/>
      <c r="JU14" s="3"/>
      <c r="JV14" s="3"/>
      <c r="JW14" s="3"/>
      <c r="JX14" s="3"/>
      <c r="JY14" s="3"/>
      <c r="JZ14" s="3"/>
      <c r="KA14" s="3"/>
      <c r="KB14" s="3"/>
      <c r="KC14" s="3"/>
      <c r="KD14" s="3"/>
      <c r="KE14" s="3"/>
      <c r="KF14" s="3"/>
      <c r="KG14" s="3"/>
      <c r="KH14" s="3"/>
      <c r="KI14" s="3"/>
      <c r="KJ14" s="3"/>
      <c r="KK14" s="3"/>
      <c r="KL14" s="3"/>
      <c r="KM14" s="3"/>
      <c r="KN14" s="3"/>
      <c r="KO14" s="3"/>
      <c r="KP14" s="3"/>
      <c r="KQ14" s="3"/>
      <c r="KR14" s="3"/>
      <c r="KS14" s="3"/>
      <c r="KT14" s="3"/>
      <c r="KU14" s="3"/>
      <c r="KV14" s="3"/>
      <c r="KW14" s="3"/>
      <c r="KX14" s="3"/>
      <c r="KY14" s="3"/>
      <c r="KZ14" s="3"/>
      <c r="LA14" s="3"/>
      <c r="LB14" s="3"/>
      <c r="LC14" s="3"/>
      <c r="LD14" s="3"/>
      <c r="LE14" s="3"/>
      <c r="LF14" s="3"/>
      <c r="LG14" s="3"/>
      <c r="LH14" s="3"/>
      <c r="LI14" s="3"/>
      <c r="LJ14" s="3"/>
      <c r="LK14" s="3"/>
      <c r="LL14" s="3"/>
      <c r="LM14" s="3"/>
      <c r="LN14" s="3"/>
      <c r="LO14" s="3"/>
      <c r="LP14" s="3"/>
      <c r="LQ14" s="3"/>
      <c r="LR14" s="3"/>
      <c r="LS14" s="3"/>
      <c r="LT14" s="3"/>
      <c r="LU14" s="3"/>
      <c r="LV14" s="3"/>
      <c r="LW14" s="3"/>
      <c r="LX14" s="3"/>
      <c r="LY14" s="3"/>
      <c r="LZ14" s="3"/>
      <c r="MA14" s="3"/>
      <c r="MB14" s="3"/>
      <c r="MC14" s="3"/>
      <c r="MD14" s="3"/>
      <c r="ME14" s="3"/>
      <c r="MF14" s="3"/>
      <c r="MG14" s="3"/>
      <c r="MH14" s="3"/>
      <c r="MI14" s="3"/>
      <c r="MJ14" s="3"/>
      <c r="MK14" s="3"/>
      <c r="ML14" s="3"/>
      <c r="MM14" s="3"/>
      <c r="MN14" s="3"/>
      <c r="MO14" s="3"/>
      <c r="MP14" s="3"/>
      <c r="MQ14" s="3"/>
      <c r="MR14" s="3"/>
      <c r="MS14" s="3"/>
      <c r="MT14" s="3"/>
      <c r="MU14" s="3"/>
      <c r="MV14" s="3"/>
      <c r="MW14" s="3"/>
      <c r="MX14" s="3"/>
      <c r="MY14" s="3"/>
      <c r="MZ14" s="3"/>
      <c r="NA14" s="3"/>
      <c r="NB14" s="3"/>
      <c r="NC14" s="3"/>
      <c r="ND14" s="3"/>
      <c r="NE14" s="3"/>
      <c r="NF14" s="3"/>
      <c r="NG14" s="3"/>
      <c r="NH14" s="3"/>
      <c r="NI14" s="3"/>
      <c r="NJ14" s="3"/>
      <c r="NK14" s="3"/>
      <c r="NL14" s="3"/>
      <c r="NM14" s="3"/>
      <c r="NN14" s="3"/>
      <c r="NO14" s="3"/>
      <c r="NP14" s="3"/>
      <c r="NQ14" s="3"/>
      <c r="NR14" s="3"/>
      <c r="NS14" s="3"/>
      <c r="NT14" s="3"/>
      <c r="NU14" s="3"/>
      <c r="NV14" s="3"/>
      <c r="NW14" s="3"/>
      <c r="NX14" s="3"/>
      <c r="NY14" s="3"/>
      <c r="NZ14" s="3"/>
      <c r="OA14" s="3"/>
      <c r="OB14" s="3"/>
      <c r="OC14" s="3"/>
      <c r="OD14" s="3"/>
      <c r="OE14" s="3"/>
      <c r="OF14" s="3"/>
      <c r="OG14" s="3"/>
      <c r="OH14" s="3"/>
      <c r="OI14" s="3"/>
      <c r="OJ14" s="3"/>
      <c r="OK14" s="3"/>
      <c r="OL14" s="3"/>
      <c r="OM14" s="3"/>
      <c r="ON14" s="3"/>
      <c r="OO14" s="3"/>
      <c r="OP14" s="3"/>
      <c r="OQ14" s="3"/>
      <c r="OR14" s="3"/>
      <c r="OS14" s="3"/>
      <c r="OT14" s="3"/>
      <c r="OU14" s="3"/>
      <c r="OV14" s="3"/>
      <c r="OW14" s="3"/>
      <c r="OX14" s="3"/>
      <c r="OY14" s="3"/>
      <c r="OZ14" s="3"/>
      <c r="PA14" s="3"/>
      <c r="PB14" s="3"/>
      <c r="PC14" s="3"/>
      <c r="PD14" s="3"/>
      <c r="PE14" s="3"/>
      <c r="PF14" s="3"/>
      <c r="PG14" s="3"/>
      <c r="PH14" s="3"/>
      <c r="PI14" s="3"/>
      <c r="PJ14" s="3"/>
      <c r="PK14" s="3"/>
      <c r="PL14" s="3"/>
      <c r="PM14" s="3"/>
      <c r="PN14" s="3"/>
      <c r="PO14" s="3"/>
      <c r="PP14" s="3"/>
      <c r="PQ14" s="3"/>
      <c r="PR14" s="3"/>
      <c r="PS14" s="3"/>
      <c r="PT14" s="3"/>
      <c r="PU14" s="3"/>
      <c r="PV14" s="3"/>
      <c r="PW14" s="3"/>
      <c r="PX14" s="3"/>
      <c r="PY14" s="3"/>
      <c r="PZ14" s="3"/>
      <c r="QA14" s="3"/>
      <c r="QB14" s="3"/>
      <c r="QC14" s="3"/>
      <c r="QD14" s="3"/>
      <c r="QE14" s="3"/>
      <c r="QF14" s="3"/>
      <c r="QG14" s="3"/>
      <c r="QH14" s="3"/>
      <c r="QI14" s="3"/>
      <c r="QJ14" s="3"/>
      <c r="QK14" s="3"/>
      <c r="QL14" s="3"/>
      <c r="QM14" s="3"/>
      <c r="QN14" s="3"/>
      <c r="QO14" s="3"/>
      <c r="QP14" s="3"/>
      <c r="QQ14" s="3"/>
      <c r="QR14" s="3"/>
      <c r="QS14" s="3"/>
      <c r="QT14" s="3"/>
      <c r="QU14" s="3"/>
      <c r="QV14" s="3"/>
      <c r="QW14" s="3"/>
      <c r="QX14" s="3"/>
      <c r="QY14" s="3"/>
      <c r="QZ14" s="3"/>
      <c r="RA14" s="3"/>
      <c r="RB14" s="3"/>
      <c r="RC14" s="3"/>
      <c r="RD14" s="3"/>
      <c r="RE14" s="3"/>
      <c r="RF14" s="3"/>
      <c r="RG14" s="3"/>
      <c r="RH14" s="3"/>
      <c r="RI14" s="3"/>
      <c r="RJ14" s="3"/>
      <c r="RK14" s="3"/>
      <c r="RL14" s="3"/>
      <c r="RM14" s="3"/>
      <c r="RN14" s="3"/>
      <c r="RO14" s="3"/>
      <c r="RP14" s="3"/>
      <c r="RQ14" s="3"/>
      <c r="RR14" s="3"/>
      <c r="RS14" s="3"/>
      <c r="RT14" s="3"/>
      <c r="RU14" s="3"/>
      <c r="RV14" s="3"/>
      <c r="RW14" s="3"/>
      <c r="RX14" s="3"/>
      <c r="RY14" s="3"/>
      <c r="RZ14" s="3"/>
      <c r="SA14" s="3"/>
      <c r="SB14" s="3"/>
      <c r="SC14" s="3"/>
      <c r="SD14" s="3"/>
      <c r="SE14" s="3"/>
      <c r="SF14" s="3"/>
      <c r="SG14" s="3"/>
      <c r="SH14" s="3"/>
      <c r="SI14" s="3"/>
      <c r="SJ14" s="3"/>
      <c r="SK14" s="3"/>
      <c r="SL14" s="3"/>
      <c r="SM14" s="3"/>
      <c r="SN14" s="3"/>
      <c r="SO14" s="3"/>
      <c r="SP14" s="3"/>
      <c r="SQ14" s="3"/>
      <c r="SR14" s="3"/>
      <c r="SS14" s="3"/>
      <c r="ST14" s="3"/>
      <c r="SU14" s="3"/>
      <c r="SV14" s="3"/>
      <c r="SW14" s="3"/>
      <c r="SX14" s="3"/>
      <c r="SY14" s="3"/>
      <c r="SZ14" s="3"/>
      <c r="TA14" s="3"/>
      <c r="TB14" s="3"/>
      <c r="TC14" s="3"/>
      <c r="TD14" s="3"/>
      <c r="TE14" s="3"/>
      <c r="TF14" s="3"/>
      <c r="TG14" s="3"/>
      <c r="TH14" s="3"/>
      <c r="TI14" s="3"/>
      <c r="TJ14" s="3"/>
      <c r="TK14" s="3"/>
      <c r="TL14" s="3"/>
      <c r="TM14" s="3"/>
      <c r="TN14" s="3"/>
      <c r="TO14" s="3"/>
      <c r="TP14" s="3"/>
      <c r="TQ14" s="3"/>
      <c r="TR14" s="3"/>
      <c r="TS14" s="3"/>
      <c r="TT14" s="3"/>
      <c r="TU14" s="3"/>
      <c r="TV14" s="3"/>
      <c r="TW14" s="3"/>
      <c r="TX14" s="3"/>
      <c r="TY14" s="3"/>
      <c r="TZ14" s="3"/>
      <c r="UA14" s="3"/>
      <c r="UB14" s="3"/>
      <c r="UC14" s="3"/>
      <c r="UD14" s="3"/>
      <c r="UE14" s="3"/>
      <c r="UF14" s="3"/>
      <c r="UG14" s="3"/>
      <c r="UH14" s="3"/>
      <c r="UI14" s="3"/>
      <c r="UJ14" s="3"/>
      <c r="UK14" s="3"/>
      <c r="UL14" s="3"/>
      <c r="UM14" s="3"/>
      <c r="UN14" s="3"/>
      <c r="UO14" s="3"/>
      <c r="UP14" s="3"/>
      <c r="UQ14" s="3"/>
      <c r="UR14" s="3"/>
      <c r="US14" s="3"/>
      <c r="UT14" s="3"/>
      <c r="UU14" s="3"/>
      <c r="UV14" s="3"/>
      <c r="UW14" s="3"/>
      <c r="UX14" s="3"/>
      <c r="UY14" s="3"/>
      <c r="UZ14" s="3"/>
      <c r="VA14" s="3"/>
      <c r="VB14" s="3"/>
      <c r="VC14" s="3"/>
      <c r="VD14" s="3"/>
      <c r="VE14" s="3"/>
      <c r="VF14" s="3"/>
      <c r="VG14" s="3"/>
      <c r="VH14" s="3"/>
      <c r="VI14" s="3"/>
      <c r="VJ14" s="3"/>
      <c r="VK14" s="3"/>
      <c r="VL14" s="3"/>
      <c r="VM14" s="3"/>
      <c r="VN14" s="3"/>
      <c r="VO14" s="3"/>
      <c r="VP14" s="3"/>
      <c r="VQ14" s="3"/>
      <c r="VR14" s="3"/>
      <c r="VS14" s="3"/>
      <c r="VT14" s="3"/>
      <c r="VU14" s="3"/>
      <c r="VV14" s="3"/>
      <c r="VW14" s="3"/>
      <c r="VX14" s="3"/>
      <c r="VY14" s="3"/>
      <c r="VZ14" s="3"/>
      <c r="WA14" s="3"/>
      <c r="WB14" s="3"/>
      <c r="WC14" s="3"/>
      <c r="WD14" s="3"/>
      <c r="WE14" s="3"/>
      <c r="WF14" s="3"/>
      <c r="WG14" s="3"/>
      <c r="WH14" s="3"/>
      <c r="WI14" s="3"/>
      <c r="WJ14" s="3"/>
      <c r="WK14" s="3"/>
      <c r="WL14" s="3"/>
      <c r="WM14" s="3"/>
      <c r="WN14" s="3"/>
      <c r="WO14" s="3"/>
      <c r="WP14" s="3"/>
      <c r="WQ14" s="3"/>
      <c r="WR14" s="3"/>
      <c r="WS14" s="3"/>
      <c r="WT14" s="3"/>
      <c r="WU14" s="3"/>
      <c r="WV14" s="3"/>
      <c r="WW14" s="3"/>
      <c r="WX14" s="3"/>
      <c r="WY14" s="3"/>
      <c r="WZ14" s="3"/>
      <c r="XA14" s="3"/>
      <c r="XB14" s="3"/>
      <c r="XC14" s="3"/>
      <c r="XD14" s="3"/>
      <c r="XE14" s="3"/>
      <c r="XF14" s="3"/>
      <c r="XG14" s="3"/>
      <c r="XH14" s="3"/>
      <c r="XI14" s="3"/>
      <c r="XJ14" s="3"/>
      <c r="XK14" s="3"/>
      <c r="XL14" s="3"/>
      <c r="XM14" s="3"/>
      <c r="XN14" s="3"/>
      <c r="XO14" s="3"/>
      <c r="XP14" s="3"/>
      <c r="XQ14" s="3"/>
      <c r="XR14" s="3"/>
      <c r="XS14" s="3"/>
      <c r="XT14" s="3"/>
      <c r="XU14" s="3"/>
      <c r="XV14" s="3"/>
      <c r="XW14" s="3"/>
      <c r="XX14" s="3"/>
      <c r="XY14" s="3"/>
      <c r="XZ14" s="3"/>
      <c r="YA14" s="3"/>
      <c r="YB14" s="3"/>
      <c r="YC14" s="3"/>
      <c r="YD14" s="3"/>
      <c r="YE14" s="3"/>
      <c r="YF14" s="3"/>
      <c r="YG14" s="3"/>
      <c r="YH14" s="3"/>
      <c r="YI14" s="3"/>
      <c r="YJ14" s="3"/>
      <c r="YK14" s="3"/>
      <c r="YL14" s="3"/>
      <c r="YM14" s="3"/>
      <c r="YN14" s="3"/>
      <c r="YO14" s="3"/>
      <c r="YP14" s="3"/>
      <c r="YQ14" s="3"/>
      <c r="YR14" s="3"/>
      <c r="YS14" s="3"/>
      <c r="YT14" s="3"/>
      <c r="YU14" s="3"/>
      <c r="YV14" s="3"/>
      <c r="YW14" s="3"/>
      <c r="YX14" s="3"/>
      <c r="YY14" s="3"/>
      <c r="YZ14" s="3"/>
      <c r="ZA14" s="3"/>
      <c r="ZB14" s="3"/>
      <c r="ZC14" s="3"/>
      <c r="ZD14" s="3"/>
      <c r="ZE14" s="3"/>
      <c r="ZF14" s="3"/>
      <c r="ZG14" s="3"/>
      <c r="ZH14" s="3"/>
      <c r="ZI14" s="3"/>
      <c r="ZJ14" s="3"/>
      <c r="ZK14" s="3"/>
      <c r="ZL14" s="3"/>
      <c r="ZM14" s="3"/>
      <c r="ZN14" s="3"/>
      <c r="ZO14" s="3"/>
      <c r="ZP14" s="3"/>
      <c r="ZQ14" s="3"/>
      <c r="ZR14" s="3"/>
      <c r="ZS14" s="3"/>
      <c r="ZT14" s="3"/>
      <c r="ZU14" s="3"/>
      <c r="ZV14" s="3"/>
      <c r="ZW14" s="3"/>
      <c r="ZX14" s="3"/>
      <c r="ZY14" s="3"/>
      <c r="ZZ14" s="3"/>
      <c r="AAA14" s="3"/>
      <c r="AAB14" s="3"/>
      <c r="AAC14" s="3"/>
      <c r="AAD14" s="3"/>
      <c r="AAE14" s="3"/>
      <c r="AAF14" s="3"/>
      <c r="AAG14" s="3"/>
      <c r="AAH14" s="3"/>
      <c r="AAI14" s="3"/>
      <c r="AAJ14" s="3"/>
      <c r="AAK14" s="3"/>
      <c r="AAL14" s="3"/>
      <c r="AAM14" s="3"/>
      <c r="AAN14" s="3"/>
      <c r="AAO14" s="3"/>
      <c r="AAP14" s="3"/>
      <c r="AAQ14" s="3"/>
      <c r="AAR14" s="3"/>
      <c r="AAS14" s="3"/>
      <c r="AAT14" s="3"/>
      <c r="AAU14" s="3"/>
      <c r="AAV14" s="3"/>
      <c r="AAW14" s="3"/>
      <c r="AAX14" s="3"/>
      <c r="AAY14" s="3"/>
      <c r="AAZ14" s="3"/>
      <c r="ABA14" s="3"/>
      <c r="ABB14" s="3"/>
      <c r="ABC14" s="3"/>
      <c r="ABD14" s="3"/>
      <c r="ABE14" s="3"/>
      <c r="ABF14" s="3"/>
      <c r="ABG14" s="3"/>
      <c r="ABH14" s="3"/>
      <c r="ABI14" s="3"/>
      <c r="ABJ14" s="3"/>
      <c r="ABK14" s="3"/>
      <c r="ABL14" s="3"/>
      <c r="ABM14" s="3"/>
      <c r="ABN14" s="3"/>
      <c r="ABO14" s="3"/>
      <c r="ABP14" s="3"/>
      <c r="ABQ14" s="3"/>
      <c r="ABR14" s="3"/>
      <c r="ABS14" s="3"/>
      <c r="ABT14" s="3"/>
      <c r="ABU14" s="3"/>
      <c r="ABV14" s="3"/>
      <c r="ABW14" s="3"/>
      <c r="ABX14" s="3"/>
      <c r="ABY14" s="3"/>
      <c r="ABZ14" s="3"/>
      <c r="ACA14" s="3"/>
      <c r="ACB14" s="3"/>
      <c r="ACC14" s="3"/>
      <c r="ACD14" s="3"/>
      <c r="ACE14" s="3"/>
      <c r="ACF14" s="3"/>
      <c r="ACG14" s="3"/>
      <c r="ACH14" s="3"/>
      <c r="ACI14" s="3"/>
      <c r="ACJ14" s="3"/>
      <c r="ACK14" s="3"/>
      <c r="ACL14" s="3"/>
      <c r="ACM14" s="3"/>
      <c r="ACN14" s="3"/>
      <c r="ACO14" s="3"/>
      <c r="ACP14" s="3"/>
      <c r="ACQ14" s="3"/>
      <c r="ACR14" s="3"/>
      <c r="ACS14" s="3"/>
      <c r="ACT14" s="3"/>
      <c r="ACU14" s="3"/>
      <c r="ACV14" s="3"/>
      <c r="ACW14" s="3"/>
      <c r="ACX14" s="3"/>
      <c r="ACY14" s="3"/>
      <c r="ACZ14" s="3"/>
    </row>
    <row r="15" spans="1:780" x14ac:dyDescent="0.2">
      <c r="A15" s="7"/>
      <c r="B15" s="7"/>
      <c r="C15" s="2"/>
      <c r="D15" s="2"/>
      <c r="E15" s="6"/>
      <c r="F15" s="6"/>
      <c r="G15" s="6"/>
      <c r="H15" s="6"/>
      <c r="I15" s="2"/>
      <c r="J15" s="4"/>
      <c r="K15" s="4"/>
      <c r="L15" s="2"/>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c r="HF15" s="3"/>
      <c r="HG15" s="3"/>
      <c r="HH15" s="3"/>
      <c r="HI15" s="3"/>
      <c r="HJ15" s="3"/>
      <c r="HK15" s="3"/>
      <c r="HL15" s="3"/>
      <c r="HM15" s="3"/>
      <c r="HN15" s="3"/>
      <c r="HO15" s="3"/>
      <c r="HP15" s="3"/>
      <c r="HQ15" s="3"/>
      <c r="HR15" s="3"/>
      <c r="HS15" s="3"/>
      <c r="HT15" s="3"/>
      <c r="HU15" s="3"/>
      <c r="HV15" s="3"/>
      <c r="HW15" s="3"/>
      <c r="HX15" s="3"/>
      <c r="HY15" s="3"/>
      <c r="HZ15" s="3"/>
      <c r="IA15" s="3"/>
      <c r="IB15" s="3"/>
      <c r="IC15" s="3"/>
      <c r="ID15" s="3"/>
      <c r="IE15" s="3"/>
      <c r="IF15" s="3"/>
      <c r="IG15" s="3"/>
      <c r="IH15" s="3"/>
      <c r="II15" s="3"/>
      <c r="IJ15" s="3"/>
      <c r="IK15" s="3"/>
      <c r="IL15" s="3"/>
      <c r="IM15" s="3"/>
      <c r="IN15" s="3"/>
      <c r="IO15" s="3"/>
      <c r="IP15" s="3"/>
      <c r="IQ15" s="3"/>
      <c r="IR15" s="3"/>
      <c r="IS15" s="3"/>
      <c r="IT15" s="3"/>
      <c r="IU15" s="3"/>
      <c r="IV15" s="3"/>
      <c r="IW15" s="3"/>
      <c r="IX15" s="3"/>
      <c r="IY15" s="3"/>
      <c r="IZ15" s="3"/>
      <c r="JA15" s="3"/>
      <c r="JB15" s="3"/>
      <c r="JC15" s="3"/>
      <c r="JD15" s="3"/>
      <c r="JE15" s="3"/>
      <c r="JF15" s="3"/>
      <c r="JG15" s="3"/>
      <c r="JH15" s="3"/>
      <c r="JI15" s="3"/>
      <c r="JJ15" s="3"/>
      <c r="JK15" s="3"/>
      <c r="JL15" s="3"/>
      <c r="JM15" s="3"/>
      <c r="JN15" s="3"/>
      <c r="JO15" s="3"/>
      <c r="JP15" s="3"/>
      <c r="JQ15" s="3"/>
      <c r="JR15" s="3"/>
      <c r="JS15" s="3"/>
      <c r="JT15" s="3"/>
      <c r="JU15" s="3"/>
      <c r="JV15" s="3"/>
      <c r="JW15" s="3"/>
      <c r="JX15" s="3"/>
      <c r="JY15" s="3"/>
      <c r="JZ15" s="3"/>
      <c r="KA15" s="3"/>
      <c r="KB15" s="3"/>
      <c r="KC15" s="3"/>
      <c r="KD15" s="3"/>
      <c r="KE15" s="3"/>
      <c r="KF15" s="3"/>
      <c r="KG15" s="3"/>
      <c r="KH15" s="3"/>
      <c r="KI15" s="3"/>
      <c r="KJ15" s="3"/>
      <c r="KK15" s="3"/>
      <c r="KL15" s="3"/>
      <c r="KM15" s="3"/>
      <c r="KN15" s="3"/>
      <c r="KO15" s="3"/>
      <c r="KP15" s="3"/>
      <c r="KQ15" s="3"/>
      <c r="KR15" s="3"/>
      <c r="KS15" s="3"/>
      <c r="KT15" s="3"/>
      <c r="KU15" s="3"/>
      <c r="KV15" s="3"/>
      <c r="KW15" s="3"/>
      <c r="KX15" s="3"/>
      <c r="KY15" s="3"/>
      <c r="KZ15" s="3"/>
      <c r="LA15" s="3"/>
      <c r="LB15" s="3"/>
      <c r="LC15" s="3"/>
      <c r="LD15" s="3"/>
      <c r="LE15" s="3"/>
      <c r="LF15" s="3"/>
      <c r="LG15" s="3"/>
      <c r="LH15" s="3"/>
      <c r="LI15" s="3"/>
      <c r="LJ15" s="3"/>
      <c r="LK15" s="3"/>
      <c r="LL15" s="3"/>
      <c r="LM15" s="3"/>
      <c r="LN15" s="3"/>
      <c r="LO15" s="3"/>
      <c r="LP15" s="3"/>
      <c r="LQ15" s="3"/>
      <c r="LR15" s="3"/>
      <c r="LS15" s="3"/>
      <c r="LT15" s="3"/>
      <c r="LU15" s="3"/>
      <c r="LV15" s="3"/>
      <c r="LW15" s="3"/>
      <c r="LX15" s="3"/>
      <c r="LY15" s="3"/>
      <c r="LZ15" s="3"/>
      <c r="MA15" s="3"/>
      <c r="MB15" s="3"/>
      <c r="MC15" s="3"/>
      <c r="MD15" s="3"/>
      <c r="ME15" s="3"/>
      <c r="MF15" s="3"/>
      <c r="MG15" s="3"/>
      <c r="MH15" s="3"/>
      <c r="MI15" s="3"/>
      <c r="MJ15" s="3"/>
      <c r="MK15" s="3"/>
      <c r="ML15" s="3"/>
      <c r="MM15" s="3"/>
      <c r="MN15" s="3"/>
      <c r="MO15" s="3"/>
      <c r="MP15" s="3"/>
      <c r="MQ15" s="3"/>
      <c r="MR15" s="3"/>
      <c r="MS15" s="3"/>
      <c r="MT15" s="3"/>
      <c r="MU15" s="3"/>
      <c r="MV15" s="3"/>
      <c r="MW15" s="3"/>
      <c r="MX15" s="3"/>
      <c r="MY15" s="3"/>
      <c r="MZ15" s="3"/>
      <c r="NA15" s="3"/>
      <c r="NB15" s="3"/>
      <c r="NC15" s="3"/>
      <c r="ND15" s="3"/>
      <c r="NE15" s="3"/>
      <c r="NF15" s="3"/>
      <c r="NG15" s="3"/>
      <c r="NH15" s="3"/>
      <c r="NI15" s="3"/>
      <c r="NJ15" s="3"/>
      <c r="NK15" s="3"/>
      <c r="NL15" s="3"/>
      <c r="NM15" s="3"/>
      <c r="NN15" s="3"/>
      <c r="NO15" s="3"/>
      <c r="NP15" s="3"/>
      <c r="NQ15" s="3"/>
      <c r="NR15" s="3"/>
      <c r="NS15" s="3"/>
      <c r="NT15" s="3"/>
      <c r="NU15" s="3"/>
      <c r="NV15" s="3"/>
      <c r="NW15" s="3"/>
      <c r="NX15" s="3"/>
      <c r="NY15" s="3"/>
      <c r="NZ15" s="3"/>
      <c r="OA15" s="3"/>
      <c r="OB15" s="3"/>
      <c r="OC15" s="3"/>
      <c r="OD15" s="3"/>
      <c r="OE15" s="3"/>
      <c r="OF15" s="3"/>
      <c r="OG15" s="3"/>
      <c r="OH15" s="3"/>
      <c r="OI15" s="3"/>
      <c r="OJ15" s="3"/>
      <c r="OK15" s="3"/>
      <c r="OL15" s="3"/>
      <c r="OM15" s="3"/>
      <c r="ON15" s="3"/>
      <c r="OO15" s="3"/>
      <c r="OP15" s="3"/>
      <c r="OQ15" s="3"/>
      <c r="OR15" s="3"/>
      <c r="OS15" s="3"/>
      <c r="OT15" s="3"/>
      <c r="OU15" s="3"/>
      <c r="OV15" s="3"/>
      <c r="OW15" s="3"/>
      <c r="OX15" s="3"/>
      <c r="OY15" s="3"/>
      <c r="OZ15" s="3"/>
      <c r="PA15" s="3"/>
      <c r="PB15" s="3"/>
      <c r="PC15" s="3"/>
      <c r="PD15" s="3"/>
      <c r="PE15" s="3"/>
      <c r="PF15" s="3"/>
      <c r="PG15" s="3"/>
      <c r="PH15" s="3"/>
      <c r="PI15" s="3"/>
      <c r="PJ15" s="3"/>
      <c r="PK15" s="3"/>
      <c r="PL15" s="3"/>
      <c r="PM15" s="3"/>
      <c r="PN15" s="3"/>
      <c r="PO15" s="3"/>
      <c r="PP15" s="3"/>
      <c r="PQ15" s="3"/>
      <c r="PR15" s="3"/>
      <c r="PS15" s="3"/>
      <c r="PT15" s="3"/>
      <c r="PU15" s="3"/>
      <c r="PV15" s="3"/>
      <c r="PW15" s="3"/>
      <c r="PX15" s="3"/>
      <c r="PY15" s="3"/>
      <c r="PZ15" s="3"/>
      <c r="QA15" s="3"/>
      <c r="QB15" s="3"/>
      <c r="QC15" s="3"/>
      <c r="QD15" s="3"/>
      <c r="QE15" s="3"/>
      <c r="QF15" s="3"/>
      <c r="QG15" s="3"/>
      <c r="QH15" s="3"/>
      <c r="QI15" s="3"/>
      <c r="QJ15" s="3"/>
      <c r="QK15" s="3"/>
      <c r="QL15" s="3"/>
      <c r="QM15" s="3"/>
      <c r="QN15" s="3"/>
      <c r="QO15" s="3"/>
      <c r="QP15" s="3"/>
      <c r="QQ15" s="3"/>
      <c r="QR15" s="3"/>
      <c r="QS15" s="3"/>
      <c r="QT15" s="3"/>
      <c r="QU15" s="3"/>
      <c r="QV15" s="3"/>
      <c r="QW15" s="3"/>
      <c r="QX15" s="3"/>
      <c r="QY15" s="3"/>
      <c r="QZ15" s="3"/>
      <c r="RA15" s="3"/>
      <c r="RB15" s="3"/>
      <c r="RC15" s="3"/>
      <c r="RD15" s="3"/>
      <c r="RE15" s="3"/>
      <c r="RF15" s="3"/>
      <c r="RG15" s="3"/>
      <c r="RH15" s="3"/>
      <c r="RI15" s="3"/>
      <c r="RJ15" s="3"/>
      <c r="RK15" s="3"/>
      <c r="RL15" s="3"/>
      <c r="RM15" s="3"/>
      <c r="RN15" s="3"/>
      <c r="RO15" s="3"/>
      <c r="RP15" s="3"/>
      <c r="RQ15" s="3"/>
      <c r="RR15" s="3"/>
      <c r="RS15" s="3"/>
      <c r="RT15" s="3"/>
      <c r="RU15" s="3"/>
      <c r="RV15" s="3"/>
      <c r="RW15" s="3"/>
      <c r="RX15" s="3"/>
      <c r="RY15" s="3"/>
      <c r="RZ15" s="3"/>
      <c r="SA15" s="3"/>
      <c r="SB15" s="3"/>
      <c r="SC15" s="3"/>
      <c r="SD15" s="3"/>
      <c r="SE15" s="3"/>
      <c r="SF15" s="3"/>
      <c r="SG15" s="3"/>
      <c r="SH15" s="3"/>
      <c r="SI15" s="3"/>
      <c r="SJ15" s="3"/>
      <c r="SK15" s="3"/>
      <c r="SL15" s="3"/>
      <c r="SM15" s="3"/>
      <c r="SN15" s="3"/>
      <c r="SO15" s="3"/>
      <c r="SP15" s="3"/>
      <c r="SQ15" s="3"/>
      <c r="SR15" s="3"/>
      <c r="SS15" s="3"/>
      <c r="ST15" s="3"/>
      <c r="SU15" s="3"/>
      <c r="SV15" s="3"/>
      <c r="SW15" s="3"/>
      <c r="SX15" s="3"/>
      <c r="SY15" s="3"/>
      <c r="SZ15" s="3"/>
      <c r="TA15" s="3"/>
      <c r="TB15" s="3"/>
      <c r="TC15" s="3"/>
      <c r="TD15" s="3"/>
      <c r="TE15" s="3"/>
      <c r="TF15" s="3"/>
      <c r="TG15" s="3"/>
      <c r="TH15" s="3"/>
      <c r="TI15" s="3"/>
      <c r="TJ15" s="3"/>
      <c r="TK15" s="3"/>
      <c r="TL15" s="3"/>
      <c r="TM15" s="3"/>
      <c r="TN15" s="3"/>
      <c r="TO15" s="3"/>
      <c r="TP15" s="3"/>
      <c r="TQ15" s="3"/>
      <c r="TR15" s="3"/>
      <c r="TS15" s="3"/>
      <c r="TT15" s="3"/>
      <c r="TU15" s="3"/>
      <c r="TV15" s="3"/>
      <c r="TW15" s="3"/>
      <c r="TX15" s="3"/>
      <c r="TY15" s="3"/>
      <c r="TZ15" s="3"/>
      <c r="UA15" s="3"/>
      <c r="UB15" s="3"/>
      <c r="UC15" s="3"/>
      <c r="UD15" s="3"/>
      <c r="UE15" s="3"/>
      <c r="UF15" s="3"/>
      <c r="UG15" s="3"/>
      <c r="UH15" s="3"/>
      <c r="UI15" s="3"/>
      <c r="UJ15" s="3"/>
      <c r="UK15" s="3"/>
      <c r="UL15" s="3"/>
      <c r="UM15" s="3"/>
      <c r="UN15" s="3"/>
      <c r="UO15" s="3"/>
      <c r="UP15" s="3"/>
      <c r="UQ15" s="3"/>
      <c r="UR15" s="3"/>
      <c r="US15" s="3"/>
      <c r="UT15" s="3"/>
      <c r="UU15" s="3"/>
      <c r="UV15" s="3"/>
      <c r="UW15" s="3"/>
      <c r="UX15" s="3"/>
      <c r="UY15" s="3"/>
      <c r="UZ15" s="3"/>
      <c r="VA15" s="3"/>
      <c r="VB15" s="3"/>
      <c r="VC15" s="3"/>
      <c r="VD15" s="3"/>
      <c r="VE15" s="3"/>
      <c r="VF15" s="3"/>
      <c r="VG15" s="3"/>
      <c r="VH15" s="3"/>
      <c r="VI15" s="3"/>
      <c r="VJ15" s="3"/>
      <c r="VK15" s="3"/>
      <c r="VL15" s="3"/>
      <c r="VM15" s="3"/>
      <c r="VN15" s="3"/>
      <c r="VO15" s="3"/>
      <c r="VP15" s="3"/>
      <c r="VQ15" s="3"/>
      <c r="VR15" s="3"/>
      <c r="VS15" s="3"/>
      <c r="VT15" s="3"/>
      <c r="VU15" s="3"/>
      <c r="VV15" s="3"/>
      <c r="VW15" s="3"/>
      <c r="VX15" s="3"/>
      <c r="VY15" s="3"/>
      <c r="VZ15" s="3"/>
      <c r="WA15" s="3"/>
      <c r="WB15" s="3"/>
      <c r="WC15" s="3"/>
      <c r="WD15" s="3"/>
      <c r="WE15" s="3"/>
      <c r="WF15" s="3"/>
      <c r="WG15" s="3"/>
      <c r="WH15" s="3"/>
      <c r="WI15" s="3"/>
      <c r="WJ15" s="3"/>
      <c r="WK15" s="3"/>
      <c r="WL15" s="3"/>
      <c r="WM15" s="3"/>
      <c r="WN15" s="3"/>
      <c r="WO15" s="3"/>
      <c r="WP15" s="3"/>
      <c r="WQ15" s="3"/>
      <c r="WR15" s="3"/>
      <c r="WS15" s="3"/>
      <c r="WT15" s="3"/>
      <c r="WU15" s="3"/>
      <c r="WV15" s="3"/>
      <c r="WW15" s="3"/>
      <c r="WX15" s="3"/>
      <c r="WY15" s="3"/>
      <c r="WZ15" s="3"/>
      <c r="XA15" s="3"/>
      <c r="XB15" s="3"/>
      <c r="XC15" s="3"/>
      <c r="XD15" s="3"/>
      <c r="XE15" s="3"/>
      <c r="XF15" s="3"/>
      <c r="XG15" s="3"/>
      <c r="XH15" s="3"/>
      <c r="XI15" s="3"/>
      <c r="XJ15" s="3"/>
      <c r="XK15" s="3"/>
      <c r="XL15" s="3"/>
      <c r="XM15" s="3"/>
      <c r="XN15" s="3"/>
      <c r="XO15" s="3"/>
      <c r="XP15" s="3"/>
      <c r="XQ15" s="3"/>
      <c r="XR15" s="3"/>
      <c r="XS15" s="3"/>
      <c r="XT15" s="3"/>
      <c r="XU15" s="3"/>
      <c r="XV15" s="3"/>
      <c r="XW15" s="3"/>
      <c r="XX15" s="3"/>
      <c r="XY15" s="3"/>
      <c r="XZ15" s="3"/>
      <c r="YA15" s="3"/>
      <c r="YB15" s="3"/>
      <c r="YC15" s="3"/>
      <c r="YD15" s="3"/>
      <c r="YE15" s="3"/>
      <c r="YF15" s="3"/>
      <c r="YG15" s="3"/>
      <c r="YH15" s="3"/>
      <c r="YI15" s="3"/>
      <c r="YJ15" s="3"/>
      <c r="YK15" s="3"/>
      <c r="YL15" s="3"/>
      <c r="YM15" s="3"/>
      <c r="YN15" s="3"/>
      <c r="YO15" s="3"/>
      <c r="YP15" s="3"/>
      <c r="YQ15" s="3"/>
      <c r="YR15" s="3"/>
      <c r="YS15" s="3"/>
      <c r="YT15" s="3"/>
      <c r="YU15" s="3"/>
      <c r="YV15" s="3"/>
      <c r="YW15" s="3"/>
      <c r="YX15" s="3"/>
      <c r="YY15" s="3"/>
      <c r="YZ15" s="3"/>
      <c r="ZA15" s="3"/>
      <c r="ZB15" s="3"/>
      <c r="ZC15" s="3"/>
      <c r="ZD15" s="3"/>
      <c r="ZE15" s="3"/>
      <c r="ZF15" s="3"/>
      <c r="ZG15" s="3"/>
      <c r="ZH15" s="3"/>
      <c r="ZI15" s="3"/>
      <c r="ZJ15" s="3"/>
      <c r="ZK15" s="3"/>
      <c r="ZL15" s="3"/>
      <c r="ZM15" s="3"/>
      <c r="ZN15" s="3"/>
      <c r="ZO15" s="3"/>
      <c r="ZP15" s="3"/>
      <c r="ZQ15" s="3"/>
      <c r="ZR15" s="3"/>
      <c r="ZS15" s="3"/>
      <c r="ZT15" s="3"/>
      <c r="ZU15" s="3"/>
      <c r="ZV15" s="3"/>
      <c r="ZW15" s="3"/>
      <c r="ZX15" s="3"/>
      <c r="ZY15" s="3"/>
      <c r="ZZ15" s="3"/>
      <c r="AAA15" s="3"/>
      <c r="AAB15" s="3"/>
      <c r="AAC15" s="3"/>
      <c r="AAD15" s="3"/>
      <c r="AAE15" s="3"/>
      <c r="AAF15" s="3"/>
      <c r="AAG15" s="3"/>
      <c r="AAH15" s="3"/>
      <c r="AAI15" s="3"/>
      <c r="AAJ15" s="3"/>
      <c r="AAK15" s="3"/>
      <c r="AAL15" s="3"/>
      <c r="AAM15" s="3"/>
      <c r="AAN15" s="3"/>
      <c r="AAO15" s="3"/>
      <c r="AAP15" s="3"/>
      <c r="AAQ15" s="3"/>
      <c r="AAR15" s="3"/>
      <c r="AAS15" s="3"/>
      <c r="AAT15" s="3"/>
      <c r="AAU15" s="3"/>
      <c r="AAV15" s="3"/>
      <c r="AAW15" s="3"/>
      <c r="AAX15" s="3"/>
      <c r="AAY15" s="3"/>
      <c r="AAZ15" s="3"/>
      <c r="ABA15" s="3"/>
      <c r="ABB15" s="3"/>
      <c r="ABC15" s="3"/>
      <c r="ABD15" s="3"/>
      <c r="ABE15" s="3"/>
      <c r="ABF15" s="3"/>
      <c r="ABG15" s="3"/>
      <c r="ABH15" s="3"/>
      <c r="ABI15" s="3"/>
      <c r="ABJ15" s="3"/>
      <c r="ABK15" s="3"/>
      <c r="ABL15" s="3"/>
      <c r="ABM15" s="3"/>
      <c r="ABN15" s="3"/>
      <c r="ABO15" s="3"/>
      <c r="ABP15" s="3"/>
      <c r="ABQ15" s="3"/>
      <c r="ABR15" s="3"/>
      <c r="ABS15" s="3"/>
      <c r="ABT15" s="3"/>
      <c r="ABU15" s="3"/>
      <c r="ABV15" s="3"/>
      <c r="ABW15" s="3"/>
      <c r="ABX15" s="3"/>
      <c r="ABY15" s="3"/>
      <c r="ABZ15" s="3"/>
      <c r="ACA15" s="3"/>
      <c r="ACB15" s="3"/>
      <c r="ACC15" s="3"/>
      <c r="ACD15" s="3"/>
      <c r="ACE15" s="3"/>
      <c r="ACF15" s="3"/>
      <c r="ACG15" s="3"/>
      <c r="ACH15" s="3"/>
      <c r="ACI15" s="3"/>
      <c r="ACJ15" s="3"/>
      <c r="ACK15" s="3"/>
      <c r="ACL15" s="3"/>
      <c r="ACM15" s="3"/>
      <c r="ACN15" s="3"/>
      <c r="ACO15" s="3"/>
      <c r="ACP15" s="3"/>
      <c r="ACQ15" s="3"/>
      <c r="ACR15" s="3"/>
      <c r="ACS15" s="3"/>
      <c r="ACT15" s="3"/>
      <c r="ACU15" s="3"/>
      <c r="ACV15" s="3"/>
      <c r="ACW15" s="3"/>
      <c r="ACX15" s="3"/>
      <c r="ACY15" s="3"/>
      <c r="ACZ15" s="3"/>
    </row>
    <row r="16" spans="1:780" x14ac:dyDescent="0.2">
      <c r="A16" s="7"/>
      <c r="B16" s="7"/>
      <c r="C16" s="2"/>
      <c r="D16" s="2"/>
      <c r="E16" s="6"/>
      <c r="F16" s="6"/>
      <c r="G16" s="6"/>
      <c r="H16" s="6"/>
      <c r="I16" s="2"/>
      <c r="J16" s="4"/>
      <c r="K16" s="4"/>
      <c r="L16" s="2"/>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c r="HF16" s="3"/>
      <c r="HG16" s="3"/>
      <c r="HH16" s="3"/>
      <c r="HI16" s="3"/>
      <c r="HJ16" s="3"/>
      <c r="HK16" s="3"/>
      <c r="HL16" s="3"/>
      <c r="HM16" s="3"/>
      <c r="HN16" s="3"/>
      <c r="HO16" s="3"/>
      <c r="HP16" s="3"/>
      <c r="HQ16" s="3"/>
      <c r="HR16" s="3"/>
      <c r="HS16" s="3"/>
      <c r="HT16" s="3"/>
      <c r="HU16" s="3"/>
      <c r="HV16" s="3"/>
      <c r="HW16" s="3"/>
      <c r="HX16" s="3"/>
      <c r="HY16" s="3"/>
      <c r="HZ16" s="3"/>
      <c r="IA16" s="3"/>
      <c r="IB16" s="3"/>
      <c r="IC16" s="3"/>
      <c r="ID16" s="3"/>
      <c r="IE16" s="3"/>
      <c r="IF16" s="3"/>
      <c r="IG16" s="3"/>
      <c r="IH16" s="3"/>
      <c r="II16" s="3"/>
      <c r="IJ16" s="3"/>
      <c r="IK16" s="3"/>
      <c r="IL16" s="3"/>
      <c r="IM16" s="3"/>
      <c r="IN16" s="3"/>
      <c r="IO16" s="3"/>
      <c r="IP16" s="3"/>
      <c r="IQ16" s="3"/>
      <c r="IR16" s="3"/>
      <c r="IS16" s="3"/>
      <c r="IT16" s="3"/>
      <c r="IU16" s="3"/>
      <c r="IV16" s="3"/>
      <c r="IW16" s="3"/>
      <c r="IX16" s="3"/>
      <c r="IY16" s="3"/>
      <c r="IZ16" s="3"/>
      <c r="JA16" s="3"/>
      <c r="JB16" s="3"/>
      <c r="JC16" s="3"/>
      <c r="JD16" s="3"/>
      <c r="JE16" s="3"/>
      <c r="JF16" s="3"/>
      <c r="JG16" s="3"/>
      <c r="JH16" s="3"/>
      <c r="JI16" s="3"/>
      <c r="JJ16" s="3"/>
      <c r="JK16" s="3"/>
      <c r="JL16" s="3"/>
      <c r="JM16" s="3"/>
      <c r="JN16" s="3"/>
      <c r="JO16" s="3"/>
      <c r="JP16" s="3"/>
      <c r="JQ16" s="3"/>
      <c r="JR16" s="3"/>
      <c r="JS16" s="3"/>
      <c r="JT16" s="3"/>
      <c r="JU16" s="3"/>
      <c r="JV16" s="3"/>
      <c r="JW16" s="3"/>
      <c r="JX16" s="3"/>
      <c r="JY16" s="3"/>
      <c r="JZ16" s="3"/>
      <c r="KA16" s="3"/>
      <c r="KB16" s="3"/>
      <c r="KC16" s="3"/>
      <c r="KD16" s="3"/>
      <c r="KE16" s="3"/>
      <c r="KF16" s="3"/>
      <c r="KG16" s="3"/>
      <c r="KH16" s="3"/>
      <c r="KI16" s="3"/>
      <c r="KJ16" s="3"/>
      <c r="KK16" s="3"/>
      <c r="KL16" s="3"/>
      <c r="KM16" s="3"/>
      <c r="KN16" s="3"/>
      <c r="KO16" s="3"/>
      <c r="KP16" s="3"/>
      <c r="KQ16" s="3"/>
      <c r="KR16" s="3"/>
      <c r="KS16" s="3"/>
      <c r="KT16" s="3"/>
      <c r="KU16" s="3"/>
      <c r="KV16" s="3"/>
      <c r="KW16" s="3"/>
      <c r="KX16" s="3"/>
      <c r="KY16" s="3"/>
      <c r="KZ16" s="3"/>
      <c r="LA16" s="3"/>
      <c r="LB16" s="3"/>
      <c r="LC16" s="3"/>
      <c r="LD16" s="3"/>
      <c r="LE16" s="3"/>
      <c r="LF16" s="3"/>
      <c r="LG16" s="3"/>
      <c r="LH16" s="3"/>
      <c r="LI16" s="3"/>
      <c r="LJ16" s="3"/>
      <c r="LK16" s="3"/>
      <c r="LL16" s="3"/>
      <c r="LM16" s="3"/>
      <c r="LN16" s="3"/>
      <c r="LO16" s="3"/>
      <c r="LP16" s="3"/>
      <c r="LQ16" s="3"/>
      <c r="LR16" s="3"/>
      <c r="LS16" s="3"/>
      <c r="LT16" s="3"/>
      <c r="LU16" s="3"/>
      <c r="LV16" s="3"/>
      <c r="LW16" s="3"/>
      <c r="LX16" s="3"/>
      <c r="LY16" s="3"/>
      <c r="LZ16" s="3"/>
      <c r="MA16" s="3"/>
      <c r="MB16" s="3"/>
      <c r="MC16" s="3"/>
      <c r="MD16" s="3"/>
      <c r="ME16" s="3"/>
      <c r="MF16" s="3"/>
      <c r="MG16" s="3"/>
      <c r="MH16" s="3"/>
      <c r="MI16" s="3"/>
      <c r="MJ16" s="3"/>
      <c r="MK16" s="3"/>
      <c r="ML16" s="3"/>
      <c r="MM16" s="3"/>
      <c r="MN16" s="3"/>
      <c r="MO16" s="3"/>
      <c r="MP16" s="3"/>
      <c r="MQ16" s="3"/>
      <c r="MR16" s="3"/>
      <c r="MS16" s="3"/>
      <c r="MT16" s="3"/>
      <c r="MU16" s="3"/>
      <c r="MV16" s="3"/>
      <c r="MW16" s="3"/>
      <c r="MX16" s="3"/>
      <c r="MY16" s="3"/>
      <c r="MZ16" s="3"/>
      <c r="NA16" s="3"/>
      <c r="NB16" s="3"/>
      <c r="NC16" s="3"/>
      <c r="ND16" s="3"/>
      <c r="NE16" s="3"/>
      <c r="NF16" s="3"/>
      <c r="NG16" s="3"/>
      <c r="NH16" s="3"/>
      <c r="NI16" s="3"/>
      <c r="NJ16" s="3"/>
      <c r="NK16" s="3"/>
      <c r="NL16" s="3"/>
      <c r="NM16" s="3"/>
      <c r="NN16" s="3"/>
      <c r="NO16" s="3"/>
      <c r="NP16" s="3"/>
      <c r="NQ16" s="3"/>
      <c r="NR16" s="3"/>
      <c r="NS16" s="3"/>
      <c r="NT16" s="3"/>
      <c r="NU16" s="3"/>
      <c r="NV16" s="3"/>
      <c r="NW16" s="3"/>
      <c r="NX16" s="3"/>
      <c r="NY16" s="3"/>
      <c r="NZ16" s="3"/>
      <c r="OA16" s="3"/>
      <c r="OB16" s="3"/>
      <c r="OC16" s="3"/>
      <c r="OD16" s="3"/>
      <c r="OE16" s="3"/>
      <c r="OF16" s="3"/>
      <c r="OG16" s="3"/>
      <c r="OH16" s="3"/>
      <c r="OI16" s="3"/>
      <c r="OJ16" s="3"/>
      <c r="OK16" s="3"/>
      <c r="OL16" s="3"/>
      <c r="OM16" s="3"/>
      <c r="ON16" s="3"/>
      <c r="OO16" s="3"/>
      <c r="OP16" s="3"/>
      <c r="OQ16" s="3"/>
      <c r="OR16" s="3"/>
      <c r="OS16" s="3"/>
      <c r="OT16" s="3"/>
      <c r="OU16" s="3"/>
      <c r="OV16" s="3"/>
      <c r="OW16" s="3"/>
      <c r="OX16" s="3"/>
      <c r="OY16" s="3"/>
      <c r="OZ16" s="3"/>
      <c r="PA16" s="3"/>
      <c r="PB16" s="3"/>
      <c r="PC16" s="3"/>
      <c r="PD16" s="3"/>
      <c r="PE16" s="3"/>
      <c r="PF16" s="3"/>
      <c r="PG16" s="3"/>
      <c r="PH16" s="3"/>
      <c r="PI16" s="3"/>
      <c r="PJ16" s="3"/>
      <c r="PK16" s="3"/>
      <c r="PL16" s="3"/>
      <c r="PM16" s="3"/>
      <c r="PN16" s="3"/>
      <c r="PO16" s="3"/>
      <c r="PP16" s="3"/>
      <c r="PQ16" s="3"/>
      <c r="PR16" s="3"/>
      <c r="PS16" s="3"/>
      <c r="PT16" s="3"/>
      <c r="PU16" s="3"/>
      <c r="PV16" s="3"/>
      <c r="PW16" s="3"/>
      <c r="PX16" s="3"/>
      <c r="PY16" s="3"/>
      <c r="PZ16" s="3"/>
      <c r="QA16" s="3"/>
      <c r="QB16" s="3"/>
      <c r="QC16" s="3"/>
      <c r="QD16" s="3"/>
      <c r="QE16" s="3"/>
      <c r="QF16" s="3"/>
      <c r="QG16" s="3"/>
      <c r="QH16" s="3"/>
      <c r="QI16" s="3"/>
      <c r="QJ16" s="3"/>
      <c r="QK16" s="3"/>
      <c r="QL16" s="3"/>
      <c r="QM16" s="3"/>
      <c r="QN16" s="3"/>
      <c r="QO16" s="3"/>
      <c r="QP16" s="3"/>
      <c r="QQ16" s="3"/>
      <c r="QR16" s="3"/>
      <c r="QS16" s="3"/>
      <c r="QT16" s="3"/>
      <c r="QU16" s="3"/>
      <c r="QV16" s="3"/>
      <c r="QW16" s="3"/>
      <c r="QX16" s="3"/>
      <c r="QY16" s="3"/>
      <c r="QZ16" s="3"/>
      <c r="RA16" s="3"/>
      <c r="RB16" s="3"/>
      <c r="RC16" s="3"/>
      <c r="RD16" s="3"/>
      <c r="RE16" s="3"/>
      <c r="RF16" s="3"/>
      <c r="RG16" s="3"/>
      <c r="RH16" s="3"/>
      <c r="RI16" s="3"/>
      <c r="RJ16" s="3"/>
      <c r="RK16" s="3"/>
      <c r="RL16" s="3"/>
      <c r="RM16" s="3"/>
      <c r="RN16" s="3"/>
      <c r="RO16" s="3"/>
      <c r="RP16" s="3"/>
      <c r="RQ16" s="3"/>
      <c r="RR16" s="3"/>
      <c r="RS16" s="3"/>
      <c r="RT16" s="3"/>
      <c r="RU16" s="3"/>
      <c r="RV16" s="3"/>
      <c r="RW16" s="3"/>
      <c r="RX16" s="3"/>
      <c r="RY16" s="3"/>
      <c r="RZ16" s="3"/>
      <c r="SA16" s="3"/>
      <c r="SB16" s="3"/>
      <c r="SC16" s="3"/>
      <c r="SD16" s="3"/>
      <c r="SE16" s="3"/>
      <c r="SF16" s="3"/>
      <c r="SG16" s="3"/>
      <c r="SH16" s="3"/>
      <c r="SI16" s="3"/>
      <c r="SJ16" s="3"/>
      <c r="SK16" s="3"/>
      <c r="SL16" s="3"/>
      <c r="SM16" s="3"/>
      <c r="SN16" s="3"/>
      <c r="SO16" s="3"/>
      <c r="SP16" s="3"/>
      <c r="SQ16" s="3"/>
      <c r="SR16" s="3"/>
      <c r="SS16" s="3"/>
      <c r="ST16" s="3"/>
      <c r="SU16" s="3"/>
      <c r="SV16" s="3"/>
      <c r="SW16" s="3"/>
      <c r="SX16" s="3"/>
      <c r="SY16" s="3"/>
      <c r="SZ16" s="3"/>
      <c r="TA16" s="3"/>
      <c r="TB16" s="3"/>
      <c r="TC16" s="3"/>
      <c r="TD16" s="3"/>
      <c r="TE16" s="3"/>
      <c r="TF16" s="3"/>
      <c r="TG16" s="3"/>
      <c r="TH16" s="3"/>
      <c r="TI16" s="3"/>
      <c r="TJ16" s="3"/>
      <c r="TK16" s="3"/>
      <c r="TL16" s="3"/>
      <c r="TM16" s="3"/>
      <c r="TN16" s="3"/>
      <c r="TO16" s="3"/>
      <c r="TP16" s="3"/>
      <c r="TQ16" s="3"/>
      <c r="TR16" s="3"/>
      <c r="TS16" s="3"/>
      <c r="TT16" s="3"/>
      <c r="TU16" s="3"/>
      <c r="TV16" s="3"/>
      <c r="TW16" s="3"/>
      <c r="TX16" s="3"/>
      <c r="TY16" s="3"/>
      <c r="TZ16" s="3"/>
      <c r="UA16" s="3"/>
      <c r="UB16" s="3"/>
      <c r="UC16" s="3"/>
      <c r="UD16" s="3"/>
      <c r="UE16" s="3"/>
      <c r="UF16" s="3"/>
      <c r="UG16" s="3"/>
      <c r="UH16" s="3"/>
      <c r="UI16" s="3"/>
      <c r="UJ16" s="3"/>
      <c r="UK16" s="3"/>
      <c r="UL16" s="3"/>
      <c r="UM16" s="3"/>
      <c r="UN16" s="3"/>
      <c r="UO16" s="3"/>
      <c r="UP16" s="3"/>
      <c r="UQ16" s="3"/>
      <c r="UR16" s="3"/>
      <c r="US16" s="3"/>
      <c r="UT16" s="3"/>
      <c r="UU16" s="3"/>
      <c r="UV16" s="3"/>
      <c r="UW16" s="3"/>
      <c r="UX16" s="3"/>
      <c r="UY16" s="3"/>
      <c r="UZ16" s="3"/>
      <c r="VA16" s="3"/>
      <c r="VB16" s="3"/>
      <c r="VC16" s="3"/>
      <c r="VD16" s="3"/>
      <c r="VE16" s="3"/>
      <c r="VF16" s="3"/>
      <c r="VG16" s="3"/>
      <c r="VH16" s="3"/>
      <c r="VI16" s="3"/>
      <c r="VJ16" s="3"/>
      <c r="VK16" s="3"/>
      <c r="VL16" s="3"/>
      <c r="VM16" s="3"/>
      <c r="VN16" s="3"/>
      <c r="VO16" s="3"/>
      <c r="VP16" s="3"/>
      <c r="VQ16" s="3"/>
      <c r="VR16" s="3"/>
      <c r="VS16" s="3"/>
      <c r="VT16" s="3"/>
      <c r="VU16" s="3"/>
      <c r="VV16" s="3"/>
      <c r="VW16" s="3"/>
      <c r="VX16" s="3"/>
      <c r="VY16" s="3"/>
      <c r="VZ16" s="3"/>
      <c r="WA16" s="3"/>
      <c r="WB16" s="3"/>
      <c r="WC16" s="3"/>
      <c r="WD16" s="3"/>
      <c r="WE16" s="3"/>
      <c r="WF16" s="3"/>
      <c r="WG16" s="3"/>
      <c r="WH16" s="3"/>
      <c r="WI16" s="3"/>
      <c r="WJ16" s="3"/>
      <c r="WK16" s="3"/>
      <c r="WL16" s="3"/>
      <c r="WM16" s="3"/>
      <c r="WN16" s="3"/>
      <c r="WO16" s="3"/>
      <c r="WP16" s="3"/>
      <c r="WQ16" s="3"/>
      <c r="WR16" s="3"/>
      <c r="WS16" s="3"/>
      <c r="WT16" s="3"/>
      <c r="WU16" s="3"/>
      <c r="WV16" s="3"/>
      <c r="WW16" s="3"/>
      <c r="WX16" s="3"/>
      <c r="WY16" s="3"/>
      <c r="WZ16" s="3"/>
      <c r="XA16" s="3"/>
      <c r="XB16" s="3"/>
      <c r="XC16" s="3"/>
      <c r="XD16" s="3"/>
      <c r="XE16" s="3"/>
      <c r="XF16" s="3"/>
      <c r="XG16" s="3"/>
      <c r="XH16" s="3"/>
      <c r="XI16" s="3"/>
      <c r="XJ16" s="3"/>
      <c r="XK16" s="3"/>
      <c r="XL16" s="3"/>
      <c r="XM16" s="3"/>
      <c r="XN16" s="3"/>
      <c r="XO16" s="3"/>
      <c r="XP16" s="3"/>
      <c r="XQ16" s="3"/>
      <c r="XR16" s="3"/>
      <c r="XS16" s="3"/>
      <c r="XT16" s="3"/>
      <c r="XU16" s="3"/>
      <c r="XV16" s="3"/>
      <c r="XW16" s="3"/>
      <c r="XX16" s="3"/>
      <c r="XY16" s="3"/>
      <c r="XZ16" s="3"/>
      <c r="YA16" s="3"/>
      <c r="YB16" s="3"/>
      <c r="YC16" s="3"/>
      <c r="YD16" s="3"/>
      <c r="YE16" s="3"/>
      <c r="YF16" s="3"/>
      <c r="YG16" s="3"/>
      <c r="YH16" s="3"/>
      <c r="YI16" s="3"/>
      <c r="YJ16" s="3"/>
      <c r="YK16" s="3"/>
      <c r="YL16" s="3"/>
      <c r="YM16" s="3"/>
      <c r="YN16" s="3"/>
      <c r="YO16" s="3"/>
      <c r="YP16" s="3"/>
      <c r="YQ16" s="3"/>
      <c r="YR16" s="3"/>
      <c r="YS16" s="3"/>
      <c r="YT16" s="3"/>
      <c r="YU16" s="3"/>
      <c r="YV16" s="3"/>
      <c r="YW16" s="3"/>
      <c r="YX16" s="3"/>
      <c r="YY16" s="3"/>
      <c r="YZ16" s="3"/>
      <c r="ZA16" s="3"/>
      <c r="ZB16" s="3"/>
      <c r="ZC16" s="3"/>
      <c r="ZD16" s="3"/>
      <c r="ZE16" s="3"/>
      <c r="ZF16" s="3"/>
      <c r="ZG16" s="3"/>
      <c r="ZH16" s="3"/>
      <c r="ZI16" s="3"/>
      <c r="ZJ16" s="3"/>
      <c r="ZK16" s="3"/>
      <c r="ZL16" s="3"/>
      <c r="ZM16" s="3"/>
      <c r="ZN16" s="3"/>
      <c r="ZO16" s="3"/>
      <c r="ZP16" s="3"/>
      <c r="ZQ16" s="3"/>
      <c r="ZR16" s="3"/>
      <c r="ZS16" s="3"/>
      <c r="ZT16" s="3"/>
      <c r="ZU16" s="3"/>
      <c r="ZV16" s="3"/>
      <c r="ZW16" s="3"/>
      <c r="ZX16" s="3"/>
      <c r="ZY16" s="3"/>
      <c r="ZZ16" s="3"/>
      <c r="AAA16" s="3"/>
      <c r="AAB16" s="3"/>
      <c r="AAC16" s="3"/>
      <c r="AAD16" s="3"/>
      <c r="AAE16" s="3"/>
      <c r="AAF16" s="3"/>
      <c r="AAG16" s="3"/>
      <c r="AAH16" s="3"/>
      <c r="AAI16" s="3"/>
      <c r="AAJ16" s="3"/>
      <c r="AAK16" s="3"/>
      <c r="AAL16" s="3"/>
      <c r="AAM16" s="3"/>
      <c r="AAN16" s="3"/>
      <c r="AAO16" s="3"/>
      <c r="AAP16" s="3"/>
      <c r="AAQ16" s="3"/>
      <c r="AAR16" s="3"/>
      <c r="AAS16" s="3"/>
      <c r="AAT16" s="3"/>
      <c r="AAU16" s="3"/>
      <c r="AAV16" s="3"/>
      <c r="AAW16" s="3"/>
      <c r="AAX16" s="3"/>
      <c r="AAY16" s="3"/>
      <c r="AAZ16" s="3"/>
      <c r="ABA16" s="3"/>
      <c r="ABB16" s="3"/>
      <c r="ABC16" s="3"/>
      <c r="ABD16" s="3"/>
      <c r="ABE16" s="3"/>
      <c r="ABF16" s="3"/>
      <c r="ABG16" s="3"/>
      <c r="ABH16" s="3"/>
      <c r="ABI16" s="3"/>
      <c r="ABJ16" s="3"/>
      <c r="ABK16" s="3"/>
      <c r="ABL16" s="3"/>
      <c r="ABM16" s="3"/>
      <c r="ABN16" s="3"/>
      <c r="ABO16" s="3"/>
      <c r="ABP16" s="3"/>
      <c r="ABQ16" s="3"/>
      <c r="ABR16" s="3"/>
      <c r="ABS16" s="3"/>
      <c r="ABT16" s="3"/>
      <c r="ABU16" s="3"/>
      <c r="ABV16" s="3"/>
      <c r="ABW16" s="3"/>
      <c r="ABX16" s="3"/>
      <c r="ABY16" s="3"/>
      <c r="ABZ16" s="3"/>
      <c r="ACA16" s="3"/>
      <c r="ACB16" s="3"/>
      <c r="ACC16" s="3"/>
      <c r="ACD16" s="3"/>
      <c r="ACE16" s="3"/>
      <c r="ACF16" s="3"/>
      <c r="ACG16" s="3"/>
      <c r="ACH16" s="3"/>
      <c r="ACI16" s="3"/>
      <c r="ACJ16" s="3"/>
      <c r="ACK16" s="3"/>
      <c r="ACL16" s="3"/>
      <c r="ACM16" s="3"/>
      <c r="ACN16" s="3"/>
      <c r="ACO16" s="3"/>
      <c r="ACP16" s="3"/>
      <c r="ACQ16" s="3"/>
      <c r="ACR16" s="3"/>
      <c r="ACS16" s="3"/>
      <c r="ACT16" s="3"/>
      <c r="ACU16" s="3"/>
      <c r="ACV16" s="3"/>
      <c r="ACW16" s="3"/>
      <c r="ACX16" s="3"/>
      <c r="ACY16" s="3"/>
      <c r="ACZ16" s="3"/>
    </row>
    <row r="17" spans="1:780" x14ac:dyDescent="0.2">
      <c r="A17" s="7"/>
      <c r="B17" s="7"/>
      <c r="C17" s="2"/>
      <c r="D17" s="2"/>
      <c r="E17" s="6"/>
      <c r="F17" s="6"/>
      <c r="G17" s="6"/>
      <c r="H17" s="6"/>
      <c r="I17" s="2"/>
      <c r="J17" s="4"/>
      <c r="K17" s="4"/>
      <c r="L17" s="2"/>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c r="HF17" s="3"/>
      <c r="HG17" s="3"/>
      <c r="HH17" s="3"/>
      <c r="HI17" s="3"/>
      <c r="HJ17" s="3"/>
      <c r="HK17" s="3"/>
      <c r="HL17" s="3"/>
      <c r="HM17" s="3"/>
      <c r="HN17" s="3"/>
      <c r="HO17" s="3"/>
      <c r="HP17" s="3"/>
      <c r="HQ17" s="3"/>
      <c r="HR17" s="3"/>
      <c r="HS17" s="3"/>
      <c r="HT17" s="3"/>
      <c r="HU17" s="3"/>
      <c r="HV17" s="3"/>
      <c r="HW17" s="3"/>
      <c r="HX17" s="3"/>
      <c r="HY17" s="3"/>
      <c r="HZ17" s="3"/>
      <c r="IA17" s="3"/>
      <c r="IB17" s="3"/>
      <c r="IC17" s="3"/>
      <c r="ID17" s="3"/>
      <c r="IE17" s="3"/>
      <c r="IF17" s="3"/>
      <c r="IG17" s="3"/>
      <c r="IH17" s="3"/>
      <c r="II17" s="3"/>
      <c r="IJ17" s="3"/>
      <c r="IK17" s="3"/>
      <c r="IL17" s="3"/>
      <c r="IM17" s="3"/>
      <c r="IN17" s="3"/>
      <c r="IO17" s="3"/>
      <c r="IP17" s="3"/>
      <c r="IQ17" s="3"/>
      <c r="IR17" s="3"/>
      <c r="IS17" s="3"/>
      <c r="IT17" s="3"/>
      <c r="IU17" s="3"/>
      <c r="IV17" s="3"/>
      <c r="IW17" s="3"/>
      <c r="IX17" s="3"/>
      <c r="IY17" s="3"/>
      <c r="IZ17" s="3"/>
      <c r="JA17" s="3"/>
      <c r="JB17" s="3"/>
      <c r="JC17" s="3"/>
      <c r="JD17" s="3"/>
      <c r="JE17" s="3"/>
      <c r="JF17" s="3"/>
      <c r="JG17" s="3"/>
      <c r="JH17" s="3"/>
      <c r="JI17" s="3"/>
      <c r="JJ17" s="3"/>
      <c r="JK17" s="3"/>
      <c r="JL17" s="3"/>
      <c r="JM17" s="3"/>
      <c r="JN17" s="3"/>
      <c r="JO17" s="3"/>
      <c r="JP17" s="3"/>
      <c r="JQ17" s="3"/>
      <c r="JR17" s="3"/>
      <c r="JS17" s="3"/>
      <c r="JT17" s="3"/>
      <c r="JU17" s="3"/>
      <c r="JV17" s="3"/>
      <c r="JW17" s="3"/>
      <c r="JX17" s="3"/>
      <c r="JY17" s="3"/>
      <c r="JZ17" s="3"/>
      <c r="KA17" s="3"/>
      <c r="KB17" s="3"/>
      <c r="KC17" s="3"/>
      <c r="KD17" s="3"/>
      <c r="KE17" s="3"/>
      <c r="KF17" s="3"/>
      <c r="KG17" s="3"/>
      <c r="KH17" s="3"/>
      <c r="KI17" s="3"/>
      <c r="KJ17" s="3"/>
      <c r="KK17" s="3"/>
      <c r="KL17" s="3"/>
      <c r="KM17" s="3"/>
      <c r="KN17" s="3"/>
      <c r="KO17" s="3"/>
      <c r="KP17" s="3"/>
      <c r="KQ17" s="3"/>
      <c r="KR17" s="3"/>
      <c r="KS17" s="3"/>
      <c r="KT17" s="3"/>
      <c r="KU17" s="3"/>
      <c r="KV17" s="3"/>
      <c r="KW17" s="3"/>
      <c r="KX17" s="3"/>
      <c r="KY17" s="3"/>
      <c r="KZ17" s="3"/>
      <c r="LA17" s="3"/>
      <c r="LB17" s="3"/>
      <c r="LC17" s="3"/>
      <c r="LD17" s="3"/>
      <c r="LE17" s="3"/>
      <c r="LF17" s="3"/>
      <c r="LG17" s="3"/>
      <c r="LH17" s="3"/>
      <c r="LI17" s="3"/>
      <c r="LJ17" s="3"/>
      <c r="LK17" s="3"/>
      <c r="LL17" s="3"/>
      <c r="LM17" s="3"/>
      <c r="LN17" s="3"/>
      <c r="LO17" s="3"/>
      <c r="LP17" s="3"/>
      <c r="LQ17" s="3"/>
      <c r="LR17" s="3"/>
      <c r="LS17" s="3"/>
      <c r="LT17" s="3"/>
      <c r="LU17" s="3"/>
      <c r="LV17" s="3"/>
      <c r="LW17" s="3"/>
      <c r="LX17" s="3"/>
      <c r="LY17" s="3"/>
      <c r="LZ17" s="3"/>
      <c r="MA17" s="3"/>
      <c r="MB17" s="3"/>
      <c r="MC17" s="3"/>
      <c r="MD17" s="3"/>
      <c r="ME17" s="3"/>
      <c r="MF17" s="3"/>
      <c r="MG17" s="3"/>
      <c r="MH17" s="3"/>
      <c r="MI17" s="3"/>
      <c r="MJ17" s="3"/>
      <c r="MK17" s="3"/>
      <c r="ML17" s="3"/>
      <c r="MM17" s="3"/>
      <c r="MN17" s="3"/>
      <c r="MO17" s="3"/>
      <c r="MP17" s="3"/>
      <c r="MQ17" s="3"/>
      <c r="MR17" s="3"/>
      <c r="MS17" s="3"/>
      <c r="MT17" s="3"/>
      <c r="MU17" s="3"/>
      <c r="MV17" s="3"/>
      <c r="MW17" s="3"/>
      <c r="MX17" s="3"/>
      <c r="MY17" s="3"/>
      <c r="MZ17" s="3"/>
      <c r="NA17" s="3"/>
      <c r="NB17" s="3"/>
      <c r="NC17" s="3"/>
      <c r="ND17" s="3"/>
      <c r="NE17" s="3"/>
      <c r="NF17" s="3"/>
      <c r="NG17" s="3"/>
      <c r="NH17" s="3"/>
      <c r="NI17" s="3"/>
      <c r="NJ17" s="3"/>
      <c r="NK17" s="3"/>
      <c r="NL17" s="3"/>
      <c r="NM17" s="3"/>
      <c r="NN17" s="3"/>
      <c r="NO17" s="3"/>
      <c r="NP17" s="3"/>
      <c r="NQ17" s="3"/>
      <c r="NR17" s="3"/>
      <c r="NS17" s="3"/>
      <c r="NT17" s="3"/>
      <c r="NU17" s="3"/>
      <c r="NV17" s="3"/>
      <c r="NW17" s="3"/>
      <c r="NX17" s="3"/>
      <c r="NY17" s="3"/>
      <c r="NZ17" s="3"/>
      <c r="OA17" s="3"/>
      <c r="OB17" s="3"/>
      <c r="OC17" s="3"/>
      <c r="OD17" s="3"/>
      <c r="OE17" s="3"/>
      <c r="OF17" s="3"/>
      <c r="OG17" s="3"/>
      <c r="OH17" s="3"/>
      <c r="OI17" s="3"/>
      <c r="OJ17" s="3"/>
      <c r="OK17" s="3"/>
      <c r="OL17" s="3"/>
      <c r="OM17" s="3"/>
      <c r="ON17" s="3"/>
      <c r="OO17" s="3"/>
      <c r="OP17" s="3"/>
      <c r="OQ17" s="3"/>
      <c r="OR17" s="3"/>
      <c r="OS17" s="3"/>
      <c r="OT17" s="3"/>
      <c r="OU17" s="3"/>
      <c r="OV17" s="3"/>
      <c r="OW17" s="3"/>
      <c r="OX17" s="3"/>
      <c r="OY17" s="3"/>
      <c r="OZ17" s="3"/>
      <c r="PA17" s="3"/>
      <c r="PB17" s="3"/>
      <c r="PC17" s="3"/>
      <c r="PD17" s="3"/>
      <c r="PE17" s="3"/>
      <c r="PF17" s="3"/>
      <c r="PG17" s="3"/>
      <c r="PH17" s="3"/>
      <c r="PI17" s="3"/>
      <c r="PJ17" s="3"/>
      <c r="PK17" s="3"/>
      <c r="PL17" s="3"/>
      <c r="PM17" s="3"/>
      <c r="PN17" s="3"/>
      <c r="PO17" s="3"/>
      <c r="PP17" s="3"/>
      <c r="PQ17" s="3"/>
      <c r="PR17" s="3"/>
      <c r="PS17" s="3"/>
      <c r="PT17" s="3"/>
      <c r="PU17" s="3"/>
      <c r="PV17" s="3"/>
      <c r="PW17" s="3"/>
      <c r="PX17" s="3"/>
      <c r="PY17" s="3"/>
      <c r="PZ17" s="3"/>
      <c r="QA17" s="3"/>
      <c r="QB17" s="3"/>
      <c r="QC17" s="3"/>
      <c r="QD17" s="3"/>
      <c r="QE17" s="3"/>
      <c r="QF17" s="3"/>
      <c r="QG17" s="3"/>
      <c r="QH17" s="3"/>
      <c r="QI17" s="3"/>
      <c r="QJ17" s="3"/>
      <c r="QK17" s="3"/>
      <c r="QL17" s="3"/>
      <c r="QM17" s="3"/>
      <c r="QN17" s="3"/>
      <c r="QO17" s="3"/>
      <c r="QP17" s="3"/>
      <c r="QQ17" s="3"/>
      <c r="QR17" s="3"/>
      <c r="QS17" s="3"/>
      <c r="QT17" s="3"/>
      <c r="QU17" s="3"/>
      <c r="QV17" s="3"/>
      <c r="QW17" s="3"/>
      <c r="QX17" s="3"/>
      <c r="QY17" s="3"/>
      <c r="QZ17" s="3"/>
      <c r="RA17" s="3"/>
      <c r="RB17" s="3"/>
      <c r="RC17" s="3"/>
      <c r="RD17" s="3"/>
      <c r="RE17" s="3"/>
      <c r="RF17" s="3"/>
      <c r="RG17" s="3"/>
      <c r="RH17" s="3"/>
      <c r="RI17" s="3"/>
      <c r="RJ17" s="3"/>
      <c r="RK17" s="3"/>
      <c r="RL17" s="3"/>
      <c r="RM17" s="3"/>
      <c r="RN17" s="3"/>
      <c r="RO17" s="3"/>
      <c r="RP17" s="3"/>
      <c r="RQ17" s="3"/>
      <c r="RR17" s="3"/>
      <c r="RS17" s="3"/>
      <c r="RT17" s="3"/>
      <c r="RU17" s="3"/>
      <c r="RV17" s="3"/>
      <c r="RW17" s="3"/>
      <c r="RX17" s="3"/>
      <c r="RY17" s="3"/>
      <c r="RZ17" s="3"/>
      <c r="SA17" s="3"/>
      <c r="SB17" s="3"/>
      <c r="SC17" s="3"/>
      <c r="SD17" s="3"/>
      <c r="SE17" s="3"/>
      <c r="SF17" s="3"/>
      <c r="SG17" s="3"/>
      <c r="SH17" s="3"/>
      <c r="SI17" s="3"/>
      <c r="SJ17" s="3"/>
      <c r="SK17" s="3"/>
      <c r="SL17" s="3"/>
      <c r="SM17" s="3"/>
      <c r="SN17" s="3"/>
      <c r="SO17" s="3"/>
      <c r="SP17" s="3"/>
      <c r="SQ17" s="3"/>
      <c r="SR17" s="3"/>
      <c r="SS17" s="3"/>
      <c r="ST17" s="3"/>
      <c r="SU17" s="3"/>
      <c r="SV17" s="3"/>
      <c r="SW17" s="3"/>
      <c r="SX17" s="3"/>
      <c r="SY17" s="3"/>
      <c r="SZ17" s="3"/>
      <c r="TA17" s="3"/>
      <c r="TB17" s="3"/>
      <c r="TC17" s="3"/>
      <c r="TD17" s="3"/>
      <c r="TE17" s="3"/>
      <c r="TF17" s="3"/>
      <c r="TG17" s="3"/>
      <c r="TH17" s="3"/>
      <c r="TI17" s="3"/>
      <c r="TJ17" s="3"/>
      <c r="TK17" s="3"/>
      <c r="TL17" s="3"/>
      <c r="TM17" s="3"/>
      <c r="TN17" s="3"/>
      <c r="TO17" s="3"/>
      <c r="TP17" s="3"/>
      <c r="TQ17" s="3"/>
      <c r="TR17" s="3"/>
      <c r="TS17" s="3"/>
      <c r="TT17" s="3"/>
      <c r="TU17" s="3"/>
      <c r="TV17" s="3"/>
      <c r="TW17" s="3"/>
      <c r="TX17" s="3"/>
      <c r="TY17" s="3"/>
      <c r="TZ17" s="3"/>
      <c r="UA17" s="3"/>
      <c r="UB17" s="3"/>
      <c r="UC17" s="3"/>
      <c r="UD17" s="3"/>
      <c r="UE17" s="3"/>
      <c r="UF17" s="3"/>
      <c r="UG17" s="3"/>
      <c r="UH17" s="3"/>
      <c r="UI17" s="3"/>
      <c r="UJ17" s="3"/>
      <c r="UK17" s="3"/>
      <c r="UL17" s="3"/>
      <c r="UM17" s="3"/>
      <c r="UN17" s="3"/>
      <c r="UO17" s="3"/>
      <c r="UP17" s="3"/>
      <c r="UQ17" s="3"/>
      <c r="UR17" s="3"/>
      <c r="US17" s="3"/>
      <c r="UT17" s="3"/>
      <c r="UU17" s="3"/>
      <c r="UV17" s="3"/>
      <c r="UW17" s="3"/>
      <c r="UX17" s="3"/>
      <c r="UY17" s="3"/>
      <c r="UZ17" s="3"/>
      <c r="VA17" s="3"/>
      <c r="VB17" s="3"/>
      <c r="VC17" s="3"/>
      <c r="VD17" s="3"/>
      <c r="VE17" s="3"/>
      <c r="VF17" s="3"/>
      <c r="VG17" s="3"/>
      <c r="VH17" s="3"/>
      <c r="VI17" s="3"/>
      <c r="VJ17" s="3"/>
      <c r="VK17" s="3"/>
      <c r="VL17" s="3"/>
      <c r="VM17" s="3"/>
      <c r="VN17" s="3"/>
      <c r="VO17" s="3"/>
      <c r="VP17" s="3"/>
      <c r="VQ17" s="3"/>
      <c r="VR17" s="3"/>
      <c r="VS17" s="3"/>
      <c r="VT17" s="3"/>
      <c r="VU17" s="3"/>
      <c r="VV17" s="3"/>
      <c r="VW17" s="3"/>
      <c r="VX17" s="3"/>
      <c r="VY17" s="3"/>
      <c r="VZ17" s="3"/>
      <c r="WA17" s="3"/>
      <c r="WB17" s="3"/>
      <c r="WC17" s="3"/>
      <c r="WD17" s="3"/>
      <c r="WE17" s="3"/>
      <c r="WF17" s="3"/>
      <c r="WG17" s="3"/>
      <c r="WH17" s="3"/>
      <c r="WI17" s="3"/>
      <c r="WJ17" s="3"/>
      <c r="WK17" s="3"/>
      <c r="WL17" s="3"/>
      <c r="WM17" s="3"/>
      <c r="WN17" s="3"/>
      <c r="WO17" s="3"/>
      <c r="WP17" s="3"/>
      <c r="WQ17" s="3"/>
      <c r="WR17" s="3"/>
      <c r="WS17" s="3"/>
      <c r="WT17" s="3"/>
      <c r="WU17" s="3"/>
      <c r="WV17" s="3"/>
      <c r="WW17" s="3"/>
      <c r="WX17" s="3"/>
      <c r="WY17" s="3"/>
      <c r="WZ17" s="3"/>
      <c r="XA17" s="3"/>
      <c r="XB17" s="3"/>
      <c r="XC17" s="3"/>
      <c r="XD17" s="3"/>
      <c r="XE17" s="3"/>
      <c r="XF17" s="3"/>
      <c r="XG17" s="3"/>
      <c r="XH17" s="3"/>
      <c r="XI17" s="3"/>
      <c r="XJ17" s="3"/>
      <c r="XK17" s="3"/>
      <c r="XL17" s="3"/>
      <c r="XM17" s="3"/>
      <c r="XN17" s="3"/>
      <c r="XO17" s="3"/>
      <c r="XP17" s="3"/>
      <c r="XQ17" s="3"/>
      <c r="XR17" s="3"/>
      <c r="XS17" s="3"/>
      <c r="XT17" s="3"/>
      <c r="XU17" s="3"/>
      <c r="XV17" s="3"/>
      <c r="XW17" s="3"/>
      <c r="XX17" s="3"/>
      <c r="XY17" s="3"/>
      <c r="XZ17" s="3"/>
      <c r="YA17" s="3"/>
      <c r="YB17" s="3"/>
      <c r="YC17" s="3"/>
      <c r="YD17" s="3"/>
      <c r="YE17" s="3"/>
      <c r="YF17" s="3"/>
      <c r="YG17" s="3"/>
      <c r="YH17" s="3"/>
      <c r="YI17" s="3"/>
      <c r="YJ17" s="3"/>
      <c r="YK17" s="3"/>
      <c r="YL17" s="3"/>
      <c r="YM17" s="3"/>
      <c r="YN17" s="3"/>
      <c r="YO17" s="3"/>
      <c r="YP17" s="3"/>
      <c r="YQ17" s="3"/>
      <c r="YR17" s="3"/>
      <c r="YS17" s="3"/>
      <c r="YT17" s="3"/>
      <c r="YU17" s="3"/>
      <c r="YV17" s="3"/>
      <c r="YW17" s="3"/>
      <c r="YX17" s="3"/>
      <c r="YY17" s="3"/>
      <c r="YZ17" s="3"/>
      <c r="ZA17" s="3"/>
      <c r="ZB17" s="3"/>
      <c r="ZC17" s="3"/>
      <c r="ZD17" s="3"/>
      <c r="ZE17" s="3"/>
      <c r="ZF17" s="3"/>
      <c r="ZG17" s="3"/>
      <c r="ZH17" s="3"/>
      <c r="ZI17" s="3"/>
      <c r="ZJ17" s="3"/>
      <c r="ZK17" s="3"/>
      <c r="ZL17" s="3"/>
      <c r="ZM17" s="3"/>
      <c r="ZN17" s="3"/>
      <c r="ZO17" s="3"/>
      <c r="ZP17" s="3"/>
      <c r="ZQ17" s="3"/>
      <c r="ZR17" s="3"/>
      <c r="ZS17" s="3"/>
      <c r="ZT17" s="3"/>
      <c r="ZU17" s="3"/>
      <c r="ZV17" s="3"/>
      <c r="ZW17" s="3"/>
      <c r="ZX17" s="3"/>
      <c r="ZY17" s="3"/>
      <c r="ZZ17" s="3"/>
      <c r="AAA17" s="3"/>
      <c r="AAB17" s="3"/>
      <c r="AAC17" s="3"/>
      <c r="AAD17" s="3"/>
      <c r="AAE17" s="3"/>
      <c r="AAF17" s="3"/>
      <c r="AAG17" s="3"/>
      <c r="AAH17" s="3"/>
      <c r="AAI17" s="3"/>
      <c r="AAJ17" s="3"/>
      <c r="AAK17" s="3"/>
      <c r="AAL17" s="3"/>
      <c r="AAM17" s="3"/>
      <c r="AAN17" s="3"/>
      <c r="AAO17" s="3"/>
      <c r="AAP17" s="3"/>
      <c r="AAQ17" s="3"/>
      <c r="AAR17" s="3"/>
      <c r="AAS17" s="3"/>
      <c r="AAT17" s="3"/>
      <c r="AAU17" s="3"/>
      <c r="AAV17" s="3"/>
      <c r="AAW17" s="3"/>
      <c r="AAX17" s="3"/>
      <c r="AAY17" s="3"/>
      <c r="AAZ17" s="3"/>
      <c r="ABA17" s="3"/>
      <c r="ABB17" s="3"/>
      <c r="ABC17" s="3"/>
      <c r="ABD17" s="3"/>
      <c r="ABE17" s="3"/>
      <c r="ABF17" s="3"/>
      <c r="ABG17" s="3"/>
      <c r="ABH17" s="3"/>
      <c r="ABI17" s="3"/>
      <c r="ABJ17" s="3"/>
      <c r="ABK17" s="3"/>
      <c r="ABL17" s="3"/>
      <c r="ABM17" s="3"/>
      <c r="ABN17" s="3"/>
      <c r="ABO17" s="3"/>
      <c r="ABP17" s="3"/>
      <c r="ABQ17" s="3"/>
      <c r="ABR17" s="3"/>
      <c r="ABS17" s="3"/>
      <c r="ABT17" s="3"/>
      <c r="ABU17" s="3"/>
      <c r="ABV17" s="3"/>
      <c r="ABW17" s="3"/>
      <c r="ABX17" s="3"/>
      <c r="ABY17" s="3"/>
      <c r="ABZ17" s="3"/>
      <c r="ACA17" s="3"/>
      <c r="ACB17" s="3"/>
      <c r="ACC17" s="3"/>
      <c r="ACD17" s="3"/>
      <c r="ACE17" s="3"/>
      <c r="ACF17" s="3"/>
      <c r="ACG17" s="3"/>
      <c r="ACH17" s="3"/>
      <c r="ACI17" s="3"/>
      <c r="ACJ17" s="3"/>
      <c r="ACK17" s="3"/>
      <c r="ACL17" s="3"/>
      <c r="ACM17" s="3"/>
      <c r="ACN17" s="3"/>
      <c r="ACO17" s="3"/>
      <c r="ACP17" s="3"/>
      <c r="ACQ17" s="3"/>
      <c r="ACR17" s="3"/>
      <c r="ACS17" s="3"/>
      <c r="ACT17" s="3"/>
      <c r="ACU17" s="3"/>
      <c r="ACV17" s="3"/>
      <c r="ACW17" s="3"/>
      <c r="ACX17" s="3"/>
      <c r="ACY17" s="3"/>
      <c r="ACZ17" s="3"/>
    </row>
    <row r="18" spans="1:780" x14ac:dyDescent="0.2">
      <c r="A18" s="7"/>
      <c r="B18" s="7"/>
      <c r="C18" s="2"/>
      <c r="D18" s="2"/>
      <c r="E18" s="6"/>
      <c r="F18" s="6"/>
      <c r="G18" s="6"/>
      <c r="H18" s="6"/>
      <c r="I18" s="2"/>
      <c r="J18" s="4"/>
      <c r="K18" s="4"/>
      <c r="L18" s="2"/>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c r="HF18" s="3"/>
      <c r="HG18" s="3"/>
      <c r="HH18" s="3"/>
      <c r="HI18" s="3"/>
      <c r="HJ18" s="3"/>
      <c r="HK18" s="3"/>
      <c r="HL18" s="3"/>
      <c r="HM18" s="3"/>
      <c r="HN18" s="3"/>
      <c r="HO18" s="3"/>
      <c r="HP18" s="3"/>
      <c r="HQ18" s="3"/>
      <c r="HR18" s="3"/>
      <c r="HS18" s="3"/>
      <c r="HT18" s="3"/>
      <c r="HU18" s="3"/>
      <c r="HV18" s="3"/>
      <c r="HW18" s="3"/>
      <c r="HX18" s="3"/>
      <c r="HY18" s="3"/>
      <c r="HZ18" s="3"/>
      <c r="IA18" s="3"/>
      <c r="IB18" s="3"/>
      <c r="IC18" s="3"/>
      <c r="ID18" s="3"/>
      <c r="IE18" s="3"/>
      <c r="IF18" s="3"/>
      <c r="IG18" s="3"/>
      <c r="IH18" s="3"/>
      <c r="II18" s="3"/>
      <c r="IJ18" s="3"/>
      <c r="IK18" s="3"/>
      <c r="IL18" s="3"/>
      <c r="IM18" s="3"/>
      <c r="IN18" s="3"/>
      <c r="IO18" s="3"/>
      <c r="IP18" s="3"/>
      <c r="IQ18" s="3"/>
      <c r="IR18" s="3"/>
      <c r="IS18" s="3"/>
      <c r="IT18" s="3"/>
      <c r="IU18" s="3"/>
      <c r="IV18" s="3"/>
      <c r="IW18" s="3"/>
      <c r="IX18" s="3"/>
      <c r="IY18" s="3"/>
      <c r="IZ18" s="3"/>
      <c r="JA18" s="3"/>
      <c r="JB18" s="3"/>
      <c r="JC18" s="3"/>
      <c r="JD18" s="3"/>
      <c r="JE18" s="3"/>
      <c r="JF18" s="3"/>
      <c r="JG18" s="3"/>
      <c r="JH18" s="3"/>
      <c r="JI18" s="3"/>
      <c r="JJ18" s="3"/>
      <c r="JK18" s="3"/>
      <c r="JL18" s="3"/>
      <c r="JM18" s="3"/>
      <c r="JN18" s="3"/>
      <c r="JO18" s="3"/>
      <c r="JP18" s="3"/>
      <c r="JQ18" s="3"/>
      <c r="JR18" s="3"/>
      <c r="JS18" s="3"/>
      <c r="JT18" s="3"/>
      <c r="JU18" s="3"/>
      <c r="JV18" s="3"/>
      <c r="JW18" s="3"/>
      <c r="JX18" s="3"/>
      <c r="JY18" s="3"/>
      <c r="JZ18" s="3"/>
      <c r="KA18" s="3"/>
      <c r="KB18" s="3"/>
      <c r="KC18" s="3"/>
      <c r="KD18" s="3"/>
      <c r="KE18" s="3"/>
      <c r="KF18" s="3"/>
      <c r="KG18" s="3"/>
      <c r="KH18" s="3"/>
      <c r="KI18" s="3"/>
      <c r="KJ18" s="3"/>
      <c r="KK18" s="3"/>
      <c r="KL18" s="3"/>
      <c r="KM18" s="3"/>
      <c r="KN18" s="3"/>
      <c r="KO18" s="3"/>
      <c r="KP18" s="3"/>
      <c r="KQ18" s="3"/>
      <c r="KR18" s="3"/>
      <c r="KS18" s="3"/>
      <c r="KT18" s="3"/>
      <c r="KU18" s="3"/>
      <c r="KV18" s="3"/>
      <c r="KW18" s="3"/>
      <c r="KX18" s="3"/>
      <c r="KY18" s="3"/>
      <c r="KZ18" s="3"/>
      <c r="LA18" s="3"/>
      <c r="LB18" s="3"/>
      <c r="LC18" s="3"/>
      <c r="LD18" s="3"/>
      <c r="LE18" s="3"/>
      <c r="LF18" s="3"/>
      <c r="LG18" s="3"/>
      <c r="LH18" s="3"/>
      <c r="LI18" s="3"/>
      <c r="LJ18" s="3"/>
      <c r="LK18" s="3"/>
      <c r="LL18" s="3"/>
      <c r="LM18" s="3"/>
      <c r="LN18" s="3"/>
      <c r="LO18" s="3"/>
      <c r="LP18" s="3"/>
      <c r="LQ18" s="3"/>
      <c r="LR18" s="3"/>
      <c r="LS18" s="3"/>
      <c r="LT18" s="3"/>
      <c r="LU18" s="3"/>
      <c r="LV18" s="3"/>
      <c r="LW18" s="3"/>
      <c r="LX18" s="3"/>
      <c r="LY18" s="3"/>
      <c r="LZ18" s="3"/>
      <c r="MA18" s="3"/>
      <c r="MB18" s="3"/>
      <c r="MC18" s="3"/>
      <c r="MD18" s="3"/>
      <c r="ME18" s="3"/>
      <c r="MF18" s="3"/>
      <c r="MG18" s="3"/>
      <c r="MH18" s="3"/>
      <c r="MI18" s="3"/>
      <c r="MJ18" s="3"/>
      <c r="MK18" s="3"/>
      <c r="ML18" s="3"/>
      <c r="MM18" s="3"/>
      <c r="MN18" s="3"/>
      <c r="MO18" s="3"/>
      <c r="MP18" s="3"/>
      <c r="MQ18" s="3"/>
      <c r="MR18" s="3"/>
      <c r="MS18" s="3"/>
      <c r="MT18" s="3"/>
      <c r="MU18" s="3"/>
      <c r="MV18" s="3"/>
      <c r="MW18" s="3"/>
      <c r="MX18" s="3"/>
      <c r="MY18" s="3"/>
      <c r="MZ18" s="3"/>
      <c r="NA18" s="3"/>
      <c r="NB18" s="3"/>
      <c r="NC18" s="3"/>
      <c r="ND18" s="3"/>
      <c r="NE18" s="3"/>
      <c r="NF18" s="3"/>
      <c r="NG18" s="3"/>
      <c r="NH18" s="3"/>
      <c r="NI18" s="3"/>
      <c r="NJ18" s="3"/>
      <c r="NK18" s="3"/>
      <c r="NL18" s="3"/>
      <c r="NM18" s="3"/>
      <c r="NN18" s="3"/>
      <c r="NO18" s="3"/>
      <c r="NP18" s="3"/>
      <c r="NQ18" s="3"/>
      <c r="NR18" s="3"/>
      <c r="NS18" s="3"/>
      <c r="NT18" s="3"/>
      <c r="NU18" s="3"/>
      <c r="NV18" s="3"/>
      <c r="NW18" s="3"/>
      <c r="NX18" s="3"/>
      <c r="NY18" s="3"/>
      <c r="NZ18" s="3"/>
      <c r="OA18" s="3"/>
      <c r="OB18" s="3"/>
      <c r="OC18" s="3"/>
      <c r="OD18" s="3"/>
      <c r="OE18" s="3"/>
      <c r="OF18" s="3"/>
      <c r="OG18" s="3"/>
      <c r="OH18" s="3"/>
      <c r="OI18" s="3"/>
      <c r="OJ18" s="3"/>
      <c r="OK18" s="3"/>
      <c r="OL18" s="3"/>
      <c r="OM18" s="3"/>
      <c r="ON18" s="3"/>
      <c r="OO18" s="3"/>
      <c r="OP18" s="3"/>
      <c r="OQ18" s="3"/>
      <c r="OR18" s="3"/>
      <c r="OS18" s="3"/>
      <c r="OT18" s="3"/>
      <c r="OU18" s="3"/>
      <c r="OV18" s="3"/>
      <c r="OW18" s="3"/>
      <c r="OX18" s="3"/>
      <c r="OY18" s="3"/>
      <c r="OZ18" s="3"/>
      <c r="PA18" s="3"/>
      <c r="PB18" s="3"/>
      <c r="PC18" s="3"/>
      <c r="PD18" s="3"/>
      <c r="PE18" s="3"/>
      <c r="PF18" s="3"/>
      <c r="PG18" s="3"/>
      <c r="PH18" s="3"/>
      <c r="PI18" s="3"/>
      <c r="PJ18" s="3"/>
      <c r="PK18" s="3"/>
      <c r="PL18" s="3"/>
      <c r="PM18" s="3"/>
      <c r="PN18" s="3"/>
      <c r="PO18" s="3"/>
      <c r="PP18" s="3"/>
      <c r="PQ18" s="3"/>
      <c r="PR18" s="3"/>
      <c r="PS18" s="3"/>
      <c r="PT18" s="3"/>
      <c r="PU18" s="3"/>
      <c r="PV18" s="3"/>
      <c r="PW18" s="3"/>
      <c r="PX18" s="3"/>
      <c r="PY18" s="3"/>
      <c r="PZ18" s="3"/>
      <c r="QA18" s="3"/>
      <c r="QB18" s="3"/>
      <c r="QC18" s="3"/>
      <c r="QD18" s="3"/>
      <c r="QE18" s="3"/>
      <c r="QF18" s="3"/>
      <c r="QG18" s="3"/>
      <c r="QH18" s="3"/>
      <c r="QI18" s="3"/>
      <c r="QJ18" s="3"/>
      <c r="QK18" s="3"/>
      <c r="QL18" s="3"/>
      <c r="QM18" s="3"/>
      <c r="QN18" s="3"/>
      <c r="QO18" s="3"/>
      <c r="QP18" s="3"/>
      <c r="QQ18" s="3"/>
      <c r="QR18" s="3"/>
      <c r="QS18" s="3"/>
      <c r="QT18" s="3"/>
      <c r="QU18" s="3"/>
      <c r="QV18" s="3"/>
      <c r="QW18" s="3"/>
      <c r="QX18" s="3"/>
      <c r="QY18" s="3"/>
      <c r="QZ18" s="3"/>
      <c r="RA18" s="3"/>
      <c r="RB18" s="3"/>
      <c r="RC18" s="3"/>
      <c r="RD18" s="3"/>
      <c r="RE18" s="3"/>
      <c r="RF18" s="3"/>
      <c r="RG18" s="3"/>
      <c r="RH18" s="3"/>
      <c r="RI18" s="3"/>
      <c r="RJ18" s="3"/>
      <c r="RK18" s="3"/>
      <c r="RL18" s="3"/>
      <c r="RM18" s="3"/>
      <c r="RN18" s="3"/>
      <c r="RO18" s="3"/>
      <c r="RP18" s="3"/>
      <c r="RQ18" s="3"/>
      <c r="RR18" s="3"/>
      <c r="RS18" s="3"/>
      <c r="RT18" s="3"/>
      <c r="RU18" s="3"/>
      <c r="RV18" s="3"/>
      <c r="RW18" s="3"/>
      <c r="RX18" s="3"/>
      <c r="RY18" s="3"/>
      <c r="RZ18" s="3"/>
      <c r="SA18" s="3"/>
      <c r="SB18" s="3"/>
      <c r="SC18" s="3"/>
      <c r="SD18" s="3"/>
      <c r="SE18" s="3"/>
      <c r="SF18" s="3"/>
      <c r="SG18" s="3"/>
      <c r="SH18" s="3"/>
      <c r="SI18" s="3"/>
      <c r="SJ18" s="3"/>
      <c r="SK18" s="3"/>
      <c r="SL18" s="3"/>
      <c r="SM18" s="3"/>
      <c r="SN18" s="3"/>
      <c r="SO18" s="3"/>
      <c r="SP18" s="3"/>
      <c r="SQ18" s="3"/>
      <c r="SR18" s="3"/>
      <c r="SS18" s="3"/>
      <c r="ST18" s="3"/>
      <c r="SU18" s="3"/>
      <c r="SV18" s="3"/>
      <c r="SW18" s="3"/>
      <c r="SX18" s="3"/>
      <c r="SY18" s="3"/>
      <c r="SZ18" s="3"/>
      <c r="TA18" s="3"/>
      <c r="TB18" s="3"/>
      <c r="TC18" s="3"/>
      <c r="TD18" s="3"/>
      <c r="TE18" s="3"/>
      <c r="TF18" s="3"/>
      <c r="TG18" s="3"/>
      <c r="TH18" s="3"/>
      <c r="TI18" s="3"/>
      <c r="TJ18" s="3"/>
      <c r="TK18" s="3"/>
      <c r="TL18" s="3"/>
      <c r="TM18" s="3"/>
      <c r="TN18" s="3"/>
      <c r="TO18" s="3"/>
      <c r="TP18" s="3"/>
      <c r="TQ18" s="3"/>
      <c r="TR18" s="3"/>
      <c r="TS18" s="3"/>
      <c r="TT18" s="3"/>
      <c r="TU18" s="3"/>
      <c r="TV18" s="3"/>
      <c r="TW18" s="3"/>
      <c r="TX18" s="3"/>
      <c r="TY18" s="3"/>
      <c r="TZ18" s="3"/>
      <c r="UA18" s="3"/>
      <c r="UB18" s="3"/>
      <c r="UC18" s="3"/>
      <c r="UD18" s="3"/>
      <c r="UE18" s="3"/>
      <c r="UF18" s="3"/>
      <c r="UG18" s="3"/>
      <c r="UH18" s="3"/>
      <c r="UI18" s="3"/>
      <c r="UJ18" s="3"/>
      <c r="UK18" s="3"/>
      <c r="UL18" s="3"/>
      <c r="UM18" s="3"/>
      <c r="UN18" s="3"/>
      <c r="UO18" s="3"/>
      <c r="UP18" s="3"/>
      <c r="UQ18" s="3"/>
      <c r="UR18" s="3"/>
      <c r="US18" s="3"/>
      <c r="UT18" s="3"/>
      <c r="UU18" s="3"/>
      <c r="UV18" s="3"/>
      <c r="UW18" s="3"/>
      <c r="UX18" s="3"/>
      <c r="UY18" s="3"/>
      <c r="UZ18" s="3"/>
      <c r="VA18" s="3"/>
      <c r="VB18" s="3"/>
      <c r="VC18" s="3"/>
      <c r="VD18" s="3"/>
      <c r="VE18" s="3"/>
      <c r="VF18" s="3"/>
      <c r="VG18" s="3"/>
      <c r="VH18" s="3"/>
      <c r="VI18" s="3"/>
      <c r="VJ18" s="3"/>
      <c r="VK18" s="3"/>
      <c r="VL18" s="3"/>
      <c r="VM18" s="3"/>
      <c r="VN18" s="3"/>
      <c r="VO18" s="3"/>
      <c r="VP18" s="3"/>
      <c r="VQ18" s="3"/>
      <c r="VR18" s="3"/>
      <c r="VS18" s="3"/>
      <c r="VT18" s="3"/>
      <c r="VU18" s="3"/>
      <c r="VV18" s="3"/>
      <c r="VW18" s="3"/>
      <c r="VX18" s="3"/>
      <c r="VY18" s="3"/>
      <c r="VZ18" s="3"/>
      <c r="WA18" s="3"/>
      <c r="WB18" s="3"/>
      <c r="WC18" s="3"/>
      <c r="WD18" s="3"/>
      <c r="WE18" s="3"/>
      <c r="WF18" s="3"/>
      <c r="WG18" s="3"/>
      <c r="WH18" s="3"/>
      <c r="WI18" s="3"/>
      <c r="WJ18" s="3"/>
      <c r="WK18" s="3"/>
      <c r="WL18" s="3"/>
      <c r="WM18" s="3"/>
      <c r="WN18" s="3"/>
      <c r="WO18" s="3"/>
      <c r="WP18" s="3"/>
      <c r="WQ18" s="3"/>
      <c r="WR18" s="3"/>
      <c r="WS18" s="3"/>
      <c r="WT18" s="3"/>
      <c r="WU18" s="3"/>
      <c r="WV18" s="3"/>
      <c r="WW18" s="3"/>
      <c r="WX18" s="3"/>
      <c r="WY18" s="3"/>
      <c r="WZ18" s="3"/>
      <c r="XA18" s="3"/>
      <c r="XB18" s="3"/>
      <c r="XC18" s="3"/>
      <c r="XD18" s="3"/>
      <c r="XE18" s="3"/>
      <c r="XF18" s="3"/>
      <c r="XG18" s="3"/>
      <c r="XH18" s="3"/>
      <c r="XI18" s="3"/>
      <c r="XJ18" s="3"/>
      <c r="XK18" s="3"/>
      <c r="XL18" s="3"/>
      <c r="XM18" s="3"/>
      <c r="XN18" s="3"/>
      <c r="XO18" s="3"/>
      <c r="XP18" s="3"/>
      <c r="XQ18" s="3"/>
      <c r="XR18" s="3"/>
      <c r="XS18" s="3"/>
      <c r="XT18" s="3"/>
      <c r="XU18" s="3"/>
      <c r="XV18" s="3"/>
      <c r="XW18" s="3"/>
      <c r="XX18" s="3"/>
      <c r="XY18" s="3"/>
      <c r="XZ18" s="3"/>
      <c r="YA18" s="3"/>
      <c r="YB18" s="3"/>
      <c r="YC18" s="3"/>
      <c r="YD18" s="3"/>
      <c r="YE18" s="3"/>
      <c r="YF18" s="3"/>
      <c r="YG18" s="3"/>
      <c r="YH18" s="3"/>
      <c r="YI18" s="3"/>
      <c r="YJ18" s="3"/>
      <c r="YK18" s="3"/>
      <c r="YL18" s="3"/>
      <c r="YM18" s="3"/>
      <c r="YN18" s="3"/>
      <c r="YO18" s="3"/>
      <c r="YP18" s="3"/>
      <c r="YQ18" s="3"/>
      <c r="YR18" s="3"/>
      <c r="YS18" s="3"/>
      <c r="YT18" s="3"/>
      <c r="YU18" s="3"/>
      <c r="YV18" s="3"/>
      <c r="YW18" s="3"/>
      <c r="YX18" s="3"/>
      <c r="YY18" s="3"/>
      <c r="YZ18" s="3"/>
      <c r="ZA18" s="3"/>
      <c r="ZB18" s="3"/>
      <c r="ZC18" s="3"/>
      <c r="ZD18" s="3"/>
      <c r="ZE18" s="3"/>
      <c r="ZF18" s="3"/>
      <c r="ZG18" s="3"/>
      <c r="ZH18" s="3"/>
      <c r="ZI18" s="3"/>
      <c r="ZJ18" s="3"/>
      <c r="ZK18" s="3"/>
      <c r="ZL18" s="3"/>
      <c r="ZM18" s="3"/>
      <c r="ZN18" s="3"/>
      <c r="ZO18" s="3"/>
      <c r="ZP18" s="3"/>
      <c r="ZQ18" s="3"/>
      <c r="ZR18" s="3"/>
      <c r="ZS18" s="3"/>
      <c r="ZT18" s="3"/>
      <c r="ZU18" s="3"/>
      <c r="ZV18" s="3"/>
      <c r="ZW18" s="3"/>
      <c r="ZX18" s="3"/>
      <c r="ZY18" s="3"/>
      <c r="ZZ18" s="3"/>
      <c r="AAA18" s="3"/>
      <c r="AAB18" s="3"/>
      <c r="AAC18" s="3"/>
      <c r="AAD18" s="3"/>
      <c r="AAE18" s="3"/>
      <c r="AAF18" s="3"/>
      <c r="AAG18" s="3"/>
      <c r="AAH18" s="3"/>
      <c r="AAI18" s="3"/>
      <c r="AAJ18" s="3"/>
      <c r="AAK18" s="3"/>
      <c r="AAL18" s="3"/>
      <c r="AAM18" s="3"/>
      <c r="AAN18" s="3"/>
      <c r="AAO18" s="3"/>
      <c r="AAP18" s="3"/>
      <c r="AAQ18" s="3"/>
      <c r="AAR18" s="3"/>
      <c r="AAS18" s="3"/>
      <c r="AAT18" s="3"/>
      <c r="AAU18" s="3"/>
      <c r="AAV18" s="3"/>
      <c r="AAW18" s="3"/>
      <c r="AAX18" s="3"/>
      <c r="AAY18" s="3"/>
      <c r="AAZ18" s="3"/>
      <c r="ABA18" s="3"/>
      <c r="ABB18" s="3"/>
      <c r="ABC18" s="3"/>
      <c r="ABD18" s="3"/>
      <c r="ABE18" s="3"/>
      <c r="ABF18" s="3"/>
      <c r="ABG18" s="3"/>
      <c r="ABH18" s="3"/>
      <c r="ABI18" s="3"/>
      <c r="ABJ18" s="3"/>
      <c r="ABK18" s="3"/>
      <c r="ABL18" s="3"/>
      <c r="ABM18" s="3"/>
      <c r="ABN18" s="3"/>
      <c r="ABO18" s="3"/>
      <c r="ABP18" s="3"/>
      <c r="ABQ18" s="3"/>
      <c r="ABR18" s="3"/>
      <c r="ABS18" s="3"/>
      <c r="ABT18" s="3"/>
      <c r="ABU18" s="3"/>
      <c r="ABV18" s="3"/>
      <c r="ABW18" s="3"/>
      <c r="ABX18" s="3"/>
      <c r="ABY18" s="3"/>
      <c r="ABZ18" s="3"/>
      <c r="ACA18" s="3"/>
      <c r="ACB18" s="3"/>
      <c r="ACC18" s="3"/>
      <c r="ACD18" s="3"/>
      <c r="ACE18" s="3"/>
      <c r="ACF18" s="3"/>
      <c r="ACG18" s="3"/>
      <c r="ACH18" s="3"/>
      <c r="ACI18" s="3"/>
      <c r="ACJ18" s="3"/>
      <c r="ACK18" s="3"/>
      <c r="ACL18" s="3"/>
      <c r="ACM18" s="3"/>
      <c r="ACN18" s="3"/>
      <c r="ACO18" s="3"/>
      <c r="ACP18" s="3"/>
      <c r="ACQ18" s="3"/>
      <c r="ACR18" s="3"/>
      <c r="ACS18" s="3"/>
      <c r="ACT18" s="3"/>
      <c r="ACU18" s="3"/>
      <c r="ACV18" s="3"/>
      <c r="ACW18" s="3"/>
      <c r="ACX18" s="3"/>
      <c r="ACY18" s="3"/>
      <c r="ACZ18" s="3"/>
    </row>
    <row r="19" spans="1:780" x14ac:dyDescent="0.2">
      <c r="A19" s="7"/>
      <c r="B19" s="7"/>
      <c r="C19" s="2"/>
      <c r="D19" s="2"/>
      <c r="E19" s="6"/>
      <c r="F19" s="6"/>
      <c r="G19" s="6"/>
      <c r="H19" s="6"/>
      <c r="I19" s="2"/>
      <c r="J19" s="4"/>
      <c r="K19" s="4"/>
      <c r="L19" s="2"/>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c r="HF19" s="3"/>
      <c r="HG19" s="3"/>
      <c r="HH19" s="3"/>
      <c r="HI19" s="3"/>
      <c r="HJ19" s="3"/>
      <c r="HK19" s="3"/>
      <c r="HL19" s="3"/>
      <c r="HM19" s="3"/>
      <c r="HN19" s="3"/>
      <c r="HO19" s="3"/>
      <c r="HP19" s="3"/>
      <c r="HQ19" s="3"/>
      <c r="HR19" s="3"/>
      <c r="HS19" s="3"/>
      <c r="HT19" s="3"/>
      <c r="HU19" s="3"/>
      <c r="HV19" s="3"/>
      <c r="HW19" s="3"/>
      <c r="HX19" s="3"/>
      <c r="HY19" s="3"/>
      <c r="HZ19" s="3"/>
      <c r="IA19" s="3"/>
      <c r="IB19" s="3"/>
      <c r="IC19" s="3"/>
      <c r="ID19" s="3"/>
      <c r="IE19" s="3"/>
      <c r="IF19" s="3"/>
      <c r="IG19" s="3"/>
      <c r="IH19" s="3"/>
      <c r="II19" s="3"/>
      <c r="IJ19" s="3"/>
      <c r="IK19" s="3"/>
      <c r="IL19" s="3"/>
      <c r="IM19" s="3"/>
      <c r="IN19" s="3"/>
      <c r="IO19" s="3"/>
      <c r="IP19" s="3"/>
      <c r="IQ19" s="3"/>
      <c r="IR19" s="3"/>
      <c r="IS19" s="3"/>
      <c r="IT19" s="3"/>
      <c r="IU19" s="3"/>
      <c r="IV19" s="3"/>
      <c r="IW19" s="3"/>
      <c r="IX19" s="3"/>
      <c r="IY19" s="3"/>
      <c r="IZ19" s="3"/>
      <c r="JA19" s="3"/>
      <c r="JB19" s="3"/>
      <c r="JC19" s="3"/>
      <c r="JD19" s="3"/>
      <c r="JE19" s="3"/>
      <c r="JF19" s="3"/>
      <c r="JG19" s="3"/>
      <c r="JH19" s="3"/>
      <c r="JI19" s="3"/>
      <c r="JJ19" s="3"/>
      <c r="JK19" s="3"/>
      <c r="JL19" s="3"/>
      <c r="JM19" s="3"/>
      <c r="JN19" s="3"/>
      <c r="JO19" s="3"/>
      <c r="JP19" s="3"/>
      <c r="JQ19" s="3"/>
      <c r="JR19" s="3"/>
      <c r="JS19" s="3"/>
      <c r="JT19" s="3"/>
      <c r="JU19" s="3"/>
      <c r="JV19" s="3"/>
      <c r="JW19" s="3"/>
      <c r="JX19" s="3"/>
      <c r="JY19" s="3"/>
      <c r="JZ19" s="3"/>
      <c r="KA19" s="3"/>
      <c r="KB19" s="3"/>
      <c r="KC19" s="3"/>
      <c r="KD19" s="3"/>
      <c r="KE19" s="3"/>
      <c r="KF19" s="3"/>
      <c r="KG19" s="3"/>
      <c r="KH19" s="3"/>
      <c r="KI19" s="3"/>
      <c r="KJ19" s="3"/>
      <c r="KK19" s="3"/>
      <c r="KL19" s="3"/>
      <c r="KM19" s="3"/>
      <c r="KN19" s="3"/>
      <c r="KO19" s="3"/>
      <c r="KP19" s="3"/>
      <c r="KQ19" s="3"/>
      <c r="KR19" s="3"/>
      <c r="KS19" s="3"/>
      <c r="KT19" s="3"/>
      <c r="KU19" s="3"/>
      <c r="KV19" s="3"/>
      <c r="KW19" s="3"/>
      <c r="KX19" s="3"/>
      <c r="KY19" s="3"/>
      <c r="KZ19" s="3"/>
      <c r="LA19" s="3"/>
      <c r="LB19" s="3"/>
      <c r="LC19" s="3"/>
      <c r="LD19" s="3"/>
      <c r="LE19" s="3"/>
      <c r="LF19" s="3"/>
      <c r="LG19" s="3"/>
      <c r="LH19" s="3"/>
      <c r="LI19" s="3"/>
      <c r="LJ19" s="3"/>
      <c r="LK19" s="3"/>
      <c r="LL19" s="3"/>
      <c r="LM19" s="3"/>
      <c r="LN19" s="3"/>
      <c r="LO19" s="3"/>
      <c r="LP19" s="3"/>
      <c r="LQ19" s="3"/>
      <c r="LR19" s="3"/>
      <c r="LS19" s="3"/>
      <c r="LT19" s="3"/>
      <c r="LU19" s="3"/>
      <c r="LV19" s="3"/>
      <c r="LW19" s="3"/>
      <c r="LX19" s="3"/>
      <c r="LY19" s="3"/>
      <c r="LZ19" s="3"/>
      <c r="MA19" s="3"/>
      <c r="MB19" s="3"/>
      <c r="MC19" s="3"/>
      <c r="MD19" s="3"/>
      <c r="ME19" s="3"/>
      <c r="MF19" s="3"/>
      <c r="MG19" s="3"/>
      <c r="MH19" s="3"/>
      <c r="MI19" s="3"/>
      <c r="MJ19" s="3"/>
      <c r="MK19" s="3"/>
      <c r="ML19" s="3"/>
      <c r="MM19" s="3"/>
      <c r="MN19" s="3"/>
      <c r="MO19" s="3"/>
      <c r="MP19" s="3"/>
      <c r="MQ19" s="3"/>
      <c r="MR19" s="3"/>
      <c r="MS19" s="3"/>
      <c r="MT19" s="3"/>
      <c r="MU19" s="3"/>
      <c r="MV19" s="3"/>
      <c r="MW19" s="3"/>
      <c r="MX19" s="3"/>
      <c r="MY19" s="3"/>
      <c r="MZ19" s="3"/>
      <c r="NA19" s="3"/>
      <c r="NB19" s="3"/>
      <c r="NC19" s="3"/>
      <c r="ND19" s="3"/>
      <c r="NE19" s="3"/>
      <c r="NF19" s="3"/>
      <c r="NG19" s="3"/>
      <c r="NH19" s="3"/>
      <c r="NI19" s="3"/>
      <c r="NJ19" s="3"/>
      <c r="NK19" s="3"/>
      <c r="NL19" s="3"/>
      <c r="NM19" s="3"/>
      <c r="NN19" s="3"/>
      <c r="NO19" s="3"/>
      <c r="NP19" s="3"/>
      <c r="NQ19" s="3"/>
      <c r="NR19" s="3"/>
      <c r="NS19" s="3"/>
      <c r="NT19" s="3"/>
      <c r="NU19" s="3"/>
      <c r="NV19" s="3"/>
      <c r="NW19" s="3"/>
      <c r="NX19" s="3"/>
      <c r="NY19" s="3"/>
      <c r="NZ19" s="3"/>
      <c r="OA19" s="3"/>
      <c r="OB19" s="3"/>
      <c r="OC19" s="3"/>
      <c r="OD19" s="3"/>
      <c r="OE19" s="3"/>
      <c r="OF19" s="3"/>
      <c r="OG19" s="3"/>
      <c r="OH19" s="3"/>
      <c r="OI19" s="3"/>
      <c r="OJ19" s="3"/>
      <c r="OK19" s="3"/>
      <c r="OL19" s="3"/>
      <c r="OM19" s="3"/>
      <c r="ON19" s="3"/>
      <c r="OO19" s="3"/>
      <c r="OP19" s="3"/>
      <c r="OQ19" s="3"/>
      <c r="OR19" s="3"/>
      <c r="OS19" s="3"/>
      <c r="OT19" s="3"/>
      <c r="OU19" s="3"/>
      <c r="OV19" s="3"/>
      <c r="OW19" s="3"/>
      <c r="OX19" s="3"/>
      <c r="OY19" s="3"/>
      <c r="OZ19" s="3"/>
      <c r="PA19" s="3"/>
      <c r="PB19" s="3"/>
      <c r="PC19" s="3"/>
      <c r="PD19" s="3"/>
      <c r="PE19" s="3"/>
      <c r="PF19" s="3"/>
      <c r="PG19" s="3"/>
      <c r="PH19" s="3"/>
      <c r="PI19" s="3"/>
      <c r="PJ19" s="3"/>
      <c r="PK19" s="3"/>
      <c r="PL19" s="3"/>
      <c r="PM19" s="3"/>
      <c r="PN19" s="3"/>
      <c r="PO19" s="3"/>
      <c r="PP19" s="3"/>
      <c r="PQ19" s="3"/>
      <c r="PR19" s="3"/>
      <c r="PS19" s="3"/>
      <c r="PT19" s="3"/>
      <c r="PU19" s="3"/>
      <c r="PV19" s="3"/>
      <c r="PW19" s="3"/>
      <c r="PX19" s="3"/>
      <c r="PY19" s="3"/>
      <c r="PZ19" s="3"/>
      <c r="QA19" s="3"/>
      <c r="QB19" s="3"/>
      <c r="QC19" s="3"/>
      <c r="QD19" s="3"/>
      <c r="QE19" s="3"/>
      <c r="QF19" s="3"/>
      <c r="QG19" s="3"/>
      <c r="QH19" s="3"/>
      <c r="QI19" s="3"/>
      <c r="QJ19" s="3"/>
      <c r="QK19" s="3"/>
      <c r="QL19" s="3"/>
      <c r="QM19" s="3"/>
      <c r="QN19" s="3"/>
      <c r="QO19" s="3"/>
      <c r="QP19" s="3"/>
      <c r="QQ19" s="3"/>
      <c r="QR19" s="3"/>
      <c r="QS19" s="3"/>
      <c r="QT19" s="3"/>
      <c r="QU19" s="3"/>
      <c r="QV19" s="3"/>
      <c r="QW19" s="3"/>
      <c r="QX19" s="3"/>
      <c r="QY19" s="3"/>
      <c r="QZ19" s="3"/>
      <c r="RA19" s="3"/>
      <c r="RB19" s="3"/>
      <c r="RC19" s="3"/>
      <c r="RD19" s="3"/>
      <c r="RE19" s="3"/>
      <c r="RF19" s="3"/>
      <c r="RG19" s="3"/>
      <c r="RH19" s="3"/>
      <c r="RI19" s="3"/>
      <c r="RJ19" s="3"/>
      <c r="RK19" s="3"/>
      <c r="RL19" s="3"/>
      <c r="RM19" s="3"/>
      <c r="RN19" s="3"/>
      <c r="RO19" s="3"/>
      <c r="RP19" s="3"/>
      <c r="RQ19" s="3"/>
      <c r="RR19" s="3"/>
      <c r="RS19" s="3"/>
      <c r="RT19" s="3"/>
      <c r="RU19" s="3"/>
      <c r="RV19" s="3"/>
      <c r="RW19" s="3"/>
      <c r="RX19" s="3"/>
      <c r="RY19" s="3"/>
      <c r="RZ19" s="3"/>
      <c r="SA19" s="3"/>
      <c r="SB19" s="3"/>
      <c r="SC19" s="3"/>
      <c r="SD19" s="3"/>
      <c r="SE19" s="3"/>
      <c r="SF19" s="3"/>
      <c r="SG19" s="3"/>
      <c r="SH19" s="3"/>
      <c r="SI19" s="3"/>
      <c r="SJ19" s="3"/>
      <c r="SK19" s="3"/>
      <c r="SL19" s="3"/>
      <c r="SM19" s="3"/>
      <c r="SN19" s="3"/>
      <c r="SO19" s="3"/>
      <c r="SP19" s="3"/>
      <c r="SQ19" s="3"/>
      <c r="SR19" s="3"/>
      <c r="SS19" s="3"/>
      <c r="ST19" s="3"/>
      <c r="SU19" s="3"/>
      <c r="SV19" s="3"/>
      <c r="SW19" s="3"/>
      <c r="SX19" s="3"/>
      <c r="SY19" s="3"/>
      <c r="SZ19" s="3"/>
      <c r="TA19" s="3"/>
      <c r="TB19" s="3"/>
      <c r="TC19" s="3"/>
      <c r="TD19" s="3"/>
      <c r="TE19" s="3"/>
      <c r="TF19" s="3"/>
      <c r="TG19" s="3"/>
      <c r="TH19" s="3"/>
      <c r="TI19" s="3"/>
      <c r="TJ19" s="3"/>
      <c r="TK19" s="3"/>
      <c r="TL19" s="3"/>
      <c r="TM19" s="3"/>
      <c r="TN19" s="3"/>
      <c r="TO19" s="3"/>
      <c r="TP19" s="3"/>
      <c r="TQ19" s="3"/>
      <c r="TR19" s="3"/>
      <c r="TS19" s="3"/>
      <c r="TT19" s="3"/>
      <c r="TU19" s="3"/>
      <c r="TV19" s="3"/>
      <c r="TW19" s="3"/>
      <c r="TX19" s="3"/>
      <c r="TY19" s="3"/>
      <c r="TZ19" s="3"/>
      <c r="UA19" s="3"/>
      <c r="UB19" s="3"/>
      <c r="UC19" s="3"/>
      <c r="UD19" s="3"/>
      <c r="UE19" s="3"/>
      <c r="UF19" s="3"/>
      <c r="UG19" s="3"/>
      <c r="UH19" s="3"/>
      <c r="UI19" s="3"/>
      <c r="UJ19" s="3"/>
      <c r="UK19" s="3"/>
      <c r="UL19" s="3"/>
      <c r="UM19" s="3"/>
      <c r="UN19" s="3"/>
      <c r="UO19" s="3"/>
      <c r="UP19" s="3"/>
      <c r="UQ19" s="3"/>
      <c r="UR19" s="3"/>
      <c r="US19" s="3"/>
      <c r="UT19" s="3"/>
      <c r="UU19" s="3"/>
      <c r="UV19" s="3"/>
      <c r="UW19" s="3"/>
      <c r="UX19" s="3"/>
      <c r="UY19" s="3"/>
      <c r="UZ19" s="3"/>
      <c r="VA19" s="3"/>
      <c r="VB19" s="3"/>
      <c r="VC19" s="3"/>
      <c r="VD19" s="3"/>
      <c r="VE19" s="3"/>
      <c r="VF19" s="3"/>
      <c r="VG19" s="3"/>
      <c r="VH19" s="3"/>
      <c r="VI19" s="3"/>
      <c r="VJ19" s="3"/>
      <c r="VK19" s="3"/>
      <c r="VL19" s="3"/>
      <c r="VM19" s="3"/>
      <c r="VN19" s="3"/>
      <c r="VO19" s="3"/>
      <c r="VP19" s="3"/>
      <c r="VQ19" s="3"/>
      <c r="VR19" s="3"/>
      <c r="VS19" s="3"/>
      <c r="VT19" s="3"/>
      <c r="VU19" s="3"/>
      <c r="VV19" s="3"/>
      <c r="VW19" s="3"/>
      <c r="VX19" s="3"/>
      <c r="VY19" s="3"/>
      <c r="VZ19" s="3"/>
      <c r="WA19" s="3"/>
      <c r="WB19" s="3"/>
      <c r="WC19" s="3"/>
      <c r="WD19" s="3"/>
      <c r="WE19" s="3"/>
      <c r="WF19" s="3"/>
      <c r="WG19" s="3"/>
      <c r="WH19" s="3"/>
      <c r="WI19" s="3"/>
      <c r="WJ19" s="3"/>
      <c r="WK19" s="3"/>
      <c r="WL19" s="3"/>
      <c r="WM19" s="3"/>
      <c r="WN19" s="3"/>
      <c r="WO19" s="3"/>
      <c r="WP19" s="3"/>
      <c r="WQ19" s="3"/>
      <c r="WR19" s="3"/>
      <c r="WS19" s="3"/>
      <c r="WT19" s="3"/>
      <c r="WU19" s="3"/>
      <c r="WV19" s="3"/>
      <c r="WW19" s="3"/>
      <c r="WX19" s="3"/>
      <c r="WY19" s="3"/>
      <c r="WZ19" s="3"/>
      <c r="XA19" s="3"/>
      <c r="XB19" s="3"/>
      <c r="XC19" s="3"/>
      <c r="XD19" s="3"/>
      <c r="XE19" s="3"/>
      <c r="XF19" s="3"/>
      <c r="XG19" s="3"/>
      <c r="XH19" s="3"/>
      <c r="XI19" s="3"/>
      <c r="XJ19" s="3"/>
      <c r="XK19" s="3"/>
      <c r="XL19" s="3"/>
      <c r="XM19" s="3"/>
      <c r="XN19" s="3"/>
      <c r="XO19" s="3"/>
      <c r="XP19" s="3"/>
      <c r="XQ19" s="3"/>
      <c r="XR19" s="3"/>
      <c r="XS19" s="3"/>
      <c r="XT19" s="3"/>
      <c r="XU19" s="3"/>
      <c r="XV19" s="3"/>
      <c r="XW19" s="3"/>
      <c r="XX19" s="3"/>
      <c r="XY19" s="3"/>
      <c r="XZ19" s="3"/>
      <c r="YA19" s="3"/>
      <c r="YB19" s="3"/>
      <c r="YC19" s="3"/>
      <c r="YD19" s="3"/>
      <c r="YE19" s="3"/>
      <c r="YF19" s="3"/>
      <c r="YG19" s="3"/>
      <c r="YH19" s="3"/>
      <c r="YI19" s="3"/>
      <c r="YJ19" s="3"/>
      <c r="YK19" s="3"/>
      <c r="YL19" s="3"/>
      <c r="YM19" s="3"/>
      <c r="YN19" s="3"/>
      <c r="YO19" s="3"/>
      <c r="YP19" s="3"/>
      <c r="YQ19" s="3"/>
      <c r="YR19" s="3"/>
      <c r="YS19" s="3"/>
      <c r="YT19" s="3"/>
      <c r="YU19" s="3"/>
      <c r="YV19" s="3"/>
      <c r="YW19" s="3"/>
      <c r="YX19" s="3"/>
      <c r="YY19" s="3"/>
      <c r="YZ19" s="3"/>
      <c r="ZA19" s="3"/>
      <c r="ZB19" s="3"/>
      <c r="ZC19" s="3"/>
      <c r="ZD19" s="3"/>
      <c r="ZE19" s="3"/>
      <c r="ZF19" s="3"/>
      <c r="ZG19" s="3"/>
      <c r="ZH19" s="3"/>
      <c r="ZI19" s="3"/>
      <c r="ZJ19" s="3"/>
      <c r="ZK19" s="3"/>
      <c r="ZL19" s="3"/>
      <c r="ZM19" s="3"/>
      <c r="ZN19" s="3"/>
      <c r="ZO19" s="3"/>
      <c r="ZP19" s="3"/>
      <c r="ZQ19" s="3"/>
      <c r="ZR19" s="3"/>
      <c r="ZS19" s="3"/>
      <c r="ZT19" s="3"/>
      <c r="ZU19" s="3"/>
      <c r="ZV19" s="3"/>
      <c r="ZW19" s="3"/>
      <c r="ZX19" s="3"/>
      <c r="ZY19" s="3"/>
      <c r="ZZ19" s="3"/>
      <c r="AAA19" s="3"/>
      <c r="AAB19" s="3"/>
      <c r="AAC19" s="3"/>
      <c r="AAD19" s="3"/>
      <c r="AAE19" s="3"/>
      <c r="AAF19" s="3"/>
      <c r="AAG19" s="3"/>
      <c r="AAH19" s="3"/>
      <c r="AAI19" s="3"/>
      <c r="AAJ19" s="3"/>
      <c r="AAK19" s="3"/>
      <c r="AAL19" s="3"/>
      <c r="AAM19" s="3"/>
      <c r="AAN19" s="3"/>
      <c r="AAO19" s="3"/>
      <c r="AAP19" s="3"/>
      <c r="AAQ19" s="3"/>
      <c r="AAR19" s="3"/>
      <c r="AAS19" s="3"/>
      <c r="AAT19" s="3"/>
      <c r="AAU19" s="3"/>
      <c r="AAV19" s="3"/>
      <c r="AAW19" s="3"/>
      <c r="AAX19" s="3"/>
      <c r="AAY19" s="3"/>
      <c r="AAZ19" s="3"/>
      <c r="ABA19" s="3"/>
      <c r="ABB19" s="3"/>
      <c r="ABC19" s="3"/>
      <c r="ABD19" s="3"/>
      <c r="ABE19" s="3"/>
      <c r="ABF19" s="3"/>
      <c r="ABG19" s="3"/>
      <c r="ABH19" s="3"/>
      <c r="ABI19" s="3"/>
      <c r="ABJ19" s="3"/>
      <c r="ABK19" s="3"/>
      <c r="ABL19" s="3"/>
      <c r="ABM19" s="3"/>
      <c r="ABN19" s="3"/>
      <c r="ABO19" s="3"/>
      <c r="ABP19" s="3"/>
      <c r="ABQ19" s="3"/>
      <c r="ABR19" s="3"/>
      <c r="ABS19" s="3"/>
      <c r="ABT19" s="3"/>
      <c r="ABU19" s="3"/>
      <c r="ABV19" s="3"/>
      <c r="ABW19" s="3"/>
      <c r="ABX19" s="3"/>
      <c r="ABY19" s="3"/>
      <c r="ABZ19" s="3"/>
      <c r="ACA19" s="3"/>
      <c r="ACB19" s="3"/>
      <c r="ACC19" s="3"/>
      <c r="ACD19" s="3"/>
      <c r="ACE19" s="3"/>
      <c r="ACF19" s="3"/>
      <c r="ACG19" s="3"/>
      <c r="ACH19" s="3"/>
      <c r="ACI19" s="3"/>
      <c r="ACJ19" s="3"/>
      <c r="ACK19" s="3"/>
      <c r="ACL19" s="3"/>
      <c r="ACM19" s="3"/>
      <c r="ACN19" s="3"/>
      <c r="ACO19" s="3"/>
      <c r="ACP19" s="3"/>
      <c r="ACQ19" s="3"/>
      <c r="ACR19" s="3"/>
      <c r="ACS19" s="3"/>
      <c r="ACT19" s="3"/>
      <c r="ACU19" s="3"/>
      <c r="ACV19" s="3"/>
      <c r="ACW19" s="3"/>
      <c r="ACX19" s="3"/>
      <c r="ACY19" s="3"/>
      <c r="ACZ19" s="3"/>
    </row>
    <row r="20" spans="1:780" x14ac:dyDescent="0.2">
      <c r="A20" s="7"/>
      <c r="B20" s="7"/>
      <c r="C20" s="2"/>
      <c r="D20" s="2"/>
      <c r="E20" s="6"/>
      <c r="F20" s="6"/>
      <c r="G20" s="6"/>
      <c r="H20" s="6"/>
      <c r="I20" s="2"/>
      <c r="J20" s="4"/>
      <c r="K20" s="4"/>
      <c r="L20" s="2"/>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c r="HF20" s="3"/>
      <c r="HG20" s="3"/>
      <c r="HH20" s="3"/>
      <c r="HI20" s="3"/>
      <c r="HJ20" s="3"/>
      <c r="HK20" s="3"/>
      <c r="HL20" s="3"/>
      <c r="HM20" s="3"/>
      <c r="HN20" s="3"/>
      <c r="HO20" s="3"/>
      <c r="HP20" s="3"/>
      <c r="HQ20" s="3"/>
      <c r="HR20" s="3"/>
      <c r="HS20" s="3"/>
      <c r="HT20" s="3"/>
      <c r="HU20" s="3"/>
      <c r="HV20" s="3"/>
      <c r="HW20" s="3"/>
      <c r="HX20" s="3"/>
      <c r="HY20" s="3"/>
      <c r="HZ20" s="3"/>
      <c r="IA20" s="3"/>
      <c r="IB20" s="3"/>
      <c r="IC20" s="3"/>
      <c r="ID20" s="3"/>
      <c r="IE20" s="3"/>
      <c r="IF20" s="3"/>
      <c r="IG20" s="3"/>
      <c r="IH20" s="3"/>
      <c r="II20" s="3"/>
      <c r="IJ20" s="3"/>
      <c r="IK20" s="3"/>
      <c r="IL20" s="3"/>
      <c r="IM20" s="3"/>
      <c r="IN20" s="3"/>
      <c r="IO20" s="3"/>
      <c r="IP20" s="3"/>
      <c r="IQ20" s="3"/>
      <c r="IR20" s="3"/>
      <c r="IS20" s="3"/>
      <c r="IT20" s="3"/>
      <c r="IU20" s="3"/>
      <c r="IV20" s="3"/>
      <c r="IW20" s="3"/>
      <c r="IX20" s="3"/>
      <c r="IY20" s="3"/>
      <c r="IZ20" s="3"/>
      <c r="JA20" s="3"/>
      <c r="JB20" s="3"/>
      <c r="JC20" s="3"/>
      <c r="JD20" s="3"/>
      <c r="JE20" s="3"/>
      <c r="JF20" s="3"/>
      <c r="JG20" s="3"/>
      <c r="JH20" s="3"/>
      <c r="JI20" s="3"/>
      <c r="JJ20" s="3"/>
      <c r="JK20" s="3"/>
      <c r="JL20" s="3"/>
      <c r="JM20" s="3"/>
      <c r="JN20" s="3"/>
      <c r="JO20" s="3"/>
      <c r="JP20" s="3"/>
      <c r="JQ20" s="3"/>
      <c r="JR20" s="3"/>
      <c r="JS20" s="3"/>
      <c r="JT20" s="3"/>
      <c r="JU20" s="3"/>
      <c r="JV20" s="3"/>
      <c r="JW20" s="3"/>
      <c r="JX20" s="3"/>
      <c r="JY20" s="3"/>
      <c r="JZ20" s="3"/>
      <c r="KA20" s="3"/>
      <c r="KB20" s="3"/>
      <c r="KC20" s="3"/>
      <c r="KD20" s="3"/>
      <c r="KE20" s="3"/>
      <c r="KF20" s="3"/>
      <c r="KG20" s="3"/>
      <c r="KH20" s="3"/>
      <c r="KI20" s="3"/>
      <c r="KJ20" s="3"/>
      <c r="KK20" s="3"/>
      <c r="KL20" s="3"/>
      <c r="KM20" s="3"/>
      <c r="KN20" s="3"/>
      <c r="KO20" s="3"/>
      <c r="KP20" s="3"/>
      <c r="KQ20" s="3"/>
      <c r="KR20" s="3"/>
      <c r="KS20" s="3"/>
      <c r="KT20" s="3"/>
      <c r="KU20" s="3"/>
      <c r="KV20" s="3"/>
      <c r="KW20" s="3"/>
      <c r="KX20" s="3"/>
      <c r="KY20" s="3"/>
      <c r="KZ20" s="3"/>
      <c r="LA20" s="3"/>
      <c r="LB20" s="3"/>
      <c r="LC20" s="3"/>
      <c r="LD20" s="3"/>
      <c r="LE20" s="3"/>
      <c r="LF20" s="3"/>
      <c r="LG20" s="3"/>
      <c r="LH20" s="3"/>
      <c r="LI20" s="3"/>
      <c r="LJ20" s="3"/>
      <c r="LK20" s="3"/>
      <c r="LL20" s="3"/>
      <c r="LM20" s="3"/>
      <c r="LN20" s="3"/>
      <c r="LO20" s="3"/>
      <c r="LP20" s="3"/>
      <c r="LQ20" s="3"/>
      <c r="LR20" s="3"/>
      <c r="LS20" s="3"/>
      <c r="LT20" s="3"/>
      <c r="LU20" s="3"/>
      <c r="LV20" s="3"/>
      <c r="LW20" s="3"/>
      <c r="LX20" s="3"/>
      <c r="LY20" s="3"/>
      <c r="LZ20" s="3"/>
      <c r="MA20" s="3"/>
      <c r="MB20" s="3"/>
      <c r="MC20" s="3"/>
      <c r="MD20" s="3"/>
      <c r="ME20" s="3"/>
      <c r="MF20" s="3"/>
      <c r="MG20" s="3"/>
      <c r="MH20" s="3"/>
      <c r="MI20" s="3"/>
      <c r="MJ20" s="3"/>
      <c r="MK20" s="3"/>
      <c r="ML20" s="3"/>
      <c r="MM20" s="3"/>
      <c r="MN20" s="3"/>
      <c r="MO20" s="3"/>
      <c r="MP20" s="3"/>
      <c r="MQ20" s="3"/>
      <c r="MR20" s="3"/>
      <c r="MS20" s="3"/>
      <c r="MT20" s="3"/>
      <c r="MU20" s="3"/>
      <c r="MV20" s="3"/>
      <c r="MW20" s="3"/>
      <c r="MX20" s="3"/>
      <c r="MY20" s="3"/>
      <c r="MZ20" s="3"/>
      <c r="NA20" s="3"/>
      <c r="NB20" s="3"/>
      <c r="NC20" s="3"/>
      <c r="ND20" s="3"/>
      <c r="NE20" s="3"/>
      <c r="NF20" s="3"/>
      <c r="NG20" s="3"/>
      <c r="NH20" s="3"/>
      <c r="NI20" s="3"/>
      <c r="NJ20" s="3"/>
      <c r="NK20" s="3"/>
      <c r="NL20" s="3"/>
      <c r="NM20" s="3"/>
      <c r="NN20" s="3"/>
      <c r="NO20" s="3"/>
      <c r="NP20" s="3"/>
      <c r="NQ20" s="3"/>
      <c r="NR20" s="3"/>
      <c r="NS20" s="3"/>
      <c r="NT20" s="3"/>
      <c r="NU20" s="3"/>
      <c r="NV20" s="3"/>
      <c r="NW20" s="3"/>
      <c r="NX20" s="3"/>
      <c r="NY20" s="3"/>
      <c r="NZ20" s="3"/>
      <c r="OA20" s="3"/>
      <c r="OB20" s="3"/>
      <c r="OC20" s="3"/>
      <c r="OD20" s="3"/>
      <c r="OE20" s="3"/>
      <c r="OF20" s="3"/>
      <c r="OG20" s="3"/>
      <c r="OH20" s="3"/>
      <c r="OI20" s="3"/>
      <c r="OJ20" s="3"/>
      <c r="OK20" s="3"/>
      <c r="OL20" s="3"/>
      <c r="OM20" s="3"/>
      <c r="ON20" s="3"/>
      <c r="OO20" s="3"/>
      <c r="OP20" s="3"/>
      <c r="OQ20" s="3"/>
      <c r="OR20" s="3"/>
      <c r="OS20" s="3"/>
      <c r="OT20" s="3"/>
      <c r="OU20" s="3"/>
      <c r="OV20" s="3"/>
      <c r="OW20" s="3"/>
      <c r="OX20" s="3"/>
      <c r="OY20" s="3"/>
      <c r="OZ20" s="3"/>
      <c r="PA20" s="3"/>
      <c r="PB20" s="3"/>
      <c r="PC20" s="3"/>
      <c r="PD20" s="3"/>
      <c r="PE20" s="3"/>
      <c r="PF20" s="3"/>
      <c r="PG20" s="3"/>
      <c r="PH20" s="3"/>
      <c r="PI20" s="3"/>
      <c r="PJ20" s="3"/>
      <c r="PK20" s="3"/>
      <c r="PL20" s="3"/>
      <c r="PM20" s="3"/>
      <c r="PN20" s="3"/>
      <c r="PO20" s="3"/>
      <c r="PP20" s="3"/>
      <c r="PQ20" s="3"/>
      <c r="PR20" s="3"/>
      <c r="PS20" s="3"/>
      <c r="PT20" s="3"/>
      <c r="PU20" s="3"/>
      <c r="PV20" s="3"/>
      <c r="PW20" s="3"/>
      <c r="PX20" s="3"/>
      <c r="PY20" s="3"/>
      <c r="PZ20" s="3"/>
      <c r="QA20" s="3"/>
      <c r="QB20" s="3"/>
      <c r="QC20" s="3"/>
      <c r="QD20" s="3"/>
      <c r="QE20" s="3"/>
      <c r="QF20" s="3"/>
      <c r="QG20" s="3"/>
      <c r="QH20" s="3"/>
      <c r="QI20" s="3"/>
      <c r="QJ20" s="3"/>
      <c r="QK20" s="3"/>
      <c r="QL20" s="3"/>
      <c r="QM20" s="3"/>
      <c r="QN20" s="3"/>
      <c r="QO20" s="3"/>
      <c r="QP20" s="3"/>
      <c r="QQ20" s="3"/>
      <c r="QR20" s="3"/>
      <c r="QS20" s="3"/>
      <c r="QT20" s="3"/>
      <c r="QU20" s="3"/>
      <c r="QV20" s="3"/>
      <c r="QW20" s="3"/>
      <c r="QX20" s="3"/>
      <c r="QY20" s="3"/>
      <c r="QZ20" s="3"/>
      <c r="RA20" s="3"/>
      <c r="RB20" s="3"/>
      <c r="RC20" s="3"/>
      <c r="RD20" s="3"/>
      <c r="RE20" s="3"/>
      <c r="RF20" s="3"/>
      <c r="RG20" s="3"/>
      <c r="RH20" s="3"/>
      <c r="RI20" s="3"/>
      <c r="RJ20" s="3"/>
      <c r="RK20" s="3"/>
      <c r="RL20" s="3"/>
      <c r="RM20" s="3"/>
      <c r="RN20" s="3"/>
      <c r="RO20" s="3"/>
      <c r="RP20" s="3"/>
      <c r="RQ20" s="3"/>
      <c r="RR20" s="3"/>
      <c r="RS20" s="3"/>
      <c r="RT20" s="3"/>
      <c r="RU20" s="3"/>
      <c r="RV20" s="3"/>
      <c r="RW20" s="3"/>
      <c r="RX20" s="3"/>
      <c r="RY20" s="3"/>
      <c r="RZ20" s="3"/>
      <c r="SA20" s="3"/>
      <c r="SB20" s="3"/>
      <c r="SC20" s="3"/>
      <c r="SD20" s="3"/>
      <c r="SE20" s="3"/>
      <c r="SF20" s="3"/>
      <c r="SG20" s="3"/>
      <c r="SH20" s="3"/>
      <c r="SI20" s="3"/>
      <c r="SJ20" s="3"/>
      <c r="SK20" s="3"/>
      <c r="SL20" s="3"/>
      <c r="SM20" s="3"/>
      <c r="SN20" s="3"/>
      <c r="SO20" s="3"/>
      <c r="SP20" s="3"/>
      <c r="SQ20" s="3"/>
      <c r="SR20" s="3"/>
      <c r="SS20" s="3"/>
      <c r="ST20" s="3"/>
      <c r="SU20" s="3"/>
      <c r="SV20" s="3"/>
      <c r="SW20" s="3"/>
      <c r="SX20" s="3"/>
      <c r="SY20" s="3"/>
      <c r="SZ20" s="3"/>
      <c r="TA20" s="3"/>
      <c r="TB20" s="3"/>
      <c r="TC20" s="3"/>
      <c r="TD20" s="3"/>
      <c r="TE20" s="3"/>
      <c r="TF20" s="3"/>
      <c r="TG20" s="3"/>
      <c r="TH20" s="3"/>
      <c r="TI20" s="3"/>
      <c r="TJ20" s="3"/>
      <c r="TK20" s="3"/>
      <c r="TL20" s="3"/>
      <c r="TM20" s="3"/>
      <c r="TN20" s="3"/>
      <c r="TO20" s="3"/>
      <c r="TP20" s="3"/>
      <c r="TQ20" s="3"/>
      <c r="TR20" s="3"/>
      <c r="TS20" s="3"/>
      <c r="TT20" s="3"/>
      <c r="TU20" s="3"/>
      <c r="TV20" s="3"/>
      <c r="TW20" s="3"/>
      <c r="TX20" s="3"/>
      <c r="TY20" s="3"/>
      <c r="TZ20" s="3"/>
      <c r="UA20" s="3"/>
      <c r="UB20" s="3"/>
      <c r="UC20" s="3"/>
      <c r="UD20" s="3"/>
      <c r="UE20" s="3"/>
      <c r="UF20" s="3"/>
      <c r="UG20" s="3"/>
      <c r="UH20" s="3"/>
      <c r="UI20" s="3"/>
      <c r="UJ20" s="3"/>
      <c r="UK20" s="3"/>
      <c r="UL20" s="3"/>
      <c r="UM20" s="3"/>
      <c r="UN20" s="3"/>
      <c r="UO20" s="3"/>
      <c r="UP20" s="3"/>
      <c r="UQ20" s="3"/>
      <c r="UR20" s="3"/>
      <c r="US20" s="3"/>
      <c r="UT20" s="3"/>
      <c r="UU20" s="3"/>
      <c r="UV20" s="3"/>
      <c r="UW20" s="3"/>
      <c r="UX20" s="3"/>
      <c r="UY20" s="3"/>
      <c r="UZ20" s="3"/>
      <c r="VA20" s="3"/>
      <c r="VB20" s="3"/>
      <c r="VC20" s="3"/>
      <c r="VD20" s="3"/>
      <c r="VE20" s="3"/>
      <c r="VF20" s="3"/>
      <c r="VG20" s="3"/>
      <c r="VH20" s="3"/>
      <c r="VI20" s="3"/>
      <c r="VJ20" s="3"/>
      <c r="VK20" s="3"/>
      <c r="VL20" s="3"/>
      <c r="VM20" s="3"/>
      <c r="VN20" s="3"/>
      <c r="VO20" s="3"/>
      <c r="VP20" s="3"/>
      <c r="VQ20" s="3"/>
      <c r="VR20" s="3"/>
      <c r="VS20" s="3"/>
      <c r="VT20" s="3"/>
      <c r="VU20" s="3"/>
      <c r="VV20" s="3"/>
      <c r="VW20" s="3"/>
      <c r="VX20" s="3"/>
      <c r="VY20" s="3"/>
      <c r="VZ20" s="3"/>
      <c r="WA20" s="3"/>
      <c r="WB20" s="3"/>
      <c r="WC20" s="3"/>
      <c r="WD20" s="3"/>
      <c r="WE20" s="3"/>
      <c r="WF20" s="3"/>
      <c r="WG20" s="3"/>
      <c r="WH20" s="3"/>
      <c r="WI20" s="3"/>
      <c r="WJ20" s="3"/>
      <c r="WK20" s="3"/>
      <c r="WL20" s="3"/>
      <c r="WM20" s="3"/>
      <c r="WN20" s="3"/>
      <c r="WO20" s="3"/>
      <c r="WP20" s="3"/>
      <c r="WQ20" s="3"/>
      <c r="WR20" s="3"/>
      <c r="WS20" s="3"/>
      <c r="WT20" s="3"/>
      <c r="WU20" s="3"/>
      <c r="WV20" s="3"/>
      <c r="WW20" s="3"/>
      <c r="WX20" s="3"/>
      <c r="WY20" s="3"/>
      <c r="WZ20" s="3"/>
      <c r="XA20" s="3"/>
      <c r="XB20" s="3"/>
      <c r="XC20" s="3"/>
      <c r="XD20" s="3"/>
      <c r="XE20" s="3"/>
      <c r="XF20" s="3"/>
      <c r="XG20" s="3"/>
      <c r="XH20" s="3"/>
      <c r="XI20" s="3"/>
      <c r="XJ20" s="3"/>
      <c r="XK20" s="3"/>
      <c r="XL20" s="3"/>
      <c r="XM20" s="3"/>
      <c r="XN20" s="3"/>
      <c r="XO20" s="3"/>
      <c r="XP20" s="3"/>
      <c r="XQ20" s="3"/>
      <c r="XR20" s="3"/>
      <c r="XS20" s="3"/>
      <c r="XT20" s="3"/>
      <c r="XU20" s="3"/>
      <c r="XV20" s="3"/>
      <c r="XW20" s="3"/>
      <c r="XX20" s="3"/>
      <c r="XY20" s="3"/>
      <c r="XZ20" s="3"/>
      <c r="YA20" s="3"/>
      <c r="YB20" s="3"/>
      <c r="YC20" s="3"/>
      <c r="YD20" s="3"/>
      <c r="YE20" s="3"/>
      <c r="YF20" s="3"/>
      <c r="YG20" s="3"/>
      <c r="YH20" s="3"/>
      <c r="YI20" s="3"/>
      <c r="YJ20" s="3"/>
      <c r="YK20" s="3"/>
      <c r="YL20" s="3"/>
      <c r="YM20" s="3"/>
      <c r="YN20" s="3"/>
      <c r="YO20" s="3"/>
      <c r="YP20" s="3"/>
      <c r="YQ20" s="3"/>
      <c r="YR20" s="3"/>
      <c r="YS20" s="3"/>
      <c r="YT20" s="3"/>
      <c r="YU20" s="3"/>
      <c r="YV20" s="3"/>
      <c r="YW20" s="3"/>
      <c r="YX20" s="3"/>
      <c r="YY20" s="3"/>
      <c r="YZ20" s="3"/>
      <c r="ZA20" s="3"/>
      <c r="ZB20" s="3"/>
      <c r="ZC20" s="3"/>
      <c r="ZD20" s="3"/>
      <c r="ZE20" s="3"/>
      <c r="ZF20" s="3"/>
      <c r="ZG20" s="3"/>
      <c r="ZH20" s="3"/>
      <c r="ZI20" s="3"/>
      <c r="ZJ20" s="3"/>
      <c r="ZK20" s="3"/>
      <c r="ZL20" s="3"/>
      <c r="ZM20" s="3"/>
      <c r="ZN20" s="3"/>
      <c r="ZO20" s="3"/>
      <c r="ZP20" s="3"/>
      <c r="ZQ20" s="3"/>
      <c r="ZR20" s="3"/>
      <c r="ZS20" s="3"/>
      <c r="ZT20" s="3"/>
      <c r="ZU20" s="3"/>
      <c r="ZV20" s="3"/>
      <c r="ZW20" s="3"/>
      <c r="ZX20" s="3"/>
      <c r="ZY20" s="3"/>
      <c r="ZZ20" s="3"/>
      <c r="AAA20" s="3"/>
      <c r="AAB20" s="3"/>
      <c r="AAC20" s="3"/>
      <c r="AAD20" s="3"/>
      <c r="AAE20" s="3"/>
      <c r="AAF20" s="3"/>
      <c r="AAG20" s="3"/>
      <c r="AAH20" s="3"/>
      <c r="AAI20" s="3"/>
      <c r="AAJ20" s="3"/>
      <c r="AAK20" s="3"/>
      <c r="AAL20" s="3"/>
      <c r="AAM20" s="3"/>
      <c r="AAN20" s="3"/>
      <c r="AAO20" s="3"/>
      <c r="AAP20" s="3"/>
      <c r="AAQ20" s="3"/>
      <c r="AAR20" s="3"/>
      <c r="AAS20" s="3"/>
      <c r="AAT20" s="3"/>
      <c r="AAU20" s="3"/>
      <c r="AAV20" s="3"/>
      <c r="AAW20" s="3"/>
      <c r="AAX20" s="3"/>
      <c r="AAY20" s="3"/>
      <c r="AAZ20" s="3"/>
      <c r="ABA20" s="3"/>
      <c r="ABB20" s="3"/>
      <c r="ABC20" s="3"/>
      <c r="ABD20" s="3"/>
      <c r="ABE20" s="3"/>
      <c r="ABF20" s="3"/>
      <c r="ABG20" s="3"/>
      <c r="ABH20" s="3"/>
      <c r="ABI20" s="3"/>
      <c r="ABJ20" s="3"/>
      <c r="ABK20" s="3"/>
      <c r="ABL20" s="3"/>
      <c r="ABM20" s="3"/>
      <c r="ABN20" s="3"/>
      <c r="ABO20" s="3"/>
      <c r="ABP20" s="3"/>
      <c r="ABQ20" s="3"/>
      <c r="ABR20" s="3"/>
      <c r="ABS20" s="3"/>
      <c r="ABT20" s="3"/>
      <c r="ABU20" s="3"/>
      <c r="ABV20" s="3"/>
      <c r="ABW20" s="3"/>
      <c r="ABX20" s="3"/>
      <c r="ABY20" s="3"/>
      <c r="ABZ20" s="3"/>
      <c r="ACA20" s="3"/>
      <c r="ACB20" s="3"/>
      <c r="ACC20" s="3"/>
      <c r="ACD20" s="3"/>
      <c r="ACE20" s="3"/>
      <c r="ACF20" s="3"/>
      <c r="ACG20" s="3"/>
      <c r="ACH20" s="3"/>
      <c r="ACI20" s="3"/>
      <c r="ACJ20" s="3"/>
      <c r="ACK20" s="3"/>
      <c r="ACL20" s="3"/>
      <c r="ACM20" s="3"/>
      <c r="ACN20" s="3"/>
      <c r="ACO20" s="3"/>
      <c r="ACP20" s="3"/>
      <c r="ACQ20" s="3"/>
      <c r="ACR20" s="3"/>
      <c r="ACS20" s="3"/>
      <c r="ACT20" s="3"/>
      <c r="ACU20" s="3"/>
      <c r="ACV20" s="3"/>
      <c r="ACW20" s="3"/>
      <c r="ACX20" s="3"/>
      <c r="ACY20" s="3"/>
      <c r="ACZ20" s="3"/>
    </row>
    <row r="21" spans="1:780" x14ac:dyDescent="0.2">
      <c r="A21" s="7"/>
      <c r="B21" s="7"/>
      <c r="C21" s="2"/>
      <c r="D21" s="2"/>
      <c r="E21" s="6"/>
      <c r="F21" s="6"/>
      <c r="G21" s="6"/>
      <c r="H21" s="6"/>
      <c r="I21" s="2"/>
      <c r="J21" s="4"/>
      <c r="K21" s="4"/>
      <c r="L21" s="2"/>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c r="HF21" s="3"/>
      <c r="HG21" s="3"/>
      <c r="HH21" s="3"/>
      <c r="HI21" s="3"/>
      <c r="HJ21" s="3"/>
      <c r="HK21" s="3"/>
      <c r="HL21" s="3"/>
      <c r="HM21" s="3"/>
      <c r="HN21" s="3"/>
      <c r="HO21" s="3"/>
      <c r="HP21" s="3"/>
      <c r="HQ21" s="3"/>
      <c r="HR21" s="3"/>
      <c r="HS21" s="3"/>
      <c r="HT21" s="3"/>
      <c r="HU21" s="3"/>
      <c r="HV21" s="3"/>
      <c r="HW21" s="3"/>
      <c r="HX21" s="3"/>
      <c r="HY21" s="3"/>
      <c r="HZ21" s="3"/>
      <c r="IA21" s="3"/>
      <c r="IB21" s="3"/>
      <c r="IC21" s="3"/>
      <c r="ID21" s="3"/>
      <c r="IE21" s="3"/>
      <c r="IF21" s="3"/>
      <c r="IG21" s="3"/>
      <c r="IH21" s="3"/>
      <c r="II21" s="3"/>
      <c r="IJ21" s="3"/>
      <c r="IK21" s="3"/>
      <c r="IL21" s="3"/>
      <c r="IM21" s="3"/>
      <c r="IN21" s="3"/>
      <c r="IO21" s="3"/>
      <c r="IP21" s="3"/>
      <c r="IQ21" s="3"/>
      <c r="IR21" s="3"/>
      <c r="IS21" s="3"/>
      <c r="IT21" s="3"/>
      <c r="IU21" s="3"/>
      <c r="IV21" s="3"/>
      <c r="IW21" s="3"/>
      <c r="IX21" s="3"/>
      <c r="IY21" s="3"/>
      <c r="IZ21" s="3"/>
      <c r="JA21" s="3"/>
      <c r="JB21" s="3"/>
      <c r="JC21" s="3"/>
      <c r="JD21" s="3"/>
      <c r="JE21" s="3"/>
      <c r="JF21" s="3"/>
      <c r="JG21" s="3"/>
      <c r="JH21" s="3"/>
      <c r="JI21" s="3"/>
      <c r="JJ21" s="3"/>
      <c r="JK21" s="3"/>
      <c r="JL21" s="3"/>
      <c r="JM21" s="3"/>
      <c r="JN21" s="3"/>
      <c r="JO21" s="3"/>
      <c r="JP21" s="3"/>
      <c r="JQ21" s="3"/>
      <c r="JR21" s="3"/>
      <c r="JS21" s="3"/>
      <c r="JT21" s="3"/>
      <c r="JU21" s="3"/>
      <c r="JV21" s="3"/>
      <c r="JW21" s="3"/>
      <c r="JX21" s="3"/>
      <c r="JY21" s="3"/>
      <c r="JZ21" s="3"/>
      <c r="KA21" s="3"/>
      <c r="KB21" s="3"/>
      <c r="KC21" s="3"/>
      <c r="KD21" s="3"/>
      <c r="KE21" s="3"/>
      <c r="KF21" s="3"/>
      <c r="KG21" s="3"/>
      <c r="KH21" s="3"/>
      <c r="KI21" s="3"/>
      <c r="KJ21" s="3"/>
      <c r="KK21" s="3"/>
      <c r="KL21" s="3"/>
      <c r="KM21" s="3"/>
      <c r="KN21" s="3"/>
      <c r="KO21" s="3"/>
      <c r="KP21" s="3"/>
      <c r="KQ21" s="3"/>
      <c r="KR21" s="3"/>
      <c r="KS21" s="3"/>
      <c r="KT21" s="3"/>
      <c r="KU21" s="3"/>
      <c r="KV21" s="3"/>
      <c r="KW21" s="3"/>
      <c r="KX21" s="3"/>
      <c r="KY21" s="3"/>
      <c r="KZ21" s="3"/>
      <c r="LA21" s="3"/>
      <c r="LB21" s="3"/>
      <c r="LC21" s="3"/>
      <c r="LD21" s="3"/>
      <c r="LE21" s="3"/>
      <c r="LF21" s="3"/>
      <c r="LG21" s="3"/>
      <c r="LH21" s="3"/>
      <c r="LI21" s="3"/>
      <c r="LJ21" s="3"/>
      <c r="LK21" s="3"/>
      <c r="LL21" s="3"/>
      <c r="LM21" s="3"/>
      <c r="LN21" s="3"/>
      <c r="LO21" s="3"/>
      <c r="LP21" s="3"/>
      <c r="LQ21" s="3"/>
      <c r="LR21" s="3"/>
      <c r="LS21" s="3"/>
      <c r="LT21" s="3"/>
      <c r="LU21" s="3"/>
      <c r="LV21" s="3"/>
      <c r="LW21" s="3"/>
      <c r="LX21" s="3"/>
      <c r="LY21" s="3"/>
      <c r="LZ21" s="3"/>
      <c r="MA21" s="3"/>
      <c r="MB21" s="3"/>
      <c r="MC21" s="3"/>
      <c r="MD21" s="3"/>
      <c r="ME21" s="3"/>
      <c r="MF21" s="3"/>
      <c r="MG21" s="3"/>
      <c r="MH21" s="3"/>
      <c r="MI21" s="3"/>
      <c r="MJ21" s="3"/>
      <c r="MK21" s="3"/>
      <c r="ML21" s="3"/>
      <c r="MM21" s="3"/>
      <c r="MN21" s="3"/>
      <c r="MO21" s="3"/>
      <c r="MP21" s="3"/>
      <c r="MQ21" s="3"/>
      <c r="MR21" s="3"/>
      <c r="MS21" s="3"/>
      <c r="MT21" s="3"/>
      <c r="MU21" s="3"/>
      <c r="MV21" s="3"/>
      <c r="MW21" s="3"/>
      <c r="MX21" s="3"/>
      <c r="MY21" s="3"/>
      <c r="MZ21" s="3"/>
      <c r="NA21" s="3"/>
      <c r="NB21" s="3"/>
      <c r="NC21" s="3"/>
      <c r="ND21" s="3"/>
      <c r="NE21" s="3"/>
      <c r="NF21" s="3"/>
      <c r="NG21" s="3"/>
      <c r="NH21" s="3"/>
      <c r="NI21" s="3"/>
      <c r="NJ21" s="3"/>
      <c r="NK21" s="3"/>
      <c r="NL21" s="3"/>
      <c r="NM21" s="3"/>
      <c r="NN21" s="3"/>
      <c r="NO21" s="3"/>
      <c r="NP21" s="3"/>
      <c r="NQ21" s="3"/>
      <c r="NR21" s="3"/>
      <c r="NS21" s="3"/>
      <c r="NT21" s="3"/>
      <c r="NU21" s="3"/>
      <c r="NV21" s="3"/>
      <c r="NW21" s="3"/>
      <c r="NX21" s="3"/>
      <c r="NY21" s="3"/>
      <c r="NZ21" s="3"/>
      <c r="OA21" s="3"/>
      <c r="OB21" s="3"/>
      <c r="OC21" s="3"/>
      <c r="OD21" s="3"/>
      <c r="OE21" s="3"/>
      <c r="OF21" s="3"/>
      <c r="OG21" s="3"/>
      <c r="OH21" s="3"/>
      <c r="OI21" s="3"/>
      <c r="OJ21" s="3"/>
      <c r="OK21" s="3"/>
      <c r="OL21" s="3"/>
      <c r="OM21" s="3"/>
      <c r="ON21" s="3"/>
      <c r="OO21" s="3"/>
      <c r="OP21" s="3"/>
      <c r="OQ21" s="3"/>
      <c r="OR21" s="3"/>
      <c r="OS21" s="3"/>
      <c r="OT21" s="3"/>
      <c r="OU21" s="3"/>
      <c r="OV21" s="3"/>
      <c r="OW21" s="3"/>
      <c r="OX21" s="3"/>
      <c r="OY21" s="3"/>
      <c r="OZ21" s="3"/>
      <c r="PA21" s="3"/>
      <c r="PB21" s="3"/>
      <c r="PC21" s="3"/>
      <c r="PD21" s="3"/>
      <c r="PE21" s="3"/>
      <c r="PF21" s="3"/>
      <c r="PG21" s="3"/>
      <c r="PH21" s="3"/>
      <c r="PI21" s="3"/>
      <c r="PJ21" s="3"/>
      <c r="PK21" s="3"/>
      <c r="PL21" s="3"/>
      <c r="PM21" s="3"/>
      <c r="PN21" s="3"/>
      <c r="PO21" s="3"/>
      <c r="PP21" s="3"/>
      <c r="PQ21" s="3"/>
      <c r="PR21" s="3"/>
      <c r="PS21" s="3"/>
      <c r="PT21" s="3"/>
      <c r="PU21" s="3"/>
      <c r="PV21" s="3"/>
      <c r="PW21" s="3"/>
      <c r="PX21" s="3"/>
      <c r="PY21" s="3"/>
      <c r="PZ21" s="3"/>
      <c r="QA21" s="3"/>
      <c r="QB21" s="3"/>
      <c r="QC21" s="3"/>
      <c r="QD21" s="3"/>
      <c r="QE21" s="3"/>
      <c r="QF21" s="3"/>
      <c r="QG21" s="3"/>
      <c r="QH21" s="3"/>
      <c r="QI21" s="3"/>
      <c r="QJ21" s="3"/>
      <c r="QK21" s="3"/>
      <c r="QL21" s="3"/>
      <c r="QM21" s="3"/>
      <c r="QN21" s="3"/>
      <c r="QO21" s="3"/>
      <c r="QP21" s="3"/>
      <c r="QQ21" s="3"/>
      <c r="QR21" s="3"/>
      <c r="QS21" s="3"/>
      <c r="QT21" s="3"/>
      <c r="QU21" s="3"/>
      <c r="QV21" s="3"/>
      <c r="QW21" s="3"/>
      <c r="QX21" s="3"/>
      <c r="QY21" s="3"/>
      <c r="QZ21" s="3"/>
      <c r="RA21" s="3"/>
      <c r="RB21" s="3"/>
      <c r="RC21" s="3"/>
      <c r="RD21" s="3"/>
      <c r="RE21" s="3"/>
      <c r="RF21" s="3"/>
      <c r="RG21" s="3"/>
      <c r="RH21" s="3"/>
      <c r="RI21" s="3"/>
      <c r="RJ21" s="3"/>
      <c r="RK21" s="3"/>
      <c r="RL21" s="3"/>
      <c r="RM21" s="3"/>
      <c r="RN21" s="3"/>
      <c r="RO21" s="3"/>
      <c r="RP21" s="3"/>
      <c r="RQ21" s="3"/>
      <c r="RR21" s="3"/>
      <c r="RS21" s="3"/>
      <c r="RT21" s="3"/>
      <c r="RU21" s="3"/>
      <c r="RV21" s="3"/>
      <c r="RW21" s="3"/>
      <c r="RX21" s="3"/>
      <c r="RY21" s="3"/>
      <c r="RZ21" s="3"/>
      <c r="SA21" s="3"/>
      <c r="SB21" s="3"/>
      <c r="SC21" s="3"/>
      <c r="SD21" s="3"/>
      <c r="SE21" s="3"/>
      <c r="SF21" s="3"/>
      <c r="SG21" s="3"/>
      <c r="SH21" s="3"/>
      <c r="SI21" s="3"/>
      <c r="SJ21" s="3"/>
      <c r="SK21" s="3"/>
      <c r="SL21" s="3"/>
      <c r="SM21" s="3"/>
      <c r="SN21" s="3"/>
      <c r="SO21" s="3"/>
      <c r="SP21" s="3"/>
      <c r="SQ21" s="3"/>
      <c r="SR21" s="3"/>
      <c r="SS21" s="3"/>
      <c r="ST21" s="3"/>
      <c r="SU21" s="3"/>
      <c r="SV21" s="3"/>
      <c r="SW21" s="3"/>
      <c r="SX21" s="3"/>
      <c r="SY21" s="3"/>
      <c r="SZ21" s="3"/>
      <c r="TA21" s="3"/>
      <c r="TB21" s="3"/>
      <c r="TC21" s="3"/>
      <c r="TD21" s="3"/>
      <c r="TE21" s="3"/>
      <c r="TF21" s="3"/>
      <c r="TG21" s="3"/>
      <c r="TH21" s="3"/>
      <c r="TI21" s="3"/>
      <c r="TJ21" s="3"/>
      <c r="TK21" s="3"/>
      <c r="TL21" s="3"/>
      <c r="TM21" s="3"/>
      <c r="TN21" s="3"/>
      <c r="TO21" s="3"/>
      <c r="TP21" s="3"/>
      <c r="TQ21" s="3"/>
      <c r="TR21" s="3"/>
      <c r="TS21" s="3"/>
      <c r="TT21" s="3"/>
      <c r="TU21" s="3"/>
      <c r="TV21" s="3"/>
      <c r="TW21" s="3"/>
      <c r="TX21" s="3"/>
      <c r="TY21" s="3"/>
      <c r="TZ21" s="3"/>
      <c r="UA21" s="3"/>
      <c r="UB21" s="3"/>
      <c r="UC21" s="3"/>
      <c r="UD21" s="3"/>
      <c r="UE21" s="3"/>
      <c r="UF21" s="3"/>
      <c r="UG21" s="3"/>
      <c r="UH21" s="3"/>
      <c r="UI21" s="3"/>
      <c r="UJ21" s="3"/>
      <c r="UK21" s="3"/>
      <c r="UL21" s="3"/>
      <c r="UM21" s="3"/>
      <c r="UN21" s="3"/>
      <c r="UO21" s="3"/>
      <c r="UP21" s="3"/>
      <c r="UQ21" s="3"/>
      <c r="UR21" s="3"/>
      <c r="US21" s="3"/>
      <c r="UT21" s="3"/>
      <c r="UU21" s="3"/>
      <c r="UV21" s="3"/>
      <c r="UW21" s="3"/>
      <c r="UX21" s="3"/>
      <c r="UY21" s="3"/>
      <c r="UZ21" s="3"/>
      <c r="VA21" s="3"/>
      <c r="VB21" s="3"/>
      <c r="VC21" s="3"/>
      <c r="VD21" s="3"/>
      <c r="VE21" s="3"/>
      <c r="VF21" s="3"/>
      <c r="VG21" s="3"/>
      <c r="VH21" s="3"/>
      <c r="VI21" s="3"/>
      <c r="VJ21" s="3"/>
      <c r="VK21" s="3"/>
      <c r="VL21" s="3"/>
      <c r="VM21" s="3"/>
      <c r="VN21" s="3"/>
      <c r="VO21" s="3"/>
      <c r="VP21" s="3"/>
      <c r="VQ21" s="3"/>
      <c r="VR21" s="3"/>
      <c r="VS21" s="3"/>
      <c r="VT21" s="3"/>
      <c r="VU21" s="3"/>
      <c r="VV21" s="3"/>
      <c r="VW21" s="3"/>
      <c r="VX21" s="3"/>
      <c r="VY21" s="3"/>
      <c r="VZ21" s="3"/>
      <c r="WA21" s="3"/>
      <c r="WB21" s="3"/>
      <c r="WC21" s="3"/>
      <c r="WD21" s="3"/>
      <c r="WE21" s="3"/>
      <c r="WF21" s="3"/>
      <c r="WG21" s="3"/>
      <c r="WH21" s="3"/>
      <c r="WI21" s="3"/>
      <c r="WJ21" s="3"/>
      <c r="WK21" s="3"/>
      <c r="WL21" s="3"/>
      <c r="WM21" s="3"/>
      <c r="WN21" s="3"/>
      <c r="WO21" s="3"/>
      <c r="WP21" s="3"/>
      <c r="WQ21" s="3"/>
      <c r="WR21" s="3"/>
      <c r="WS21" s="3"/>
      <c r="WT21" s="3"/>
      <c r="WU21" s="3"/>
      <c r="WV21" s="3"/>
      <c r="WW21" s="3"/>
      <c r="WX21" s="3"/>
      <c r="WY21" s="3"/>
      <c r="WZ21" s="3"/>
      <c r="XA21" s="3"/>
      <c r="XB21" s="3"/>
      <c r="XC21" s="3"/>
      <c r="XD21" s="3"/>
      <c r="XE21" s="3"/>
      <c r="XF21" s="3"/>
      <c r="XG21" s="3"/>
      <c r="XH21" s="3"/>
      <c r="XI21" s="3"/>
      <c r="XJ21" s="3"/>
      <c r="XK21" s="3"/>
      <c r="XL21" s="3"/>
      <c r="XM21" s="3"/>
      <c r="XN21" s="3"/>
      <c r="XO21" s="3"/>
      <c r="XP21" s="3"/>
      <c r="XQ21" s="3"/>
      <c r="XR21" s="3"/>
      <c r="XS21" s="3"/>
      <c r="XT21" s="3"/>
      <c r="XU21" s="3"/>
      <c r="XV21" s="3"/>
      <c r="XW21" s="3"/>
      <c r="XX21" s="3"/>
      <c r="XY21" s="3"/>
      <c r="XZ21" s="3"/>
      <c r="YA21" s="3"/>
      <c r="YB21" s="3"/>
      <c r="YC21" s="3"/>
      <c r="YD21" s="3"/>
      <c r="YE21" s="3"/>
      <c r="YF21" s="3"/>
      <c r="YG21" s="3"/>
      <c r="YH21" s="3"/>
      <c r="YI21" s="3"/>
      <c r="YJ21" s="3"/>
      <c r="YK21" s="3"/>
      <c r="YL21" s="3"/>
      <c r="YM21" s="3"/>
      <c r="YN21" s="3"/>
      <c r="YO21" s="3"/>
      <c r="YP21" s="3"/>
      <c r="YQ21" s="3"/>
      <c r="YR21" s="3"/>
      <c r="YS21" s="3"/>
      <c r="YT21" s="3"/>
      <c r="YU21" s="3"/>
      <c r="YV21" s="3"/>
      <c r="YW21" s="3"/>
      <c r="YX21" s="3"/>
      <c r="YY21" s="3"/>
      <c r="YZ21" s="3"/>
      <c r="ZA21" s="3"/>
      <c r="ZB21" s="3"/>
      <c r="ZC21" s="3"/>
      <c r="ZD21" s="3"/>
      <c r="ZE21" s="3"/>
      <c r="ZF21" s="3"/>
      <c r="ZG21" s="3"/>
      <c r="ZH21" s="3"/>
      <c r="ZI21" s="3"/>
      <c r="ZJ21" s="3"/>
      <c r="ZK21" s="3"/>
      <c r="ZL21" s="3"/>
      <c r="ZM21" s="3"/>
      <c r="ZN21" s="3"/>
      <c r="ZO21" s="3"/>
      <c r="ZP21" s="3"/>
      <c r="ZQ21" s="3"/>
      <c r="ZR21" s="3"/>
      <c r="ZS21" s="3"/>
      <c r="ZT21" s="3"/>
      <c r="ZU21" s="3"/>
      <c r="ZV21" s="3"/>
      <c r="ZW21" s="3"/>
      <c r="ZX21" s="3"/>
      <c r="ZY21" s="3"/>
      <c r="ZZ21" s="3"/>
      <c r="AAA21" s="3"/>
      <c r="AAB21" s="3"/>
      <c r="AAC21" s="3"/>
      <c r="AAD21" s="3"/>
      <c r="AAE21" s="3"/>
      <c r="AAF21" s="3"/>
      <c r="AAG21" s="3"/>
      <c r="AAH21" s="3"/>
      <c r="AAI21" s="3"/>
      <c r="AAJ21" s="3"/>
      <c r="AAK21" s="3"/>
      <c r="AAL21" s="3"/>
      <c r="AAM21" s="3"/>
      <c r="AAN21" s="3"/>
      <c r="AAO21" s="3"/>
      <c r="AAP21" s="3"/>
      <c r="AAQ21" s="3"/>
      <c r="AAR21" s="3"/>
      <c r="AAS21" s="3"/>
      <c r="AAT21" s="3"/>
      <c r="AAU21" s="3"/>
      <c r="AAV21" s="3"/>
      <c r="AAW21" s="3"/>
      <c r="AAX21" s="3"/>
      <c r="AAY21" s="3"/>
      <c r="AAZ21" s="3"/>
      <c r="ABA21" s="3"/>
      <c r="ABB21" s="3"/>
      <c r="ABC21" s="3"/>
      <c r="ABD21" s="3"/>
      <c r="ABE21" s="3"/>
      <c r="ABF21" s="3"/>
      <c r="ABG21" s="3"/>
      <c r="ABH21" s="3"/>
      <c r="ABI21" s="3"/>
      <c r="ABJ21" s="3"/>
      <c r="ABK21" s="3"/>
      <c r="ABL21" s="3"/>
      <c r="ABM21" s="3"/>
      <c r="ABN21" s="3"/>
      <c r="ABO21" s="3"/>
      <c r="ABP21" s="3"/>
      <c r="ABQ21" s="3"/>
      <c r="ABR21" s="3"/>
      <c r="ABS21" s="3"/>
      <c r="ABT21" s="3"/>
      <c r="ABU21" s="3"/>
      <c r="ABV21" s="3"/>
      <c r="ABW21" s="3"/>
      <c r="ABX21" s="3"/>
      <c r="ABY21" s="3"/>
      <c r="ABZ21" s="3"/>
      <c r="ACA21" s="3"/>
      <c r="ACB21" s="3"/>
      <c r="ACC21" s="3"/>
      <c r="ACD21" s="3"/>
      <c r="ACE21" s="3"/>
      <c r="ACF21" s="3"/>
      <c r="ACG21" s="3"/>
      <c r="ACH21" s="3"/>
      <c r="ACI21" s="3"/>
      <c r="ACJ21" s="3"/>
      <c r="ACK21" s="3"/>
      <c r="ACL21" s="3"/>
      <c r="ACM21" s="3"/>
      <c r="ACN21" s="3"/>
      <c r="ACO21" s="3"/>
      <c r="ACP21" s="3"/>
      <c r="ACQ21" s="3"/>
      <c r="ACR21" s="3"/>
      <c r="ACS21" s="3"/>
      <c r="ACT21" s="3"/>
      <c r="ACU21" s="3"/>
      <c r="ACV21" s="3"/>
      <c r="ACW21" s="3"/>
      <c r="ACX21" s="3"/>
      <c r="ACY21" s="3"/>
      <c r="ACZ21" s="3"/>
    </row>
    <row r="22" spans="1:780" ht="249" customHeight="1" x14ac:dyDescent="0.2">
      <c r="A22" s="7"/>
      <c r="B22" s="7"/>
      <c r="C22" s="2"/>
      <c r="D22" s="2"/>
      <c r="E22" s="6"/>
      <c r="F22" s="6"/>
      <c r="G22" s="6"/>
      <c r="H22" s="6"/>
      <c r="I22" s="2"/>
      <c r="J22" s="4"/>
      <c r="K22" s="4"/>
      <c r="L22" s="2"/>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c r="HF22" s="3"/>
      <c r="HG22" s="3"/>
      <c r="HH22" s="3"/>
      <c r="HI22" s="3"/>
      <c r="HJ22" s="3"/>
      <c r="HK22" s="3"/>
      <c r="HL22" s="3"/>
      <c r="HM22" s="3"/>
      <c r="HN22" s="3"/>
      <c r="HO22" s="3"/>
      <c r="HP22" s="3"/>
      <c r="HQ22" s="3"/>
      <c r="HR22" s="3"/>
      <c r="HS22" s="3"/>
      <c r="HT22" s="3"/>
      <c r="HU22" s="3"/>
      <c r="HV22" s="3"/>
      <c r="HW22" s="3"/>
      <c r="HX22" s="3"/>
      <c r="HY22" s="3"/>
      <c r="HZ22" s="3"/>
      <c r="IA22" s="3"/>
      <c r="IB22" s="3"/>
      <c r="IC22" s="3"/>
      <c r="ID22" s="3"/>
      <c r="IE22" s="3"/>
      <c r="IF22" s="3"/>
      <c r="IG22" s="3"/>
      <c r="IH22" s="3"/>
      <c r="II22" s="3"/>
      <c r="IJ22" s="3"/>
      <c r="IK22" s="3"/>
      <c r="IL22" s="3"/>
      <c r="IM22" s="3"/>
      <c r="IN22" s="3"/>
      <c r="IO22" s="3"/>
      <c r="IP22" s="3"/>
      <c r="IQ22" s="3"/>
      <c r="IR22" s="3"/>
      <c r="IS22" s="3"/>
      <c r="IT22" s="3"/>
      <c r="IU22" s="3"/>
      <c r="IV22" s="3"/>
      <c r="IW22" s="3"/>
      <c r="IX22" s="3"/>
      <c r="IY22" s="3"/>
      <c r="IZ22" s="3"/>
      <c r="JA22" s="3"/>
      <c r="JB22" s="3"/>
      <c r="JC22" s="3"/>
      <c r="JD22" s="3"/>
      <c r="JE22" s="3"/>
      <c r="JF22" s="3"/>
      <c r="JG22" s="3"/>
      <c r="JH22" s="3"/>
      <c r="JI22" s="3"/>
      <c r="JJ22" s="3"/>
      <c r="JK22" s="3"/>
      <c r="JL22" s="3"/>
      <c r="JM22" s="3"/>
      <c r="JN22" s="3"/>
      <c r="JO22" s="3"/>
      <c r="JP22" s="3"/>
      <c r="JQ22" s="3"/>
      <c r="JR22" s="3"/>
      <c r="JS22" s="3"/>
      <c r="JT22" s="3"/>
      <c r="JU22" s="3"/>
      <c r="JV22" s="3"/>
      <c r="JW22" s="3"/>
      <c r="JX22" s="3"/>
      <c r="JY22" s="3"/>
      <c r="JZ22" s="3"/>
      <c r="KA22" s="3"/>
      <c r="KB22" s="3"/>
      <c r="KC22" s="3"/>
      <c r="KD22" s="3"/>
      <c r="KE22" s="3"/>
      <c r="KF22" s="3"/>
      <c r="KG22" s="3"/>
      <c r="KH22" s="3"/>
      <c r="KI22" s="3"/>
      <c r="KJ22" s="3"/>
      <c r="KK22" s="3"/>
      <c r="KL22" s="3"/>
      <c r="KM22" s="3"/>
      <c r="KN22" s="3"/>
      <c r="KO22" s="3"/>
      <c r="KP22" s="3"/>
      <c r="KQ22" s="3"/>
      <c r="KR22" s="3"/>
      <c r="KS22" s="3"/>
      <c r="KT22" s="3"/>
      <c r="KU22" s="3"/>
      <c r="KV22" s="3"/>
      <c r="KW22" s="3"/>
      <c r="KX22" s="3"/>
      <c r="KY22" s="3"/>
      <c r="KZ22" s="3"/>
      <c r="LA22" s="3"/>
      <c r="LB22" s="3"/>
      <c r="LC22" s="3"/>
      <c r="LD22" s="3"/>
      <c r="LE22" s="3"/>
      <c r="LF22" s="3"/>
      <c r="LG22" s="3"/>
      <c r="LH22" s="3"/>
      <c r="LI22" s="3"/>
      <c r="LJ22" s="3"/>
      <c r="LK22" s="3"/>
      <c r="LL22" s="3"/>
      <c r="LM22" s="3"/>
      <c r="LN22" s="3"/>
      <c r="LO22" s="3"/>
      <c r="LP22" s="3"/>
      <c r="LQ22" s="3"/>
      <c r="LR22" s="3"/>
      <c r="LS22" s="3"/>
      <c r="LT22" s="3"/>
      <c r="LU22" s="3"/>
      <c r="LV22" s="3"/>
      <c r="LW22" s="3"/>
      <c r="LX22" s="3"/>
      <c r="LY22" s="3"/>
      <c r="LZ22" s="3"/>
      <c r="MA22" s="3"/>
      <c r="MB22" s="3"/>
      <c r="MC22" s="3"/>
      <c r="MD22" s="3"/>
      <c r="ME22" s="3"/>
      <c r="MF22" s="3"/>
      <c r="MG22" s="3"/>
      <c r="MH22" s="3"/>
      <c r="MI22" s="3"/>
      <c r="MJ22" s="3"/>
      <c r="MK22" s="3"/>
      <c r="ML22" s="3"/>
      <c r="MM22" s="3"/>
      <c r="MN22" s="3"/>
      <c r="MO22" s="3"/>
      <c r="MP22" s="3"/>
      <c r="MQ22" s="3"/>
      <c r="MR22" s="3"/>
      <c r="MS22" s="3"/>
      <c r="MT22" s="3"/>
      <c r="MU22" s="3"/>
      <c r="MV22" s="3"/>
      <c r="MW22" s="3"/>
      <c r="MX22" s="3"/>
      <c r="MY22" s="3"/>
      <c r="MZ22" s="3"/>
      <c r="NA22" s="3"/>
      <c r="NB22" s="3"/>
      <c r="NC22" s="3"/>
      <c r="ND22" s="3"/>
      <c r="NE22" s="3"/>
      <c r="NF22" s="3"/>
      <c r="NG22" s="3"/>
      <c r="NH22" s="3"/>
      <c r="NI22" s="3"/>
      <c r="NJ22" s="3"/>
      <c r="NK22" s="3"/>
      <c r="NL22" s="3"/>
      <c r="NM22" s="3"/>
      <c r="NN22" s="3"/>
      <c r="NO22" s="3"/>
      <c r="NP22" s="3"/>
      <c r="NQ22" s="3"/>
      <c r="NR22" s="3"/>
      <c r="NS22" s="3"/>
      <c r="NT22" s="3"/>
      <c r="NU22" s="3"/>
      <c r="NV22" s="3"/>
      <c r="NW22" s="3"/>
      <c r="NX22" s="3"/>
      <c r="NY22" s="3"/>
      <c r="NZ22" s="3"/>
      <c r="OA22" s="3"/>
      <c r="OB22" s="3"/>
      <c r="OC22" s="3"/>
      <c r="OD22" s="3"/>
      <c r="OE22" s="3"/>
      <c r="OF22" s="3"/>
      <c r="OG22" s="3"/>
      <c r="OH22" s="3"/>
      <c r="OI22" s="3"/>
      <c r="OJ22" s="3"/>
      <c r="OK22" s="3"/>
      <c r="OL22" s="3"/>
      <c r="OM22" s="3"/>
      <c r="ON22" s="3"/>
      <c r="OO22" s="3"/>
      <c r="OP22" s="3"/>
      <c r="OQ22" s="3"/>
      <c r="OR22" s="3"/>
      <c r="OS22" s="3"/>
      <c r="OT22" s="3"/>
      <c r="OU22" s="3"/>
      <c r="OV22" s="3"/>
      <c r="OW22" s="3"/>
      <c r="OX22" s="3"/>
      <c r="OY22" s="3"/>
      <c r="OZ22" s="3"/>
      <c r="PA22" s="3"/>
      <c r="PB22" s="3"/>
      <c r="PC22" s="3"/>
      <c r="PD22" s="3"/>
      <c r="PE22" s="3"/>
      <c r="PF22" s="3"/>
      <c r="PG22" s="3"/>
      <c r="PH22" s="3"/>
      <c r="PI22" s="3"/>
      <c r="PJ22" s="3"/>
      <c r="PK22" s="3"/>
      <c r="PL22" s="3"/>
      <c r="PM22" s="3"/>
      <c r="PN22" s="3"/>
      <c r="PO22" s="3"/>
      <c r="PP22" s="3"/>
      <c r="PQ22" s="3"/>
      <c r="PR22" s="3"/>
      <c r="PS22" s="3"/>
      <c r="PT22" s="3"/>
      <c r="PU22" s="3"/>
      <c r="PV22" s="3"/>
      <c r="PW22" s="3"/>
      <c r="PX22" s="3"/>
      <c r="PY22" s="3"/>
      <c r="PZ22" s="3"/>
      <c r="QA22" s="3"/>
      <c r="QB22" s="3"/>
      <c r="QC22" s="3"/>
      <c r="QD22" s="3"/>
      <c r="QE22" s="3"/>
      <c r="QF22" s="3"/>
      <c r="QG22" s="3"/>
      <c r="QH22" s="3"/>
      <c r="QI22" s="3"/>
      <c r="QJ22" s="3"/>
      <c r="QK22" s="3"/>
      <c r="QL22" s="3"/>
      <c r="QM22" s="3"/>
      <c r="QN22" s="3"/>
      <c r="QO22" s="3"/>
      <c r="QP22" s="3"/>
      <c r="QQ22" s="3"/>
      <c r="QR22" s="3"/>
      <c r="QS22" s="3"/>
      <c r="QT22" s="3"/>
      <c r="QU22" s="3"/>
      <c r="QV22" s="3"/>
      <c r="QW22" s="3"/>
      <c r="QX22" s="3"/>
      <c r="QY22" s="3"/>
      <c r="QZ22" s="3"/>
      <c r="RA22" s="3"/>
      <c r="RB22" s="3"/>
      <c r="RC22" s="3"/>
      <c r="RD22" s="3"/>
      <c r="RE22" s="3"/>
      <c r="RF22" s="3"/>
      <c r="RG22" s="3"/>
      <c r="RH22" s="3"/>
      <c r="RI22" s="3"/>
      <c r="RJ22" s="3"/>
      <c r="RK22" s="3"/>
      <c r="RL22" s="3"/>
      <c r="RM22" s="3"/>
      <c r="RN22" s="3"/>
      <c r="RO22" s="3"/>
      <c r="RP22" s="3"/>
      <c r="RQ22" s="3"/>
      <c r="RR22" s="3"/>
      <c r="RS22" s="3"/>
      <c r="RT22" s="3"/>
      <c r="RU22" s="3"/>
      <c r="RV22" s="3"/>
      <c r="RW22" s="3"/>
      <c r="RX22" s="3"/>
      <c r="RY22" s="3"/>
      <c r="RZ22" s="3"/>
      <c r="SA22" s="3"/>
      <c r="SB22" s="3"/>
      <c r="SC22" s="3"/>
      <c r="SD22" s="3"/>
      <c r="SE22" s="3"/>
      <c r="SF22" s="3"/>
      <c r="SG22" s="3"/>
      <c r="SH22" s="3"/>
      <c r="SI22" s="3"/>
      <c r="SJ22" s="3"/>
      <c r="SK22" s="3"/>
      <c r="SL22" s="3"/>
      <c r="SM22" s="3"/>
      <c r="SN22" s="3"/>
      <c r="SO22" s="3"/>
      <c r="SP22" s="3"/>
      <c r="SQ22" s="3"/>
      <c r="SR22" s="3"/>
      <c r="SS22" s="3"/>
      <c r="ST22" s="3"/>
      <c r="SU22" s="3"/>
      <c r="SV22" s="3"/>
      <c r="SW22" s="3"/>
      <c r="SX22" s="3"/>
      <c r="SY22" s="3"/>
      <c r="SZ22" s="3"/>
      <c r="TA22" s="3"/>
      <c r="TB22" s="3"/>
      <c r="TC22" s="3"/>
      <c r="TD22" s="3"/>
      <c r="TE22" s="3"/>
      <c r="TF22" s="3"/>
      <c r="TG22" s="3"/>
      <c r="TH22" s="3"/>
      <c r="TI22" s="3"/>
      <c r="TJ22" s="3"/>
      <c r="TK22" s="3"/>
      <c r="TL22" s="3"/>
      <c r="TM22" s="3"/>
      <c r="TN22" s="3"/>
      <c r="TO22" s="3"/>
      <c r="TP22" s="3"/>
      <c r="TQ22" s="3"/>
      <c r="TR22" s="3"/>
      <c r="TS22" s="3"/>
      <c r="TT22" s="3"/>
      <c r="TU22" s="3"/>
      <c r="TV22" s="3"/>
      <c r="TW22" s="3"/>
      <c r="TX22" s="3"/>
      <c r="TY22" s="3"/>
      <c r="TZ22" s="3"/>
      <c r="UA22" s="3"/>
      <c r="UB22" s="3"/>
      <c r="UC22" s="3"/>
      <c r="UD22" s="3"/>
      <c r="UE22" s="3"/>
      <c r="UF22" s="3"/>
      <c r="UG22" s="3"/>
      <c r="UH22" s="3"/>
      <c r="UI22" s="3"/>
      <c r="UJ22" s="3"/>
      <c r="UK22" s="3"/>
      <c r="UL22" s="3"/>
      <c r="UM22" s="3"/>
      <c r="UN22" s="3"/>
      <c r="UO22" s="3"/>
      <c r="UP22" s="3"/>
      <c r="UQ22" s="3"/>
      <c r="UR22" s="3"/>
      <c r="US22" s="3"/>
      <c r="UT22" s="3"/>
      <c r="UU22" s="3"/>
      <c r="UV22" s="3"/>
      <c r="UW22" s="3"/>
      <c r="UX22" s="3"/>
      <c r="UY22" s="3"/>
      <c r="UZ22" s="3"/>
      <c r="VA22" s="3"/>
      <c r="VB22" s="3"/>
      <c r="VC22" s="3"/>
      <c r="VD22" s="3"/>
      <c r="VE22" s="3"/>
      <c r="VF22" s="3"/>
      <c r="VG22" s="3"/>
      <c r="VH22" s="3"/>
      <c r="VI22" s="3"/>
      <c r="VJ22" s="3"/>
      <c r="VK22" s="3"/>
      <c r="VL22" s="3"/>
      <c r="VM22" s="3"/>
      <c r="VN22" s="3"/>
      <c r="VO22" s="3"/>
      <c r="VP22" s="3"/>
      <c r="VQ22" s="3"/>
      <c r="VR22" s="3"/>
      <c r="VS22" s="3"/>
      <c r="VT22" s="3"/>
      <c r="VU22" s="3"/>
      <c r="VV22" s="3"/>
      <c r="VW22" s="3"/>
      <c r="VX22" s="3"/>
      <c r="VY22" s="3"/>
      <c r="VZ22" s="3"/>
      <c r="WA22" s="3"/>
      <c r="WB22" s="3"/>
      <c r="WC22" s="3"/>
      <c r="WD22" s="3"/>
      <c r="WE22" s="3"/>
      <c r="WF22" s="3"/>
      <c r="WG22" s="3"/>
      <c r="WH22" s="3"/>
      <c r="WI22" s="3"/>
      <c r="WJ22" s="3"/>
      <c r="WK22" s="3"/>
      <c r="WL22" s="3"/>
      <c r="WM22" s="3"/>
      <c r="WN22" s="3"/>
      <c r="WO22" s="3"/>
      <c r="WP22" s="3"/>
      <c r="WQ22" s="3"/>
      <c r="WR22" s="3"/>
      <c r="WS22" s="3"/>
      <c r="WT22" s="3"/>
      <c r="WU22" s="3"/>
      <c r="WV22" s="3"/>
      <c r="WW22" s="3"/>
      <c r="WX22" s="3"/>
      <c r="WY22" s="3"/>
      <c r="WZ22" s="3"/>
      <c r="XA22" s="3"/>
      <c r="XB22" s="3"/>
      <c r="XC22" s="3"/>
      <c r="XD22" s="3"/>
      <c r="XE22" s="3"/>
      <c r="XF22" s="3"/>
      <c r="XG22" s="3"/>
      <c r="XH22" s="3"/>
      <c r="XI22" s="3"/>
      <c r="XJ22" s="3"/>
      <c r="XK22" s="3"/>
      <c r="XL22" s="3"/>
      <c r="XM22" s="3"/>
      <c r="XN22" s="3"/>
      <c r="XO22" s="3"/>
      <c r="XP22" s="3"/>
      <c r="XQ22" s="3"/>
      <c r="XR22" s="3"/>
      <c r="XS22" s="3"/>
      <c r="XT22" s="3"/>
      <c r="XU22" s="3"/>
      <c r="XV22" s="3"/>
      <c r="XW22" s="3"/>
      <c r="XX22" s="3"/>
      <c r="XY22" s="3"/>
      <c r="XZ22" s="3"/>
      <c r="YA22" s="3"/>
      <c r="YB22" s="3"/>
      <c r="YC22" s="3"/>
      <c r="YD22" s="3"/>
      <c r="YE22" s="3"/>
      <c r="YF22" s="3"/>
      <c r="YG22" s="3"/>
      <c r="YH22" s="3"/>
      <c r="YI22" s="3"/>
      <c r="YJ22" s="3"/>
      <c r="YK22" s="3"/>
      <c r="YL22" s="3"/>
      <c r="YM22" s="3"/>
      <c r="YN22" s="3"/>
      <c r="YO22" s="3"/>
      <c r="YP22" s="3"/>
      <c r="YQ22" s="3"/>
      <c r="YR22" s="3"/>
      <c r="YS22" s="3"/>
      <c r="YT22" s="3"/>
      <c r="YU22" s="3"/>
      <c r="YV22" s="3"/>
      <c r="YW22" s="3"/>
      <c r="YX22" s="3"/>
      <c r="YY22" s="3"/>
      <c r="YZ22" s="3"/>
      <c r="ZA22" s="3"/>
      <c r="ZB22" s="3"/>
      <c r="ZC22" s="3"/>
      <c r="ZD22" s="3"/>
      <c r="ZE22" s="3"/>
      <c r="ZF22" s="3"/>
      <c r="ZG22" s="3"/>
      <c r="ZH22" s="3"/>
      <c r="ZI22" s="3"/>
      <c r="ZJ22" s="3"/>
      <c r="ZK22" s="3"/>
      <c r="ZL22" s="3"/>
      <c r="ZM22" s="3"/>
      <c r="ZN22" s="3"/>
      <c r="ZO22" s="3"/>
      <c r="ZP22" s="3"/>
      <c r="ZQ22" s="3"/>
      <c r="ZR22" s="3"/>
      <c r="ZS22" s="3"/>
      <c r="ZT22" s="3"/>
      <c r="ZU22" s="3"/>
      <c r="ZV22" s="3"/>
      <c r="ZW22" s="3"/>
      <c r="ZX22" s="3"/>
      <c r="ZY22" s="3"/>
      <c r="ZZ22" s="3"/>
      <c r="AAA22" s="3"/>
      <c r="AAB22" s="3"/>
      <c r="AAC22" s="3"/>
      <c r="AAD22" s="3"/>
      <c r="AAE22" s="3"/>
      <c r="AAF22" s="3"/>
      <c r="AAG22" s="3"/>
      <c r="AAH22" s="3"/>
      <c r="AAI22" s="3"/>
      <c r="AAJ22" s="3"/>
      <c r="AAK22" s="3"/>
      <c r="AAL22" s="3"/>
      <c r="AAM22" s="3"/>
      <c r="AAN22" s="3"/>
      <c r="AAO22" s="3"/>
      <c r="AAP22" s="3"/>
      <c r="AAQ22" s="3"/>
      <c r="AAR22" s="3"/>
      <c r="AAS22" s="3"/>
      <c r="AAT22" s="3"/>
      <c r="AAU22" s="3"/>
      <c r="AAV22" s="3"/>
      <c r="AAW22" s="3"/>
      <c r="AAX22" s="3"/>
      <c r="AAY22" s="3"/>
      <c r="AAZ22" s="3"/>
      <c r="ABA22" s="3"/>
      <c r="ABB22" s="3"/>
      <c r="ABC22" s="3"/>
      <c r="ABD22" s="3"/>
      <c r="ABE22" s="3"/>
      <c r="ABF22" s="3"/>
      <c r="ABG22" s="3"/>
      <c r="ABH22" s="3"/>
      <c r="ABI22" s="3"/>
      <c r="ABJ22" s="3"/>
      <c r="ABK22" s="3"/>
      <c r="ABL22" s="3"/>
      <c r="ABM22" s="3"/>
      <c r="ABN22" s="3"/>
      <c r="ABO22" s="3"/>
      <c r="ABP22" s="3"/>
      <c r="ABQ22" s="3"/>
      <c r="ABR22" s="3"/>
      <c r="ABS22" s="3"/>
      <c r="ABT22" s="3"/>
      <c r="ABU22" s="3"/>
      <c r="ABV22" s="3"/>
      <c r="ABW22" s="3"/>
      <c r="ABX22" s="3"/>
      <c r="ABY22" s="3"/>
      <c r="ABZ22" s="3"/>
      <c r="ACA22" s="3"/>
      <c r="ACB22" s="3"/>
      <c r="ACC22" s="3"/>
      <c r="ACD22" s="3"/>
      <c r="ACE22" s="3"/>
      <c r="ACF22" s="3"/>
      <c r="ACG22" s="3"/>
      <c r="ACH22" s="3"/>
      <c r="ACI22" s="3"/>
      <c r="ACJ22" s="3"/>
      <c r="ACK22" s="3"/>
      <c r="ACL22" s="3"/>
      <c r="ACM22" s="3"/>
      <c r="ACN22" s="3"/>
      <c r="ACO22" s="3"/>
      <c r="ACP22" s="3"/>
      <c r="ACQ22" s="3"/>
      <c r="ACR22" s="3"/>
      <c r="ACS22" s="3"/>
      <c r="ACT22" s="3"/>
      <c r="ACU22" s="3"/>
      <c r="ACV22" s="3"/>
      <c r="ACW22" s="3"/>
      <c r="ACX22" s="3"/>
      <c r="ACY22" s="3"/>
      <c r="ACZ22" s="3"/>
    </row>
    <row r="23" spans="1:780" x14ac:dyDescent="0.2">
      <c r="A23" s="7"/>
      <c r="B23" s="7"/>
      <c r="C23" s="2"/>
      <c r="D23" s="2"/>
      <c r="E23" s="6"/>
      <c r="F23" s="6"/>
      <c r="G23" s="6"/>
      <c r="H23" s="6"/>
      <c r="I23" s="2"/>
      <c r="J23" s="4"/>
      <c r="K23" s="4"/>
      <c r="L23" s="2"/>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c r="IS23" s="3"/>
      <c r="IT23" s="3"/>
      <c r="IU23" s="3"/>
      <c r="IV23" s="3"/>
      <c r="IW23" s="3"/>
      <c r="IX23" s="3"/>
      <c r="IY23" s="3"/>
      <c r="IZ23" s="3"/>
      <c r="JA23" s="3"/>
      <c r="JB23" s="3"/>
      <c r="JC23" s="3"/>
      <c r="JD23" s="3"/>
      <c r="JE23" s="3"/>
      <c r="JF23" s="3"/>
      <c r="JG23" s="3"/>
      <c r="JH23" s="3"/>
      <c r="JI23" s="3"/>
      <c r="JJ23" s="3"/>
      <c r="JK23" s="3"/>
      <c r="JL23" s="3"/>
      <c r="JM23" s="3"/>
      <c r="JN23" s="3"/>
      <c r="JO23" s="3"/>
      <c r="JP23" s="3"/>
      <c r="JQ23" s="3"/>
      <c r="JR23" s="3"/>
      <c r="JS23" s="3"/>
      <c r="JT23" s="3"/>
      <c r="JU23" s="3"/>
      <c r="JV23" s="3"/>
      <c r="JW23" s="3"/>
      <c r="JX23" s="3"/>
      <c r="JY23" s="3"/>
      <c r="JZ23" s="3"/>
      <c r="KA23" s="3"/>
      <c r="KB23" s="3"/>
      <c r="KC23" s="3"/>
      <c r="KD23" s="3"/>
      <c r="KE23" s="3"/>
      <c r="KF23" s="3"/>
      <c r="KG23" s="3"/>
      <c r="KH23" s="3"/>
      <c r="KI23" s="3"/>
      <c r="KJ23" s="3"/>
      <c r="KK23" s="3"/>
      <c r="KL23" s="3"/>
      <c r="KM23" s="3"/>
      <c r="KN23" s="3"/>
      <c r="KO23" s="3"/>
      <c r="KP23" s="3"/>
      <c r="KQ23" s="3"/>
      <c r="KR23" s="3"/>
      <c r="KS23" s="3"/>
      <c r="KT23" s="3"/>
      <c r="KU23" s="3"/>
      <c r="KV23" s="3"/>
      <c r="KW23" s="3"/>
      <c r="KX23" s="3"/>
      <c r="KY23" s="3"/>
      <c r="KZ23" s="3"/>
      <c r="LA23" s="3"/>
      <c r="LB23" s="3"/>
      <c r="LC23" s="3"/>
      <c r="LD23" s="3"/>
      <c r="LE23" s="3"/>
      <c r="LF23" s="3"/>
      <c r="LG23" s="3"/>
      <c r="LH23" s="3"/>
      <c r="LI23" s="3"/>
      <c r="LJ23" s="3"/>
      <c r="LK23" s="3"/>
      <c r="LL23" s="3"/>
      <c r="LM23" s="3"/>
      <c r="LN23" s="3"/>
      <c r="LO23" s="3"/>
      <c r="LP23" s="3"/>
      <c r="LQ23" s="3"/>
      <c r="LR23" s="3"/>
      <c r="LS23" s="3"/>
      <c r="LT23" s="3"/>
      <c r="LU23" s="3"/>
      <c r="LV23" s="3"/>
      <c r="LW23" s="3"/>
      <c r="LX23" s="3"/>
      <c r="LY23" s="3"/>
      <c r="LZ23" s="3"/>
      <c r="MA23" s="3"/>
      <c r="MB23" s="3"/>
      <c r="MC23" s="3"/>
      <c r="MD23" s="3"/>
      <c r="ME23" s="3"/>
      <c r="MF23" s="3"/>
      <c r="MG23" s="3"/>
      <c r="MH23" s="3"/>
      <c r="MI23" s="3"/>
      <c r="MJ23" s="3"/>
      <c r="MK23" s="3"/>
      <c r="ML23" s="3"/>
      <c r="MM23" s="3"/>
      <c r="MN23" s="3"/>
      <c r="MO23" s="3"/>
      <c r="MP23" s="3"/>
      <c r="MQ23" s="3"/>
      <c r="MR23" s="3"/>
      <c r="MS23" s="3"/>
      <c r="MT23" s="3"/>
      <c r="MU23" s="3"/>
      <c r="MV23" s="3"/>
      <c r="MW23" s="3"/>
      <c r="MX23" s="3"/>
      <c r="MY23" s="3"/>
      <c r="MZ23" s="3"/>
      <c r="NA23" s="3"/>
      <c r="NB23" s="3"/>
      <c r="NC23" s="3"/>
      <c r="ND23" s="3"/>
      <c r="NE23" s="3"/>
      <c r="NF23" s="3"/>
      <c r="NG23" s="3"/>
      <c r="NH23" s="3"/>
      <c r="NI23" s="3"/>
      <c r="NJ23" s="3"/>
      <c r="NK23" s="3"/>
      <c r="NL23" s="3"/>
      <c r="NM23" s="3"/>
      <c r="NN23" s="3"/>
      <c r="NO23" s="3"/>
      <c r="NP23" s="3"/>
      <c r="NQ23" s="3"/>
      <c r="NR23" s="3"/>
      <c r="NS23" s="3"/>
      <c r="NT23" s="3"/>
      <c r="NU23" s="3"/>
      <c r="NV23" s="3"/>
      <c r="NW23" s="3"/>
      <c r="NX23" s="3"/>
      <c r="NY23" s="3"/>
      <c r="NZ23" s="3"/>
      <c r="OA23" s="3"/>
      <c r="OB23" s="3"/>
      <c r="OC23" s="3"/>
      <c r="OD23" s="3"/>
      <c r="OE23" s="3"/>
      <c r="OF23" s="3"/>
      <c r="OG23" s="3"/>
      <c r="OH23" s="3"/>
      <c r="OI23" s="3"/>
      <c r="OJ23" s="3"/>
      <c r="OK23" s="3"/>
      <c r="OL23" s="3"/>
      <c r="OM23" s="3"/>
      <c r="ON23" s="3"/>
      <c r="OO23" s="3"/>
      <c r="OP23" s="3"/>
      <c r="OQ23" s="3"/>
      <c r="OR23" s="3"/>
      <c r="OS23" s="3"/>
      <c r="OT23" s="3"/>
      <c r="OU23" s="3"/>
      <c r="OV23" s="3"/>
      <c r="OW23" s="3"/>
      <c r="OX23" s="3"/>
      <c r="OY23" s="3"/>
      <c r="OZ23" s="3"/>
      <c r="PA23" s="3"/>
      <c r="PB23" s="3"/>
      <c r="PC23" s="3"/>
      <c r="PD23" s="3"/>
      <c r="PE23" s="3"/>
      <c r="PF23" s="3"/>
      <c r="PG23" s="3"/>
      <c r="PH23" s="3"/>
      <c r="PI23" s="3"/>
      <c r="PJ23" s="3"/>
      <c r="PK23" s="3"/>
      <c r="PL23" s="3"/>
      <c r="PM23" s="3"/>
      <c r="PN23" s="3"/>
      <c r="PO23" s="3"/>
      <c r="PP23" s="3"/>
      <c r="PQ23" s="3"/>
      <c r="PR23" s="3"/>
      <c r="PS23" s="3"/>
      <c r="PT23" s="3"/>
      <c r="PU23" s="3"/>
      <c r="PV23" s="3"/>
      <c r="PW23" s="3"/>
      <c r="PX23" s="3"/>
      <c r="PY23" s="3"/>
      <c r="PZ23" s="3"/>
      <c r="QA23" s="3"/>
      <c r="QB23" s="3"/>
      <c r="QC23" s="3"/>
      <c r="QD23" s="3"/>
      <c r="QE23" s="3"/>
      <c r="QF23" s="3"/>
      <c r="QG23" s="3"/>
      <c r="QH23" s="3"/>
      <c r="QI23" s="3"/>
      <c r="QJ23" s="3"/>
      <c r="QK23" s="3"/>
      <c r="QL23" s="3"/>
      <c r="QM23" s="3"/>
      <c r="QN23" s="3"/>
      <c r="QO23" s="3"/>
      <c r="QP23" s="3"/>
      <c r="QQ23" s="3"/>
      <c r="QR23" s="3"/>
      <c r="QS23" s="3"/>
      <c r="QT23" s="3"/>
      <c r="QU23" s="3"/>
      <c r="QV23" s="3"/>
      <c r="QW23" s="3"/>
      <c r="QX23" s="3"/>
      <c r="QY23" s="3"/>
      <c r="QZ23" s="3"/>
      <c r="RA23" s="3"/>
      <c r="RB23" s="3"/>
      <c r="RC23" s="3"/>
      <c r="RD23" s="3"/>
      <c r="RE23" s="3"/>
      <c r="RF23" s="3"/>
      <c r="RG23" s="3"/>
      <c r="RH23" s="3"/>
      <c r="RI23" s="3"/>
      <c r="RJ23" s="3"/>
      <c r="RK23" s="3"/>
      <c r="RL23" s="3"/>
      <c r="RM23" s="3"/>
      <c r="RN23" s="3"/>
      <c r="RO23" s="3"/>
      <c r="RP23" s="3"/>
      <c r="RQ23" s="3"/>
      <c r="RR23" s="3"/>
      <c r="RS23" s="3"/>
      <c r="RT23" s="3"/>
      <c r="RU23" s="3"/>
      <c r="RV23" s="3"/>
      <c r="RW23" s="3"/>
      <c r="RX23" s="3"/>
      <c r="RY23" s="3"/>
      <c r="RZ23" s="3"/>
      <c r="SA23" s="3"/>
      <c r="SB23" s="3"/>
      <c r="SC23" s="3"/>
      <c r="SD23" s="3"/>
      <c r="SE23" s="3"/>
      <c r="SF23" s="3"/>
      <c r="SG23" s="3"/>
      <c r="SH23" s="3"/>
      <c r="SI23" s="3"/>
      <c r="SJ23" s="3"/>
      <c r="SK23" s="3"/>
      <c r="SL23" s="3"/>
      <c r="SM23" s="3"/>
      <c r="SN23" s="3"/>
      <c r="SO23" s="3"/>
      <c r="SP23" s="3"/>
      <c r="SQ23" s="3"/>
      <c r="SR23" s="3"/>
      <c r="SS23" s="3"/>
      <c r="ST23" s="3"/>
      <c r="SU23" s="3"/>
      <c r="SV23" s="3"/>
      <c r="SW23" s="3"/>
      <c r="SX23" s="3"/>
      <c r="SY23" s="3"/>
      <c r="SZ23" s="3"/>
      <c r="TA23" s="3"/>
      <c r="TB23" s="3"/>
      <c r="TC23" s="3"/>
      <c r="TD23" s="3"/>
      <c r="TE23" s="3"/>
      <c r="TF23" s="3"/>
      <c r="TG23" s="3"/>
      <c r="TH23" s="3"/>
      <c r="TI23" s="3"/>
      <c r="TJ23" s="3"/>
      <c r="TK23" s="3"/>
      <c r="TL23" s="3"/>
      <c r="TM23" s="3"/>
      <c r="TN23" s="3"/>
      <c r="TO23" s="3"/>
      <c r="TP23" s="3"/>
      <c r="TQ23" s="3"/>
      <c r="TR23" s="3"/>
      <c r="TS23" s="3"/>
      <c r="TT23" s="3"/>
      <c r="TU23" s="3"/>
      <c r="TV23" s="3"/>
      <c r="TW23" s="3"/>
      <c r="TX23" s="3"/>
      <c r="TY23" s="3"/>
      <c r="TZ23" s="3"/>
      <c r="UA23" s="3"/>
      <c r="UB23" s="3"/>
      <c r="UC23" s="3"/>
      <c r="UD23" s="3"/>
      <c r="UE23" s="3"/>
      <c r="UF23" s="3"/>
      <c r="UG23" s="3"/>
      <c r="UH23" s="3"/>
      <c r="UI23" s="3"/>
      <c r="UJ23" s="3"/>
      <c r="UK23" s="3"/>
      <c r="UL23" s="3"/>
      <c r="UM23" s="3"/>
      <c r="UN23" s="3"/>
      <c r="UO23" s="3"/>
      <c r="UP23" s="3"/>
      <c r="UQ23" s="3"/>
      <c r="UR23" s="3"/>
      <c r="US23" s="3"/>
      <c r="UT23" s="3"/>
      <c r="UU23" s="3"/>
      <c r="UV23" s="3"/>
      <c r="UW23" s="3"/>
      <c r="UX23" s="3"/>
      <c r="UY23" s="3"/>
      <c r="UZ23" s="3"/>
      <c r="VA23" s="3"/>
      <c r="VB23" s="3"/>
      <c r="VC23" s="3"/>
      <c r="VD23" s="3"/>
      <c r="VE23" s="3"/>
      <c r="VF23" s="3"/>
      <c r="VG23" s="3"/>
      <c r="VH23" s="3"/>
      <c r="VI23" s="3"/>
      <c r="VJ23" s="3"/>
      <c r="VK23" s="3"/>
      <c r="VL23" s="3"/>
      <c r="VM23" s="3"/>
      <c r="VN23" s="3"/>
      <c r="VO23" s="3"/>
      <c r="VP23" s="3"/>
      <c r="VQ23" s="3"/>
      <c r="VR23" s="3"/>
      <c r="VS23" s="3"/>
      <c r="VT23" s="3"/>
      <c r="VU23" s="3"/>
      <c r="VV23" s="3"/>
      <c r="VW23" s="3"/>
      <c r="VX23" s="3"/>
      <c r="VY23" s="3"/>
      <c r="VZ23" s="3"/>
      <c r="WA23" s="3"/>
      <c r="WB23" s="3"/>
      <c r="WC23" s="3"/>
      <c r="WD23" s="3"/>
      <c r="WE23" s="3"/>
      <c r="WF23" s="3"/>
      <c r="WG23" s="3"/>
      <c r="WH23" s="3"/>
      <c r="WI23" s="3"/>
      <c r="WJ23" s="3"/>
      <c r="WK23" s="3"/>
      <c r="WL23" s="3"/>
      <c r="WM23" s="3"/>
      <c r="WN23" s="3"/>
      <c r="WO23" s="3"/>
      <c r="WP23" s="3"/>
      <c r="WQ23" s="3"/>
      <c r="WR23" s="3"/>
      <c r="WS23" s="3"/>
      <c r="WT23" s="3"/>
      <c r="WU23" s="3"/>
      <c r="WV23" s="3"/>
      <c r="WW23" s="3"/>
      <c r="WX23" s="3"/>
      <c r="WY23" s="3"/>
      <c r="WZ23" s="3"/>
      <c r="XA23" s="3"/>
      <c r="XB23" s="3"/>
      <c r="XC23" s="3"/>
      <c r="XD23" s="3"/>
      <c r="XE23" s="3"/>
      <c r="XF23" s="3"/>
      <c r="XG23" s="3"/>
      <c r="XH23" s="3"/>
      <c r="XI23" s="3"/>
      <c r="XJ23" s="3"/>
      <c r="XK23" s="3"/>
      <c r="XL23" s="3"/>
      <c r="XM23" s="3"/>
      <c r="XN23" s="3"/>
      <c r="XO23" s="3"/>
      <c r="XP23" s="3"/>
      <c r="XQ23" s="3"/>
      <c r="XR23" s="3"/>
      <c r="XS23" s="3"/>
      <c r="XT23" s="3"/>
      <c r="XU23" s="3"/>
      <c r="XV23" s="3"/>
      <c r="XW23" s="3"/>
      <c r="XX23" s="3"/>
      <c r="XY23" s="3"/>
      <c r="XZ23" s="3"/>
      <c r="YA23" s="3"/>
      <c r="YB23" s="3"/>
      <c r="YC23" s="3"/>
      <c r="YD23" s="3"/>
      <c r="YE23" s="3"/>
      <c r="YF23" s="3"/>
      <c r="YG23" s="3"/>
      <c r="YH23" s="3"/>
      <c r="YI23" s="3"/>
      <c r="YJ23" s="3"/>
      <c r="YK23" s="3"/>
      <c r="YL23" s="3"/>
      <c r="YM23" s="3"/>
      <c r="YN23" s="3"/>
      <c r="YO23" s="3"/>
      <c r="YP23" s="3"/>
      <c r="YQ23" s="3"/>
      <c r="YR23" s="3"/>
      <c r="YS23" s="3"/>
      <c r="YT23" s="3"/>
      <c r="YU23" s="3"/>
      <c r="YV23" s="3"/>
      <c r="YW23" s="3"/>
      <c r="YX23" s="3"/>
      <c r="YY23" s="3"/>
      <c r="YZ23" s="3"/>
      <c r="ZA23" s="3"/>
      <c r="ZB23" s="3"/>
      <c r="ZC23" s="3"/>
      <c r="ZD23" s="3"/>
      <c r="ZE23" s="3"/>
      <c r="ZF23" s="3"/>
      <c r="ZG23" s="3"/>
      <c r="ZH23" s="3"/>
      <c r="ZI23" s="3"/>
      <c r="ZJ23" s="3"/>
      <c r="ZK23" s="3"/>
      <c r="ZL23" s="3"/>
      <c r="ZM23" s="3"/>
      <c r="ZN23" s="3"/>
      <c r="ZO23" s="3"/>
      <c r="ZP23" s="3"/>
      <c r="ZQ23" s="3"/>
      <c r="ZR23" s="3"/>
      <c r="ZS23" s="3"/>
      <c r="ZT23" s="3"/>
      <c r="ZU23" s="3"/>
      <c r="ZV23" s="3"/>
      <c r="ZW23" s="3"/>
      <c r="ZX23" s="3"/>
      <c r="ZY23" s="3"/>
      <c r="ZZ23" s="3"/>
      <c r="AAA23" s="3"/>
      <c r="AAB23" s="3"/>
      <c r="AAC23" s="3"/>
      <c r="AAD23" s="3"/>
      <c r="AAE23" s="3"/>
      <c r="AAF23" s="3"/>
      <c r="AAG23" s="3"/>
      <c r="AAH23" s="3"/>
      <c r="AAI23" s="3"/>
      <c r="AAJ23" s="3"/>
      <c r="AAK23" s="3"/>
      <c r="AAL23" s="3"/>
      <c r="AAM23" s="3"/>
      <c r="AAN23" s="3"/>
      <c r="AAO23" s="3"/>
      <c r="AAP23" s="3"/>
      <c r="AAQ23" s="3"/>
      <c r="AAR23" s="3"/>
      <c r="AAS23" s="3"/>
      <c r="AAT23" s="3"/>
      <c r="AAU23" s="3"/>
      <c r="AAV23" s="3"/>
      <c r="AAW23" s="3"/>
      <c r="AAX23" s="3"/>
      <c r="AAY23" s="3"/>
      <c r="AAZ23" s="3"/>
      <c r="ABA23" s="3"/>
      <c r="ABB23" s="3"/>
      <c r="ABC23" s="3"/>
      <c r="ABD23" s="3"/>
      <c r="ABE23" s="3"/>
      <c r="ABF23" s="3"/>
      <c r="ABG23" s="3"/>
      <c r="ABH23" s="3"/>
      <c r="ABI23" s="3"/>
      <c r="ABJ23" s="3"/>
      <c r="ABK23" s="3"/>
      <c r="ABL23" s="3"/>
      <c r="ABM23" s="3"/>
      <c r="ABN23" s="3"/>
      <c r="ABO23" s="3"/>
      <c r="ABP23" s="3"/>
      <c r="ABQ23" s="3"/>
      <c r="ABR23" s="3"/>
      <c r="ABS23" s="3"/>
      <c r="ABT23" s="3"/>
      <c r="ABU23" s="3"/>
      <c r="ABV23" s="3"/>
      <c r="ABW23" s="3"/>
      <c r="ABX23" s="3"/>
      <c r="ABY23" s="3"/>
      <c r="ABZ23" s="3"/>
      <c r="ACA23" s="3"/>
      <c r="ACB23" s="3"/>
      <c r="ACC23" s="3"/>
      <c r="ACD23" s="3"/>
      <c r="ACE23" s="3"/>
      <c r="ACF23" s="3"/>
      <c r="ACG23" s="3"/>
      <c r="ACH23" s="3"/>
      <c r="ACI23" s="3"/>
      <c r="ACJ23" s="3"/>
      <c r="ACK23" s="3"/>
      <c r="ACL23" s="3"/>
      <c r="ACM23" s="3"/>
      <c r="ACN23" s="3"/>
      <c r="ACO23" s="3"/>
      <c r="ACP23" s="3"/>
      <c r="ACQ23" s="3"/>
      <c r="ACR23" s="3"/>
      <c r="ACS23" s="3"/>
      <c r="ACT23" s="3"/>
      <c r="ACU23" s="3"/>
      <c r="ACV23" s="3"/>
      <c r="ACW23" s="3"/>
      <c r="ACX23" s="3"/>
      <c r="ACY23" s="3"/>
      <c r="ACZ23" s="3"/>
    </row>
    <row r="24" spans="1:780" x14ac:dyDescent="0.2">
      <c r="A24" s="7"/>
      <c r="B24" s="7"/>
      <c r="C24" s="2"/>
      <c r="D24" s="2"/>
      <c r="E24" s="6"/>
      <c r="F24" s="6"/>
      <c r="G24" s="6"/>
      <c r="H24" s="6"/>
      <c r="I24" s="2"/>
      <c r="J24" s="4"/>
      <c r="K24" s="4"/>
      <c r="L24" s="2"/>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c r="IS24" s="3"/>
      <c r="IT24" s="3"/>
      <c r="IU24" s="3"/>
      <c r="IV24" s="3"/>
      <c r="IW24" s="3"/>
      <c r="IX24" s="3"/>
      <c r="IY24" s="3"/>
      <c r="IZ24" s="3"/>
      <c r="JA24" s="3"/>
      <c r="JB24" s="3"/>
      <c r="JC24" s="3"/>
      <c r="JD24" s="3"/>
      <c r="JE24" s="3"/>
      <c r="JF24" s="3"/>
      <c r="JG24" s="3"/>
      <c r="JH24" s="3"/>
      <c r="JI24" s="3"/>
      <c r="JJ24" s="3"/>
      <c r="JK24" s="3"/>
      <c r="JL24" s="3"/>
      <c r="JM24" s="3"/>
      <c r="JN24" s="3"/>
      <c r="JO24" s="3"/>
      <c r="JP24" s="3"/>
      <c r="JQ24" s="3"/>
      <c r="JR24" s="3"/>
      <c r="JS24" s="3"/>
      <c r="JT24" s="3"/>
      <c r="JU24" s="3"/>
      <c r="JV24" s="3"/>
      <c r="JW24" s="3"/>
      <c r="JX24" s="3"/>
      <c r="JY24" s="3"/>
      <c r="JZ24" s="3"/>
      <c r="KA24" s="3"/>
      <c r="KB24" s="3"/>
      <c r="KC24" s="3"/>
      <c r="KD24" s="3"/>
      <c r="KE24" s="3"/>
      <c r="KF24" s="3"/>
      <c r="KG24" s="3"/>
      <c r="KH24" s="3"/>
      <c r="KI24" s="3"/>
      <c r="KJ24" s="3"/>
      <c r="KK24" s="3"/>
      <c r="KL24" s="3"/>
      <c r="KM24" s="3"/>
      <c r="KN24" s="3"/>
      <c r="KO24" s="3"/>
      <c r="KP24" s="3"/>
      <c r="KQ24" s="3"/>
      <c r="KR24" s="3"/>
      <c r="KS24" s="3"/>
      <c r="KT24" s="3"/>
      <c r="KU24" s="3"/>
      <c r="KV24" s="3"/>
      <c r="KW24" s="3"/>
      <c r="KX24" s="3"/>
      <c r="KY24" s="3"/>
      <c r="KZ24" s="3"/>
      <c r="LA24" s="3"/>
      <c r="LB24" s="3"/>
      <c r="LC24" s="3"/>
      <c r="LD24" s="3"/>
      <c r="LE24" s="3"/>
      <c r="LF24" s="3"/>
      <c r="LG24" s="3"/>
      <c r="LH24" s="3"/>
      <c r="LI24" s="3"/>
      <c r="LJ24" s="3"/>
      <c r="LK24" s="3"/>
      <c r="LL24" s="3"/>
      <c r="LM24" s="3"/>
      <c r="LN24" s="3"/>
      <c r="LO24" s="3"/>
      <c r="LP24" s="3"/>
      <c r="LQ24" s="3"/>
      <c r="LR24" s="3"/>
      <c r="LS24" s="3"/>
      <c r="LT24" s="3"/>
      <c r="LU24" s="3"/>
      <c r="LV24" s="3"/>
      <c r="LW24" s="3"/>
      <c r="LX24" s="3"/>
      <c r="LY24" s="3"/>
      <c r="LZ24" s="3"/>
      <c r="MA24" s="3"/>
      <c r="MB24" s="3"/>
      <c r="MC24" s="3"/>
      <c r="MD24" s="3"/>
      <c r="ME24" s="3"/>
      <c r="MF24" s="3"/>
      <c r="MG24" s="3"/>
      <c r="MH24" s="3"/>
      <c r="MI24" s="3"/>
      <c r="MJ24" s="3"/>
      <c r="MK24" s="3"/>
      <c r="ML24" s="3"/>
      <c r="MM24" s="3"/>
      <c r="MN24" s="3"/>
      <c r="MO24" s="3"/>
      <c r="MP24" s="3"/>
      <c r="MQ24" s="3"/>
      <c r="MR24" s="3"/>
      <c r="MS24" s="3"/>
      <c r="MT24" s="3"/>
      <c r="MU24" s="3"/>
      <c r="MV24" s="3"/>
      <c r="MW24" s="3"/>
      <c r="MX24" s="3"/>
      <c r="MY24" s="3"/>
      <c r="MZ24" s="3"/>
      <c r="NA24" s="3"/>
      <c r="NB24" s="3"/>
      <c r="NC24" s="3"/>
      <c r="ND24" s="3"/>
      <c r="NE24" s="3"/>
      <c r="NF24" s="3"/>
      <c r="NG24" s="3"/>
      <c r="NH24" s="3"/>
      <c r="NI24" s="3"/>
      <c r="NJ24" s="3"/>
      <c r="NK24" s="3"/>
      <c r="NL24" s="3"/>
      <c r="NM24" s="3"/>
      <c r="NN24" s="3"/>
      <c r="NO24" s="3"/>
      <c r="NP24" s="3"/>
      <c r="NQ24" s="3"/>
      <c r="NR24" s="3"/>
      <c r="NS24" s="3"/>
      <c r="NT24" s="3"/>
      <c r="NU24" s="3"/>
      <c r="NV24" s="3"/>
      <c r="NW24" s="3"/>
      <c r="NX24" s="3"/>
      <c r="NY24" s="3"/>
      <c r="NZ24" s="3"/>
      <c r="OA24" s="3"/>
      <c r="OB24" s="3"/>
      <c r="OC24" s="3"/>
      <c r="OD24" s="3"/>
      <c r="OE24" s="3"/>
      <c r="OF24" s="3"/>
      <c r="OG24" s="3"/>
      <c r="OH24" s="3"/>
      <c r="OI24" s="3"/>
      <c r="OJ24" s="3"/>
      <c r="OK24" s="3"/>
      <c r="OL24" s="3"/>
      <c r="OM24" s="3"/>
      <c r="ON24" s="3"/>
      <c r="OO24" s="3"/>
      <c r="OP24" s="3"/>
      <c r="OQ24" s="3"/>
      <c r="OR24" s="3"/>
      <c r="OS24" s="3"/>
      <c r="OT24" s="3"/>
      <c r="OU24" s="3"/>
      <c r="OV24" s="3"/>
      <c r="OW24" s="3"/>
      <c r="OX24" s="3"/>
      <c r="OY24" s="3"/>
      <c r="OZ24" s="3"/>
      <c r="PA24" s="3"/>
      <c r="PB24" s="3"/>
      <c r="PC24" s="3"/>
      <c r="PD24" s="3"/>
      <c r="PE24" s="3"/>
      <c r="PF24" s="3"/>
      <c r="PG24" s="3"/>
      <c r="PH24" s="3"/>
      <c r="PI24" s="3"/>
      <c r="PJ24" s="3"/>
      <c r="PK24" s="3"/>
      <c r="PL24" s="3"/>
      <c r="PM24" s="3"/>
      <c r="PN24" s="3"/>
      <c r="PO24" s="3"/>
      <c r="PP24" s="3"/>
      <c r="PQ24" s="3"/>
      <c r="PR24" s="3"/>
      <c r="PS24" s="3"/>
      <c r="PT24" s="3"/>
      <c r="PU24" s="3"/>
      <c r="PV24" s="3"/>
      <c r="PW24" s="3"/>
      <c r="PX24" s="3"/>
      <c r="PY24" s="3"/>
      <c r="PZ24" s="3"/>
      <c r="QA24" s="3"/>
      <c r="QB24" s="3"/>
      <c r="QC24" s="3"/>
      <c r="QD24" s="3"/>
      <c r="QE24" s="3"/>
      <c r="QF24" s="3"/>
      <c r="QG24" s="3"/>
      <c r="QH24" s="3"/>
      <c r="QI24" s="3"/>
      <c r="QJ24" s="3"/>
      <c r="QK24" s="3"/>
      <c r="QL24" s="3"/>
      <c r="QM24" s="3"/>
      <c r="QN24" s="3"/>
      <c r="QO24" s="3"/>
      <c r="QP24" s="3"/>
      <c r="QQ24" s="3"/>
      <c r="QR24" s="3"/>
      <c r="QS24" s="3"/>
      <c r="QT24" s="3"/>
      <c r="QU24" s="3"/>
      <c r="QV24" s="3"/>
      <c r="QW24" s="3"/>
      <c r="QX24" s="3"/>
      <c r="QY24" s="3"/>
      <c r="QZ24" s="3"/>
      <c r="RA24" s="3"/>
      <c r="RB24" s="3"/>
      <c r="RC24" s="3"/>
      <c r="RD24" s="3"/>
      <c r="RE24" s="3"/>
      <c r="RF24" s="3"/>
      <c r="RG24" s="3"/>
      <c r="RH24" s="3"/>
      <c r="RI24" s="3"/>
      <c r="RJ24" s="3"/>
      <c r="RK24" s="3"/>
      <c r="RL24" s="3"/>
      <c r="RM24" s="3"/>
      <c r="RN24" s="3"/>
      <c r="RO24" s="3"/>
      <c r="RP24" s="3"/>
      <c r="RQ24" s="3"/>
      <c r="RR24" s="3"/>
      <c r="RS24" s="3"/>
      <c r="RT24" s="3"/>
      <c r="RU24" s="3"/>
      <c r="RV24" s="3"/>
      <c r="RW24" s="3"/>
      <c r="RX24" s="3"/>
      <c r="RY24" s="3"/>
      <c r="RZ24" s="3"/>
      <c r="SA24" s="3"/>
      <c r="SB24" s="3"/>
      <c r="SC24" s="3"/>
      <c r="SD24" s="3"/>
      <c r="SE24" s="3"/>
      <c r="SF24" s="3"/>
      <c r="SG24" s="3"/>
      <c r="SH24" s="3"/>
      <c r="SI24" s="3"/>
      <c r="SJ24" s="3"/>
      <c r="SK24" s="3"/>
      <c r="SL24" s="3"/>
      <c r="SM24" s="3"/>
      <c r="SN24" s="3"/>
      <c r="SO24" s="3"/>
      <c r="SP24" s="3"/>
      <c r="SQ24" s="3"/>
      <c r="SR24" s="3"/>
      <c r="SS24" s="3"/>
      <c r="ST24" s="3"/>
      <c r="SU24" s="3"/>
      <c r="SV24" s="3"/>
      <c r="SW24" s="3"/>
      <c r="SX24" s="3"/>
      <c r="SY24" s="3"/>
      <c r="SZ24" s="3"/>
      <c r="TA24" s="3"/>
      <c r="TB24" s="3"/>
      <c r="TC24" s="3"/>
      <c r="TD24" s="3"/>
      <c r="TE24" s="3"/>
      <c r="TF24" s="3"/>
      <c r="TG24" s="3"/>
      <c r="TH24" s="3"/>
      <c r="TI24" s="3"/>
      <c r="TJ24" s="3"/>
      <c r="TK24" s="3"/>
      <c r="TL24" s="3"/>
      <c r="TM24" s="3"/>
      <c r="TN24" s="3"/>
      <c r="TO24" s="3"/>
      <c r="TP24" s="3"/>
      <c r="TQ24" s="3"/>
      <c r="TR24" s="3"/>
      <c r="TS24" s="3"/>
      <c r="TT24" s="3"/>
      <c r="TU24" s="3"/>
      <c r="TV24" s="3"/>
      <c r="TW24" s="3"/>
      <c r="TX24" s="3"/>
      <c r="TY24" s="3"/>
      <c r="TZ24" s="3"/>
      <c r="UA24" s="3"/>
      <c r="UB24" s="3"/>
      <c r="UC24" s="3"/>
      <c r="UD24" s="3"/>
      <c r="UE24" s="3"/>
      <c r="UF24" s="3"/>
      <c r="UG24" s="3"/>
      <c r="UH24" s="3"/>
      <c r="UI24" s="3"/>
      <c r="UJ24" s="3"/>
      <c r="UK24" s="3"/>
      <c r="UL24" s="3"/>
      <c r="UM24" s="3"/>
      <c r="UN24" s="3"/>
      <c r="UO24" s="3"/>
      <c r="UP24" s="3"/>
      <c r="UQ24" s="3"/>
      <c r="UR24" s="3"/>
      <c r="US24" s="3"/>
      <c r="UT24" s="3"/>
      <c r="UU24" s="3"/>
      <c r="UV24" s="3"/>
      <c r="UW24" s="3"/>
      <c r="UX24" s="3"/>
      <c r="UY24" s="3"/>
      <c r="UZ24" s="3"/>
      <c r="VA24" s="3"/>
      <c r="VB24" s="3"/>
      <c r="VC24" s="3"/>
      <c r="VD24" s="3"/>
      <c r="VE24" s="3"/>
      <c r="VF24" s="3"/>
      <c r="VG24" s="3"/>
      <c r="VH24" s="3"/>
      <c r="VI24" s="3"/>
      <c r="VJ24" s="3"/>
      <c r="VK24" s="3"/>
      <c r="VL24" s="3"/>
      <c r="VM24" s="3"/>
      <c r="VN24" s="3"/>
      <c r="VO24" s="3"/>
      <c r="VP24" s="3"/>
      <c r="VQ24" s="3"/>
      <c r="VR24" s="3"/>
      <c r="VS24" s="3"/>
      <c r="VT24" s="3"/>
      <c r="VU24" s="3"/>
      <c r="VV24" s="3"/>
      <c r="VW24" s="3"/>
      <c r="VX24" s="3"/>
      <c r="VY24" s="3"/>
      <c r="VZ24" s="3"/>
      <c r="WA24" s="3"/>
      <c r="WB24" s="3"/>
      <c r="WC24" s="3"/>
      <c r="WD24" s="3"/>
      <c r="WE24" s="3"/>
      <c r="WF24" s="3"/>
      <c r="WG24" s="3"/>
      <c r="WH24" s="3"/>
      <c r="WI24" s="3"/>
      <c r="WJ24" s="3"/>
      <c r="WK24" s="3"/>
      <c r="WL24" s="3"/>
      <c r="WM24" s="3"/>
      <c r="WN24" s="3"/>
      <c r="WO24" s="3"/>
      <c r="WP24" s="3"/>
      <c r="WQ24" s="3"/>
      <c r="WR24" s="3"/>
      <c r="WS24" s="3"/>
      <c r="WT24" s="3"/>
      <c r="WU24" s="3"/>
      <c r="WV24" s="3"/>
      <c r="WW24" s="3"/>
      <c r="WX24" s="3"/>
      <c r="WY24" s="3"/>
      <c r="WZ24" s="3"/>
      <c r="XA24" s="3"/>
      <c r="XB24" s="3"/>
      <c r="XC24" s="3"/>
      <c r="XD24" s="3"/>
      <c r="XE24" s="3"/>
      <c r="XF24" s="3"/>
      <c r="XG24" s="3"/>
      <c r="XH24" s="3"/>
      <c r="XI24" s="3"/>
      <c r="XJ24" s="3"/>
      <c r="XK24" s="3"/>
      <c r="XL24" s="3"/>
      <c r="XM24" s="3"/>
      <c r="XN24" s="3"/>
      <c r="XO24" s="3"/>
      <c r="XP24" s="3"/>
      <c r="XQ24" s="3"/>
      <c r="XR24" s="3"/>
      <c r="XS24" s="3"/>
      <c r="XT24" s="3"/>
      <c r="XU24" s="3"/>
      <c r="XV24" s="3"/>
      <c r="XW24" s="3"/>
      <c r="XX24" s="3"/>
      <c r="XY24" s="3"/>
      <c r="XZ24" s="3"/>
      <c r="YA24" s="3"/>
      <c r="YB24" s="3"/>
      <c r="YC24" s="3"/>
      <c r="YD24" s="3"/>
      <c r="YE24" s="3"/>
      <c r="YF24" s="3"/>
      <c r="YG24" s="3"/>
      <c r="YH24" s="3"/>
      <c r="YI24" s="3"/>
      <c r="YJ24" s="3"/>
      <c r="YK24" s="3"/>
      <c r="YL24" s="3"/>
      <c r="YM24" s="3"/>
      <c r="YN24" s="3"/>
      <c r="YO24" s="3"/>
      <c r="YP24" s="3"/>
      <c r="YQ24" s="3"/>
      <c r="YR24" s="3"/>
      <c r="YS24" s="3"/>
      <c r="YT24" s="3"/>
      <c r="YU24" s="3"/>
      <c r="YV24" s="3"/>
      <c r="YW24" s="3"/>
      <c r="YX24" s="3"/>
      <c r="YY24" s="3"/>
      <c r="YZ24" s="3"/>
      <c r="ZA24" s="3"/>
      <c r="ZB24" s="3"/>
      <c r="ZC24" s="3"/>
      <c r="ZD24" s="3"/>
      <c r="ZE24" s="3"/>
      <c r="ZF24" s="3"/>
      <c r="ZG24" s="3"/>
      <c r="ZH24" s="3"/>
      <c r="ZI24" s="3"/>
      <c r="ZJ24" s="3"/>
      <c r="ZK24" s="3"/>
      <c r="ZL24" s="3"/>
      <c r="ZM24" s="3"/>
      <c r="ZN24" s="3"/>
      <c r="ZO24" s="3"/>
      <c r="ZP24" s="3"/>
      <c r="ZQ24" s="3"/>
      <c r="ZR24" s="3"/>
      <c r="ZS24" s="3"/>
      <c r="ZT24" s="3"/>
      <c r="ZU24" s="3"/>
      <c r="ZV24" s="3"/>
      <c r="ZW24" s="3"/>
      <c r="ZX24" s="3"/>
      <c r="ZY24" s="3"/>
      <c r="ZZ24" s="3"/>
      <c r="AAA24" s="3"/>
      <c r="AAB24" s="3"/>
      <c r="AAC24" s="3"/>
      <c r="AAD24" s="3"/>
      <c r="AAE24" s="3"/>
      <c r="AAF24" s="3"/>
      <c r="AAG24" s="3"/>
      <c r="AAH24" s="3"/>
      <c r="AAI24" s="3"/>
      <c r="AAJ24" s="3"/>
      <c r="AAK24" s="3"/>
      <c r="AAL24" s="3"/>
      <c r="AAM24" s="3"/>
      <c r="AAN24" s="3"/>
      <c r="AAO24" s="3"/>
      <c r="AAP24" s="3"/>
      <c r="AAQ24" s="3"/>
      <c r="AAR24" s="3"/>
      <c r="AAS24" s="3"/>
      <c r="AAT24" s="3"/>
      <c r="AAU24" s="3"/>
      <c r="AAV24" s="3"/>
      <c r="AAW24" s="3"/>
      <c r="AAX24" s="3"/>
      <c r="AAY24" s="3"/>
      <c r="AAZ24" s="3"/>
      <c r="ABA24" s="3"/>
      <c r="ABB24" s="3"/>
      <c r="ABC24" s="3"/>
      <c r="ABD24" s="3"/>
      <c r="ABE24" s="3"/>
      <c r="ABF24" s="3"/>
      <c r="ABG24" s="3"/>
      <c r="ABH24" s="3"/>
      <c r="ABI24" s="3"/>
      <c r="ABJ24" s="3"/>
      <c r="ABK24" s="3"/>
      <c r="ABL24" s="3"/>
      <c r="ABM24" s="3"/>
      <c r="ABN24" s="3"/>
      <c r="ABO24" s="3"/>
      <c r="ABP24" s="3"/>
      <c r="ABQ24" s="3"/>
      <c r="ABR24" s="3"/>
      <c r="ABS24" s="3"/>
      <c r="ABT24" s="3"/>
      <c r="ABU24" s="3"/>
      <c r="ABV24" s="3"/>
      <c r="ABW24" s="3"/>
      <c r="ABX24" s="3"/>
      <c r="ABY24" s="3"/>
      <c r="ABZ24" s="3"/>
      <c r="ACA24" s="3"/>
      <c r="ACB24" s="3"/>
      <c r="ACC24" s="3"/>
      <c r="ACD24" s="3"/>
      <c r="ACE24" s="3"/>
      <c r="ACF24" s="3"/>
      <c r="ACG24" s="3"/>
      <c r="ACH24" s="3"/>
      <c r="ACI24" s="3"/>
      <c r="ACJ24" s="3"/>
      <c r="ACK24" s="3"/>
      <c r="ACL24" s="3"/>
      <c r="ACM24" s="3"/>
      <c r="ACN24" s="3"/>
      <c r="ACO24" s="3"/>
      <c r="ACP24" s="3"/>
      <c r="ACQ24" s="3"/>
      <c r="ACR24" s="3"/>
      <c r="ACS24" s="3"/>
      <c r="ACT24" s="3"/>
      <c r="ACU24" s="3"/>
      <c r="ACV24" s="3"/>
      <c r="ACW24" s="3"/>
      <c r="ACX24" s="3"/>
      <c r="ACY24" s="3"/>
      <c r="ACZ24" s="3"/>
    </row>
    <row r="25" spans="1:780" x14ac:dyDescent="0.2">
      <c r="A25" s="7"/>
      <c r="B25" s="7"/>
      <c r="C25" s="2"/>
      <c r="D25" s="2"/>
      <c r="E25" s="6"/>
      <c r="F25" s="6"/>
      <c r="G25" s="6"/>
      <c r="H25" s="6"/>
      <c r="I25" s="2"/>
      <c r="J25" s="4"/>
      <c r="K25" s="4"/>
      <c r="L25" s="2"/>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c r="IS25" s="3"/>
      <c r="IT25" s="3"/>
      <c r="IU25" s="3"/>
      <c r="IV25" s="3"/>
      <c r="IW25" s="3"/>
      <c r="IX25" s="3"/>
      <c r="IY25" s="3"/>
      <c r="IZ25" s="3"/>
      <c r="JA25" s="3"/>
      <c r="JB25" s="3"/>
      <c r="JC25" s="3"/>
      <c r="JD25" s="3"/>
      <c r="JE25" s="3"/>
      <c r="JF25" s="3"/>
      <c r="JG25" s="3"/>
      <c r="JH25" s="3"/>
      <c r="JI25" s="3"/>
      <c r="JJ25" s="3"/>
      <c r="JK25" s="3"/>
      <c r="JL25" s="3"/>
      <c r="JM25" s="3"/>
      <c r="JN25" s="3"/>
      <c r="JO25" s="3"/>
      <c r="JP25" s="3"/>
      <c r="JQ25" s="3"/>
      <c r="JR25" s="3"/>
      <c r="JS25" s="3"/>
      <c r="JT25" s="3"/>
      <c r="JU25" s="3"/>
      <c r="JV25" s="3"/>
      <c r="JW25" s="3"/>
      <c r="JX25" s="3"/>
      <c r="JY25" s="3"/>
      <c r="JZ25" s="3"/>
      <c r="KA25" s="3"/>
      <c r="KB25" s="3"/>
      <c r="KC25" s="3"/>
      <c r="KD25" s="3"/>
      <c r="KE25" s="3"/>
      <c r="KF25" s="3"/>
      <c r="KG25" s="3"/>
      <c r="KH25" s="3"/>
      <c r="KI25" s="3"/>
      <c r="KJ25" s="3"/>
      <c r="KK25" s="3"/>
      <c r="KL25" s="3"/>
      <c r="KM25" s="3"/>
      <c r="KN25" s="3"/>
      <c r="KO25" s="3"/>
      <c r="KP25" s="3"/>
      <c r="KQ25" s="3"/>
      <c r="KR25" s="3"/>
      <c r="KS25" s="3"/>
      <c r="KT25" s="3"/>
      <c r="KU25" s="3"/>
      <c r="KV25" s="3"/>
      <c r="KW25" s="3"/>
      <c r="KX25" s="3"/>
      <c r="KY25" s="3"/>
      <c r="KZ25" s="3"/>
      <c r="LA25" s="3"/>
      <c r="LB25" s="3"/>
      <c r="LC25" s="3"/>
      <c r="LD25" s="3"/>
      <c r="LE25" s="3"/>
      <c r="LF25" s="3"/>
      <c r="LG25" s="3"/>
      <c r="LH25" s="3"/>
      <c r="LI25" s="3"/>
      <c r="LJ25" s="3"/>
      <c r="LK25" s="3"/>
      <c r="LL25" s="3"/>
      <c r="LM25" s="3"/>
      <c r="LN25" s="3"/>
      <c r="LO25" s="3"/>
      <c r="LP25" s="3"/>
      <c r="LQ25" s="3"/>
      <c r="LR25" s="3"/>
      <c r="LS25" s="3"/>
      <c r="LT25" s="3"/>
      <c r="LU25" s="3"/>
      <c r="LV25" s="3"/>
      <c r="LW25" s="3"/>
      <c r="LX25" s="3"/>
      <c r="LY25" s="3"/>
      <c r="LZ25" s="3"/>
      <c r="MA25" s="3"/>
      <c r="MB25" s="3"/>
      <c r="MC25" s="3"/>
      <c r="MD25" s="3"/>
      <c r="ME25" s="3"/>
      <c r="MF25" s="3"/>
      <c r="MG25" s="3"/>
      <c r="MH25" s="3"/>
      <c r="MI25" s="3"/>
      <c r="MJ25" s="3"/>
      <c r="MK25" s="3"/>
      <c r="ML25" s="3"/>
      <c r="MM25" s="3"/>
      <c r="MN25" s="3"/>
      <c r="MO25" s="3"/>
      <c r="MP25" s="3"/>
      <c r="MQ25" s="3"/>
      <c r="MR25" s="3"/>
      <c r="MS25" s="3"/>
      <c r="MT25" s="3"/>
      <c r="MU25" s="3"/>
      <c r="MV25" s="3"/>
      <c r="MW25" s="3"/>
      <c r="MX25" s="3"/>
      <c r="MY25" s="3"/>
      <c r="MZ25" s="3"/>
      <c r="NA25" s="3"/>
      <c r="NB25" s="3"/>
      <c r="NC25" s="3"/>
      <c r="ND25" s="3"/>
      <c r="NE25" s="3"/>
      <c r="NF25" s="3"/>
      <c r="NG25" s="3"/>
      <c r="NH25" s="3"/>
      <c r="NI25" s="3"/>
      <c r="NJ25" s="3"/>
      <c r="NK25" s="3"/>
      <c r="NL25" s="3"/>
      <c r="NM25" s="3"/>
      <c r="NN25" s="3"/>
      <c r="NO25" s="3"/>
      <c r="NP25" s="3"/>
      <c r="NQ25" s="3"/>
      <c r="NR25" s="3"/>
      <c r="NS25" s="3"/>
      <c r="NT25" s="3"/>
      <c r="NU25" s="3"/>
      <c r="NV25" s="3"/>
      <c r="NW25" s="3"/>
      <c r="NX25" s="3"/>
      <c r="NY25" s="3"/>
      <c r="NZ25" s="3"/>
      <c r="OA25" s="3"/>
      <c r="OB25" s="3"/>
      <c r="OC25" s="3"/>
      <c r="OD25" s="3"/>
      <c r="OE25" s="3"/>
      <c r="OF25" s="3"/>
      <c r="OG25" s="3"/>
      <c r="OH25" s="3"/>
      <c r="OI25" s="3"/>
      <c r="OJ25" s="3"/>
      <c r="OK25" s="3"/>
      <c r="OL25" s="3"/>
      <c r="OM25" s="3"/>
      <c r="ON25" s="3"/>
      <c r="OO25" s="3"/>
      <c r="OP25" s="3"/>
      <c r="OQ25" s="3"/>
      <c r="OR25" s="3"/>
      <c r="OS25" s="3"/>
      <c r="OT25" s="3"/>
      <c r="OU25" s="3"/>
      <c r="OV25" s="3"/>
      <c r="OW25" s="3"/>
      <c r="OX25" s="3"/>
      <c r="OY25" s="3"/>
      <c r="OZ25" s="3"/>
      <c r="PA25" s="3"/>
      <c r="PB25" s="3"/>
      <c r="PC25" s="3"/>
      <c r="PD25" s="3"/>
      <c r="PE25" s="3"/>
      <c r="PF25" s="3"/>
      <c r="PG25" s="3"/>
      <c r="PH25" s="3"/>
      <c r="PI25" s="3"/>
      <c r="PJ25" s="3"/>
      <c r="PK25" s="3"/>
      <c r="PL25" s="3"/>
      <c r="PM25" s="3"/>
      <c r="PN25" s="3"/>
      <c r="PO25" s="3"/>
      <c r="PP25" s="3"/>
      <c r="PQ25" s="3"/>
      <c r="PR25" s="3"/>
      <c r="PS25" s="3"/>
      <c r="PT25" s="3"/>
      <c r="PU25" s="3"/>
      <c r="PV25" s="3"/>
      <c r="PW25" s="3"/>
      <c r="PX25" s="3"/>
      <c r="PY25" s="3"/>
      <c r="PZ25" s="3"/>
      <c r="QA25" s="3"/>
      <c r="QB25" s="3"/>
      <c r="QC25" s="3"/>
      <c r="QD25" s="3"/>
      <c r="QE25" s="3"/>
      <c r="QF25" s="3"/>
      <c r="QG25" s="3"/>
      <c r="QH25" s="3"/>
      <c r="QI25" s="3"/>
      <c r="QJ25" s="3"/>
      <c r="QK25" s="3"/>
      <c r="QL25" s="3"/>
      <c r="QM25" s="3"/>
      <c r="QN25" s="3"/>
      <c r="QO25" s="3"/>
      <c r="QP25" s="3"/>
      <c r="QQ25" s="3"/>
      <c r="QR25" s="3"/>
      <c r="QS25" s="3"/>
      <c r="QT25" s="3"/>
      <c r="QU25" s="3"/>
      <c r="QV25" s="3"/>
      <c r="QW25" s="3"/>
      <c r="QX25" s="3"/>
      <c r="QY25" s="3"/>
      <c r="QZ25" s="3"/>
      <c r="RA25" s="3"/>
      <c r="RB25" s="3"/>
      <c r="RC25" s="3"/>
      <c r="RD25" s="3"/>
      <c r="RE25" s="3"/>
      <c r="RF25" s="3"/>
      <c r="RG25" s="3"/>
      <c r="RH25" s="3"/>
      <c r="RI25" s="3"/>
      <c r="RJ25" s="3"/>
      <c r="RK25" s="3"/>
      <c r="RL25" s="3"/>
      <c r="RM25" s="3"/>
      <c r="RN25" s="3"/>
      <c r="RO25" s="3"/>
      <c r="RP25" s="3"/>
      <c r="RQ25" s="3"/>
      <c r="RR25" s="3"/>
      <c r="RS25" s="3"/>
      <c r="RT25" s="3"/>
      <c r="RU25" s="3"/>
      <c r="RV25" s="3"/>
      <c r="RW25" s="3"/>
      <c r="RX25" s="3"/>
      <c r="RY25" s="3"/>
      <c r="RZ25" s="3"/>
      <c r="SA25" s="3"/>
      <c r="SB25" s="3"/>
      <c r="SC25" s="3"/>
      <c r="SD25" s="3"/>
      <c r="SE25" s="3"/>
      <c r="SF25" s="3"/>
      <c r="SG25" s="3"/>
      <c r="SH25" s="3"/>
      <c r="SI25" s="3"/>
      <c r="SJ25" s="3"/>
      <c r="SK25" s="3"/>
      <c r="SL25" s="3"/>
      <c r="SM25" s="3"/>
      <c r="SN25" s="3"/>
      <c r="SO25" s="3"/>
      <c r="SP25" s="3"/>
      <c r="SQ25" s="3"/>
      <c r="SR25" s="3"/>
      <c r="SS25" s="3"/>
      <c r="ST25" s="3"/>
      <c r="SU25" s="3"/>
      <c r="SV25" s="3"/>
      <c r="SW25" s="3"/>
      <c r="SX25" s="3"/>
      <c r="SY25" s="3"/>
      <c r="SZ25" s="3"/>
      <c r="TA25" s="3"/>
      <c r="TB25" s="3"/>
      <c r="TC25" s="3"/>
      <c r="TD25" s="3"/>
      <c r="TE25" s="3"/>
      <c r="TF25" s="3"/>
      <c r="TG25" s="3"/>
      <c r="TH25" s="3"/>
      <c r="TI25" s="3"/>
      <c r="TJ25" s="3"/>
      <c r="TK25" s="3"/>
      <c r="TL25" s="3"/>
      <c r="TM25" s="3"/>
      <c r="TN25" s="3"/>
      <c r="TO25" s="3"/>
      <c r="TP25" s="3"/>
      <c r="TQ25" s="3"/>
      <c r="TR25" s="3"/>
      <c r="TS25" s="3"/>
      <c r="TT25" s="3"/>
      <c r="TU25" s="3"/>
      <c r="TV25" s="3"/>
      <c r="TW25" s="3"/>
      <c r="TX25" s="3"/>
      <c r="TY25" s="3"/>
      <c r="TZ25" s="3"/>
      <c r="UA25" s="3"/>
      <c r="UB25" s="3"/>
      <c r="UC25" s="3"/>
      <c r="UD25" s="3"/>
      <c r="UE25" s="3"/>
      <c r="UF25" s="3"/>
      <c r="UG25" s="3"/>
      <c r="UH25" s="3"/>
      <c r="UI25" s="3"/>
      <c r="UJ25" s="3"/>
      <c r="UK25" s="3"/>
      <c r="UL25" s="3"/>
      <c r="UM25" s="3"/>
      <c r="UN25" s="3"/>
      <c r="UO25" s="3"/>
      <c r="UP25" s="3"/>
      <c r="UQ25" s="3"/>
      <c r="UR25" s="3"/>
      <c r="US25" s="3"/>
      <c r="UT25" s="3"/>
      <c r="UU25" s="3"/>
      <c r="UV25" s="3"/>
      <c r="UW25" s="3"/>
      <c r="UX25" s="3"/>
      <c r="UY25" s="3"/>
      <c r="UZ25" s="3"/>
      <c r="VA25" s="3"/>
      <c r="VB25" s="3"/>
      <c r="VC25" s="3"/>
      <c r="VD25" s="3"/>
      <c r="VE25" s="3"/>
      <c r="VF25" s="3"/>
      <c r="VG25" s="3"/>
      <c r="VH25" s="3"/>
      <c r="VI25" s="3"/>
      <c r="VJ25" s="3"/>
      <c r="VK25" s="3"/>
      <c r="VL25" s="3"/>
      <c r="VM25" s="3"/>
      <c r="VN25" s="3"/>
      <c r="VO25" s="3"/>
      <c r="VP25" s="3"/>
      <c r="VQ25" s="3"/>
      <c r="VR25" s="3"/>
      <c r="VS25" s="3"/>
      <c r="VT25" s="3"/>
      <c r="VU25" s="3"/>
      <c r="VV25" s="3"/>
      <c r="VW25" s="3"/>
      <c r="VX25" s="3"/>
      <c r="VY25" s="3"/>
      <c r="VZ25" s="3"/>
      <c r="WA25" s="3"/>
      <c r="WB25" s="3"/>
      <c r="WC25" s="3"/>
      <c r="WD25" s="3"/>
      <c r="WE25" s="3"/>
      <c r="WF25" s="3"/>
      <c r="WG25" s="3"/>
      <c r="WH25" s="3"/>
      <c r="WI25" s="3"/>
      <c r="WJ25" s="3"/>
      <c r="WK25" s="3"/>
      <c r="WL25" s="3"/>
      <c r="WM25" s="3"/>
      <c r="WN25" s="3"/>
      <c r="WO25" s="3"/>
      <c r="WP25" s="3"/>
      <c r="WQ25" s="3"/>
      <c r="WR25" s="3"/>
      <c r="WS25" s="3"/>
      <c r="WT25" s="3"/>
      <c r="WU25" s="3"/>
      <c r="WV25" s="3"/>
      <c r="WW25" s="3"/>
      <c r="WX25" s="3"/>
      <c r="WY25" s="3"/>
      <c r="WZ25" s="3"/>
      <c r="XA25" s="3"/>
      <c r="XB25" s="3"/>
      <c r="XC25" s="3"/>
      <c r="XD25" s="3"/>
      <c r="XE25" s="3"/>
      <c r="XF25" s="3"/>
      <c r="XG25" s="3"/>
      <c r="XH25" s="3"/>
      <c r="XI25" s="3"/>
      <c r="XJ25" s="3"/>
      <c r="XK25" s="3"/>
      <c r="XL25" s="3"/>
      <c r="XM25" s="3"/>
      <c r="XN25" s="3"/>
      <c r="XO25" s="3"/>
      <c r="XP25" s="3"/>
      <c r="XQ25" s="3"/>
      <c r="XR25" s="3"/>
      <c r="XS25" s="3"/>
      <c r="XT25" s="3"/>
      <c r="XU25" s="3"/>
      <c r="XV25" s="3"/>
      <c r="XW25" s="3"/>
      <c r="XX25" s="3"/>
      <c r="XY25" s="3"/>
      <c r="XZ25" s="3"/>
      <c r="YA25" s="3"/>
      <c r="YB25" s="3"/>
      <c r="YC25" s="3"/>
      <c r="YD25" s="3"/>
      <c r="YE25" s="3"/>
      <c r="YF25" s="3"/>
      <c r="YG25" s="3"/>
      <c r="YH25" s="3"/>
      <c r="YI25" s="3"/>
      <c r="YJ25" s="3"/>
      <c r="YK25" s="3"/>
      <c r="YL25" s="3"/>
      <c r="YM25" s="3"/>
      <c r="YN25" s="3"/>
      <c r="YO25" s="3"/>
      <c r="YP25" s="3"/>
      <c r="YQ25" s="3"/>
      <c r="YR25" s="3"/>
      <c r="YS25" s="3"/>
      <c r="YT25" s="3"/>
      <c r="YU25" s="3"/>
      <c r="YV25" s="3"/>
      <c r="YW25" s="3"/>
      <c r="YX25" s="3"/>
      <c r="YY25" s="3"/>
      <c r="YZ25" s="3"/>
      <c r="ZA25" s="3"/>
      <c r="ZB25" s="3"/>
      <c r="ZC25" s="3"/>
      <c r="ZD25" s="3"/>
      <c r="ZE25" s="3"/>
      <c r="ZF25" s="3"/>
      <c r="ZG25" s="3"/>
      <c r="ZH25" s="3"/>
      <c r="ZI25" s="3"/>
      <c r="ZJ25" s="3"/>
      <c r="ZK25" s="3"/>
      <c r="ZL25" s="3"/>
      <c r="ZM25" s="3"/>
      <c r="ZN25" s="3"/>
      <c r="ZO25" s="3"/>
      <c r="ZP25" s="3"/>
      <c r="ZQ25" s="3"/>
      <c r="ZR25" s="3"/>
      <c r="ZS25" s="3"/>
      <c r="ZT25" s="3"/>
      <c r="ZU25" s="3"/>
      <c r="ZV25" s="3"/>
      <c r="ZW25" s="3"/>
      <c r="ZX25" s="3"/>
      <c r="ZY25" s="3"/>
      <c r="ZZ25" s="3"/>
      <c r="AAA25" s="3"/>
      <c r="AAB25" s="3"/>
      <c r="AAC25" s="3"/>
      <c r="AAD25" s="3"/>
      <c r="AAE25" s="3"/>
      <c r="AAF25" s="3"/>
      <c r="AAG25" s="3"/>
      <c r="AAH25" s="3"/>
      <c r="AAI25" s="3"/>
      <c r="AAJ25" s="3"/>
      <c r="AAK25" s="3"/>
      <c r="AAL25" s="3"/>
      <c r="AAM25" s="3"/>
      <c r="AAN25" s="3"/>
      <c r="AAO25" s="3"/>
      <c r="AAP25" s="3"/>
      <c r="AAQ25" s="3"/>
      <c r="AAR25" s="3"/>
      <c r="AAS25" s="3"/>
      <c r="AAT25" s="3"/>
      <c r="AAU25" s="3"/>
      <c r="AAV25" s="3"/>
      <c r="AAW25" s="3"/>
      <c r="AAX25" s="3"/>
      <c r="AAY25" s="3"/>
      <c r="AAZ25" s="3"/>
      <c r="ABA25" s="3"/>
      <c r="ABB25" s="3"/>
      <c r="ABC25" s="3"/>
      <c r="ABD25" s="3"/>
      <c r="ABE25" s="3"/>
      <c r="ABF25" s="3"/>
      <c r="ABG25" s="3"/>
      <c r="ABH25" s="3"/>
      <c r="ABI25" s="3"/>
      <c r="ABJ25" s="3"/>
      <c r="ABK25" s="3"/>
      <c r="ABL25" s="3"/>
      <c r="ABM25" s="3"/>
      <c r="ABN25" s="3"/>
      <c r="ABO25" s="3"/>
      <c r="ABP25" s="3"/>
      <c r="ABQ25" s="3"/>
      <c r="ABR25" s="3"/>
      <c r="ABS25" s="3"/>
      <c r="ABT25" s="3"/>
      <c r="ABU25" s="3"/>
      <c r="ABV25" s="3"/>
      <c r="ABW25" s="3"/>
      <c r="ABX25" s="3"/>
      <c r="ABY25" s="3"/>
      <c r="ABZ25" s="3"/>
      <c r="ACA25" s="3"/>
      <c r="ACB25" s="3"/>
      <c r="ACC25" s="3"/>
      <c r="ACD25" s="3"/>
      <c r="ACE25" s="3"/>
      <c r="ACF25" s="3"/>
      <c r="ACG25" s="3"/>
      <c r="ACH25" s="3"/>
      <c r="ACI25" s="3"/>
      <c r="ACJ25" s="3"/>
      <c r="ACK25" s="3"/>
      <c r="ACL25" s="3"/>
      <c r="ACM25" s="3"/>
      <c r="ACN25" s="3"/>
      <c r="ACO25" s="3"/>
      <c r="ACP25" s="3"/>
      <c r="ACQ25" s="3"/>
      <c r="ACR25" s="3"/>
      <c r="ACS25" s="3"/>
      <c r="ACT25" s="3"/>
      <c r="ACU25" s="3"/>
      <c r="ACV25" s="3"/>
      <c r="ACW25" s="3"/>
      <c r="ACX25" s="3"/>
      <c r="ACY25" s="3"/>
      <c r="ACZ25" s="3"/>
    </row>
    <row r="26" spans="1:780" ht="19.350000000000001" customHeight="1" x14ac:dyDescent="0.2">
      <c r="A26" s="7"/>
      <c r="B26" s="7"/>
      <c r="C26" s="2"/>
      <c r="D26" s="2"/>
      <c r="E26" s="6"/>
      <c r="F26" s="6"/>
      <c r="G26" s="6"/>
      <c r="H26" s="6"/>
      <c r="I26" s="2"/>
      <c r="J26" s="4"/>
      <c r="K26" s="4"/>
      <c r="L26" s="2"/>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c r="IS26" s="3"/>
      <c r="IT26" s="3"/>
      <c r="IU26" s="3"/>
      <c r="IV26" s="3"/>
      <c r="IW26" s="3"/>
      <c r="IX26" s="3"/>
      <c r="IY26" s="3"/>
      <c r="IZ26" s="3"/>
      <c r="JA26" s="3"/>
      <c r="JB26" s="3"/>
      <c r="JC26" s="3"/>
      <c r="JD26" s="3"/>
      <c r="JE26" s="3"/>
      <c r="JF26" s="3"/>
      <c r="JG26" s="3"/>
      <c r="JH26" s="3"/>
      <c r="JI26" s="3"/>
      <c r="JJ26" s="3"/>
      <c r="JK26" s="3"/>
      <c r="JL26" s="3"/>
      <c r="JM26" s="3"/>
      <c r="JN26" s="3"/>
      <c r="JO26" s="3"/>
      <c r="JP26" s="3"/>
      <c r="JQ26" s="3"/>
      <c r="JR26" s="3"/>
      <c r="JS26" s="3"/>
      <c r="JT26" s="3"/>
      <c r="JU26" s="3"/>
      <c r="JV26" s="3"/>
      <c r="JW26" s="3"/>
      <c r="JX26" s="3"/>
      <c r="JY26" s="3"/>
      <c r="JZ26" s="3"/>
      <c r="KA26" s="3"/>
      <c r="KB26" s="3"/>
      <c r="KC26" s="3"/>
      <c r="KD26" s="3"/>
      <c r="KE26" s="3"/>
      <c r="KF26" s="3"/>
      <c r="KG26" s="3"/>
      <c r="KH26" s="3"/>
      <c r="KI26" s="3"/>
      <c r="KJ26" s="3"/>
      <c r="KK26" s="3"/>
      <c r="KL26" s="3"/>
      <c r="KM26" s="3"/>
      <c r="KN26" s="3"/>
      <c r="KO26" s="3"/>
      <c r="KP26" s="3"/>
      <c r="KQ26" s="3"/>
      <c r="KR26" s="3"/>
      <c r="KS26" s="3"/>
      <c r="KT26" s="3"/>
      <c r="KU26" s="3"/>
      <c r="KV26" s="3"/>
      <c r="KW26" s="3"/>
      <c r="KX26" s="3"/>
      <c r="KY26" s="3"/>
      <c r="KZ26" s="3"/>
      <c r="LA26" s="3"/>
      <c r="LB26" s="3"/>
      <c r="LC26" s="3"/>
      <c r="LD26" s="3"/>
      <c r="LE26" s="3"/>
      <c r="LF26" s="3"/>
      <c r="LG26" s="3"/>
      <c r="LH26" s="3"/>
      <c r="LI26" s="3"/>
      <c r="LJ26" s="3"/>
      <c r="LK26" s="3"/>
      <c r="LL26" s="3"/>
      <c r="LM26" s="3"/>
      <c r="LN26" s="3"/>
      <c r="LO26" s="3"/>
      <c r="LP26" s="3"/>
      <c r="LQ26" s="3"/>
      <c r="LR26" s="3"/>
      <c r="LS26" s="3"/>
      <c r="LT26" s="3"/>
      <c r="LU26" s="3"/>
      <c r="LV26" s="3"/>
      <c r="LW26" s="3"/>
      <c r="LX26" s="3"/>
      <c r="LY26" s="3"/>
      <c r="LZ26" s="3"/>
      <c r="MA26" s="3"/>
      <c r="MB26" s="3"/>
      <c r="MC26" s="3"/>
      <c r="MD26" s="3"/>
      <c r="ME26" s="3"/>
      <c r="MF26" s="3"/>
      <c r="MG26" s="3"/>
      <c r="MH26" s="3"/>
      <c r="MI26" s="3"/>
      <c r="MJ26" s="3"/>
      <c r="MK26" s="3"/>
      <c r="ML26" s="3"/>
      <c r="MM26" s="3"/>
      <c r="MN26" s="3"/>
      <c r="MO26" s="3"/>
      <c r="MP26" s="3"/>
      <c r="MQ26" s="3"/>
      <c r="MR26" s="3"/>
      <c r="MS26" s="3"/>
      <c r="MT26" s="3"/>
      <c r="MU26" s="3"/>
      <c r="MV26" s="3"/>
      <c r="MW26" s="3"/>
      <c r="MX26" s="3"/>
      <c r="MY26" s="3"/>
      <c r="MZ26" s="3"/>
      <c r="NA26" s="3"/>
      <c r="NB26" s="3"/>
      <c r="NC26" s="3"/>
      <c r="ND26" s="3"/>
      <c r="NE26" s="3"/>
      <c r="NF26" s="3"/>
      <c r="NG26" s="3"/>
      <c r="NH26" s="3"/>
      <c r="NI26" s="3"/>
      <c r="NJ26" s="3"/>
      <c r="NK26" s="3"/>
      <c r="NL26" s="3"/>
      <c r="NM26" s="3"/>
      <c r="NN26" s="3"/>
      <c r="NO26" s="3"/>
      <c r="NP26" s="3"/>
      <c r="NQ26" s="3"/>
      <c r="NR26" s="3"/>
      <c r="NS26" s="3"/>
      <c r="NT26" s="3"/>
      <c r="NU26" s="3"/>
      <c r="NV26" s="3"/>
      <c r="NW26" s="3"/>
      <c r="NX26" s="3"/>
      <c r="NY26" s="3"/>
      <c r="NZ26" s="3"/>
      <c r="OA26" s="3"/>
      <c r="OB26" s="3"/>
      <c r="OC26" s="3"/>
      <c r="OD26" s="3"/>
      <c r="OE26" s="3"/>
      <c r="OF26" s="3"/>
      <c r="OG26" s="3"/>
      <c r="OH26" s="3"/>
      <c r="OI26" s="3"/>
      <c r="OJ26" s="3"/>
      <c r="OK26" s="3"/>
      <c r="OL26" s="3"/>
      <c r="OM26" s="3"/>
      <c r="ON26" s="3"/>
      <c r="OO26" s="3"/>
      <c r="OP26" s="3"/>
      <c r="OQ26" s="3"/>
      <c r="OR26" s="3"/>
      <c r="OS26" s="3"/>
      <c r="OT26" s="3"/>
      <c r="OU26" s="3"/>
      <c r="OV26" s="3"/>
      <c r="OW26" s="3"/>
      <c r="OX26" s="3"/>
      <c r="OY26" s="3"/>
      <c r="OZ26" s="3"/>
      <c r="PA26" s="3"/>
      <c r="PB26" s="3"/>
      <c r="PC26" s="3"/>
      <c r="PD26" s="3"/>
      <c r="PE26" s="3"/>
      <c r="PF26" s="3"/>
      <c r="PG26" s="3"/>
      <c r="PH26" s="3"/>
      <c r="PI26" s="3"/>
      <c r="PJ26" s="3"/>
      <c r="PK26" s="3"/>
      <c r="PL26" s="3"/>
      <c r="PM26" s="3"/>
      <c r="PN26" s="3"/>
      <c r="PO26" s="3"/>
      <c r="PP26" s="3"/>
      <c r="PQ26" s="3"/>
      <c r="PR26" s="3"/>
      <c r="PS26" s="3"/>
      <c r="PT26" s="3"/>
      <c r="PU26" s="3"/>
      <c r="PV26" s="3"/>
      <c r="PW26" s="3"/>
      <c r="PX26" s="3"/>
      <c r="PY26" s="3"/>
      <c r="PZ26" s="3"/>
      <c r="QA26" s="3"/>
      <c r="QB26" s="3"/>
      <c r="QC26" s="3"/>
      <c r="QD26" s="3"/>
      <c r="QE26" s="3"/>
      <c r="QF26" s="3"/>
      <c r="QG26" s="3"/>
      <c r="QH26" s="3"/>
      <c r="QI26" s="3"/>
      <c r="QJ26" s="3"/>
      <c r="QK26" s="3"/>
      <c r="QL26" s="3"/>
      <c r="QM26" s="3"/>
      <c r="QN26" s="3"/>
      <c r="QO26" s="3"/>
      <c r="QP26" s="3"/>
      <c r="QQ26" s="3"/>
      <c r="QR26" s="3"/>
      <c r="QS26" s="3"/>
      <c r="QT26" s="3"/>
      <c r="QU26" s="3"/>
      <c r="QV26" s="3"/>
      <c r="QW26" s="3"/>
      <c r="QX26" s="3"/>
      <c r="QY26" s="3"/>
      <c r="QZ26" s="3"/>
      <c r="RA26" s="3"/>
      <c r="RB26" s="3"/>
      <c r="RC26" s="3"/>
      <c r="RD26" s="3"/>
      <c r="RE26" s="3"/>
      <c r="RF26" s="3"/>
      <c r="RG26" s="3"/>
      <c r="RH26" s="3"/>
      <c r="RI26" s="3"/>
      <c r="RJ26" s="3"/>
      <c r="RK26" s="3"/>
      <c r="RL26" s="3"/>
      <c r="RM26" s="3"/>
      <c r="RN26" s="3"/>
      <c r="RO26" s="3"/>
      <c r="RP26" s="3"/>
      <c r="RQ26" s="3"/>
      <c r="RR26" s="3"/>
      <c r="RS26" s="3"/>
      <c r="RT26" s="3"/>
      <c r="RU26" s="3"/>
      <c r="RV26" s="3"/>
      <c r="RW26" s="3"/>
      <c r="RX26" s="3"/>
      <c r="RY26" s="3"/>
      <c r="RZ26" s="3"/>
      <c r="SA26" s="3"/>
      <c r="SB26" s="3"/>
      <c r="SC26" s="3"/>
      <c r="SD26" s="3"/>
      <c r="SE26" s="3"/>
      <c r="SF26" s="3"/>
      <c r="SG26" s="3"/>
      <c r="SH26" s="3"/>
      <c r="SI26" s="3"/>
      <c r="SJ26" s="3"/>
      <c r="SK26" s="3"/>
      <c r="SL26" s="3"/>
      <c r="SM26" s="3"/>
      <c r="SN26" s="3"/>
      <c r="SO26" s="3"/>
      <c r="SP26" s="3"/>
      <c r="SQ26" s="3"/>
      <c r="SR26" s="3"/>
      <c r="SS26" s="3"/>
      <c r="ST26" s="3"/>
      <c r="SU26" s="3"/>
      <c r="SV26" s="3"/>
      <c r="SW26" s="3"/>
      <c r="SX26" s="3"/>
      <c r="SY26" s="3"/>
      <c r="SZ26" s="3"/>
      <c r="TA26" s="3"/>
      <c r="TB26" s="3"/>
      <c r="TC26" s="3"/>
      <c r="TD26" s="3"/>
      <c r="TE26" s="3"/>
      <c r="TF26" s="3"/>
      <c r="TG26" s="3"/>
      <c r="TH26" s="3"/>
      <c r="TI26" s="3"/>
      <c r="TJ26" s="3"/>
      <c r="TK26" s="3"/>
      <c r="TL26" s="3"/>
      <c r="TM26" s="3"/>
      <c r="TN26" s="3"/>
      <c r="TO26" s="3"/>
      <c r="TP26" s="3"/>
      <c r="TQ26" s="3"/>
      <c r="TR26" s="3"/>
      <c r="TS26" s="3"/>
      <c r="TT26" s="3"/>
      <c r="TU26" s="3"/>
      <c r="TV26" s="3"/>
      <c r="TW26" s="3"/>
      <c r="TX26" s="3"/>
      <c r="TY26" s="3"/>
      <c r="TZ26" s="3"/>
      <c r="UA26" s="3"/>
      <c r="UB26" s="3"/>
      <c r="UC26" s="3"/>
      <c r="UD26" s="3"/>
      <c r="UE26" s="3"/>
      <c r="UF26" s="3"/>
      <c r="UG26" s="3"/>
      <c r="UH26" s="3"/>
      <c r="UI26" s="3"/>
      <c r="UJ26" s="3"/>
      <c r="UK26" s="3"/>
      <c r="UL26" s="3"/>
      <c r="UM26" s="3"/>
      <c r="UN26" s="3"/>
      <c r="UO26" s="3"/>
      <c r="UP26" s="3"/>
      <c r="UQ26" s="3"/>
      <c r="UR26" s="3"/>
      <c r="US26" s="3"/>
      <c r="UT26" s="3"/>
      <c r="UU26" s="3"/>
      <c r="UV26" s="3"/>
      <c r="UW26" s="3"/>
      <c r="UX26" s="3"/>
      <c r="UY26" s="3"/>
      <c r="UZ26" s="3"/>
      <c r="VA26" s="3"/>
      <c r="VB26" s="3"/>
      <c r="VC26" s="3"/>
      <c r="VD26" s="3"/>
      <c r="VE26" s="3"/>
      <c r="VF26" s="3"/>
      <c r="VG26" s="3"/>
      <c r="VH26" s="3"/>
      <c r="VI26" s="3"/>
      <c r="VJ26" s="3"/>
      <c r="VK26" s="3"/>
      <c r="VL26" s="3"/>
      <c r="VM26" s="3"/>
      <c r="VN26" s="3"/>
      <c r="VO26" s="3"/>
      <c r="VP26" s="3"/>
      <c r="VQ26" s="3"/>
      <c r="VR26" s="3"/>
      <c r="VS26" s="3"/>
      <c r="VT26" s="3"/>
      <c r="VU26" s="3"/>
      <c r="VV26" s="3"/>
      <c r="VW26" s="3"/>
      <c r="VX26" s="3"/>
      <c r="VY26" s="3"/>
      <c r="VZ26" s="3"/>
      <c r="WA26" s="3"/>
      <c r="WB26" s="3"/>
      <c r="WC26" s="3"/>
      <c r="WD26" s="3"/>
      <c r="WE26" s="3"/>
      <c r="WF26" s="3"/>
      <c r="WG26" s="3"/>
      <c r="WH26" s="3"/>
      <c r="WI26" s="3"/>
      <c r="WJ26" s="3"/>
      <c r="WK26" s="3"/>
      <c r="WL26" s="3"/>
      <c r="WM26" s="3"/>
      <c r="WN26" s="3"/>
      <c r="WO26" s="3"/>
      <c r="WP26" s="3"/>
      <c r="WQ26" s="3"/>
      <c r="WR26" s="3"/>
      <c r="WS26" s="3"/>
      <c r="WT26" s="3"/>
      <c r="WU26" s="3"/>
      <c r="WV26" s="3"/>
      <c r="WW26" s="3"/>
      <c r="WX26" s="3"/>
      <c r="WY26" s="3"/>
      <c r="WZ26" s="3"/>
      <c r="XA26" s="3"/>
      <c r="XB26" s="3"/>
      <c r="XC26" s="3"/>
      <c r="XD26" s="3"/>
      <c r="XE26" s="3"/>
      <c r="XF26" s="3"/>
      <c r="XG26" s="3"/>
      <c r="XH26" s="3"/>
      <c r="XI26" s="3"/>
      <c r="XJ26" s="3"/>
      <c r="XK26" s="3"/>
      <c r="XL26" s="3"/>
      <c r="XM26" s="3"/>
      <c r="XN26" s="3"/>
      <c r="XO26" s="3"/>
      <c r="XP26" s="3"/>
      <c r="XQ26" s="3"/>
      <c r="XR26" s="3"/>
      <c r="XS26" s="3"/>
      <c r="XT26" s="3"/>
      <c r="XU26" s="3"/>
      <c r="XV26" s="3"/>
      <c r="XW26" s="3"/>
      <c r="XX26" s="3"/>
      <c r="XY26" s="3"/>
      <c r="XZ26" s="3"/>
      <c r="YA26" s="3"/>
      <c r="YB26" s="3"/>
      <c r="YC26" s="3"/>
      <c r="YD26" s="3"/>
      <c r="YE26" s="3"/>
      <c r="YF26" s="3"/>
      <c r="YG26" s="3"/>
      <c r="YH26" s="3"/>
      <c r="YI26" s="3"/>
      <c r="YJ26" s="3"/>
      <c r="YK26" s="3"/>
      <c r="YL26" s="3"/>
      <c r="YM26" s="3"/>
      <c r="YN26" s="3"/>
      <c r="YO26" s="3"/>
      <c r="YP26" s="3"/>
      <c r="YQ26" s="3"/>
      <c r="YR26" s="3"/>
      <c r="YS26" s="3"/>
      <c r="YT26" s="3"/>
      <c r="YU26" s="3"/>
      <c r="YV26" s="3"/>
      <c r="YW26" s="3"/>
      <c r="YX26" s="3"/>
      <c r="YY26" s="3"/>
      <c r="YZ26" s="3"/>
      <c r="ZA26" s="3"/>
      <c r="ZB26" s="3"/>
      <c r="ZC26" s="3"/>
      <c r="ZD26" s="3"/>
      <c r="ZE26" s="3"/>
      <c r="ZF26" s="3"/>
      <c r="ZG26" s="3"/>
      <c r="ZH26" s="3"/>
      <c r="ZI26" s="3"/>
      <c r="ZJ26" s="3"/>
      <c r="ZK26" s="3"/>
      <c r="ZL26" s="3"/>
      <c r="ZM26" s="3"/>
      <c r="ZN26" s="3"/>
      <c r="ZO26" s="3"/>
      <c r="ZP26" s="3"/>
      <c r="ZQ26" s="3"/>
      <c r="ZR26" s="3"/>
      <c r="ZS26" s="3"/>
      <c r="ZT26" s="3"/>
      <c r="ZU26" s="3"/>
      <c r="ZV26" s="3"/>
      <c r="ZW26" s="3"/>
      <c r="ZX26" s="3"/>
      <c r="ZY26" s="3"/>
      <c r="ZZ26" s="3"/>
      <c r="AAA26" s="3"/>
      <c r="AAB26" s="3"/>
      <c r="AAC26" s="3"/>
      <c r="AAD26" s="3"/>
      <c r="AAE26" s="3"/>
      <c r="AAF26" s="3"/>
      <c r="AAG26" s="3"/>
      <c r="AAH26" s="3"/>
      <c r="AAI26" s="3"/>
      <c r="AAJ26" s="3"/>
      <c r="AAK26" s="3"/>
      <c r="AAL26" s="3"/>
      <c r="AAM26" s="3"/>
      <c r="AAN26" s="3"/>
      <c r="AAO26" s="3"/>
      <c r="AAP26" s="3"/>
      <c r="AAQ26" s="3"/>
      <c r="AAR26" s="3"/>
      <c r="AAS26" s="3"/>
      <c r="AAT26" s="3"/>
      <c r="AAU26" s="3"/>
      <c r="AAV26" s="3"/>
      <c r="AAW26" s="3"/>
      <c r="AAX26" s="3"/>
      <c r="AAY26" s="3"/>
      <c r="AAZ26" s="3"/>
      <c r="ABA26" s="3"/>
      <c r="ABB26" s="3"/>
      <c r="ABC26" s="3"/>
      <c r="ABD26" s="3"/>
      <c r="ABE26" s="3"/>
      <c r="ABF26" s="3"/>
      <c r="ABG26" s="3"/>
      <c r="ABH26" s="3"/>
      <c r="ABI26" s="3"/>
      <c r="ABJ26" s="3"/>
      <c r="ABK26" s="3"/>
      <c r="ABL26" s="3"/>
      <c r="ABM26" s="3"/>
      <c r="ABN26" s="3"/>
      <c r="ABO26" s="3"/>
      <c r="ABP26" s="3"/>
      <c r="ABQ26" s="3"/>
      <c r="ABR26" s="3"/>
      <c r="ABS26" s="3"/>
      <c r="ABT26" s="3"/>
      <c r="ABU26" s="3"/>
      <c r="ABV26" s="3"/>
      <c r="ABW26" s="3"/>
      <c r="ABX26" s="3"/>
      <c r="ABY26" s="3"/>
      <c r="ABZ26" s="3"/>
      <c r="ACA26" s="3"/>
      <c r="ACB26" s="3"/>
      <c r="ACC26" s="3"/>
      <c r="ACD26" s="3"/>
      <c r="ACE26" s="3"/>
      <c r="ACF26" s="3"/>
      <c r="ACG26" s="3"/>
      <c r="ACH26" s="3"/>
      <c r="ACI26" s="3"/>
      <c r="ACJ26" s="3"/>
      <c r="ACK26" s="3"/>
      <c r="ACL26" s="3"/>
      <c r="ACM26" s="3"/>
      <c r="ACN26" s="3"/>
      <c r="ACO26" s="3"/>
      <c r="ACP26" s="3"/>
      <c r="ACQ26" s="3"/>
      <c r="ACR26" s="3"/>
      <c r="ACS26" s="3"/>
      <c r="ACT26" s="3"/>
      <c r="ACU26" s="3"/>
      <c r="ACV26" s="3"/>
      <c r="ACW26" s="3"/>
      <c r="ACX26" s="3"/>
      <c r="ACY26" s="3"/>
      <c r="ACZ26" s="3"/>
    </row>
    <row r="27" spans="1:780" x14ac:dyDescent="0.2">
      <c r="A27" s="7"/>
      <c r="B27" s="7"/>
      <c r="C27" s="2"/>
      <c r="D27" s="2"/>
      <c r="E27" s="6"/>
      <c r="F27" s="6"/>
      <c r="G27" s="6"/>
      <c r="H27" s="6"/>
      <c r="I27" s="2"/>
      <c r="J27" s="4"/>
      <c r="K27" s="4"/>
      <c r="L27" s="2"/>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c r="IS27" s="3"/>
      <c r="IT27" s="3"/>
      <c r="IU27" s="3"/>
      <c r="IV27" s="3"/>
      <c r="IW27" s="3"/>
      <c r="IX27" s="3"/>
      <c r="IY27" s="3"/>
      <c r="IZ27" s="3"/>
      <c r="JA27" s="3"/>
      <c r="JB27" s="3"/>
      <c r="JC27" s="3"/>
      <c r="JD27" s="3"/>
      <c r="JE27" s="3"/>
      <c r="JF27" s="3"/>
      <c r="JG27" s="3"/>
      <c r="JH27" s="3"/>
      <c r="JI27" s="3"/>
      <c r="JJ27" s="3"/>
      <c r="JK27" s="3"/>
      <c r="JL27" s="3"/>
      <c r="JM27" s="3"/>
      <c r="JN27" s="3"/>
      <c r="JO27" s="3"/>
      <c r="JP27" s="3"/>
      <c r="JQ27" s="3"/>
      <c r="JR27" s="3"/>
      <c r="JS27" s="3"/>
      <c r="JT27" s="3"/>
      <c r="JU27" s="3"/>
      <c r="JV27" s="3"/>
      <c r="JW27" s="3"/>
      <c r="JX27" s="3"/>
      <c r="JY27" s="3"/>
      <c r="JZ27" s="3"/>
      <c r="KA27" s="3"/>
      <c r="KB27" s="3"/>
      <c r="KC27" s="3"/>
      <c r="KD27" s="3"/>
      <c r="KE27" s="3"/>
      <c r="KF27" s="3"/>
      <c r="KG27" s="3"/>
      <c r="KH27" s="3"/>
      <c r="KI27" s="3"/>
      <c r="KJ27" s="3"/>
      <c r="KK27" s="3"/>
      <c r="KL27" s="3"/>
      <c r="KM27" s="3"/>
      <c r="KN27" s="3"/>
      <c r="KO27" s="3"/>
      <c r="KP27" s="3"/>
      <c r="KQ27" s="3"/>
      <c r="KR27" s="3"/>
      <c r="KS27" s="3"/>
      <c r="KT27" s="3"/>
      <c r="KU27" s="3"/>
      <c r="KV27" s="3"/>
      <c r="KW27" s="3"/>
      <c r="KX27" s="3"/>
      <c r="KY27" s="3"/>
      <c r="KZ27" s="3"/>
      <c r="LA27" s="3"/>
      <c r="LB27" s="3"/>
      <c r="LC27" s="3"/>
      <c r="LD27" s="3"/>
      <c r="LE27" s="3"/>
      <c r="LF27" s="3"/>
      <c r="LG27" s="3"/>
      <c r="LH27" s="3"/>
      <c r="LI27" s="3"/>
      <c r="LJ27" s="3"/>
      <c r="LK27" s="3"/>
      <c r="LL27" s="3"/>
      <c r="LM27" s="3"/>
      <c r="LN27" s="3"/>
      <c r="LO27" s="3"/>
      <c r="LP27" s="3"/>
      <c r="LQ27" s="3"/>
      <c r="LR27" s="3"/>
      <c r="LS27" s="3"/>
      <c r="LT27" s="3"/>
      <c r="LU27" s="3"/>
      <c r="LV27" s="3"/>
      <c r="LW27" s="3"/>
      <c r="LX27" s="3"/>
      <c r="LY27" s="3"/>
      <c r="LZ27" s="3"/>
      <c r="MA27" s="3"/>
      <c r="MB27" s="3"/>
      <c r="MC27" s="3"/>
      <c r="MD27" s="3"/>
      <c r="ME27" s="3"/>
      <c r="MF27" s="3"/>
      <c r="MG27" s="3"/>
      <c r="MH27" s="3"/>
      <c r="MI27" s="3"/>
      <c r="MJ27" s="3"/>
      <c r="MK27" s="3"/>
      <c r="ML27" s="3"/>
      <c r="MM27" s="3"/>
      <c r="MN27" s="3"/>
      <c r="MO27" s="3"/>
      <c r="MP27" s="3"/>
      <c r="MQ27" s="3"/>
      <c r="MR27" s="3"/>
      <c r="MS27" s="3"/>
      <c r="MT27" s="3"/>
      <c r="MU27" s="3"/>
      <c r="MV27" s="3"/>
      <c r="MW27" s="3"/>
      <c r="MX27" s="3"/>
      <c r="MY27" s="3"/>
      <c r="MZ27" s="3"/>
      <c r="NA27" s="3"/>
      <c r="NB27" s="3"/>
      <c r="NC27" s="3"/>
      <c r="ND27" s="3"/>
      <c r="NE27" s="3"/>
      <c r="NF27" s="3"/>
      <c r="NG27" s="3"/>
      <c r="NH27" s="3"/>
      <c r="NI27" s="3"/>
      <c r="NJ27" s="3"/>
      <c r="NK27" s="3"/>
      <c r="NL27" s="3"/>
      <c r="NM27" s="3"/>
      <c r="NN27" s="3"/>
      <c r="NO27" s="3"/>
      <c r="NP27" s="3"/>
      <c r="NQ27" s="3"/>
      <c r="NR27" s="3"/>
      <c r="NS27" s="3"/>
      <c r="NT27" s="3"/>
      <c r="NU27" s="3"/>
      <c r="NV27" s="3"/>
      <c r="NW27" s="3"/>
      <c r="NX27" s="3"/>
      <c r="NY27" s="3"/>
      <c r="NZ27" s="3"/>
      <c r="OA27" s="3"/>
      <c r="OB27" s="3"/>
      <c r="OC27" s="3"/>
      <c r="OD27" s="3"/>
      <c r="OE27" s="3"/>
      <c r="OF27" s="3"/>
      <c r="OG27" s="3"/>
      <c r="OH27" s="3"/>
      <c r="OI27" s="3"/>
      <c r="OJ27" s="3"/>
      <c r="OK27" s="3"/>
      <c r="OL27" s="3"/>
      <c r="OM27" s="3"/>
      <c r="ON27" s="3"/>
      <c r="OO27" s="3"/>
      <c r="OP27" s="3"/>
      <c r="OQ27" s="3"/>
      <c r="OR27" s="3"/>
      <c r="OS27" s="3"/>
      <c r="OT27" s="3"/>
      <c r="OU27" s="3"/>
      <c r="OV27" s="3"/>
      <c r="OW27" s="3"/>
      <c r="OX27" s="3"/>
      <c r="OY27" s="3"/>
      <c r="OZ27" s="3"/>
      <c r="PA27" s="3"/>
      <c r="PB27" s="3"/>
      <c r="PC27" s="3"/>
      <c r="PD27" s="3"/>
      <c r="PE27" s="3"/>
      <c r="PF27" s="3"/>
      <c r="PG27" s="3"/>
      <c r="PH27" s="3"/>
      <c r="PI27" s="3"/>
      <c r="PJ27" s="3"/>
      <c r="PK27" s="3"/>
      <c r="PL27" s="3"/>
      <c r="PM27" s="3"/>
      <c r="PN27" s="3"/>
      <c r="PO27" s="3"/>
      <c r="PP27" s="3"/>
      <c r="PQ27" s="3"/>
      <c r="PR27" s="3"/>
      <c r="PS27" s="3"/>
      <c r="PT27" s="3"/>
      <c r="PU27" s="3"/>
      <c r="PV27" s="3"/>
      <c r="PW27" s="3"/>
      <c r="PX27" s="3"/>
      <c r="PY27" s="3"/>
      <c r="PZ27" s="3"/>
      <c r="QA27" s="3"/>
      <c r="QB27" s="3"/>
      <c r="QC27" s="3"/>
      <c r="QD27" s="3"/>
      <c r="QE27" s="3"/>
      <c r="QF27" s="3"/>
      <c r="QG27" s="3"/>
      <c r="QH27" s="3"/>
      <c r="QI27" s="3"/>
      <c r="QJ27" s="3"/>
      <c r="QK27" s="3"/>
      <c r="QL27" s="3"/>
      <c r="QM27" s="3"/>
      <c r="QN27" s="3"/>
      <c r="QO27" s="3"/>
      <c r="QP27" s="3"/>
      <c r="QQ27" s="3"/>
      <c r="QR27" s="3"/>
      <c r="QS27" s="3"/>
      <c r="QT27" s="3"/>
      <c r="QU27" s="3"/>
      <c r="QV27" s="3"/>
      <c r="QW27" s="3"/>
      <c r="QX27" s="3"/>
      <c r="QY27" s="3"/>
      <c r="QZ27" s="3"/>
      <c r="RA27" s="3"/>
      <c r="RB27" s="3"/>
      <c r="RC27" s="3"/>
      <c r="RD27" s="3"/>
      <c r="RE27" s="3"/>
      <c r="RF27" s="3"/>
      <c r="RG27" s="3"/>
      <c r="RH27" s="3"/>
      <c r="RI27" s="3"/>
      <c r="RJ27" s="3"/>
      <c r="RK27" s="3"/>
      <c r="RL27" s="3"/>
      <c r="RM27" s="3"/>
      <c r="RN27" s="3"/>
      <c r="RO27" s="3"/>
      <c r="RP27" s="3"/>
      <c r="RQ27" s="3"/>
      <c r="RR27" s="3"/>
      <c r="RS27" s="3"/>
      <c r="RT27" s="3"/>
      <c r="RU27" s="3"/>
      <c r="RV27" s="3"/>
      <c r="RW27" s="3"/>
      <c r="RX27" s="3"/>
      <c r="RY27" s="3"/>
      <c r="RZ27" s="3"/>
      <c r="SA27" s="3"/>
      <c r="SB27" s="3"/>
      <c r="SC27" s="3"/>
      <c r="SD27" s="3"/>
      <c r="SE27" s="3"/>
      <c r="SF27" s="3"/>
      <c r="SG27" s="3"/>
      <c r="SH27" s="3"/>
      <c r="SI27" s="3"/>
      <c r="SJ27" s="3"/>
      <c r="SK27" s="3"/>
      <c r="SL27" s="3"/>
      <c r="SM27" s="3"/>
      <c r="SN27" s="3"/>
      <c r="SO27" s="3"/>
      <c r="SP27" s="3"/>
      <c r="SQ27" s="3"/>
      <c r="SR27" s="3"/>
      <c r="SS27" s="3"/>
      <c r="ST27" s="3"/>
      <c r="SU27" s="3"/>
      <c r="SV27" s="3"/>
      <c r="SW27" s="3"/>
      <c r="SX27" s="3"/>
      <c r="SY27" s="3"/>
      <c r="SZ27" s="3"/>
      <c r="TA27" s="3"/>
      <c r="TB27" s="3"/>
      <c r="TC27" s="3"/>
      <c r="TD27" s="3"/>
      <c r="TE27" s="3"/>
      <c r="TF27" s="3"/>
      <c r="TG27" s="3"/>
      <c r="TH27" s="3"/>
      <c r="TI27" s="3"/>
      <c r="TJ27" s="3"/>
      <c r="TK27" s="3"/>
      <c r="TL27" s="3"/>
      <c r="TM27" s="3"/>
      <c r="TN27" s="3"/>
      <c r="TO27" s="3"/>
      <c r="TP27" s="3"/>
      <c r="TQ27" s="3"/>
      <c r="TR27" s="3"/>
      <c r="TS27" s="3"/>
      <c r="TT27" s="3"/>
      <c r="TU27" s="3"/>
      <c r="TV27" s="3"/>
      <c r="TW27" s="3"/>
      <c r="TX27" s="3"/>
      <c r="TY27" s="3"/>
      <c r="TZ27" s="3"/>
      <c r="UA27" s="3"/>
      <c r="UB27" s="3"/>
      <c r="UC27" s="3"/>
      <c r="UD27" s="3"/>
      <c r="UE27" s="3"/>
      <c r="UF27" s="3"/>
      <c r="UG27" s="3"/>
      <c r="UH27" s="3"/>
      <c r="UI27" s="3"/>
      <c r="UJ27" s="3"/>
      <c r="UK27" s="3"/>
      <c r="UL27" s="3"/>
      <c r="UM27" s="3"/>
      <c r="UN27" s="3"/>
      <c r="UO27" s="3"/>
      <c r="UP27" s="3"/>
      <c r="UQ27" s="3"/>
      <c r="UR27" s="3"/>
      <c r="US27" s="3"/>
      <c r="UT27" s="3"/>
      <c r="UU27" s="3"/>
      <c r="UV27" s="3"/>
      <c r="UW27" s="3"/>
      <c r="UX27" s="3"/>
      <c r="UY27" s="3"/>
      <c r="UZ27" s="3"/>
      <c r="VA27" s="3"/>
      <c r="VB27" s="3"/>
      <c r="VC27" s="3"/>
      <c r="VD27" s="3"/>
      <c r="VE27" s="3"/>
      <c r="VF27" s="3"/>
      <c r="VG27" s="3"/>
      <c r="VH27" s="3"/>
      <c r="VI27" s="3"/>
      <c r="VJ27" s="3"/>
      <c r="VK27" s="3"/>
      <c r="VL27" s="3"/>
      <c r="VM27" s="3"/>
      <c r="VN27" s="3"/>
      <c r="VO27" s="3"/>
      <c r="VP27" s="3"/>
      <c r="VQ27" s="3"/>
      <c r="VR27" s="3"/>
      <c r="VS27" s="3"/>
      <c r="VT27" s="3"/>
      <c r="VU27" s="3"/>
      <c r="VV27" s="3"/>
      <c r="VW27" s="3"/>
      <c r="VX27" s="3"/>
      <c r="VY27" s="3"/>
      <c r="VZ27" s="3"/>
      <c r="WA27" s="3"/>
      <c r="WB27" s="3"/>
      <c r="WC27" s="3"/>
      <c r="WD27" s="3"/>
      <c r="WE27" s="3"/>
      <c r="WF27" s="3"/>
      <c r="WG27" s="3"/>
      <c r="WH27" s="3"/>
      <c r="WI27" s="3"/>
      <c r="WJ27" s="3"/>
      <c r="WK27" s="3"/>
      <c r="WL27" s="3"/>
      <c r="WM27" s="3"/>
      <c r="WN27" s="3"/>
      <c r="WO27" s="3"/>
      <c r="WP27" s="3"/>
      <c r="WQ27" s="3"/>
      <c r="WR27" s="3"/>
      <c r="WS27" s="3"/>
      <c r="WT27" s="3"/>
      <c r="WU27" s="3"/>
      <c r="WV27" s="3"/>
      <c r="WW27" s="3"/>
      <c r="WX27" s="3"/>
      <c r="WY27" s="3"/>
      <c r="WZ27" s="3"/>
      <c r="XA27" s="3"/>
      <c r="XB27" s="3"/>
      <c r="XC27" s="3"/>
      <c r="XD27" s="3"/>
      <c r="XE27" s="3"/>
      <c r="XF27" s="3"/>
      <c r="XG27" s="3"/>
      <c r="XH27" s="3"/>
      <c r="XI27" s="3"/>
      <c r="XJ27" s="3"/>
      <c r="XK27" s="3"/>
      <c r="XL27" s="3"/>
      <c r="XM27" s="3"/>
      <c r="XN27" s="3"/>
      <c r="XO27" s="3"/>
      <c r="XP27" s="3"/>
      <c r="XQ27" s="3"/>
      <c r="XR27" s="3"/>
      <c r="XS27" s="3"/>
      <c r="XT27" s="3"/>
      <c r="XU27" s="3"/>
      <c r="XV27" s="3"/>
      <c r="XW27" s="3"/>
      <c r="XX27" s="3"/>
      <c r="XY27" s="3"/>
      <c r="XZ27" s="3"/>
      <c r="YA27" s="3"/>
      <c r="YB27" s="3"/>
      <c r="YC27" s="3"/>
      <c r="YD27" s="3"/>
      <c r="YE27" s="3"/>
      <c r="YF27" s="3"/>
      <c r="YG27" s="3"/>
      <c r="YH27" s="3"/>
      <c r="YI27" s="3"/>
      <c r="YJ27" s="3"/>
      <c r="YK27" s="3"/>
      <c r="YL27" s="3"/>
      <c r="YM27" s="3"/>
      <c r="YN27" s="3"/>
      <c r="YO27" s="3"/>
      <c r="YP27" s="3"/>
      <c r="YQ27" s="3"/>
      <c r="YR27" s="3"/>
      <c r="YS27" s="3"/>
      <c r="YT27" s="3"/>
      <c r="YU27" s="3"/>
      <c r="YV27" s="3"/>
      <c r="YW27" s="3"/>
      <c r="YX27" s="3"/>
      <c r="YY27" s="3"/>
      <c r="YZ27" s="3"/>
      <c r="ZA27" s="3"/>
      <c r="ZB27" s="3"/>
      <c r="ZC27" s="3"/>
      <c r="ZD27" s="3"/>
      <c r="ZE27" s="3"/>
      <c r="ZF27" s="3"/>
      <c r="ZG27" s="3"/>
      <c r="ZH27" s="3"/>
      <c r="ZI27" s="3"/>
      <c r="ZJ27" s="3"/>
      <c r="ZK27" s="3"/>
      <c r="ZL27" s="3"/>
      <c r="ZM27" s="3"/>
      <c r="ZN27" s="3"/>
      <c r="ZO27" s="3"/>
      <c r="ZP27" s="3"/>
      <c r="ZQ27" s="3"/>
      <c r="ZR27" s="3"/>
      <c r="ZS27" s="3"/>
      <c r="ZT27" s="3"/>
      <c r="ZU27" s="3"/>
      <c r="ZV27" s="3"/>
      <c r="ZW27" s="3"/>
      <c r="ZX27" s="3"/>
      <c r="ZY27" s="3"/>
      <c r="ZZ27" s="3"/>
      <c r="AAA27" s="3"/>
      <c r="AAB27" s="3"/>
      <c r="AAC27" s="3"/>
      <c r="AAD27" s="3"/>
      <c r="AAE27" s="3"/>
      <c r="AAF27" s="3"/>
      <c r="AAG27" s="3"/>
      <c r="AAH27" s="3"/>
      <c r="AAI27" s="3"/>
      <c r="AAJ27" s="3"/>
      <c r="AAK27" s="3"/>
      <c r="AAL27" s="3"/>
      <c r="AAM27" s="3"/>
      <c r="AAN27" s="3"/>
      <c r="AAO27" s="3"/>
      <c r="AAP27" s="3"/>
      <c r="AAQ27" s="3"/>
      <c r="AAR27" s="3"/>
      <c r="AAS27" s="3"/>
      <c r="AAT27" s="3"/>
      <c r="AAU27" s="3"/>
      <c r="AAV27" s="3"/>
      <c r="AAW27" s="3"/>
      <c r="AAX27" s="3"/>
      <c r="AAY27" s="3"/>
      <c r="AAZ27" s="3"/>
      <c r="ABA27" s="3"/>
      <c r="ABB27" s="3"/>
      <c r="ABC27" s="3"/>
      <c r="ABD27" s="3"/>
      <c r="ABE27" s="3"/>
      <c r="ABF27" s="3"/>
      <c r="ABG27" s="3"/>
      <c r="ABH27" s="3"/>
      <c r="ABI27" s="3"/>
      <c r="ABJ27" s="3"/>
      <c r="ABK27" s="3"/>
      <c r="ABL27" s="3"/>
      <c r="ABM27" s="3"/>
      <c r="ABN27" s="3"/>
      <c r="ABO27" s="3"/>
      <c r="ABP27" s="3"/>
      <c r="ABQ27" s="3"/>
      <c r="ABR27" s="3"/>
      <c r="ABS27" s="3"/>
      <c r="ABT27" s="3"/>
      <c r="ABU27" s="3"/>
      <c r="ABV27" s="3"/>
      <c r="ABW27" s="3"/>
      <c r="ABX27" s="3"/>
      <c r="ABY27" s="3"/>
      <c r="ABZ27" s="3"/>
      <c r="ACA27" s="3"/>
      <c r="ACB27" s="3"/>
      <c r="ACC27" s="3"/>
      <c r="ACD27" s="3"/>
      <c r="ACE27" s="3"/>
      <c r="ACF27" s="3"/>
      <c r="ACG27" s="3"/>
      <c r="ACH27" s="3"/>
      <c r="ACI27" s="3"/>
      <c r="ACJ27" s="3"/>
      <c r="ACK27" s="3"/>
      <c r="ACL27" s="3"/>
      <c r="ACM27" s="3"/>
      <c r="ACN27" s="3"/>
      <c r="ACO27" s="3"/>
      <c r="ACP27" s="3"/>
      <c r="ACQ27" s="3"/>
      <c r="ACR27" s="3"/>
      <c r="ACS27" s="3"/>
      <c r="ACT27" s="3"/>
      <c r="ACU27" s="3"/>
      <c r="ACV27" s="3"/>
      <c r="ACW27" s="3"/>
      <c r="ACX27" s="3"/>
      <c r="ACY27" s="3"/>
      <c r="ACZ27" s="3"/>
    </row>
    <row r="28" spans="1:780" x14ac:dyDescent="0.2">
      <c r="A28" s="7"/>
      <c r="B28" s="7"/>
      <c r="C28" s="2"/>
      <c r="D28" s="2"/>
      <c r="E28" s="6"/>
      <c r="F28" s="6"/>
      <c r="G28" s="6"/>
      <c r="H28" s="6"/>
      <c r="I28" s="2"/>
      <c r="J28" s="4"/>
      <c r="K28" s="4"/>
      <c r="L28" s="2"/>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c r="IS28" s="3"/>
      <c r="IT28" s="3"/>
      <c r="IU28" s="3"/>
      <c r="IV28" s="3"/>
      <c r="IW28" s="3"/>
      <c r="IX28" s="3"/>
      <c r="IY28" s="3"/>
      <c r="IZ28" s="3"/>
      <c r="JA28" s="3"/>
      <c r="JB28" s="3"/>
      <c r="JC28" s="3"/>
      <c r="JD28" s="3"/>
      <c r="JE28" s="3"/>
      <c r="JF28" s="3"/>
      <c r="JG28" s="3"/>
      <c r="JH28" s="3"/>
      <c r="JI28" s="3"/>
      <c r="JJ28" s="3"/>
      <c r="JK28" s="3"/>
      <c r="JL28" s="3"/>
      <c r="JM28" s="3"/>
      <c r="JN28" s="3"/>
      <c r="JO28" s="3"/>
      <c r="JP28" s="3"/>
      <c r="JQ28" s="3"/>
      <c r="JR28" s="3"/>
      <c r="JS28" s="3"/>
      <c r="JT28" s="3"/>
      <c r="JU28" s="3"/>
      <c r="JV28" s="3"/>
      <c r="JW28" s="3"/>
      <c r="JX28" s="3"/>
      <c r="JY28" s="3"/>
      <c r="JZ28" s="3"/>
      <c r="KA28" s="3"/>
      <c r="KB28" s="3"/>
      <c r="KC28" s="3"/>
      <c r="KD28" s="3"/>
      <c r="KE28" s="3"/>
      <c r="KF28" s="3"/>
      <c r="KG28" s="3"/>
      <c r="KH28" s="3"/>
      <c r="KI28" s="3"/>
      <c r="KJ28" s="3"/>
      <c r="KK28" s="3"/>
      <c r="KL28" s="3"/>
      <c r="KM28" s="3"/>
      <c r="KN28" s="3"/>
      <c r="KO28" s="3"/>
      <c r="KP28" s="3"/>
      <c r="KQ28" s="3"/>
      <c r="KR28" s="3"/>
      <c r="KS28" s="3"/>
      <c r="KT28" s="3"/>
      <c r="KU28" s="3"/>
      <c r="KV28" s="3"/>
      <c r="KW28" s="3"/>
      <c r="KX28" s="3"/>
      <c r="KY28" s="3"/>
      <c r="KZ28" s="3"/>
      <c r="LA28" s="3"/>
      <c r="LB28" s="3"/>
      <c r="LC28" s="3"/>
      <c r="LD28" s="3"/>
      <c r="LE28" s="3"/>
      <c r="LF28" s="3"/>
      <c r="LG28" s="3"/>
      <c r="LH28" s="3"/>
      <c r="LI28" s="3"/>
      <c r="LJ28" s="3"/>
      <c r="LK28" s="3"/>
      <c r="LL28" s="3"/>
      <c r="LM28" s="3"/>
      <c r="LN28" s="3"/>
      <c r="LO28" s="3"/>
      <c r="LP28" s="3"/>
      <c r="LQ28" s="3"/>
      <c r="LR28" s="3"/>
      <c r="LS28" s="3"/>
      <c r="LT28" s="3"/>
      <c r="LU28" s="3"/>
      <c r="LV28" s="3"/>
      <c r="LW28" s="3"/>
      <c r="LX28" s="3"/>
      <c r="LY28" s="3"/>
      <c r="LZ28" s="3"/>
      <c r="MA28" s="3"/>
      <c r="MB28" s="3"/>
      <c r="MC28" s="3"/>
      <c r="MD28" s="3"/>
      <c r="ME28" s="3"/>
      <c r="MF28" s="3"/>
      <c r="MG28" s="3"/>
      <c r="MH28" s="3"/>
      <c r="MI28" s="3"/>
      <c r="MJ28" s="3"/>
      <c r="MK28" s="3"/>
      <c r="ML28" s="3"/>
      <c r="MM28" s="3"/>
      <c r="MN28" s="3"/>
      <c r="MO28" s="3"/>
      <c r="MP28" s="3"/>
      <c r="MQ28" s="3"/>
      <c r="MR28" s="3"/>
      <c r="MS28" s="3"/>
      <c r="MT28" s="3"/>
      <c r="MU28" s="3"/>
      <c r="MV28" s="3"/>
      <c r="MW28" s="3"/>
      <c r="MX28" s="3"/>
      <c r="MY28" s="3"/>
      <c r="MZ28" s="3"/>
      <c r="NA28" s="3"/>
      <c r="NB28" s="3"/>
      <c r="NC28" s="3"/>
      <c r="ND28" s="3"/>
      <c r="NE28" s="3"/>
      <c r="NF28" s="3"/>
      <c r="NG28" s="3"/>
      <c r="NH28" s="3"/>
      <c r="NI28" s="3"/>
      <c r="NJ28" s="3"/>
      <c r="NK28" s="3"/>
      <c r="NL28" s="3"/>
      <c r="NM28" s="3"/>
      <c r="NN28" s="3"/>
      <c r="NO28" s="3"/>
      <c r="NP28" s="3"/>
      <c r="NQ28" s="3"/>
      <c r="NR28" s="3"/>
      <c r="NS28" s="3"/>
      <c r="NT28" s="3"/>
      <c r="NU28" s="3"/>
      <c r="NV28" s="3"/>
      <c r="NW28" s="3"/>
      <c r="NX28" s="3"/>
      <c r="NY28" s="3"/>
      <c r="NZ28" s="3"/>
      <c r="OA28" s="3"/>
      <c r="OB28" s="3"/>
      <c r="OC28" s="3"/>
      <c r="OD28" s="3"/>
      <c r="OE28" s="3"/>
      <c r="OF28" s="3"/>
      <c r="OG28" s="3"/>
      <c r="OH28" s="3"/>
      <c r="OI28" s="3"/>
      <c r="OJ28" s="3"/>
      <c r="OK28" s="3"/>
      <c r="OL28" s="3"/>
      <c r="OM28" s="3"/>
      <c r="ON28" s="3"/>
      <c r="OO28" s="3"/>
      <c r="OP28" s="3"/>
      <c r="OQ28" s="3"/>
      <c r="OR28" s="3"/>
      <c r="OS28" s="3"/>
      <c r="OT28" s="3"/>
      <c r="OU28" s="3"/>
      <c r="OV28" s="3"/>
      <c r="OW28" s="3"/>
      <c r="OX28" s="3"/>
      <c r="OY28" s="3"/>
      <c r="OZ28" s="3"/>
      <c r="PA28" s="3"/>
      <c r="PB28" s="3"/>
      <c r="PC28" s="3"/>
      <c r="PD28" s="3"/>
      <c r="PE28" s="3"/>
      <c r="PF28" s="3"/>
      <c r="PG28" s="3"/>
      <c r="PH28" s="3"/>
      <c r="PI28" s="3"/>
      <c r="PJ28" s="3"/>
      <c r="PK28" s="3"/>
      <c r="PL28" s="3"/>
      <c r="PM28" s="3"/>
      <c r="PN28" s="3"/>
      <c r="PO28" s="3"/>
      <c r="PP28" s="3"/>
      <c r="PQ28" s="3"/>
      <c r="PR28" s="3"/>
      <c r="PS28" s="3"/>
      <c r="PT28" s="3"/>
      <c r="PU28" s="3"/>
      <c r="PV28" s="3"/>
      <c r="PW28" s="3"/>
      <c r="PX28" s="3"/>
      <c r="PY28" s="3"/>
      <c r="PZ28" s="3"/>
      <c r="QA28" s="3"/>
      <c r="QB28" s="3"/>
      <c r="QC28" s="3"/>
      <c r="QD28" s="3"/>
      <c r="QE28" s="3"/>
      <c r="QF28" s="3"/>
      <c r="QG28" s="3"/>
      <c r="QH28" s="3"/>
      <c r="QI28" s="3"/>
      <c r="QJ28" s="3"/>
      <c r="QK28" s="3"/>
      <c r="QL28" s="3"/>
      <c r="QM28" s="3"/>
      <c r="QN28" s="3"/>
      <c r="QO28" s="3"/>
      <c r="QP28" s="3"/>
      <c r="QQ28" s="3"/>
      <c r="QR28" s="3"/>
      <c r="QS28" s="3"/>
      <c r="QT28" s="3"/>
      <c r="QU28" s="3"/>
      <c r="QV28" s="3"/>
      <c r="QW28" s="3"/>
      <c r="QX28" s="3"/>
      <c r="QY28" s="3"/>
      <c r="QZ28" s="3"/>
      <c r="RA28" s="3"/>
      <c r="RB28" s="3"/>
      <c r="RC28" s="3"/>
      <c r="RD28" s="3"/>
      <c r="RE28" s="3"/>
      <c r="RF28" s="3"/>
      <c r="RG28" s="3"/>
      <c r="RH28" s="3"/>
      <c r="RI28" s="3"/>
      <c r="RJ28" s="3"/>
      <c r="RK28" s="3"/>
      <c r="RL28" s="3"/>
      <c r="RM28" s="3"/>
      <c r="RN28" s="3"/>
      <c r="RO28" s="3"/>
      <c r="RP28" s="3"/>
      <c r="RQ28" s="3"/>
      <c r="RR28" s="3"/>
      <c r="RS28" s="3"/>
      <c r="RT28" s="3"/>
      <c r="RU28" s="3"/>
      <c r="RV28" s="3"/>
      <c r="RW28" s="3"/>
      <c r="RX28" s="3"/>
      <c r="RY28" s="3"/>
      <c r="RZ28" s="3"/>
      <c r="SA28" s="3"/>
      <c r="SB28" s="3"/>
      <c r="SC28" s="3"/>
      <c r="SD28" s="3"/>
      <c r="SE28" s="3"/>
      <c r="SF28" s="3"/>
      <c r="SG28" s="3"/>
      <c r="SH28" s="3"/>
      <c r="SI28" s="3"/>
      <c r="SJ28" s="3"/>
      <c r="SK28" s="3"/>
      <c r="SL28" s="3"/>
      <c r="SM28" s="3"/>
      <c r="SN28" s="3"/>
      <c r="SO28" s="3"/>
      <c r="SP28" s="3"/>
      <c r="SQ28" s="3"/>
      <c r="SR28" s="3"/>
      <c r="SS28" s="3"/>
      <c r="ST28" s="3"/>
      <c r="SU28" s="3"/>
      <c r="SV28" s="3"/>
      <c r="SW28" s="3"/>
      <c r="SX28" s="3"/>
      <c r="SY28" s="3"/>
      <c r="SZ28" s="3"/>
      <c r="TA28" s="3"/>
      <c r="TB28" s="3"/>
      <c r="TC28" s="3"/>
      <c r="TD28" s="3"/>
      <c r="TE28" s="3"/>
      <c r="TF28" s="3"/>
      <c r="TG28" s="3"/>
      <c r="TH28" s="3"/>
      <c r="TI28" s="3"/>
      <c r="TJ28" s="3"/>
      <c r="TK28" s="3"/>
      <c r="TL28" s="3"/>
      <c r="TM28" s="3"/>
      <c r="TN28" s="3"/>
      <c r="TO28" s="3"/>
      <c r="TP28" s="3"/>
      <c r="TQ28" s="3"/>
      <c r="TR28" s="3"/>
      <c r="TS28" s="3"/>
      <c r="TT28" s="3"/>
      <c r="TU28" s="3"/>
      <c r="TV28" s="3"/>
      <c r="TW28" s="3"/>
      <c r="TX28" s="3"/>
      <c r="TY28" s="3"/>
      <c r="TZ28" s="3"/>
      <c r="UA28" s="3"/>
      <c r="UB28" s="3"/>
      <c r="UC28" s="3"/>
      <c r="UD28" s="3"/>
      <c r="UE28" s="3"/>
      <c r="UF28" s="3"/>
      <c r="UG28" s="3"/>
      <c r="UH28" s="3"/>
      <c r="UI28" s="3"/>
      <c r="UJ28" s="3"/>
      <c r="UK28" s="3"/>
      <c r="UL28" s="3"/>
      <c r="UM28" s="3"/>
      <c r="UN28" s="3"/>
      <c r="UO28" s="3"/>
      <c r="UP28" s="3"/>
      <c r="UQ28" s="3"/>
      <c r="UR28" s="3"/>
      <c r="US28" s="3"/>
      <c r="UT28" s="3"/>
      <c r="UU28" s="3"/>
      <c r="UV28" s="3"/>
      <c r="UW28" s="3"/>
      <c r="UX28" s="3"/>
      <c r="UY28" s="3"/>
      <c r="UZ28" s="3"/>
      <c r="VA28" s="3"/>
      <c r="VB28" s="3"/>
      <c r="VC28" s="3"/>
      <c r="VD28" s="3"/>
      <c r="VE28" s="3"/>
      <c r="VF28" s="3"/>
      <c r="VG28" s="3"/>
      <c r="VH28" s="3"/>
      <c r="VI28" s="3"/>
      <c r="VJ28" s="3"/>
      <c r="VK28" s="3"/>
      <c r="VL28" s="3"/>
      <c r="VM28" s="3"/>
      <c r="VN28" s="3"/>
      <c r="VO28" s="3"/>
      <c r="VP28" s="3"/>
      <c r="VQ28" s="3"/>
      <c r="VR28" s="3"/>
      <c r="VS28" s="3"/>
      <c r="VT28" s="3"/>
      <c r="VU28" s="3"/>
      <c r="VV28" s="3"/>
      <c r="VW28" s="3"/>
      <c r="VX28" s="3"/>
      <c r="VY28" s="3"/>
      <c r="VZ28" s="3"/>
      <c r="WA28" s="3"/>
      <c r="WB28" s="3"/>
      <c r="WC28" s="3"/>
      <c r="WD28" s="3"/>
      <c r="WE28" s="3"/>
      <c r="WF28" s="3"/>
      <c r="WG28" s="3"/>
      <c r="WH28" s="3"/>
      <c r="WI28" s="3"/>
      <c r="WJ28" s="3"/>
      <c r="WK28" s="3"/>
      <c r="WL28" s="3"/>
      <c r="WM28" s="3"/>
      <c r="WN28" s="3"/>
      <c r="WO28" s="3"/>
      <c r="WP28" s="3"/>
      <c r="WQ28" s="3"/>
      <c r="WR28" s="3"/>
      <c r="WS28" s="3"/>
      <c r="WT28" s="3"/>
      <c r="WU28" s="3"/>
      <c r="WV28" s="3"/>
      <c r="WW28" s="3"/>
      <c r="WX28" s="3"/>
      <c r="WY28" s="3"/>
      <c r="WZ28" s="3"/>
      <c r="XA28" s="3"/>
      <c r="XB28" s="3"/>
      <c r="XC28" s="3"/>
      <c r="XD28" s="3"/>
      <c r="XE28" s="3"/>
      <c r="XF28" s="3"/>
      <c r="XG28" s="3"/>
      <c r="XH28" s="3"/>
      <c r="XI28" s="3"/>
      <c r="XJ28" s="3"/>
      <c r="XK28" s="3"/>
      <c r="XL28" s="3"/>
      <c r="XM28" s="3"/>
      <c r="XN28" s="3"/>
      <c r="XO28" s="3"/>
      <c r="XP28" s="3"/>
      <c r="XQ28" s="3"/>
      <c r="XR28" s="3"/>
      <c r="XS28" s="3"/>
      <c r="XT28" s="3"/>
      <c r="XU28" s="3"/>
      <c r="XV28" s="3"/>
      <c r="XW28" s="3"/>
      <c r="XX28" s="3"/>
      <c r="XY28" s="3"/>
      <c r="XZ28" s="3"/>
      <c r="YA28" s="3"/>
      <c r="YB28" s="3"/>
      <c r="YC28" s="3"/>
      <c r="YD28" s="3"/>
      <c r="YE28" s="3"/>
      <c r="YF28" s="3"/>
      <c r="YG28" s="3"/>
      <c r="YH28" s="3"/>
      <c r="YI28" s="3"/>
      <c r="YJ28" s="3"/>
      <c r="YK28" s="3"/>
      <c r="YL28" s="3"/>
      <c r="YM28" s="3"/>
      <c r="YN28" s="3"/>
      <c r="YO28" s="3"/>
      <c r="YP28" s="3"/>
      <c r="YQ28" s="3"/>
      <c r="YR28" s="3"/>
      <c r="YS28" s="3"/>
      <c r="YT28" s="3"/>
      <c r="YU28" s="3"/>
      <c r="YV28" s="3"/>
      <c r="YW28" s="3"/>
      <c r="YX28" s="3"/>
      <c r="YY28" s="3"/>
      <c r="YZ28" s="3"/>
      <c r="ZA28" s="3"/>
      <c r="ZB28" s="3"/>
      <c r="ZC28" s="3"/>
      <c r="ZD28" s="3"/>
      <c r="ZE28" s="3"/>
      <c r="ZF28" s="3"/>
      <c r="ZG28" s="3"/>
      <c r="ZH28" s="3"/>
      <c r="ZI28" s="3"/>
      <c r="ZJ28" s="3"/>
      <c r="ZK28" s="3"/>
      <c r="ZL28" s="3"/>
      <c r="ZM28" s="3"/>
      <c r="ZN28" s="3"/>
      <c r="ZO28" s="3"/>
      <c r="ZP28" s="3"/>
      <c r="ZQ28" s="3"/>
      <c r="ZR28" s="3"/>
      <c r="ZS28" s="3"/>
      <c r="ZT28" s="3"/>
      <c r="ZU28" s="3"/>
      <c r="ZV28" s="3"/>
      <c r="ZW28" s="3"/>
      <c r="ZX28" s="3"/>
      <c r="ZY28" s="3"/>
      <c r="ZZ28" s="3"/>
      <c r="AAA28" s="3"/>
      <c r="AAB28" s="3"/>
      <c r="AAC28" s="3"/>
      <c r="AAD28" s="3"/>
      <c r="AAE28" s="3"/>
      <c r="AAF28" s="3"/>
      <c r="AAG28" s="3"/>
      <c r="AAH28" s="3"/>
      <c r="AAI28" s="3"/>
      <c r="AAJ28" s="3"/>
      <c r="AAK28" s="3"/>
      <c r="AAL28" s="3"/>
      <c r="AAM28" s="3"/>
      <c r="AAN28" s="3"/>
      <c r="AAO28" s="3"/>
      <c r="AAP28" s="3"/>
      <c r="AAQ28" s="3"/>
      <c r="AAR28" s="3"/>
      <c r="AAS28" s="3"/>
      <c r="AAT28" s="3"/>
      <c r="AAU28" s="3"/>
      <c r="AAV28" s="3"/>
      <c r="AAW28" s="3"/>
      <c r="AAX28" s="3"/>
      <c r="AAY28" s="3"/>
      <c r="AAZ28" s="3"/>
      <c r="ABA28" s="3"/>
      <c r="ABB28" s="3"/>
      <c r="ABC28" s="3"/>
      <c r="ABD28" s="3"/>
      <c r="ABE28" s="3"/>
      <c r="ABF28" s="3"/>
      <c r="ABG28" s="3"/>
      <c r="ABH28" s="3"/>
      <c r="ABI28" s="3"/>
      <c r="ABJ28" s="3"/>
      <c r="ABK28" s="3"/>
      <c r="ABL28" s="3"/>
      <c r="ABM28" s="3"/>
      <c r="ABN28" s="3"/>
      <c r="ABO28" s="3"/>
      <c r="ABP28" s="3"/>
      <c r="ABQ28" s="3"/>
      <c r="ABR28" s="3"/>
      <c r="ABS28" s="3"/>
      <c r="ABT28" s="3"/>
      <c r="ABU28" s="3"/>
      <c r="ABV28" s="3"/>
      <c r="ABW28" s="3"/>
      <c r="ABX28" s="3"/>
      <c r="ABY28" s="3"/>
      <c r="ABZ28" s="3"/>
      <c r="ACA28" s="3"/>
      <c r="ACB28" s="3"/>
      <c r="ACC28" s="3"/>
      <c r="ACD28" s="3"/>
      <c r="ACE28" s="3"/>
      <c r="ACF28" s="3"/>
      <c r="ACG28" s="3"/>
      <c r="ACH28" s="3"/>
      <c r="ACI28" s="3"/>
      <c r="ACJ28" s="3"/>
      <c r="ACK28" s="3"/>
      <c r="ACL28" s="3"/>
      <c r="ACM28" s="3"/>
      <c r="ACN28" s="3"/>
      <c r="ACO28" s="3"/>
      <c r="ACP28" s="3"/>
      <c r="ACQ28" s="3"/>
      <c r="ACR28" s="3"/>
      <c r="ACS28" s="3"/>
      <c r="ACT28" s="3"/>
      <c r="ACU28" s="3"/>
      <c r="ACV28" s="3"/>
      <c r="ACW28" s="3"/>
      <c r="ACX28" s="3"/>
      <c r="ACY28" s="3"/>
      <c r="ACZ28" s="3"/>
    </row>
    <row r="29" spans="1:780" x14ac:dyDescent="0.2">
      <c r="A29" s="7"/>
      <c r="B29" s="7"/>
      <c r="C29" s="2"/>
      <c r="D29" s="2"/>
      <c r="E29" s="6"/>
      <c r="F29" s="6"/>
      <c r="G29" s="6"/>
      <c r="H29" s="6"/>
      <c r="I29" s="2"/>
      <c r="J29" s="4"/>
      <c r="K29" s="4"/>
      <c r="L29" s="2"/>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c r="IS29" s="3"/>
      <c r="IT29" s="3"/>
      <c r="IU29" s="3"/>
      <c r="IV29" s="3"/>
      <c r="IW29" s="3"/>
      <c r="IX29" s="3"/>
      <c r="IY29" s="3"/>
      <c r="IZ29" s="3"/>
      <c r="JA29" s="3"/>
      <c r="JB29" s="3"/>
      <c r="JC29" s="3"/>
      <c r="JD29" s="3"/>
      <c r="JE29" s="3"/>
      <c r="JF29" s="3"/>
      <c r="JG29" s="3"/>
      <c r="JH29" s="3"/>
      <c r="JI29" s="3"/>
      <c r="JJ29" s="3"/>
      <c r="JK29" s="3"/>
      <c r="JL29" s="3"/>
      <c r="JM29" s="3"/>
      <c r="JN29" s="3"/>
      <c r="JO29" s="3"/>
      <c r="JP29" s="3"/>
      <c r="JQ29" s="3"/>
      <c r="JR29" s="3"/>
      <c r="JS29" s="3"/>
      <c r="JT29" s="3"/>
      <c r="JU29" s="3"/>
      <c r="JV29" s="3"/>
      <c r="JW29" s="3"/>
      <c r="JX29" s="3"/>
      <c r="JY29" s="3"/>
      <c r="JZ29" s="3"/>
      <c r="KA29" s="3"/>
      <c r="KB29" s="3"/>
      <c r="KC29" s="3"/>
      <c r="KD29" s="3"/>
      <c r="KE29" s="3"/>
      <c r="KF29" s="3"/>
      <c r="KG29" s="3"/>
      <c r="KH29" s="3"/>
      <c r="KI29" s="3"/>
      <c r="KJ29" s="3"/>
      <c r="KK29" s="3"/>
      <c r="KL29" s="3"/>
      <c r="KM29" s="3"/>
      <c r="KN29" s="3"/>
      <c r="KO29" s="3"/>
      <c r="KP29" s="3"/>
      <c r="KQ29" s="3"/>
      <c r="KR29" s="3"/>
      <c r="KS29" s="3"/>
      <c r="KT29" s="3"/>
      <c r="KU29" s="3"/>
      <c r="KV29" s="3"/>
      <c r="KW29" s="3"/>
      <c r="KX29" s="3"/>
      <c r="KY29" s="3"/>
      <c r="KZ29" s="3"/>
      <c r="LA29" s="3"/>
      <c r="LB29" s="3"/>
      <c r="LC29" s="3"/>
      <c r="LD29" s="3"/>
      <c r="LE29" s="3"/>
      <c r="LF29" s="3"/>
      <c r="LG29" s="3"/>
      <c r="LH29" s="3"/>
      <c r="LI29" s="3"/>
      <c r="LJ29" s="3"/>
      <c r="LK29" s="3"/>
      <c r="LL29" s="3"/>
      <c r="LM29" s="3"/>
      <c r="LN29" s="3"/>
      <c r="LO29" s="3"/>
      <c r="LP29" s="3"/>
      <c r="LQ29" s="3"/>
      <c r="LR29" s="3"/>
      <c r="LS29" s="3"/>
      <c r="LT29" s="3"/>
      <c r="LU29" s="3"/>
      <c r="LV29" s="3"/>
      <c r="LW29" s="3"/>
      <c r="LX29" s="3"/>
      <c r="LY29" s="3"/>
      <c r="LZ29" s="3"/>
      <c r="MA29" s="3"/>
      <c r="MB29" s="3"/>
      <c r="MC29" s="3"/>
      <c r="MD29" s="3"/>
      <c r="ME29" s="3"/>
      <c r="MF29" s="3"/>
      <c r="MG29" s="3"/>
      <c r="MH29" s="3"/>
      <c r="MI29" s="3"/>
      <c r="MJ29" s="3"/>
      <c r="MK29" s="3"/>
      <c r="ML29" s="3"/>
      <c r="MM29" s="3"/>
      <c r="MN29" s="3"/>
      <c r="MO29" s="3"/>
      <c r="MP29" s="3"/>
      <c r="MQ29" s="3"/>
      <c r="MR29" s="3"/>
      <c r="MS29" s="3"/>
      <c r="MT29" s="3"/>
      <c r="MU29" s="3"/>
      <c r="MV29" s="3"/>
      <c r="MW29" s="3"/>
      <c r="MX29" s="3"/>
      <c r="MY29" s="3"/>
      <c r="MZ29" s="3"/>
      <c r="NA29" s="3"/>
      <c r="NB29" s="3"/>
      <c r="NC29" s="3"/>
      <c r="ND29" s="3"/>
      <c r="NE29" s="3"/>
      <c r="NF29" s="3"/>
      <c r="NG29" s="3"/>
      <c r="NH29" s="3"/>
      <c r="NI29" s="3"/>
      <c r="NJ29" s="3"/>
      <c r="NK29" s="3"/>
      <c r="NL29" s="3"/>
      <c r="NM29" s="3"/>
      <c r="NN29" s="3"/>
      <c r="NO29" s="3"/>
      <c r="NP29" s="3"/>
      <c r="NQ29" s="3"/>
      <c r="NR29" s="3"/>
      <c r="NS29" s="3"/>
      <c r="NT29" s="3"/>
      <c r="NU29" s="3"/>
      <c r="NV29" s="3"/>
      <c r="NW29" s="3"/>
      <c r="NX29" s="3"/>
      <c r="NY29" s="3"/>
      <c r="NZ29" s="3"/>
      <c r="OA29" s="3"/>
      <c r="OB29" s="3"/>
      <c r="OC29" s="3"/>
      <c r="OD29" s="3"/>
      <c r="OE29" s="3"/>
      <c r="OF29" s="3"/>
      <c r="OG29" s="3"/>
      <c r="OH29" s="3"/>
      <c r="OI29" s="3"/>
      <c r="OJ29" s="3"/>
      <c r="OK29" s="3"/>
      <c r="OL29" s="3"/>
      <c r="OM29" s="3"/>
      <c r="ON29" s="3"/>
      <c r="OO29" s="3"/>
      <c r="OP29" s="3"/>
      <c r="OQ29" s="3"/>
      <c r="OR29" s="3"/>
      <c r="OS29" s="3"/>
      <c r="OT29" s="3"/>
      <c r="OU29" s="3"/>
      <c r="OV29" s="3"/>
      <c r="OW29" s="3"/>
      <c r="OX29" s="3"/>
      <c r="OY29" s="3"/>
      <c r="OZ29" s="3"/>
      <c r="PA29" s="3"/>
      <c r="PB29" s="3"/>
      <c r="PC29" s="3"/>
      <c r="PD29" s="3"/>
      <c r="PE29" s="3"/>
      <c r="PF29" s="3"/>
      <c r="PG29" s="3"/>
      <c r="PH29" s="3"/>
      <c r="PI29" s="3"/>
      <c r="PJ29" s="3"/>
      <c r="PK29" s="3"/>
      <c r="PL29" s="3"/>
      <c r="PM29" s="3"/>
      <c r="PN29" s="3"/>
      <c r="PO29" s="3"/>
      <c r="PP29" s="3"/>
      <c r="PQ29" s="3"/>
      <c r="PR29" s="3"/>
      <c r="PS29" s="3"/>
      <c r="PT29" s="3"/>
      <c r="PU29" s="3"/>
      <c r="PV29" s="3"/>
      <c r="PW29" s="3"/>
      <c r="PX29" s="3"/>
      <c r="PY29" s="3"/>
      <c r="PZ29" s="3"/>
      <c r="QA29" s="3"/>
      <c r="QB29" s="3"/>
      <c r="QC29" s="3"/>
      <c r="QD29" s="3"/>
      <c r="QE29" s="3"/>
      <c r="QF29" s="3"/>
      <c r="QG29" s="3"/>
      <c r="QH29" s="3"/>
      <c r="QI29" s="3"/>
      <c r="QJ29" s="3"/>
      <c r="QK29" s="3"/>
      <c r="QL29" s="3"/>
      <c r="QM29" s="3"/>
      <c r="QN29" s="3"/>
      <c r="QO29" s="3"/>
      <c r="QP29" s="3"/>
      <c r="QQ29" s="3"/>
      <c r="QR29" s="3"/>
      <c r="QS29" s="3"/>
      <c r="QT29" s="3"/>
      <c r="QU29" s="3"/>
      <c r="QV29" s="3"/>
      <c r="QW29" s="3"/>
      <c r="QX29" s="3"/>
      <c r="QY29" s="3"/>
      <c r="QZ29" s="3"/>
      <c r="RA29" s="3"/>
      <c r="RB29" s="3"/>
      <c r="RC29" s="3"/>
      <c r="RD29" s="3"/>
      <c r="RE29" s="3"/>
      <c r="RF29" s="3"/>
      <c r="RG29" s="3"/>
      <c r="RH29" s="3"/>
      <c r="RI29" s="3"/>
      <c r="RJ29" s="3"/>
      <c r="RK29" s="3"/>
      <c r="RL29" s="3"/>
      <c r="RM29" s="3"/>
      <c r="RN29" s="3"/>
      <c r="RO29" s="3"/>
      <c r="RP29" s="3"/>
      <c r="RQ29" s="3"/>
      <c r="RR29" s="3"/>
      <c r="RS29" s="3"/>
      <c r="RT29" s="3"/>
      <c r="RU29" s="3"/>
      <c r="RV29" s="3"/>
      <c r="RW29" s="3"/>
      <c r="RX29" s="3"/>
      <c r="RY29" s="3"/>
      <c r="RZ29" s="3"/>
      <c r="SA29" s="3"/>
      <c r="SB29" s="3"/>
      <c r="SC29" s="3"/>
      <c r="SD29" s="3"/>
      <c r="SE29" s="3"/>
      <c r="SF29" s="3"/>
      <c r="SG29" s="3"/>
      <c r="SH29" s="3"/>
      <c r="SI29" s="3"/>
      <c r="SJ29" s="3"/>
      <c r="SK29" s="3"/>
      <c r="SL29" s="3"/>
      <c r="SM29" s="3"/>
      <c r="SN29" s="3"/>
      <c r="SO29" s="3"/>
      <c r="SP29" s="3"/>
      <c r="SQ29" s="3"/>
      <c r="SR29" s="3"/>
      <c r="SS29" s="3"/>
      <c r="ST29" s="3"/>
      <c r="SU29" s="3"/>
      <c r="SV29" s="3"/>
      <c r="SW29" s="3"/>
      <c r="SX29" s="3"/>
      <c r="SY29" s="3"/>
      <c r="SZ29" s="3"/>
      <c r="TA29" s="3"/>
      <c r="TB29" s="3"/>
      <c r="TC29" s="3"/>
      <c r="TD29" s="3"/>
      <c r="TE29" s="3"/>
      <c r="TF29" s="3"/>
      <c r="TG29" s="3"/>
      <c r="TH29" s="3"/>
      <c r="TI29" s="3"/>
      <c r="TJ29" s="3"/>
      <c r="TK29" s="3"/>
      <c r="TL29" s="3"/>
      <c r="TM29" s="3"/>
      <c r="TN29" s="3"/>
      <c r="TO29" s="3"/>
      <c r="TP29" s="3"/>
      <c r="TQ29" s="3"/>
      <c r="TR29" s="3"/>
      <c r="TS29" s="3"/>
      <c r="TT29" s="3"/>
      <c r="TU29" s="3"/>
      <c r="TV29" s="3"/>
      <c r="TW29" s="3"/>
      <c r="TX29" s="3"/>
      <c r="TY29" s="3"/>
      <c r="TZ29" s="3"/>
      <c r="UA29" s="3"/>
      <c r="UB29" s="3"/>
      <c r="UC29" s="3"/>
      <c r="UD29" s="3"/>
      <c r="UE29" s="3"/>
      <c r="UF29" s="3"/>
      <c r="UG29" s="3"/>
      <c r="UH29" s="3"/>
      <c r="UI29" s="3"/>
      <c r="UJ29" s="3"/>
      <c r="UK29" s="3"/>
      <c r="UL29" s="3"/>
      <c r="UM29" s="3"/>
      <c r="UN29" s="3"/>
      <c r="UO29" s="3"/>
      <c r="UP29" s="3"/>
      <c r="UQ29" s="3"/>
      <c r="UR29" s="3"/>
      <c r="US29" s="3"/>
      <c r="UT29" s="3"/>
      <c r="UU29" s="3"/>
      <c r="UV29" s="3"/>
      <c r="UW29" s="3"/>
      <c r="UX29" s="3"/>
      <c r="UY29" s="3"/>
      <c r="UZ29" s="3"/>
      <c r="VA29" s="3"/>
      <c r="VB29" s="3"/>
      <c r="VC29" s="3"/>
      <c r="VD29" s="3"/>
      <c r="VE29" s="3"/>
      <c r="VF29" s="3"/>
      <c r="VG29" s="3"/>
      <c r="VH29" s="3"/>
      <c r="VI29" s="3"/>
      <c r="VJ29" s="3"/>
      <c r="VK29" s="3"/>
      <c r="VL29" s="3"/>
      <c r="VM29" s="3"/>
      <c r="VN29" s="3"/>
      <c r="VO29" s="3"/>
      <c r="VP29" s="3"/>
      <c r="VQ29" s="3"/>
      <c r="VR29" s="3"/>
      <c r="VS29" s="3"/>
      <c r="VT29" s="3"/>
      <c r="VU29" s="3"/>
      <c r="VV29" s="3"/>
      <c r="VW29" s="3"/>
      <c r="VX29" s="3"/>
      <c r="VY29" s="3"/>
      <c r="VZ29" s="3"/>
      <c r="WA29" s="3"/>
      <c r="WB29" s="3"/>
      <c r="WC29" s="3"/>
      <c r="WD29" s="3"/>
      <c r="WE29" s="3"/>
      <c r="WF29" s="3"/>
      <c r="WG29" s="3"/>
      <c r="WH29" s="3"/>
      <c r="WI29" s="3"/>
      <c r="WJ29" s="3"/>
      <c r="WK29" s="3"/>
      <c r="WL29" s="3"/>
      <c r="WM29" s="3"/>
      <c r="WN29" s="3"/>
      <c r="WO29" s="3"/>
      <c r="WP29" s="3"/>
      <c r="WQ29" s="3"/>
      <c r="WR29" s="3"/>
      <c r="WS29" s="3"/>
      <c r="WT29" s="3"/>
      <c r="WU29" s="3"/>
      <c r="WV29" s="3"/>
      <c r="WW29" s="3"/>
      <c r="WX29" s="3"/>
      <c r="WY29" s="3"/>
      <c r="WZ29" s="3"/>
      <c r="XA29" s="3"/>
      <c r="XB29" s="3"/>
      <c r="XC29" s="3"/>
      <c r="XD29" s="3"/>
      <c r="XE29" s="3"/>
      <c r="XF29" s="3"/>
      <c r="XG29" s="3"/>
      <c r="XH29" s="3"/>
      <c r="XI29" s="3"/>
      <c r="XJ29" s="3"/>
      <c r="XK29" s="3"/>
      <c r="XL29" s="3"/>
      <c r="XM29" s="3"/>
      <c r="XN29" s="3"/>
      <c r="XO29" s="3"/>
      <c r="XP29" s="3"/>
      <c r="XQ29" s="3"/>
      <c r="XR29" s="3"/>
      <c r="XS29" s="3"/>
      <c r="XT29" s="3"/>
      <c r="XU29" s="3"/>
      <c r="XV29" s="3"/>
      <c r="XW29" s="3"/>
      <c r="XX29" s="3"/>
      <c r="XY29" s="3"/>
      <c r="XZ29" s="3"/>
      <c r="YA29" s="3"/>
      <c r="YB29" s="3"/>
      <c r="YC29" s="3"/>
      <c r="YD29" s="3"/>
      <c r="YE29" s="3"/>
      <c r="YF29" s="3"/>
      <c r="YG29" s="3"/>
      <c r="YH29" s="3"/>
      <c r="YI29" s="3"/>
      <c r="YJ29" s="3"/>
      <c r="YK29" s="3"/>
      <c r="YL29" s="3"/>
      <c r="YM29" s="3"/>
      <c r="YN29" s="3"/>
      <c r="YO29" s="3"/>
      <c r="YP29" s="3"/>
      <c r="YQ29" s="3"/>
      <c r="YR29" s="3"/>
      <c r="YS29" s="3"/>
      <c r="YT29" s="3"/>
      <c r="YU29" s="3"/>
      <c r="YV29" s="3"/>
      <c r="YW29" s="3"/>
      <c r="YX29" s="3"/>
      <c r="YY29" s="3"/>
      <c r="YZ29" s="3"/>
      <c r="ZA29" s="3"/>
      <c r="ZB29" s="3"/>
      <c r="ZC29" s="3"/>
      <c r="ZD29" s="3"/>
      <c r="ZE29" s="3"/>
      <c r="ZF29" s="3"/>
      <c r="ZG29" s="3"/>
      <c r="ZH29" s="3"/>
      <c r="ZI29" s="3"/>
      <c r="ZJ29" s="3"/>
      <c r="ZK29" s="3"/>
      <c r="ZL29" s="3"/>
      <c r="ZM29" s="3"/>
      <c r="ZN29" s="3"/>
      <c r="ZO29" s="3"/>
      <c r="ZP29" s="3"/>
      <c r="ZQ29" s="3"/>
      <c r="ZR29" s="3"/>
      <c r="ZS29" s="3"/>
      <c r="ZT29" s="3"/>
      <c r="ZU29" s="3"/>
      <c r="ZV29" s="3"/>
      <c r="ZW29" s="3"/>
      <c r="ZX29" s="3"/>
      <c r="ZY29" s="3"/>
      <c r="ZZ29" s="3"/>
      <c r="AAA29" s="3"/>
      <c r="AAB29" s="3"/>
      <c r="AAC29" s="3"/>
      <c r="AAD29" s="3"/>
      <c r="AAE29" s="3"/>
      <c r="AAF29" s="3"/>
      <c r="AAG29" s="3"/>
      <c r="AAH29" s="3"/>
      <c r="AAI29" s="3"/>
      <c r="AAJ29" s="3"/>
      <c r="AAK29" s="3"/>
      <c r="AAL29" s="3"/>
      <c r="AAM29" s="3"/>
      <c r="AAN29" s="3"/>
      <c r="AAO29" s="3"/>
      <c r="AAP29" s="3"/>
      <c r="AAQ29" s="3"/>
      <c r="AAR29" s="3"/>
      <c r="AAS29" s="3"/>
      <c r="AAT29" s="3"/>
      <c r="AAU29" s="3"/>
      <c r="AAV29" s="3"/>
      <c r="AAW29" s="3"/>
      <c r="AAX29" s="3"/>
      <c r="AAY29" s="3"/>
      <c r="AAZ29" s="3"/>
      <c r="ABA29" s="3"/>
      <c r="ABB29" s="3"/>
      <c r="ABC29" s="3"/>
      <c r="ABD29" s="3"/>
      <c r="ABE29" s="3"/>
      <c r="ABF29" s="3"/>
      <c r="ABG29" s="3"/>
      <c r="ABH29" s="3"/>
      <c r="ABI29" s="3"/>
      <c r="ABJ29" s="3"/>
      <c r="ABK29" s="3"/>
      <c r="ABL29" s="3"/>
      <c r="ABM29" s="3"/>
      <c r="ABN29" s="3"/>
      <c r="ABO29" s="3"/>
      <c r="ABP29" s="3"/>
      <c r="ABQ29" s="3"/>
      <c r="ABR29" s="3"/>
      <c r="ABS29" s="3"/>
      <c r="ABT29" s="3"/>
      <c r="ABU29" s="3"/>
      <c r="ABV29" s="3"/>
      <c r="ABW29" s="3"/>
      <c r="ABX29" s="3"/>
      <c r="ABY29" s="3"/>
      <c r="ABZ29" s="3"/>
      <c r="ACA29" s="3"/>
      <c r="ACB29" s="3"/>
      <c r="ACC29" s="3"/>
      <c r="ACD29" s="3"/>
      <c r="ACE29" s="3"/>
      <c r="ACF29" s="3"/>
      <c r="ACG29" s="3"/>
      <c r="ACH29" s="3"/>
      <c r="ACI29" s="3"/>
      <c r="ACJ29" s="3"/>
      <c r="ACK29" s="3"/>
      <c r="ACL29" s="3"/>
      <c r="ACM29" s="3"/>
      <c r="ACN29" s="3"/>
      <c r="ACO29" s="3"/>
      <c r="ACP29" s="3"/>
      <c r="ACQ29" s="3"/>
      <c r="ACR29" s="3"/>
      <c r="ACS29" s="3"/>
      <c r="ACT29" s="3"/>
      <c r="ACU29" s="3"/>
      <c r="ACV29" s="3"/>
      <c r="ACW29" s="3"/>
      <c r="ACX29" s="3"/>
      <c r="ACY29" s="3"/>
      <c r="ACZ29" s="3"/>
    </row>
    <row r="30" spans="1:780" x14ac:dyDescent="0.2">
      <c r="A30" s="7"/>
      <c r="B30" s="7"/>
      <c r="C30" s="2"/>
      <c r="D30" s="2"/>
      <c r="E30" s="6"/>
      <c r="F30" s="6"/>
      <c r="G30" s="6"/>
      <c r="H30" s="6"/>
      <c r="I30" s="2"/>
      <c r="J30" s="4"/>
      <c r="K30" s="4"/>
      <c r="L30" s="2"/>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c r="IS30" s="3"/>
      <c r="IT30" s="3"/>
      <c r="IU30" s="3"/>
      <c r="IV30" s="3"/>
      <c r="IW30" s="3"/>
      <c r="IX30" s="3"/>
      <c r="IY30" s="3"/>
      <c r="IZ30" s="3"/>
      <c r="JA30" s="3"/>
      <c r="JB30" s="3"/>
      <c r="JC30" s="3"/>
      <c r="JD30" s="3"/>
      <c r="JE30" s="3"/>
      <c r="JF30" s="3"/>
      <c r="JG30" s="3"/>
      <c r="JH30" s="3"/>
      <c r="JI30" s="3"/>
      <c r="JJ30" s="3"/>
      <c r="JK30" s="3"/>
      <c r="JL30" s="3"/>
      <c r="JM30" s="3"/>
      <c r="JN30" s="3"/>
      <c r="JO30" s="3"/>
      <c r="JP30" s="3"/>
      <c r="JQ30" s="3"/>
      <c r="JR30" s="3"/>
      <c r="JS30" s="3"/>
      <c r="JT30" s="3"/>
      <c r="JU30" s="3"/>
      <c r="JV30" s="3"/>
      <c r="JW30" s="3"/>
      <c r="JX30" s="3"/>
      <c r="JY30" s="3"/>
      <c r="JZ30" s="3"/>
      <c r="KA30" s="3"/>
      <c r="KB30" s="3"/>
      <c r="KC30" s="3"/>
      <c r="KD30" s="3"/>
      <c r="KE30" s="3"/>
      <c r="KF30" s="3"/>
      <c r="KG30" s="3"/>
      <c r="KH30" s="3"/>
      <c r="KI30" s="3"/>
      <c r="KJ30" s="3"/>
      <c r="KK30" s="3"/>
      <c r="KL30" s="3"/>
      <c r="KM30" s="3"/>
      <c r="KN30" s="3"/>
      <c r="KO30" s="3"/>
      <c r="KP30" s="3"/>
      <c r="KQ30" s="3"/>
      <c r="KR30" s="3"/>
      <c r="KS30" s="3"/>
      <c r="KT30" s="3"/>
      <c r="KU30" s="3"/>
      <c r="KV30" s="3"/>
      <c r="KW30" s="3"/>
      <c r="KX30" s="3"/>
      <c r="KY30" s="3"/>
      <c r="KZ30" s="3"/>
      <c r="LA30" s="3"/>
      <c r="LB30" s="3"/>
      <c r="LC30" s="3"/>
      <c r="LD30" s="3"/>
      <c r="LE30" s="3"/>
      <c r="LF30" s="3"/>
      <c r="LG30" s="3"/>
      <c r="LH30" s="3"/>
      <c r="LI30" s="3"/>
      <c r="LJ30" s="3"/>
      <c r="LK30" s="3"/>
      <c r="LL30" s="3"/>
      <c r="LM30" s="3"/>
      <c r="LN30" s="3"/>
      <c r="LO30" s="3"/>
      <c r="LP30" s="3"/>
      <c r="LQ30" s="3"/>
      <c r="LR30" s="3"/>
      <c r="LS30" s="3"/>
      <c r="LT30" s="3"/>
      <c r="LU30" s="3"/>
      <c r="LV30" s="3"/>
      <c r="LW30" s="3"/>
      <c r="LX30" s="3"/>
      <c r="LY30" s="3"/>
      <c r="LZ30" s="3"/>
      <c r="MA30" s="3"/>
      <c r="MB30" s="3"/>
      <c r="MC30" s="3"/>
      <c r="MD30" s="3"/>
      <c r="ME30" s="3"/>
      <c r="MF30" s="3"/>
      <c r="MG30" s="3"/>
      <c r="MH30" s="3"/>
      <c r="MI30" s="3"/>
      <c r="MJ30" s="3"/>
      <c r="MK30" s="3"/>
      <c r="ML30" s="3"/>
      <c r="MM30" s="3"/>
      <c r="MN30" s="3"/>
      <c r="MO30" s="3"/>
      <c r="MP30" s="3"/>
      <c r="MQ30" s="3"/>
      <c r="MR30" s="3"/>
      <c r="MS30" s="3"/>
      <c r="MT30" s="3"/>
      <c r="MU30" s="3"/>
      <c r="MV30" s="3"/>
      <c r="MW30" s="3"/>
      <c r="MX30" s="3"/>
      <c r="MY30" s="3"/>
      <c r="MZ30" s="3"/>
      <c r="NA30" s="3"/>
      <c r="NB30" s="3"/>
      <c r="NC30" s="3"/>
      <c r="ND30" s="3"/>
      <c r="NE30" s="3"/>
      <c r="NF30" s="3"/>
      <c r="NG30" s="3"/>
      <c r="NH30" s="3"/>
      <c r="NI30" s="3"/>
      <c r="NJ30" s="3"/>
      <c r="NK30" s="3"/>
      <c r="NL30" s="3"/>
      <c r="NM30" s="3"/>
      <c r="NN30" s="3"/>
      <c r="NO30" s="3"/>
      <c r="NP30" s="3"/>
      <c r="NQ30" s="3"/>
      <c r="NR30" s="3"/>
      <c r="NS30" s="3"/>
      <c r="NT30" s="3"/>
      <c r="NU30" s="3"/>
      <c r="NV30" s="3"/>
      <c r="NW30" s="3"/>
      <c r="NX30" s="3"/>
      <c r="NY30" s="3"/>
      <c r="NZ30" s="3"/>
      <c r="OA30" s="3"/>
      <c r="OB30" s="3"/>
      <c r="OC30" s="3"/>
      <c r="OD30" s="3"/>
      <c r="OE30" s="3"/>
      <c r="OF30" s="3"/>
      <c r="OG30" s="3"/>
      <c r="OH30" s="3"/>
      <c r="OI30" s="3"/>
      <c r="OJ30" s="3"/>
      <c r="OK30" s="3"/>
      <c r="OL30" s="3"/>
      <c r="OM30" s="3"/>
      <c r="ON30" s="3"/>
      <c r="OO30" s="3"/>
      <c r="OP30" s="3"/>
      <c r="OQ30" s="3"/>
      <c r="OR30" s="3"/>
      <c r="OS30" s="3"/>
      <c r="OT30" s="3"/>
      <c r="OU30" s="3"/>
      <c r="OV30" s="3"/>
      <c r="OW30" s="3"/>
      <c r="OX30" s="3"/>
      <c r="OY30" s="3"/>
      <c r="OZ30" s="3"/>
      <c r="PA30" s="3"/>
      <c r="PB30" s="3"/>
      <c r="PC30" s="3"/>
      <c r="PD30" s="3"/>
      <c r="PE30" s="3"/>
      <c r="PF30" s="3"/>
      <c r="PG30" s="3"/>
      <c r="PH30" s="3"/>
      <c r="PI30" s="3"/>
      <c r="PJ30" s="3"/>
      <c r="PK30" s="3"/>
      <c r="PL30" s="3"/>
      <c r="PM30" s="3"/>
      <c r="PN30" s="3"/>
      <c r="PO30" s="3"/>
      <c r="PP30" s="3"/>
      <c r="PQ30" s="3"/>
      <c r="PR30" s="3"/>
      <c r="PS30" s="3"/>
      <c r="PT30" s="3"/>
      <c r="PU30" s="3"/>
      <c r="PV30" s="3"/>
      <c r="PW30" s="3"/>
      <c r="PX30" s="3"/>
      <c r="PY30" s="3"/>
      <c r="PZ30" s="3"/>
      <c r="QA30" s="3"/>
      <c r="QB30" s="3"/>
      <c r="QC30" s="3"/>
      <c r="QD30" s="3"/>
      <c r="QE30" s="3"/>
      <c r="QF30" s="3"/>
      <c r="QG30" s="3"/>
      <c r="QH30" s="3"/>
      <c r="QI30" s="3"/>
      <c r="QJ30" s="3"/>
      <c r="QK30" s="3"/>
      <c r="QL30" s="3"/>
      <c r="QM30" s="3"/>
      <c r="QN30" s="3"/>
      <c r="QO30" s="3"/>
      <c r="QP30" s="3"/>
      <c r="QQ30" s="3"/>
      <c r="QR30" s="3"/>
      <c r="QS30" s="3"/>
      <c r="QT30" s="3"/>
      <c r="QU30" s="3"/>
      <c r="QV30" s="3"/>
      <c r="QW30" s="3"/>
      <c r="QX30" s="3"/>
      <c r="QY30" s="3"/>
      <c r="QZ30" s="3"/>
      <c r="RA30" s="3"/>
      <c r="RB30" s="3"/>
      <c r="RC30" s="3"/>
      <c r="RD30" s="3"/>
      <c r="RE30" s="3"/>
      <c r="RF30" s="3"/>
      <c r="RG30" s="3"/>
      <c r="RH30" s="3"/>
      <c r="RI30" s="3"/>
      <c r="RJ30" s="3"/>
      <c r="RK30" s="3"/>
      <c r="RL30" s="3"/>
      <c r="RM30" s="3"/>
      <c r="RN30" s="3"/>
      <c r="RO30" s="3"/>
      <c r="RP30" s="3"/>
      <c r="RQ30" s="3"/>
      <c r="RR30" s="3"/>
      <c r="RS30" s="3"/>
      <c r="RT30" s="3"/>
      <c r="RU30" s="3"/>
      <c r="RV30" s="3"/>
      <c r="RW30" s="3"/>
      <c r="RX30" s="3"/>
      <c r="RY30" s="3"/>
      <c r="RZ30" s="3"/>
      <c r="SA30" s="3"/>
      <c r="SB30" s="3"/>
      <c r="SC30" s="3"/>
      <c r="SD30" s="3"/>
      <c r="SE30" s="3"/>
      <c r="SF30" s="3"/>
      <c r="SG30" s="3"/>
      <c r="SH30" s="3"/>
      <c r="SI30" s="3"/>
      <c r="SJ30" s="3"/>
      <c r="SK30" s="3"/>
      <c r="SL30" s="3"/>
      <c r="SM30" s="3"/>
      <c r="SN30" s="3"/>
      <c r="SO30" s="3"/>
      <c r="SP30" s="3"/>
      <c r="SQ30" s="3"/>
      <c r="SR30" s="3"/>
      <c r="SS30" s="3"/>
      <c r="ST30" s="3"/>
      <c r="SU30" s="3"/>
      <c r="SV30" s="3"/>
      <c r="SW30" s="3"/>
      <c r="SX30" s="3"/>
      <c r="SY30" s="3"/>
      <c r="SZ30" s="3"/>
      <c r="TA30" s="3"/>
      <c r="TB30" s="3"/>
      <c r="TC30" s="3"/>
      <c r="TD30" s="3"/>
      <c r="TE30" s="3"/>
      <c r="TF30" s="3"/>
      <c r="TG30" s="3"/>
      <c r="TH30" s="3"/>
      <c r="TI30" s="3"/>
      <c r="TJ30" s="3"/>
      <c r="TK30" s="3"/>
      <c r="TL30" s="3"/>
      <c r="TM30" s="3"/>
      <c r="TN30" s="3"/>
      <c r="TO30" s="3"/>
      <c r="TP30" s="3"/>
      <c r="TQ30" s="3"/>
      <c r="TR30" s="3"/>
      <c r="TS30" s="3"/>
      <c r="TT30" s="3"/>
      <c r="TU30" s="3"/>
      <c r="TV30" s="3"/>
      <c r="TW30" s="3"/>
      <c r="TX30" s="3"/>
      <c r="TY30" s="3"/>
      <c r="TZ30" s="3"/>
      <c r="UA30" s="3"/>
      <c r="UB30" s="3"/>
      <c r="UC30" s="3"/>
      <c r="UD30" s="3"/>
      <c r="UE30" s="3"/>
      <c r="UF30" s="3"/>
      <c r="UG30" s="3"/>
      <c r="UH30" s="3"/>
      <c r="UI30" s="3"/>
      <c r="UJ30" s="3"/>
      <c r="UK30" s="3"/>
      <c r="UL30" s="3"/>
      <c r="UM30" s="3"/>
      <c r="UN30" s="3"/>
      <c r="UO30" s="3"/>
      <c r="UP30" s="3"/>
      <c r="UQ30" s="3"/>
      <c r="UR30" s="3"/>
      <c r="US30" s="3"/>
      <c r="UT30" s="3"/>
      <c r="UU30" s="3"/>
      <c r="UV30" s="3"/>
      <c r="UW30" s="3"/>
      <c r="UX30" s="3"/>
      <c r="UY30" s="3"/>
      <c r="UZ30" s="3"/>
      <c r="VA30" s="3"/>
      <c r="VB30" s="3"/>
      <c r="VC30" s="3"/>
      <c r="VD30" s="3"/>
      <c r="VE30" s="3"/>
      <c r="VF30" s="3"/>
      <c r="VG30" s="3"/>
      <c r="VH30" s="3"/>
      <c r="VI30" s="3"/>
      <c r="VJ30" s="3"/>
      <c r="VK30" s="3"/>
      <c r="VL30" s="3"/>
      <c r="VM30" s="3"/>
      <c r="VN30" s="3"/>
      <c r="VO30" s="3"/>
      <c r="VP30" s="3"/>
      <c r="VQ30" s="3"/>
      <c r="VR30" s="3"/>
      <c r="VS30" s="3"/>
      <c r="VT30" s="3"/>
      <c r="VU30" s="3"/>
      <c r="VV30" s="3"/>
      <c r="VW30" s="3"/>
      <c r="VX30" s="3"/>
      <c r="VY30" s="3"/>
      <c r="VZ30" s="3"/>
      <c r="WA30" s="3"/>
      <c r="WB30" s="3"/>
      <c r="WC30" s="3"/>
      <c r="WD30" s="3"/>
      <c r="WE30" s="3"/>
      <c r="WF30" s="3"/>
      <c r="WG30" s="3"/>
      <c r="WH30" s="3"/>
      <c r="WI30" s="3"/>
      <c r="WJ30" s="3"/>
      <c r="WK30" s="3"/>
      <c r="WL30" s="3"/>
      <c r="WM30" s="3"/>
      <c r="WN30" s="3"/>
      <c r="WO30" s="3"/>
      <c r="WP30" s="3"/>
      <c r="WQ30" s="3"/>
      <c r="WR30" s="3"/>
      <c r="WS30" s="3"/>
      <c r="WT30" s="3"/>
      <c r="WU30" s="3"/>
      <c r="WV30" s="3"/>
      <c r="WW30" s="3"/>
      <c r="WX30" s="3"/>
      <c r="WY30" s="3"/>
      <c r="WZ30" s="3"/>
      <c r="XA30" s="3"/>
      <c r="XB30" s="3"/>
      <c r="XC30" s="3"/>
      <c r="XD30" s="3"/>
      <c r="XE30" s="3"/>
      <c r="XF30" s="3"/>
      <c r="XG30" s="3"/>
      <c r="XH30" s="3"/>
      <c r="XI30" s="3"/>
      <c r="XJ30" s="3"/>
      <c r="XK30" s="3"/>
      <c r="XL30" s="3"/>
      <c r="XM30" s="3"/>
      <c r="XN30" s="3"/>
      <c r="XO30" s="3"/>
      <c r="XP30" s="3"/>
      <c r="XQ30" s="3"/>
      <c r="XR30" s="3"/>
      <c r="XS30" s="3"/>
      <c r="XT30" s="3"/>
      <c r="XU30" s="3"/>
      <c r="XV30" s="3"/>
      <c r="XW30" s="3"/>
      <c r="XX30" s="3"/>
      <c r="XY30" s="3"/>
      <c r="XZ30" s="3"/>
      <c r="YA30" s="3"/>
      <c r="YB30" s="3"/>
      <c r="YC30" s="3"/>
      <c r="YD30" s="3"/>
      <c r="YE30" s="3"/>
      <c r="YF30" s="3"/>
      <c r="YG30" s="3"/>
      <c r="YH30" s="3"/>
      <c r="YI30" s="3"/>
      <c r="YJ30" s="3"/>
      <c r="YK30" s="3"/>
      <c r="YL30" s="3"/>
      <c r="YM30" s="3"/>
      <c r="YN30" s="3"/>
      <c r="YO30" s="3"/>
      <c r="YP30" s="3"/>
      <c r="YQ30" s="3"/>
      <c r="YR30" s="3"/>
      <c r="YS30" s="3"/>
      <c r="YT30" s="3"/>
      <c r="YU30" s="3"/>
      <c r="YV30" s="3"/>
      <c r="YW30" s="3"/>
      <c r="YX30" s="3"/>
      <c r="YY30" s="3"/>
      <c r="YZ30" s="3"/>
      <c r="ZA30" s="3"/>
      <c r="ZB30" s="3"/>
      <c r="ZC30" s="3"/>
      <c r="ZD30" s="3"/>
      <c r="ZE30" s="3"/>
      <c r="ZF30" s="3"/>
      <c r="ZG30" s="3"/>
      <c r="ZH30" s="3"/>
      <c r="ZI30" s="3"/>
      <c r="ZJ30" s="3"/>
      <c r="ZK30" s="3"/>
      <c r="ZL30" s="3"/>
      <c r="ZM30" s="3"/>
      <c r="ZN30" s="3"/>
      <c r="ZO30" s="3"/>
      <c r="ZP30" s="3"/>
      <c r="ZQ30" s="3"/>
      <c r="ZR30" s="3"/>
      <c r="ZS30" s="3"/>
      <c r="ZT30" s="3"/>
      <c r="ZU30" s="3"/>
      <c r="ZV30" s="3"/>
      <c r="ZW30" s="3"/>
      <c r="ZX30" s="3"/>
      <c r="ZY30" s="3"/>
      <c r="ZZ30" s="3"/>
      <c r="AAA30" s="3"/>
      <c r="AAB30" s="3"/>
      <c r="AAC30" s="3"/>
      <c r="AAD30" s="3"/>
      <c r="AAE30" s="3"/>
      <c r="AAF30" s="3"/>
      <c r="AAG30" s="3"/>
      <c r="AAH30" s="3"/>
      <c r="AAI30" s="3"/>
      <c r="AAJ30" s="3"/>
      <c r="AAK30" s="3"/>
      <c r="AAL30" s="3"/>
      <c r="AAM30" s="3"/>
      <c r="AAN30" s="3"/>
      <c r="AAO30" s="3"/>
      <c r="AAP30" s="3"/>
      <c r="AAQ30" s="3"/>
      <c r="AAR30" s="3"/>
      <c r="AAS30" s="3"/>
      <c r="AAT30" s="3"/>
      <c r="AAU30" s="3"/>
      <c r="AAV30" s="3"/>
      <c r="AAW30" s="3"/>
      <c r="AAX30" s="3"/>
      <c r="AAY30" s="3"/>
      <c r="AAZ30" s="3"/>
      <c r="ABA30" s="3"/>
      <c r="ABB30" s="3"/>
      <c r="ABC30" s="3"/>
      <c r="ABD30" s="3"/>
      <c r="ABE30" s="3"/>
      <c r="ABF30" s="3"/>
      <c r="ABG30" s="3"/>
      <c r="ABH30" s="3"/>
      <c r="ABI30" s="3"/>
      <c r="ABJ30" s="3"/>
      <c r="ABK30" s="3"/>
      <c r="ABL30" s="3"/>
      <c r="ABM30" s="3"/>
      <c r="ABN30" s="3"/>
      <c r="ABO30" s="3"/>
      <c r="ABP30" s="3"/>
      <c r="ABQ30" s="3"/>
      <c r="ABR30" s="3"/>
      <c r="ABS30" s="3"/>
      <c r="ABT30" s="3"/>
      <c r="ABU30" s="3"/>
      <c r="ABV30" s="3"/>
      <c r="ABW30" s="3"/>
      <c r="ABX30" s="3"/>
      <c r="ABY30" s="3"/>
      <c r="ABZ30" s="3"/>
      <c r="ACA30" s="3"/>
      <c r="ACB30" s="3"/>
      <c r="ACC30" s="3"/>
      <c r="ACD30" s="3"/>
      <c r="ACE30" s="3"/>
      <c r="ACF30" s="3"/>
      <c r="ACG30" s="3"/>
      <c r="ACH30" s="3"/>
      <c r="ACI30" s="3"/>
      <c r="ACJ30" s="3"/>
      <c r="ACK30" s="3"/>
      <c r="ACL30" s="3"/>
      <c r="ACM30" s="3"/>
      <c r="ACN30" s="3"/>
      <c r="ACO30" s="3"/>
      <c r="ACP30" s="3"/>
      <c r="ACQ30" s="3"/>
      <c r="ACR30" s="3"/>
      <c r="ACS30" s="3"/>
      <c r="ACT30" s="3"/>
      <c r="ACU30" s="3"/>
      <c r="ACV30" s="3"/>
      <c r="ACW30" s="3"/>
      <c r="ACX30" s="3"/>
      <c r="ACY30" s="3"/>
      <c r="ACZ30" s="3"/>
    </row>
    <row r="31" spans="1:780" x14ac:dyDescent="0.2">
      <c r="A31" s="7"/>
      <c r="B31" s="7"/>
      <c r="C31" s="2"/>
      <c r="D31" s="2"/>
      <c r="E31" s="6"/>
      <c r="F31" s="6"/>
      <c r="G31" s="6"/>
      <c r="H31" s="6"/>
      <c r="I31" s="2"/>
      <c r="J31" s="4"/>
      <c r="K31" s="4"/>
      <c r="L31" s="2"/>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c r="IS31" s="3"/>
      <c r="IT31" s="3"/>
      <c r="IU31" s="3"/>
      <c r="IV31" s="3"/>
      <c r="IW31" s="3"/>
      <c r="IX31" s="3"/>
      <c r="IY31" s="3"/>
      <c r="IZ31" s="3"/>
      <c r="JA31" s="3"/>
      <c r="JB31" s="3"/>
      <c r="JC31" s="3"/>
      <c r="JD31" s="3"/>
      <c r="JE31" s="3"/>
      <c r="JF31" s="3"/>
      <c r="JG31" s="3"/>
      <c r="JH31" s="3"/>
      <c r="JI31" s="3"/>
      <c r="JJ31" s="3"/>
      <c r="JK31" s="3"/>
      <c r="JL31" s="3"/>
      <c r="JM31" s="3"/>
      <c r="JN31" s="3"/>
      <c r="JO31" s="3"/>
      <c r="JP31" s="3"/>
      <c r="JQ31" s="3"/>
      <c r="JR31" s="3"/>
      <c r="JS31" s="3"/>
      <c r="JT31" s="3"/>
      <c r="JU31" s="3"/>
      <c r="JV31" s="3"/>
      <c r="JW31" s="3"/>
      <c r="JX31" s="3"/>
      <c r="JY31" s="3"/>
      <c r="JZ31" s="3"/>
      <c r="KA31" s="3"/>
      <c r="KB31" s="3"/>
      <c r="KC31" s="3"/>
      <c r="KD31" s="3"/>
      <c r="KE31" s="3"/>
      <c r="KF31" s="3"/>
      <c r="KG31" s="3"/>
      <c r="KH31" s="3"/>
      <c r="KI31" s="3"/>
      <c r="KJ31" s="3"/>
      <c r="KK31" s="3"/>
      <c r="KL31" s="3"/>
      <c r="KM31" s="3"/>
      <c r="KN31" s="3"/>
      <c r="KO31" s="3"/>
      <c r="KP31" s="3"/>
      <c r="KQ31" s="3"/>
      <c r="KR31" s="3"/>
      <c r="KS31" s="3"/>
      <c r="KT31" s="3"/>
      <c r="KU31" s="3"/>
      <c r="KV31" s="3"/>
      <c r="KW31" s="3"/>
      <c r="KX31" s="3"/>
      <c r="KY31" s="3"/>
      <c r="KZ31" s="3"/>
      <c r="LA31" s="3"/>
      <c r="LB31" s="3"/>
      <c r="LC31" s="3"/>
      <c r="LD31" s="3"/>
      <c r="LE31" s="3"/>
      <c r="LF31" s="3"/>
      <c r="LG31" s="3"/>
      <c r="LH31" s="3"/>
      <c r="LI31" s="3"/>
      <c r="LJ31" s="3"/>
      <c r="LK31" s="3"/>
      <c r="LL31" s="3"/>
      <c r="LM31" s="3"/>
      <c r="LN31" s="3"/>
      <c r="LO31" s="3"/>
      <c r="LP31" s="3"/>
      <c r="LQ31" s="3"/>
      <c r="LR31" s="3"/>
      <c r="LS31" s="3"/>
      <c r="LT31" s="3"/>
      <c r="LU31" s="3"/>
      <c r="LV31" s="3"/>
      <c r="LW31" s="3"/>
      <c r="LX31" s="3"/>
      <c r="LY31" s="3"/>
      <c r="LZ31" s="3"/>
      <c r="MA31" s="3"/>
      <c r="MB31" s="3"/>
      <c r="MC31" s="3"/>
      <c r="MD31" s="3"/>
      <c r="ME31" s="3"/>
      <c r="MF31" s="3"/>
      <c r="MG31" s="3"/>
      <c r="MH31" s="3"/>
      <c r="MI31" s="3"/>
      <c r="MJ31" s="3"/>
      <c r="MK31" s="3"/>
      <c r="ML31" s="3"/>
      <c r="MM31" s="3"/>
      <c r="MN31" s="3"/>
      <c r="MO31" s="3"/>
      <c r="MP31" s="3"/>
      <c r="MQ31" s="3"/>
      <c r="MR31" s="3"/>
      <c r="MS31" s="3"/>
      <c r="MT31" s="3"/>
      <c r="MU31" s="3"/>
      <c r="MV31" s="3"/>
      <c r="MW31" s="3"/>
      <c r="MX31" s="3"/>
      <c r="MY31" s="3"/>
      <c r="MZ31" s="3"/>
      <c r="NA31" s="3"/>
      <c r="NB31" s="3"/>
      <c r="NC31" s="3"/>
      <c r="ND31" s="3"/>
      <c r="NE31" s="3"/>
      <c r="NF31" s="3"/>
      <c r="NG31" s="3"/>
      <c r="NH31" s="3"/>
      <c r="NI31" s="3"/>
      <c r="NJ31" s="3"/>
      <c r="NK31" s="3"/>
      <c r="NL31" s="3"/>
      <c r="NM31" s="3"/>
      <c r="NN31" s="3"/>
      <c r="NO31" s="3"/>
      <c r="NP31" s="3"/>
      <c r="NQ31" s="3"/>
      <c r="NR31" s="3"/>
      <c r="NS31" s="3"/>
      <c r="NT31" s="3"/>
      <c r="NU31" s="3"/>
      <c r="NV31" s="3"/>
      <c r="NW31" s="3"/>
      <c r="NX31" s="3"/>
      <c r="NY31" s="3"/>
      <c r="NZ31" s="3"/>
      <c r="OA31" s="3"/>
      <c r="OB31" s="3"/>
      <c r="OC31" s="3"/>
      <c r="OD31" s="3"/>
      <c r="OE31" s="3"/>
      <c r="OF31" s="3"/>
      <c r="OG31" s="3"/>
      <c r="OH31" s="3"/>
      <c r="OI31" s="3"/>
      <c r="OJ31" s="3"/>
      <c r="OK31" s="3"/>
      <c r="OL31" s="3"/>
      <c r="OM31" s="3"/>
      <c r="ON31" s="3"/>
      <c r="OO31" s="3"/>
      <c r="OP31" s="3"/>
      <c r="OQ31" s="3"/>
      <c r="OR31" s="3"/>
      <c r="OS31" s="3"/>
      <c r="OT31" s="3"/>
      <c r="OU31" s="3"/>
      <c r="OV31" s="3"/>
      <c r="OW31" s="3"/>
      <c r="OX31" s="3"/>
      <c r="OY31" s="3"/>
      <c r="OZ31" s="3"/>
      <c r="PA31" s="3"/>
      <c r="PB31" s="3"/>
      <c r="PC31" s="3"/>
      <c r="PD31" s="3"/>
      <c r="PE31" s="3"/>
      <c r="PF31" s="3"/>
      <c r="PG31" s="3"/>
      <c r="PH31" s="3"/>
      <c r="PI31" s="3"/>
      <c r="PJ31" s="3"/>
      <c r="PK31" s="3"/>
      <c r="PL31" s="3"/>
      <c r="PM31" s="3"/>
      <c r="PN31" s="3"/>
      <c r="PO31" s="3"/>
      <c r="PP31" s="3"/>
      <c r="PQ31" s="3"/>
      <c r="PR31" s="3"/>
      <c r="PS31" s="3"/>
      <c r="PT31" s="3"/>
      <c r="PU31" s="3"/>
      <c r="PV31" s="3"/>
      <c r="PW31" s="3"/>
      <c r="PX31" s="3"/>
      <c r="PY31" s="3"/>
      <c r="PZ31" s="3"/>
      <c r="QA31" s="3"/>
      <c r="QB31" s="3"/>
      <c r="QC31" s="3"/>
      <c r="QD31" s="3"/>
      <c r="QE31" s="3"/>
      <c r="QF31" s="3"/>
      <c r="QG31" s="3"/>
      <c r="QH31" s="3"/>
      <c r="QI31" s="3"/>
      <c r="QJ31" s="3"/>
      <c r="QK31" s="3"/>
      <c r="QL31" s="3"/>
      <c r="QM31" s="3"/>
      <c r="QN31" s="3"/>
      <c r="QO31" s="3"/>
      <c r="QP31" s="3"/>
      <c r="QQ31" s="3"/>
      <c r="QR31" s="3"/>
      <c r="QS31" s="3"/>
      <c r="QT31" s="3"/>
      <c r="QU31" s="3"/>
      <c r="QV31" s="3"/>
      <c r="QW31" s="3"/>
      <c r="QX31" s="3"/>
      <c r="QY31" s="3"/>
      <c r="QZ31" s="3"/>
      <c r="RA31" s="3"/>
      <c r="RB31" s="3"/>
      <c r="RC31" s="3"/>
      <c r="RD31" s="3"/>
      <c r="RE31" s="3"/>
      <c r="RF31" s="3"/>
      <c r="RG31" s="3"/>
      <c r="RH31" s="3"/>
      <c r="RI31" s="3"/>
      <c r="RJ31" s="3"/>
      <c r="RK31" s="3"/>
      <c r="RL31" s="3"/>
      <c r="RM31" s="3"/>
      <c r="RN31" s="3"/>
      <c r="RO31" s="3"/>
      <c r="RP31" s="3"/>
      <c r="RQ31" s="3"/>
      <c r="RR31" s="3"/>
      <c r="RS31" s="3"/>
      <c r="RT31" s="3"/>
      <c r="RU31" s="3"/>
      <c r="RV31" s="3"/>
      <c r="RW31" s="3"/>
      <c r="RX31" s="3"/>
      <c r="RY31" s="3"/>
      <c r="RZ31" s="3"/>
      <c r="SA31" s="3"/>
      <c r="SB31" s="3"/>
      <c r="SC31" s="3"/>
      <c r="SD31" s="3"/>
      <c r="SE31" s="3"/>
      <c r="SF31" s="3"/>
      <c r="SG31" s="3"/>
      <c r="SH31" s="3"/>
      <c r="SI31" s="3"/>
      <c r="SJ31" s="3"/>
      <c r="SK31" s="3"/>
      <c r="SL31" s="3"/>
      <c r="SM31" s="3"/>
      <c r="SN31" s="3"/>
      <c r="SO31" s="3"/>
      <c r="SP31" s="3"/>
      <c r="SQ31" s="3"/>
      <c r="SR31" s="3"/>
      <c r="SS31" s="3"/>
      <c r="ST31" s="3"/>
      <c r="SU31" s="3"/>
      <c r="SV31" s="3"/>
      <c r="SW31" s="3"/>
      <c r="SX31" s="3"/>
      <c r="SY31" s="3"/>
      <c r="SZ31" s="3"/>
      <c r="TA31" s="3"/>
      <c r="TB31" s="3"/>
      <c r="TC31" s="3"/>
      <c r="TD31" s="3"/>
      <c r="TE31" s="3"/>
      <c r="TF31" s="3"/>
      <c r="TG31" s="3"/>
      <c r="TH31" s="3"/>
      <c r="TI31" s="3"/>
      <c r="TJ31" s="3"/>
      <c r="TK31" s="3"/>
      <c r="TL31" s="3"/>
      <c r="TM31" s="3"/>
      <c r="TN31" s="3"/>
      <c r="TO31" s="3"/>
      <c r="TP31" s="3"/>
      <c r="TQ31" s="3"/>
      <c r="TR31" s="3"/>
      <c r="TS31" s="3"/>
      <c r="TT31" s="3"/>
      <c r="TU31" s="3"/>
      <c r="TV31" s="3"/>
      <c r="TW31" s="3"/>
      <c r="TX31" s="3"/>
      <c r="TY31" s="3"/>
      <c r="TZ31" s="3"/>
      <c r="UA31" s="3"/>
      <c r="UB31" s="3"/>
      <c r="UC31" s="3"/>
      <c r="UD31" s="3"/>
      <c r="UE31" s="3"/>
      <c r="UF31" s="3"/>
      <c r="UG31" s="3"/>
      <c r="UH31" s="3"/>
      <c r="UI31" s="3"/>
      <c r="UJ31" s="3"/>
      <c r="UK31" s="3"/>
      <c r="UL31" s="3"/>
      <c r="UM31" s="3"/>
      <c r="UN31" s="3"/>
      <c r="UO31" s="3"/>
      <c r="UP31" s="3"/>
      <c r="UQ31" s="3"/>
      <c r="UR31" s="3"/>
      <c r="US31" s="3"/>
      <c r="UT31" s="3"/>
      <c r="UU31" s="3"/>
      <c r="UV31" s="3"/>
      <c r="UW31" s="3"/>
      <c r="UX31" s="3"/>
      <c r="UY31" s="3"/>
      <c r="UZ31" s="3"/>
      <c r="VA31" s="3"/>
      <c r="VB31" s="3"/>
      <c r="VC31" s="3"/>
      <c r="VD31" s="3"/>
      <c r="VE31" s="3"/>
      <c r="VF31" s="3"/>
      <c r="VG31" s="3"/>
      <c r="VH31" s="3"/>
      <c r="VI31" s="3"/>
      <c r="VJ31" s="3"/>
      <c r="VK31" s="3"/>
      <c r="VL31" s="3"/>
      <c r="VM31" s="3"/>
      <c r="VN31" s="3"/>
      <c r="VO31" s="3"/>
      <c r="VP31" s="3"/>
      <c r="VQ31" s="3"/>
      <c r="VR31" s="3"/>
      <c r="VS31" s="3"/>
      <c r="VT31" s="3"/>
      <c r="VU31" s="3"/>
      <c r="VV31" s="3"/>
      <c r="VW31" s="3"/>
      <c r="VX31" s="3"/>
      <c r="VY31" s="3"/>
      <c r="VZ31" s="3"/>
      <c r="WA31" s="3"/>
      <c r="WB31" s="3"/>
      <c r="WC31" s="3"/>
      <c r="WD31" s="3"/>
      <c r="WE31" s="3"/>
      <c r="WF31" s="3"/>
      <c r="WG31" s="3"/>
      <c r="WH31" s="3"/>
      <c r="WI31" s="3"/>
      <c r="WJ31" s="3"/>
      <c r="WK31" s="3"/>
      <c r="WL31" s="3"/>
      <c r="WM31" s="3"/>
      <c r="WN31" s="3"/>
      <c r="WO31" s="3"/>
      <c r="WP31" s="3"/>
      <c r="WQ31" s="3"/>
      <c r="WR31" s="3"/>
      <c r="WS31" s="3"/>
      <c r="WT31" s="3"/>
      <c r="WU31" s="3"/>
      <c r="WV31" s="3"/>
      <c r="WW31" s="3"/>
      <c r="WX31" s="3"/>
      <c r="WY31" s="3"/>
      <c r="WZ31" s="3"/>
      <c r="XA31" s="3"/>
      <c r="XB31" s="3"/>
      <c r="XC31" s="3"/>
      <c r="XD31" s="3"/>
      <c r="XE31" s="3"/>
      <c r="XF31" s="3"/>
      <c r="XG31" s="3"/>
      <c r="XH31" s="3"/>
      <c r="XI31" s="3"/>
      <c r="XJ31" s="3"/>
      <c r="XK31" s="3"/>
      <c r="XL31" s="3"/>
      <c r="XM31" s="3"/>
      <c r="XN31" s="3"/>
      <c r="XO31" s="3"/>
      <c r="XP31" s="3"/>
      <c r="XQ31" s="3"/>
      <c r="XR31" s="3"/>
      <c r="XS31" s="3"/>
      <c r="XT31" s="3"/>
      <c r="XU31" s="3"/>
      <c r="XV31" s="3"/>
      <c r="XW31" s="3"/>
      <c r="XX31" s="3"/>
      <c r="XY31" s="3"/>
      <c r="XZ31" s="3"/>
      <c r="YA31" s="3"/>
      <c r="YB31" s="3"/>
      <c r="YC31" s="3"/>
      <c r="YD31" s="3"/>
      <c r="YE31" s="3"/>
      <c r="YF31" s="3"/>
      <c r="YG31" s="3"/>
      <c r="YH31" s="3"/>
      <c r="YI31" s="3"/>
      <c r="YJ31" s="3"/>
      <c r="YK31" s="3"/>
      <c r="YL31" s="3"/>
      <c r="YM31" s="3"/>
      <c r="YN31" s="3"/>
      <c r="YO31" s="3"/>
      <c r="YP31" s="3"/>
      <c r="YQ31" s="3"/>
      <c r="YR31" s="3"/>
      <c r="YS31" s="3"/>
      <c r="YT31" s="3"/>
      <c r="YU31" s="3"/>
      <c r="YV31" s="3"/>
      <c r="YW31" s="3"/>
      <c r="YX31" s="3"/>
      <c r="YY31" s="3"/>
      <c r="YZ31" s="3"/>
      <c r="ZA31" s="3"/>
      <c r="ZB31" s="3"/>
      <c r="ZC31" s="3"/>
      <c r="ZD31" s="3"/>
      <c r="ZE31" s="3"/>
      <c r="ZF31" s="3"/>
      <c r="ZG31" s="3"/>
      <c r="ZH31" s="3"/>
      <c r="ZI31" s="3"/>
      <c r="ZJ31" s="3"/>
      <c r="ZK31" s="3"/>
      <c r="ZL31" s="3"/>
      <c r="ZM31" s="3"/>
      <c r="ZN31" s="3"/>
      <c r="ZO31" s="3"/>
      <c r="ZP31" s="3"/>
      <c r="ZQ31" s="3"/>
      <c r="ZR31" s="3"/>
      <c r="ZS31" s="3"/>
      <c r="ZT31" s="3"/>
      <c r="ZU31" s="3"/>
      <c r="ZV31" s="3"/>
      <c r="ZW31" s="3"/>
      <c r="ZX31" s="3"/>
      <c r="ZY31" s="3"/>
      <c r="ZZ31" s="3"/>
      <c r="AAA31" s="3"/>
      <c r="AAB31" s="3"/>
      <c r="AAC31" s="3"/>
      <c r="AAD31" s="3"/>
      <c r="AAE31" s="3"/>
      <c r="AAF31" s="3"/>
      <c r="AAG31" s="3"/>
      <c r="AAH31" s="3"/>
      <c r="AAI31" s="3"/>
      <c r="AAJ31" s="3"/>
      <c r="AAK31" s="3"/>
      <c r="AAL31" s="3"/>
      <c r="AAM31" s="3"/>
      <c r="AAN31" s="3"/>
      <c r="AAO31" s="3"/>
      <c r="AAP31" s="3"/>
      <c r="AAQ31" s="3"/>
      <c r="AAR31" s="3"/>
      <c r="AAS31" s="3"/>
      <c r="AAT31" s="3"/>
      <c r="AAU31" s="3"/>
      <c r="AAV31" s="3"/>
      <c r="AAW31" s="3"/>
      <c r="AAX31" s="3"/>
      <c r="AAY31" s="3"/>
      <c r="AAZ31" s="3"/>
      <c r="ABA31" s="3"/>
      <c r="ABB31" s="3"/>
      <c r="ABC31" s="3"/>
      <c r="ABD31" s="3"/>
      <c r="ABE31" s="3"/>
      <c r="ABF31" s="3"/>
      <c r="ABG31" s="3"/>
      <c r="ABH31" s="3"/>
      <c r="ABI31" s="3"/>
      <c r="ABJ31" s="3"/>
      <c r="ABK31" s="3"/>
      <c r="ABL31" s="3"/>
      <c r="ABM31" s="3"/>
      <c r="ABN31" s="3"/>
      <c r="ABO31" s="3"/>
      <c r="ABP31" s="3"/>
      <c r="ABQ31" s="3"/>
      <c r="ABR31" s="3"/>
      <c r="ABS31" s="3"/>
      <c r="ABT31" s="3"/>
      <c r="ABU31" s="3"/>
      <c r="ABV31" s="3"/>
      <c r="ABW31" s="3"/>
      <c r="ABX31" s="3"/>
      <c r="ABY31" s="3"/>
      <c r="ABZ31" s="3"/>
      <c r="ACA31" s="3"/>
      <c r="ACB31" s="3"/>
      <c r="ACC31" s="3"/>
      <c r="ACD31" s="3"/>
      <c r="ACE31" s="3"/>
      <c r="ACF31" s="3"/>
      <c r="ACG31" s="3"/>
      <c r="ACH31" s="3"/>
      <c r="ACI31" s="3"/>
      <c r="ACJ31" s="3"/>
      <c r="ACK31" s="3"/>
      <c r="ACL31" s="3"/>
      <c r="ACM31" s="3"/>
      <c r="ACN31" s="3"/>
      <c r="ACO31" s="3"/>
      <c r="ACP31" s="3"/>
      <c r="ACQ31" s="3"/>
      <c r="ACR31" s="3"/>
      <c r="ACS31" s="3"/>
      <c r="ACT31" s="3"/>
      <c r="ACU31" s="3"/>
      <c r="ACV31" s="3"/>
      <c r="ACW31" s="3"/>
      <c r="ACX31" s="3"/>
      <c r="ACY31" s="3"/>
      <c r="ACZ31" s="3"/>
    </row>
    <row r="32" spans="1:780" ht="18" x14ac:dyDescent="0.25">
      <c r="A32" s="8" t="s">
        <v>1</v>
      </c>
      <c r="B32" s="7"/>
      <c r="C32" s="2"/>
      <c r="D32" s="2"/>
      <c r="E32" s="6"/>
      <c r="F32" s="6"/>
      <c r="G32" s="6"/>
      <c r="H32" s="6"/>
      <c r="I32" s="2"/>
      <c r="J32" s="4"/>
      <c r="K32" s="4"/>
      <c r="L32" s="2"/>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c r="IS32" s="3"/>
      <c r="IT32" s="3"/>
      <c r="IU32" s="3"/>
      <c r="IV32" s="3"/>
      <c r="IW32" s="3"/>
      <c r="IX32" s="3"/>
      <c r="IY32" s="3"/>
      <c r="IZ32" s="3"/>
      <c r="JA32" s="3"/>
      <c r="JB32" s="3"/>
      <c r="JC32" s="3"/>
      <c r="JD32" s="3"/>
      <c r="JE32" s="3"/>
      <c r="JF32" s="3"/>
      <c r="JG32" s="3"/>
      <c r="JH32" s="3"/>
      <c r="JI32" s="3"/>
      <c r="JJ32" s="3"/>
      <c r="JK32" s="3"/>
      <c r="JL32" s="3"/>
      <c r="JM32" s="3"/>
      <c r="JN32" s="3"/>
      <c r="JO32" s="3"/>
      <c r="JP32" s="3"/>
      <c r="JQ32" s="3"/>
      <c r="JR32" s="3"/>
      <c r="JS32" s="3"/>
      <c r="JT32" s="3"/>
      <c r="JU32" s="3"/>
      <c r="JV32" s="3"/>
      <c r="JW32" s="3"/>
      <c r="JX32" s="3"/>
      <c r="JY32" s="3"/>
      <c r="JZ32" s="3"/>
      <c r="KA32" s="3"/>
      <c r="KB32" s="3"/>
      <c r="KC32" s="3"/>
      <c r="KD32" s="3"/>
      <c r="KE32" s="3"/>
      <c r="KF32" s="3"/>
      <c r="KG32" s="3"/>
      <c r="KH32" s="3"/>
      <c r="KI32" s="3"/>
      <c r="KJ32" s="3"/>
      <c r="KK32" s="3"/>
      <c r="KL32" s="3"/>
      <c r="KM32" s="3"/>
      <c r="KN32" s="3"/>
      <c r="KO32" s="3"/>
      <c r="KP32" s="3"/>
      <c r="KQ32" s="3"/>
      <c r="KR32" s="3"/>
      <c r="KS32" s="3"/>
      <c r="KT32" s="3"/>
      <c r="KU32" s="3"/>
      <c r="KV32" s="3"/>
      <c r="KW32" s="3"/>
      <c r="KX32" s="3"/>
      <c r="KY32" s="3"/>
      <c r="KZ32" s="3"/>
      <c r="LA32" s="3"/>
      <c r="LB32" s="3"/>
      <c r="LC32" s="3"/>
      <c r="LD32" s="3"/>
      <c r="LE32" s="3"/>
      <c r="LF32" s="3"/>
      <c r="LG32" s="3"/>
      <c r="LH32" s="3"/>
      <c r="LI32" s="3"/>
      <c r="LJ32" s="3"/>
      <c r="LK32" s="3"/>
      <c r="LL32" s="3"/>
      <c r="LM32" s="3"/>
      <c r="LN32" s="3"/>
      <c r="LO32" s="3"/>
      <c r="LP32" s="3"/>
      <c r="LQ32" s="3"/>
      <c r="LR32" s="3"/>
      <c r="LS32" s="3"/>
      <c r="LT32" s="3"/>
      <c r="LU32" s="3"/>
      <c r="LV32" s="3"/>
      <c r="LW32" s="3"/>
      <c r="LX32" s="3"/>
      <c r="LY32" s="3"/>
      <c r="LZ32" s="3"/>
      <c r="MA32" s="3"/>
      <c r="MB32" s="3"/>
      <c r="MC32" s="3"/>
      <c r="MD32" s="3"/>
      <c r="ME32" s="3"/>
      <c r="MF32" s="3"/>
      <c r="MG32" s="3"/>
      <c r="MH32" s="3"/>
      <c r="MI32" s="3"/>
      <c r="MJ32" s="3"/>
      <c r="MK32" s="3"/>
      <c r="ML32" s="3"/>
      <c r="MM32" s="3"/>
      <c r="MN32" s="3"/>
      <c r="MO32" s="3"/>
      <c r="MP32" s="3"/>
      <c r="MQ32" s="3"/>
      <c r="MR32" s="3"/>
      <c r="MS32" s="3"/>
      <c r="MT32" s="3"/>
      <c r="MU32" s="3"/>
      <c r="MV32" s="3"/>
      <c r="MW32" s="3"/>
      <c r="MX32" s="3"/>
      <c r="MY32" s="3"/>
      <c r="MZ32" s="3"/>
      <c r="NA32" s="3"/>
      <c r="NB32" s="3"/>
      <c r="NC32" s="3"/>
      <c r="ND32" s="3"/>
      <c r="NE32" s="3"/>
      <c r="NF32" s="3"/>
      <c r="NG32" s="3"/>
      <c r="NH32" s="3"/>
      <c r="NI32" s="3"/>
      <c r="NJ32" s="3"/>
      <c r="NK32" s="3"/>
      <c r="NL32" s="3"/>
      <c r="NM32" s="3"/>
      <c r="NN32" s="3"/>
      <c r="NO32" s="3"/>
      <c r="NP32" s="3"/>
      <c r="NQ32" s="3"/>
      <c r="NR32" s="3"/>
      <c r="NS32" s="3"/>
      <c r="NT32" s="3"/>
      <c r="NU32" s="3"/>
      <c r="NV32" s="3"/>
      <c r="NW32" s="3"/>
      <c r="NX32" s="3"/>
      <c r="NY32" s="3"/>
      <c r="NZ32" s="3"/>
      <c r="OA32" s="3"/>
      <c r="OB32" s="3"/>
      <c r="OC32" s="3"/>
      <c r="OD32" s="3"/>
      <c r="OE32" s="3"/>
      <c r="OF32" s="3"/>
      <c r="OG32" s="3"/>
      <c r="OH32" s="3"/>
      <c r="OI32" s="3"/>
      <c r="OJ32" s="3"/>
      <c r="OK32" s="3"/>
      <c r="OL32" s="3"/>
      <c r="OM32" s="3"/>
      <c r="ON32" s="3"/>
      <c r="OO32" s="3"/>
      <c r="OP32" s="3"/>
      <c r="OQ32" s="3"/>
      <c r="OR32" s="3"/>
      <c r="OS32" s="3"/>
      <c r="OT32" s="3"/>
      <c r="OU32" s="3"/>
      <c r="OV32" s="3"/>
      <c r="OW32" s="3"/>
      <c r="OX32" s="3"/>
      <c r="OY32" s="3"/>
      <c r="OZ32" s="3"/>
      <c r="PA32" s="3"/>
      <c r="PB32" s="3"/>
      <c r="PC32" s="3"/>
      <c r="PD32" s="3"/>
      <c r="PE32" s="3"/>
      <c r="PF32" s="3"/>
      <c r="PG32" s="3"/>
      <c r="PH32" s="3"/>
      <c r="PI32" s="3"/>
      <c r="PJ32" s="3"/>
      <c r="PK32" s="3"/>
      <c r="PL32" s="3"/>
      <c r="PM32" s="3"/>
      <c r="PN32" s="3"/>
      <c r="PO32" s="3"/>
      <c r="PP32" s="3"/>
      <c r="PQ32" s="3"/>
      <c r="PR32" s="3"/>
      <c r="PS32" s="3"/>
      <c r="PT32" s="3"/>
      <c r="PU32" s="3"/>
      <c r="PV32" s="3"/>
      <c r="PW32" s="3"/>
      <c r="PX32" s="3"/>
      <c r="PY32" s="3"/>
      <c r="PZ32" s="3"/>
      <c r="QA32" s="3"/>
      <c r="QB32" s="3"/>
      <c r="QC32" s="3"/>
      <c r="QD32" s="3"/>
      <c r="QE32" s="3"/>
      <c r="QF32" s="3"/>
      <c r="QG32" s="3"/>
      <c r="QH32" s="3"/>
      <c r="QI32" s="3"/>
      <c r="QJ32" s="3"/>
      <c r="QK32" s="3"/>
      <c r="QL32" s="3"/>
      <c r="QM32" s="3"/>
      <c r="QN32" s="3"/>
      <c r="QO32" s="3"/>
      <c r="QP32" s="3"/>
      <c r="QQ32" s="3"/>
      <c r="QR32" s="3"/>
      <c r="QS32" s="3"/>
      <c r="QT32" s="3"/>
      <c r="QU32" s="3"/>
      <c r="QV32" s="3"/>
      <c r="QW32" s="3"/>
      <c r="QX32" s="3"/>
      <c r="QY32" s="3"/>
      <c r="QZ32" s="3"/>
      <c r="RA32" s="3"/>
      <c r="RB32" s="3"/>
      <c r="RC32" s="3"/>
      <c r="RD32" s="3"/>
      <c r="RE32" s="3"/>
      <c r="RF32" s="3"/>
      <c r="RG32" s="3"/>
      <c r="RH32" s="3"/>
      <c r="RI32" s="3"/>
      <c r="RJ32" s="3"/>
      <c r="RK32" s="3"/>
      <c r="RL32" s="3"/>
      <c r="RM32" s="3"/>
      <c r="RN32" s="3"/>
      <c r="RO32" s="3"/>
      <c r="RP32" s="3"/>
      <c r="RQ32" s="3"/>
      <c r="RR32" s="3"/>
      <c r="RS32" s="3"/>
      <c r="RT32" s="3"/>
      <c r="RU32" s="3"/>
      <c r="RV32" s="3"/>
      <c r="RW32" s="3"/>
      <c r="RX32" s="3"/>
      <c r="RY32" s="3"/>
      <c r="RZ32" s="3"/>
      <c r="SA32" s="3"/>
      <c r="SB32" s="3"/>
      <c r="SC32" s="3"/>
      <c r="SD32" s="3"/>
      <c r="SE32" s="3"/>
      <c r="SF32" s="3"/>
      <c r="SG32" s="3"/>
      <c r="SH32" s="3"/>
      <c r="SI32" s="3"/>
      <c r="SJ32" s="3"/>
      <c r="SK32" s="3"/>
      <c r="SL32" s="3"/>
      <c r="SM32" s="3"/>
      <c r="SN32" s="3"/>
      <c r="SO32" s="3"/>
      <c r="SP32" s="3"/>
      <c r="SQ32" s="3"/>
      <c r="SR32" s="3"/>
      <c r="SS32" s="3"/>
      <c r="ST32" s="3"/>
      <c r="SU32" s="3"/>
      <c r="SV32" s="3"/>
      <c r="SW32" s="3"/>
      <c r="SX32" s="3"/>
      <c r="SY32" s="3"/>
      <c r="SZ32" s="3"/>
      <c r="TA32" s="3"/>
      <c r="TB32" s="3"/>
      <c r="TC32" s="3"/>
      <c r="TD32" s="3"/>
      <c r="TE32" s="3"/>
      <c r="TF32" s="3"/>
      <c r="TG32" s="3"/>
      <c r="TH32" s="3"/>
      <c r="TI32" s="3"/>
      <c r="TJ32" s="3"/>
      <c r="TK32" s="3"/>
      <c r="TL32" s="3"/>
      <c r="TM32" s="3"/>
      <c r="TN32" s="3"/>
      <c r="TO32" s="3"/>
      <c r="TP32" s="3"/>
      <c r="TQ32" s="3"/>
      <c r="TR32" s="3"/>
      <c r="TS32" s="3"/>
      <c r="TT32" s="3"/>
      <c r="TU32" s="3"/>
      <c r="TV32" s="3"/>
      <c r="TW32" s="3"/>
      <c r="TX32" s="3"/>
      <c r="TY32" s="3"/>
      <c r="TZ32" s="3"/>
      <c r="UA32" s="3"/>
      <c r="UB32" s="3"/>
      <c r="UC32" s="3"/>
      <c r="UD32" s="3"/>
      <c r="UE32" s="3"/>
      <c r="UF32" s="3"/>
      <c r="UG32" s="3"/>
      <c r="UH32" s="3"/>
      <c r="UI32" s="3"/>
      <c r="UJ32" s="3"/>
      <c r="UK32" s="3"/>
      <c r="UL32" s="3"/>
      <c r="UM32" s="3"/>
      <c r="UN32" s="3"/>
      <c r="UO32" s="3"/>
      <c r="UP32" s="3"/>
      <c r="UQ32" s="3"/>
      <c r="UR32" s="3"/>
      <c r="US32" s="3"/>
      <c r="UT32" s="3"/>
      <c r="UU32" s="3"/>
      <c r="UV32" s="3"/>
      <c r="UW32" s="3"/>
      <c r="UX32" s="3"/>
      <c r="UY32" s="3"/>
      <c r="UZ32" s="3"/>
      <c r="VA32" s="3"/>
      <c r="VB32" s="3"/>
      <c r="VC32" s="3"/>
      <c r="VD32" s="3"/>
      <c r="VE32" s="3"/>
      <c r="VF32" s="3"/>
      <c r="VG32" s="3"/>
      <c r="VH32" s="3"/>
      <c r="VI32" s="3"/>
      <c r="VJ32" s="3"/>
      <c r="VK32" s="3"/>
      <c r="VL32" s="3"/>
      <c r="VM32" s="3"/>
      <c r="VN32" s="3"/>
      <c r="VO32" s="3"/>
      <c r="VP32" s="3"/>
      <c r="VQ32" s="3"/>
      <c r="VR32" s="3"/>
      <c r="VS32" s="3"/>
      <c r="VT32" s="3"/>
      <c r="VU32" s="3"/>
      <c r="VV32" s="3"/>
      <c r="VW32" s="3"/>
      <c r="VX32" s="3"/>
      <c r="VY32" s="3"/>
      <c r="VZ32" s="3"/>
      <c r="WA32" s="3"/>
      <c r="WB32" s="3"/>
      <c r="WC32" s="3"/>
      <c r="WD32" s="3"/>
      <c r="WE32" s="3"/>
      <c r="WF32" s="3"/>
      <c r="WG32" s="3"/>
      <c r="WH32" s="3"/>
      <c r="WI32" s="3"/>
      <c r="WJ32" s="3"/>
      <c r="WK32" s="3"/>
      <c r="WL32" s="3"/>
      <c r="WM32" s="3"/>
      <c r="WN32" s="3"/>
      <c r="WO32" s="3"/>
      <c r="WP32" s="3"/>
      <c r="WQ32" s="3"/>
      <c r="WR32" s="3"/>
      <c r="WS32" s="3"/>
      <c r="WT32" s="3"/>
      <c r="WU32" s="3"/>
      <c r="WV32" s="3"/>
      <c r="WW32" s="3"/>
      <c r="WX32" s="3"/>
      <c r="WY32" s="3"/>
      <c r="WZ32" s="3"/>
      <c r="XA32" s="3"/>
      <c r="XB32" s="3"/>
      <c r="XC32" s="3"/>
      <c r="XD32" s="3"/>
      <c r="XE32" s="3"/>
      <c r="XF32" s="3"/>
      <c r="XG32" s="3"/>
      <c r="XH32" s="3"/>
      <c r="XI32" s="3"/>
      <c r="XJ32" s="3"/>
      <c r="XK32" s="3"/>
      <c r="XL32" s="3"/>
      <c r="XM32" s="3"/>
      <c r="XN32" s="3"/>
      <c r="XO32" s="3"/>
      <c r="XP32" s="3"/>
      <c r="XQ32" s="3"/>
      <c r="XR32" s="3"/>
      <c r="XS32" s="3"/>
      <c r="XT32" s="3"/>
      <c r="XU32" s="3"/>
      <c r="XV32" s="3"/>
      <c r="XW32" s="3"/>
      <c r="XX32" s="3"/>
      <c r="XY32" s="3"/>
      <c r="XZ32" s="3"/>
      <c r="YA32" s="3"/>
      <c r="YB32" s="3"/>
      <c r="YC32" s="3"/>
      <c r="YD32" s="3"/>
      <c r="YE32" s="3"/>
      <c r="YF32" s="3"/>
      <c r="YG32" s="3"/>
      <c r="YH32" s="3"/>
      <c r="YI32" s="3"/>
      <c r="YJ32" s="3"/>
      <c r="YK32" s="3"/>
      <c r="YL32" s="3"/>
      <c r="YM32" s="3"/>
      <c r="YN32" s="3"/>
      <c r="YO32" s="3"/>
      <c r="YP32" s="3"/>
      <c r="YQ32" s="3"/>
      <c r="YR32" s="3"/>
      <c r="YS32" s="3"/>
      <c r="YT32" s="3"/>
      <c r="YU32" s="3"/>
      <c r="YV32" s="3"/>
      <c r="YW32" s="3"/>
      <c r="YX32" s="3"/>
      <c r="YY32" s="3"/>
      <c r="YZ32" s="3"/>
      <c r="ZA32" s="3"/>
      <c r="ZB32" s="3"/>
      <c r="ZC32" s="3"/>
      <c r="ZD32" s="3"/>
      <c r="ZE32" s="3"/>
      <c r="ZF32" s="3"/>
      <c r="ZG32" s="3"/>
      <c r="ZH32" s="3"/>
      <c r="ZI32" s="3"/>
      <c r="ZJ32" s="3"/>
      <c r="ZK32" s="3"/>
      <c r="ZL32" s="3"/>
      <c r="ZM32" s="3"/>
      <c r="ZN32" s="3"/>
      <c r="ZO32" s="3"/>
      <c r="ZP32" s="3"/>
      <c r="ZQ32" s="3"/>
      <c r="ZR32" s="3"/>
      <c r="ZS32" s="3"/>
      <c r="ZT32" s="3"/>
      <c r="ZU32" s="3"/>
      <c r="ZV32" s="3"/>
      <c r="ZW32" s="3"/>
      <c r="ZX32" s="3"/>
      <c r="ZY32" s="3"/>
      <c r="ZZ32" s="3"/>
      <c r="AAA32" s="3"/>
      <c r="AAB32" s="3"/>
      <c r="AAC32" s="3"/>
      <c r="AAD32" s="3"/>
      <c r="AAE32" s="3"/>
      <c r="AAF32" s="3"/>
      <c r="AAG32" s="3"/>
      <c r="AAH32" s="3"/>
      <c r="AAI32" s="3"/>
      <c r="AAJ32" s="3"/>
      <c r="AAK32" s="3"/>
      <c r="AAL32" s="3"/>
      <c r="AAM32" s="3"/>
      <c r="AAN32" s="3"/>
      <c r="AAO32" s="3"/>
      <c r="AAP32" s="3"/>
      <c r="AAQ32" s="3"/>
      <c r="AAR32" s="3"/>
      <c r="AAS32" s="3"/>
      <c r="AAT32" s="3"/>
      <c r="AAU32" s="3"/>
      <c r="AAV32" s="3"/>
      <c r="AAW32" s="3"/>
      <c r="AAX32" s="3"/>
      <c r="AAY32" s="3"/>
      <c r="AAZ32" s="3"/>
      <c r="ABA32" s="3"/>
      <c r="ABB32" s="3"/>
      <c r="ABC32" s="3"/>
      <c r="ABD32" s="3"/>
      <c r="ABE32" s="3"/>
      <c r="ABF32" s="3"/>
      <c r="ABG32" s="3"/>
      <c r="ABH32" s="3"/>
      <c r="ABI32" s="3"/>
      <c r="ABJ32" s="3"/>
      <c r="ABK32" s="3"/>
      <c r="ABL32" s="3"/>
      <c r="ABM32" s="3"/>
      <c r="ABN32" s="3"/>
      <c r="ABO32" s="3"/>
      <c r="ABP32" s="3"/>
      <c r="ABQ32" s="3"/>
      <c r="ABR32" s="3"/>
      <c r="ABS32" s="3"/>
      <c r="ABT32" s="3"/>
      <c r="ABU32" s="3"/>
      <c r="ABV32" s="3"/>
      <c r="ABW32" s="3"/>
      <c r="ABX32" s="3"/>
      <c r="ABY32" s="3"/>
      <c r="ABZ32" s="3"/>
      <c r="ACA32" s="3"/>
      <c r="ACB32" s="3"/>
      <c r="ACC32" s="3"/>
      <c r="ACD32" s="3"/>
      <c r="ACE32" s="3"/>
      <c r="ACF32" s="3"/>
      <c r="ACG32" s="3"/>
      <c r="ACH32" s="3"/>
      <c r="ACI32" s="3"/>
      <c r="ACJ32" s="3"/>
      <c r="ACK32" s="3"/>
      <c r="ACL32" s="3"/>
      <c r="ACM32" s="3"/>
      <c r="ACN32" s="3"/>
      <c r="ACO32" s="3"/>
      <c r="ACP32" s="3"/>
      <c r="ACQ32" s="3"/>
      <c r="ACR32" s="3"/>
      <c r="ACS32" s="3"/>
      <c r="ACT32" s="3"/>
      <c r="ACU32" s="3"/>
      <c r="ACV32" s="3"/>
      <c r="ACW32" s="3"/>
      <c r="ACX32" s="3"/>
      <c r="ACY32" s="3"/>
      <c r="ACZ32" s="3"/>
    </row>
    <row r="33" spans="1:780" x14ac:dyDescent="0.2">
      <c r="A33" s="1424" t="s">
        <v>2</v>
      </c>
      <c r="B33" s="1424"/>
      <c r="C33" s="9"/>
      <c r="D33" s="2"/>
      <c r="E33" s="6"/>
      <c r="F33" s="6"/>
      <c r="G33" s="6"/>
      <c r="H33" s="6"/>
      <c r="I33" s="2"/>
      <c r="J33" s="4"/>
      <c r="K33" s="4"/>
      <c r="L33" s="2"/>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c r="IS33" s="3"/>
      <c r="IT33" s="3"/>
      <c r="IU33" s="3"/>
      <c r="IV33" s="3"/>
      <c r="IW33" s="3"/>
      <c r="IX33" s="3"/>
      <c r="IY33" s="3"/>
      <c r="IZ33" s="3"/>
      <c r="JA33" s="3"/>
      <c r="JB33" s="3"/>
      <c r="JC33" s="3"/>
      <c r="JD33" s="3"/>
      <c r="JE33" s="3"/>
      <c r="JF33" s="3"/>
      <c r="JG33" s="3"/>
      <c r="JH33" s="3"/>
      <c r="JI33" s="3"/>
      <c r="JJ33" s="3"/>
      <c r="JK33" s="3"/>
      <c r="JL33" s="3"/>
      <c r="JM33" s="3"/>
      <c r="JN33" s="3"/>
      <c r="JO33" s="3"/>
      <c r="JP33" s="3"/>
      <c r="JQ33" s="3"/>
      <c r="JR33" s="3"/>
      <c r="JS33" s="3"/>
      <c r="JT33" s="3"/>
      <c r="JU33" s="3"/>
      <c r="JV33" s="3"/>
      <c r="JW33" s="3"/>
      <c r="JX33" s="3"/>
      <c r="JY33" s="3"/>
      <c r="JZ33" s="3"/>
      <c r="KA33" s="3"/>
      <c r="KB33" s="3"/>
      <c r="KC33" s="3"/>
      <c r="KD33" s="3"/>
      <c r="KE33" s="3"/>
      <c r="KF33" s="3"/>
      <c r="KG33" s="3"/>
      <c r="KH33" s="3"/>
      <c r="KI33" s="3"/>
      <c r="KJ33" s="3"/>
      <c r="KK33" s="3"/>
      <c r="KL33" s="3"/>
      <c r="KM33" s="3"/>
      <c r="KN33" s="3"/>
      <c r="KO33" s="3"/>
      <c r="KP33" s="3"/>
      <c r="KQ33" s="3"/>
      <c r="KR33" s="3"/>
      <c r="KS33" s="3"/>
      <c r="KT33" s="3"/>
      <c r="KU33" s="3"/>
      <c r="KV33" s="3"/>
      <c r="KW33" s="3"/>
      <c r="KX33" s="3"/>
      <c r="KY33" s="3"/>
      <c r="KZ33" s="3"/>
      <c r="LA33" s="3"/>
      <c r="LB33" s="3"/>
      <c r="LC33" s="3"/>
      <c r="LD33" s="3"/>
      <c r="LE33" s="3"/>
      <c r="LF33" s="3"/>
      <c r="LG33" s="3"/>
      <c r="LH33" s="3"/>
      <c r="LI33" s="3"/>
      <c r="LJ33" s="3"/>
      <c r="LK33" s="3"/>
      <c r="LL33" s="3"/>
      <c r="LM33" s="3"/>
      <c r="LN33" s="3"/>
      <c r="LO33" s="3"/>
      <c r="LP33" s="3"/>
      <c r="LQ33" s="3"/>
      <c r="LR33" s="3"/>
      <c r="LS33" s="3"/>
      <c r="LT33" s="3"/>
      <c r="LU33" s="3"/>
      <c r="LV33" s="3"/>
      <c r="LW33" s="3"/>
      <c r="LX33" s="3"/>
      <c r="LY33" s="3"/>
      <c r="LZ33" s="3"/>
      <c r="MA33" s="3"/>
      <c r="MB33" s="3"/>
      <c r="MC33" s="3"/>
      <c r="MD33" s="3"/>
      <c r="ME33" s="3"/>
      <c r="MF33" s="3"/>
      <c r="MG33" s="3"/>
      <c r="MH33" s="3"/>
      <c r="MI33" s="3"/>
      <c r="MJ33" s="3"/>
      <c r="MK33" s="3"/>
      <c r="ML33" s="3"/>
      <c r="MM33" s="3"/>
      <c r="MN33" s="3"/>
      <c r="MO33" s="3"/>
      <c r="MP33" s="3"/>
      <c r="MQ33" s="3"/>
      <c r="MR33" s="3"/>
      <c r="MS33" s="3"/>
      <c r="MT33" s="3"/>
      <c r="MU33" s="3"/>
      <c r="MV33" s="3"/>
      <c r="MW33" s="3"/>
      <c r="MX33" s="3"/>
      <c r="MY33" s="3"/>
      <c r="MZ33" s="3"/>
      <c r="NA33" s="3"/>
      <c r="NB33" s="3"/>
      <c r="NC33" s="3"/>
      <c r="ND33" s="3"/>
      <c r="NE33" s="3"/>
      <c r="NF33" s="3"/>
      <c r="NG33" s="3"/>
      <c r="NH33" s="3"/>
      <c r="NI33" s="3"/>
      <c r="NJ33" s="3"/>
      <c r="NK33" s="3"/>
      <c r="NL33" s="3"/>
      <c r="NM33" s="3"/>
      <c r="NN33" s="3"/>
      <c r="NO33" s="3"/>
      <c r="NP33" s="3"/>
      <c r="NQ33" s="3"/>
      <c r="NR33" s="3"/>
      <c r="NS33" s="3"/>
      <c r="NT33" s="3"/>
      <c r="NU33" s="3"/>
      <c r="NV33" s="3"/>
      <c r="NW33" s="3"/>
      <c r="NX33" s="3"/>
      <c r="NY33" s="3"/>
      <c r="NZ33" s="3"/>
      <c r="OA33" s="3"/>
      <c r="OB33" s="3"/>
      <c r="OC33" s="3"/>
      <c r="OD33" s="3"/>
      <c r="OE33" s="3"/>
      <c r="OF33" s="3"/>
      <c r="OG33" s="3"/>
      <c r="OH33" s="3"/>
      <c r="OI33" s="3"/>
      <c r="OJ33" s="3"/>
      <c r="OK33" s="3"/>
      <c r="OL33" s="3"/>
      <c r="OM33" s="3"/>
      <c r="ON33" s="3"/>
      <c r="OO33" s="3"/>
      <c r="OP33" s="3"/>
      <c r="OQ33" s="3"/>
      <c r="OR33" s="3"/>
      <c r="OS33" s="3"/>
      <c r="OT33" s="3"/>
      <c r="OU33" s="3"/>
      <c r="OV33" s="3"/>
      <c r="OW33" s="3"/>
      <c r="OX33" s="3"/>
      <c r="OY33" s="3"/>
      <c r="OZ33" s="3"/>
      <c r="PA33" s="3"/>
      <c r="PB33" s="3"/>
      <c r="PC33" s="3"/>
      <c r="PD33" s="3"/>
      <c r="PE33" s="3"/>
      <c r="PF33" s="3"/>
      <c r="PG33" s="3"/>
      <c r="PH33" s="3"/>
      <c r="PI33" s="3"/>
      <c r="PJ33" s="3"/>
      <c r="PK33" s="3"/>
      <c r="PL33" s="3"/>
      <c r="PM33" s="3"/>
      <c r="PN33" s="3"/>
      <c r="PO33" s="3"/>
      <c r="PP33" s="3"/>
      <c r="PQ33" s="3"/>
      <c r="PR33" s="3"/>
      <c r="PS33" s="3"/>
      <c r="PT33" s="3"/>
      <c r="PU33" s="3"/>
      <c r="PV33" s="3"/>
      <c r="PW33" s="3"/>
      <c r="PX33" s="3"/>
      <c r="PY33" s="3"/>
      <c r="PZ33" s="3"/>
      <c r="QA33" s="3"/>
      <c r="QB33" s="3"/>
      <c r="QC33" s="3"/>
      <c r="QD33" s="3"/>
      <c r="QE33" s="3"/>
      <c r="QF33" s="3"/>
      <c r="QG33" s="3"/>
      <c r="QH33" s="3"/>
      <c r="QI33" s="3"/>
      <c r="QJ33" s="3"/>
      <c r="QK33" s="3"/>
      <c r="QL33" s="3"/>
      <c r="QM33" s="3"/>
      <c r="QN33" s="3"/>
      <c r="QO33" s="3"/>
      <c r="QP33" s="3"/>
      <c r="QQ33" s="3"/>
      <c r="QR33" s="3"/>
      <c r="QS33" s="3"/>
      <c r="QT33" s="3"/>
      <c r="QU33" s="3"/>
      <c r="QV33" s="3"/>
      <c r="QW33" s="3"/>
      <c r="QX33" s="3"/>
      <c r="QY33" s="3"/>
      <c r="QZ33" s="3"/>
      <c r="RA33" s="3"/>
      <c r="RB33" s="3"/>
      <c r="RC33" s="3"/>
      <c r="RD33" s="3"/>
      <c r="RE33" s="3"/>
      <c r="RF33" s="3"/>
      <c r="RG33" s="3"/>
      <c r="RH33" s="3"/>
      <c r="RI33" s="3"/>
      <c r="RJ33" s="3"/>
      <c r="RK33" s="3"/>
      <c r="RL33" s="3"/>
      <c r="RM33" s="3"/>
      <c r="RN33" s="3"/>
      <c r="RO33" s="3"/>
      <c r="RP33" s="3"/>
      <c r="RQ33" s="3"/>
      <c r="RR33" s="3"/>
      <c r="RS33" s="3"/>
      <c r="RT33" s="3"/>
      <c r="RU33" s="3"/>
      <c r="RV33" s="3"/>
      <c r="RW33" s="3"/>
      <c r="RX33" s="3"/>
      <c r="RY33" s="3"/>
      <c r="RZ33" s="3"/>
      <c r="SA33" s="3"/>
      <c r="SB33" s="3"/>
      <c r="SC33" s="3"/>
      <c r="SD33" s="3"/>
      <c r="SE33" s="3"/>
      <c r="SF33" s="3"/>
      <c r="SG33" s="3"/>
      <c r="SH33" s="3"/>
      <c r="SI33" s="3"/>
      <c r="SJ33" s="3"/>
      <c r="SK33" s="3"/>
      <c r="SL33" s="3"/>
      <c r="SM33" s="3"/>
      <c r="SN33" s="3"/>
      <c r="SO33" s="3"/>
      <c r="SP33" s="3"/>
      <c r="SQ33" s="3"/>
      <c r="SR33" s="3"/>
      <c r="SS33" s="3"/>
      <c r="ST33" s="3"/>
      <c r="SU33" s="3"/>
      <c r="SV33" s="3"/>
      <c r="SW33" s="3"/>
      <c r="SX33" s="3"/>
      <c r="SY33" s="3"/>
      <c r="SZ33" s="3"/>
      <c r="TA33" s="3"/>
      <c r="TB33" s="3"/>
      <c r="TC33" s="3"/>
      <c r="TD33" s="3"/>
      <c r="TE33" s="3"/>
      <c r="TF33" s="3"/>
      <c r="TG33" s="3"/>
      <c r="TH33" s="3"/>
      <c r="TI33" s="3"/>
      <c r="TJ33" s="3"/>
      <c r="TK33" s="3"/>
      <c r="TL33" s="3"/>
      <c r="TM33" s="3"/>
      <c r="TN33" s="3"/>
      <c r="TO33" s="3"/>
      <c r="TP33" s="3"/>
      <c r="TQ33" s="3"/>
      <c r="TR33" s="3"/>
      <c r="TS33" s="3"/>
      <c r="TT33" s="3"/>
      <c r="TU33" s="3"/>
      <c r="TV33" s="3"/>
      <c r="TW33" s="3"/>
      <c r="TX33" s="3"/>
      <c r="TY33" s="3"/>
      <c r="TZ33" s="3"/>
      <c r="UA33" s="3"/>
      <c r="UB33" s="3"/>
      <c r="UC33" s="3"/>
      <c r="UD33" s="3"/>
      <c r="UE33" s="3"/>
      <c r="UF33" s="3"/>
      <c r="UG33" s="3"/>
      <c r="UH33" s="3"/>
      <c r="UI33" s="3"/>
      <c r="UJ33" s="3"/>
      <c r="UK33" s="3"/>
      <c r="UL33" s="3"/>
      <c r="UM33" s="3"/>
      <c r="UN33" s="3"/>
      <c r="UO33" s="3"/>
      <c r="UP33" s="3"/>
      <c r="UQ33" s="3"/>
      <c r="UR33" s="3"/>
      <c r="US33" s="3"/>
      <c r="UT33" s="3"/>
      <c r="UU33" s="3"/>
      <c r="UV33" s="3"/>
      <c r="UW33" s="3"/>
      <c r="UX33" s="3"/>
      <c r="UY33" s="3"/>
      <c r="UZ33" s="3"/>
      <c r="VA33" s="3"/>
      <c r="VB33" s="3"/>
      <c r="VC33" s="3"/>
      <c r="VD33" s="3"/>
      <c r="VE33" s="3"/>
      <c r="VF33" s="3"/>
      <c r="VG33" s="3"/>
      <c r="VH33" s="3"/>
      <c r="VI33" s="3"/>
      <c r="VJ33" s="3"/>
      <c r="VK33" s="3"/>
      <c r="VL33" s="3"/>
      <c r="VM33" s="3"/>
      <c r="VN33" s="3"/>
      <c r="VO33" s="3"/>
      <c r="VP33" s="3"/>
      <c r="VQ33" s="3"/>
      <c r="VR33" s="3"/>
      <c r="VS33" s="3"/>
      <c r="VT33" s="3"/>
      <c r="VU33" s="3"/>
      <c r="VV33" s="3"/>
      <c r="VW33" s="3"/>
      <c r="VX33" s="3"/>
      <c r="VY33" s="3"/>
      <c r="VZ33" s="3"/>
      <c r="WA33" s="3"/>
      <c r="WB33" s="3"/>
      <c r="WC33" s="3"/>
      <c r="WD33" s="3"/>
      <c r="WE33" s="3"/>
      <c r="WF33" s="3"/>
      <c r="WG33" s="3"/>
      <c r="WH33" s="3"/>
      <c r="WI33" s="3"/>
      <c r="WJ33" s="3"/>
      <c r="WK33" s="3"/>
      <c r="WL33" s="3"/>
      <c r="WM33" s="3"/>
      <c r="WN33" s="3"/>
      <c r="WO33" s="3"/>
      <c r="WP33" s="3"/>
      <c r="WQ33" s="3"/>
      <c r="WR33" s="3"/>
      <c r="WS33" s="3"/>
      <c r="WT33" s="3"/>
      <c r="WU33" s="3"/>
      <c r="WV33" s="3"/>
      <c r="WW33" s="3"/>
      <c r="WX33" s="3"/>
      <c r="WY33" s="3"/>
      <c r="WZ33" s="3"/>
      <c r="XA33" s="3"/>
      <c r="XB33" s="3"/>
      <c r="XC33" s="3"/>
      <c r="XD33" s="3"/>
      <c r="XE33" s="3"/>
      <c r="XF33" s="3"/>
      <c r="XG33" s="3"/>
      <c r="XH33" s="3"/>
      <c r="XI33" s="3"/>
      <c r="XJ33" s="3"/>
      <c r="XK33" s="3"/>
      <c r="XL33" s="3"/>
      <c r="XM33" s="3"/>
      <c r="XN33" s="3"/>
      <c r="XO33" s="3"/>
      <c r="XP33" s="3"/>
      <c r="XQ33" s="3"/>
      <c r="XR33" s="3"/>
      <c r="XS33" s="3"/>
      <c r="XT33" s="3"/>
      <c r="XU33" s="3"/>
      <c r="XV33" s="3"/>
      <c r="XW33" s="3"/>
      <c r="XX33" s="3"/>
      <c r="XY33" s="3"/>
      <c r="XZ33" s="3"/>
      <c r="YA33" s="3"/>
      <c r="YB33" s="3"/>
      <c r="YC33" s="3"/>
      <c r="YD33" s="3"/>
      <c r="YE33" s="3"/>
      <c r="YF33" s="3"/>
      <c r="YG33" s="3"/>
      <c r="YH33" s="3"/>
      <c r="YI33" s="3"/>
      <c r="YJ33" s="3"/>
      <c r="YK33" s="3"/>
      <c r="YL33" s="3"/>
      <c r="YM33" s="3"/>
      <c r="YN33" s="3"/>
      <c r="YO33" s="3"/>
      <c r="YP33" s="3"/>
      <c r="YQ33" s="3"/>
      <c r="YR33" s="3"/>
      <c r="YS33" s="3"/>
      <c r="YT33" s="3"/>
      <c r="YU33" s="3"/>
      <c r="YV33" s="3"/>
      <c r="YW33" s="3"/>
      <c r="YX33" s="3"/>
      <c r="YY33" s="3"/>
      <c r="YZ33" s="3"/>
      <c r="ZA33" s="3"/>
      <c r="ZB33" s="3"/>
      <c r="ZC33" s="3"/>
      <c r="ZD33" s="3"/>
      <c r="ZE33" s="3"/>
      <c r="ZF33" s="3"/>
      <c r="ZG33" s="3"/>
      <c r="ZH33" s="3"/>
      <c r="ZI33" s="3"/>
      <c r="ZJ33" s="3"/>
      <c r="ZK33" s="3"/>
      <c r="ZL33" s="3"/>
      <c r="ZM33" s="3"/>
      <c r="ZN33" s="3"/>
      <c r="ZO33" s="3"/>
      <c r="ZP33" s="3"/>
      <c r="ZQ33" s="3"/>
      <c r="ZR33" s="3"/>
      <c r="ZS33" s="3"/>
      <c r="ZT33" s="3"/>
      <c r="ZU33" s="3"/>
      <c r="ZV33" s="3"/>
      <c r="ZW33" s="3"/>
      <c r="ZX33" s="3"/>
      <c r="ZY33" s="3"/>
      <c r="ZZ33" s="3"/>
      <c r="AAA33" s="3"/>
      <c r="AAB33" s="3"/>
      <c r="AAC33" s="3"/>
      <c r="AAD33" s="3"/>
      <c r="AAE33" s="3"/>
      <c r="AAF33" s="3"/>
      <c r="AAG33" s="3"/>
      <c r="AAH33" s="3"/>
      <c r="AAI33" s="3"/>
      <c r="AAJ33" s="3"/>
      <c r="AAK33" s="3"/>
      <c r="AAL33" s="3"/>
      <c r="AAM33" s="3"/>
      <c r="AAN33" s="3"/>
      <c r="AAO33" s="3"/>
      <c r="AAP33" s="3"/>
      <c r="AAQ33" s="3"/>
      <c r="AAR33" s="3"/>
      <c r="AAS33" s="3"/>
      <c r="AAT33" s="3"/>
      <c r="AAU33" s="3"/>
      <c r="AAV33" s="3"/>
      <c r="AAW33" s="3"/>
      <c r="AAX33" s="3"/>
      <c r="AAY33" s="3"/>
      <c r="AAZ33" s="3"/>
      <c r="ABA33" s="3"/>
      <c r="ABB33" s="3"/>
      <c r="ABC33" s="3"/>
      <c r="ABD33" s="3"/>
      <c r="ABE33" s="3"/>
      <c r="ABF33" s="3"/>
      <c r="ABG33" s="3"/>
      <c r="ABH33" s="3"/>
      <c r="ABI33" s="3"/>
      <c r="ABJ33" s="3"/>
      <c r="ABK33" s="3"/>
      <c r="ABL33" s="3"/>
      <c r="ABM33" s="3"/>
      <c r="ABN33" s="3"/>
      <c r="ABO33" s="3"/>
      <c r="ABP33" s="3"/>
      <c r="ABQ33" s="3"/>
      <c r="ABR33" s="3"/>
      <c r="ABS33" s="3"/>
      <c r="ABT33" s="3"/>
      <c r="ABU33" s="3"/>
      <c r="ABV33" s="3"/>
      <c r="ABW33" s="3"/>
      <c r="ABX33" s="3"/>
      <c r="ABY33" s="3"/>
      <c r="ABZ33" s="3"/>
      <c r="ACA33" s="3"/>
      <c r="ACB33" s="3"/>
      <c r="ACC33" s="3"/>
      <c r="ACD33" s="3"/>
      <c r="ACE33" s="3"/>
      <c r="ACF33" s="3"/>
      <c r="ACG33" s="3"/>
      <c r="ACH33" s="3"/>
      <c r="ACI33" s="3"/>
      <c r="ACJ33" s="3"/>
      <c r="ACK33" s="3"/>
      <c r="ACL33" s="3"/>
      <c r="ACM33" s="3"/>
      <c r="ACN33" s="3"/>
      <c r="ACO33" s="3"/>
      <c r="ACP33" s="3"/>
      <c r="ACQ33" s="3"/>
      <c r="ACR33" s="3"/>
      <c r="ACS33" s="3"/>
      <c r="ACT33" s="3"/>
      <c r="ACU33" s="3"/>
      <c r="ACV33" s="3"/>
      <c r="ACW33" s="3"/>
      <c r="ACX33" s="3"/>
      <c r="ACY33" s="3"/>
      <c r="ACZ33" s="3"/>
    </row>
  </sheetData>
  <mergeCells count="4">
    <mergeCell ref="A33:B33"/>
    <mergeCell ref="A1:B4"/>
    <mergeCell ref="E1:H4"/>
    <mergeCell ref="J1:K3"/>
  </mergeCells>
  <pageMargins left="0.70866141732283472" right="0.70866141732283472" top="1.1417322834645669" bottom="1.1417322834645669" header="0.74803149606299213" footer="0.74803149606299213"/>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uton_deverouiller_onglets">
                <anchor moveWithCells="1" sizeWithCells="1">
                  <from>
                    <xdr:col>4</xdr:col>
                    <xdr:colOff>828675</xdr:colOff>
                    <xdr:row>30</xdr:row>
                    <xdr:rowOff>114300</xdr:rowOff>
                  </from>
                  <to>
                    <xdr:col>7</xdr:col>
                    <xdr:colOff>647700</xdr:colOff>
                    <xdr:row>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ublished="0" codeName="Feuil2"/>
  <dimension ref="A1:J309"/>
  <sheetViews>
    <sheetView topLeftCell="A34" workbookViewId="0">
      <selection activeCell="J40" sqref="J40"/>
    </sheetView>
  </sheetViews>
  <sheetFormatPr baseColWidth="10" defaultRowHeight="14.25" x14ac:dyDescent="0.2"/>
  <cols>
    <col min="1" max="1" width="31.625" customWidth="1"/>
    <col min="2" max="2" width="14.625" customWidth="1"/>
    <col min="3" max="3" width="6.625" customWidth="1"/>
    <col min="4" max="7" width="11" customWidth="1"/>
    <col min="8" max="8" width="6" customWidth="1"/>
    <col min="9" max="10" width="11" customWidth="1"/>
    <col min="11" max="778" width="10.625" customWidth="1"/>
  </cols>
  <sheetData>
    <row r="1" spans="1:10" x14ac:dyDescent="0.2">
      <c r="A1" s="3"/>
      <c r="B1" s="10"/>
      <c r="C1" s="10"/>
      <c r="D1" s="10"/>
      <c r="E1" s="10"/>
      <c r="F1" s="10"/>
      <c r="G1" s="10"/>
      <c r="H1" s="10"/>
      <c r="I1" s="10"/>
      <c r="J1" s="3"/>
    </row>
    <row r="2" spans="1:10" x14ac:dyDescent="0.2">
      <c r="A2" s="3"/>
      <c r="B2" s="10"/>
      <c r="C2" s="10"/>
      <c r="D2" s="10"/>
      <c r="E2" s="10"/>
      <c r="F2" s="10"/>
      <c r="G2" s="10"/>
      <c r="H2" s="10"/>
      <c r="I2" s="10"/>
      <c r="J2" s="3"/>
    </row>
    <row r="3" spans="1:10" ht="15" x14ac:dyDescent="0.25">
      <c r="A3" s="11" t="s">
        <v>3</v>
      </c>
      <c r="B3" s="10"/>
      <c r="C3" s="10"/>
      <c r="D3" s="10"/>
      <c r="E3" s="10"/>
      <c r="F3" s="10"/>
      <c r="G3" s="10"/>
      <c r="H3" s="10"/>
      <c r="I3" s="10"/>
      <c r="J3" s="3"/>
    </row>
    <row r="4" spans="1:10" x14ac:dyDescent="0.2">
      <c r="A4" s="3" t="s">
        <v>4</v>
      </c>
      <c r="B4" s="12">
        <v>70</v>
      </c>
      <c r="C4" s="10" t="s">
        <v>5</v>
      </c>
      <c r="D4" s="10"/>
      <c r="E4" s="10"/>
      <c r="F4" s="10"/>
      <c r="G4" s="10"/>
      <c r="H4" s="10"/>
      <c r="I4" s="10"/>
      <c r="J4" s="3"/>
    </row>
    <row r="5" spans="1:10" x14ac:dyDescent="0.2">
      <c r="A5" s="3" t="s">
        <v>6</v>
      </c>
      <c r="B5" s="12">
        <v>45</v>
      </c>
      <c r="C5" s="10" t="s">
        <v>7</v>
      </c>
      <c r="D5" s="10"/>
      <c r="E5" s="10"/>
      <c r="F5" s="10"/>
      <c r="G5" s="10"/>
      <c r="H5" s="10"/>
      <c r="I5" s="10"/>
      <c r="J5" s="3"/>
    </row>
    <row r="6" spans="1:10" x14ac:dyDescent="0.2">
      <c r="A6" s="3" t="s">
        <v>8</v>
      </c>
      <c r="B6" s="13">
        <v>0.3</v>
      </c>
      <c r="C6" s="10" t="s">
        <v>9</v>
      </c>
      <c r="D6" s="10"/>
      <c r="E6" s="10"/>
      <c r="F6" s="10"/>
      <c r="G6" s="10"/>
      <c r="H6" s="10"/>
      <c r="I6" s="10"/>
      <c r="J6" s="3"/>
    </row>
    <row r="7" spans="1:10" x14ac:dyDescent="0.2">
      <c r="A7" s="3" t="s">
        <v>10</v>
      </c>
      <c r="B7" s="14">
        <v>0.1</v>
      </c>
      <c r="C7" s="10" t="s">
        <v>10</v>
      </c>
      <c r="D7" s="10"/>
      <c r="E7" s="10"/>
      <c r="F7" s="10"/>
      <c r="G7" s="10"/>
      <c r="H7" s="10"/>
      <c r="I7" s="10"/>
      <c r="J7" s="3"/>
    </row>
    <row r="8" spans="1:10" x14ac:dyDescent="0.2">
      <c r="A8" s="3"/>
      <c r="B8" s="10"/>
      <c r="C8" s="10"/>
      <c r="D8" s="10"/>
      <c r="E8" s="10"/>
      <c r="F8" s="10"/>
      <c r="G8" s="10"/>
      <c r="H8" s="10"/>
      <c r="I8" s="10"/>
      <c r="J8" s="3"/>
    </row>
    <row r="9" spans="1:10" ht="15" x14ac:dyDescent="0.25">
      <c r="A9" s="11" t="s">
        <v>11</v>
      </c>
      <c r="B9" s="10"/>
      <c r="C9" s="10"/>
      <c r="D9" s="10"/>
      <c r="E9" s="10"/>
      <c r="F9" s="10"/>
      <c r="G9" s="10"/>
      <c r="H9" s="10"/>
      <c r="I9" s="10"/>
      <c r="J9" s="3"/>
    </row>
    <row r="10" spans="1:10" x14ac:dyDescent="0.2">
      <c r="A10" s="3"/>
      <c r="B10" s="10"/>
      <c r="C10" s="10"/>
      <c r="D10" s="10"/>
      <c r="E10" s="10"/>
      <c r="F10" s="10"/>
      <c r="G10" s="10"/>
      <c r="H10" s="10"/>
      <c r="I10" s="10"/>
      <c r="J10" s="3"/>
    </row>
    <row r="11" spans="1:10" x14ac:dyDescent="0.2">
      <c r="A11" s="3" t="s">
        <v>12</v>
      </c>
      <c r="B11" s="12" t="s">
        <v>13</v>
      </c>
      <c r="C11" s="10"/>
      <c r="D11" s="10"/>
      <c r="E11" s="10"/>
      <c r="F11" s="10"/>
      <c r="G11" s="10"/>
      <c r="H11" s="10"/>
      <c r="I11" s="10"/>
      <c r="J11" s="3"/>
    </row>
    <row r="12" spans="1:10" x14ac:dyDescent="0.2">
      <c r="A12" s="3" t="s">
        <v>14</v>
      </c>
      <c r="B12" s="12">
        <v>3</v>
      </c>
      <c r="C12" s="10"/>
      <c r="D12" s="10"/>
      <c r="E12" s="10"/>
      <c r="F12" s="10"/>
      <c r="G12" s="10"/>
      <c r="H12" s="10"/>
      <c r="I12" s="10"/>
      <c r="J12" s="3"/>
    </row>
    <row r="13" spans="1:10" x14ac:dyDescent="0.2">
      <c r="A13" s="3" t="s">
        <v>15</v>
      </c>
      <c r="B13" s="12" t="s">
        <v>16</v>
      </c>
      <c r="C13" s="10"/>
      <c r="D13" s="10"/>
      <c r="E13" s="10"/>
      <c r="F13" s="10"/>
      <c r="G13" s="10"/>
      <c r="H13" s="10"/>
      <c r="I13" s="10"/>
      <c r="J13" s="3"/>
    </row>
    <row r="14" spans="1:10" x14ac:dyDescent="0.2">
      <c r="A14" s="3"/>
      <c r="B14" s="10"/>
      <c r="C14" s="10"/>
      <c r="D14" s="10"/>
      <c r="E14" s="10"/>
      <c r="F14" s="10"/>
      <c r="G14" s="10"/>
      <c r="H14" s="10"/>
      <c r="I14" s="10"/>
      <c r="J14" s="3"/>
    </row>
    <row r="15" spans="1:10" x14ac:dyDescent="0.2">
      <c r="A15" s="3"/>
      <c r="B15" s="10"/>
      <c r="C15" s="10"/>
      <c r="D15" s="10"/>
      <c r="E15" s="10"/>
      <c r="F15" s="10"/>
      <c r="G15" s="10"/>
      <c r="H15" s="10"/>
      <c r="I15" s="10"/>
      <c r="J15" s="3"/>
    </row>
    <row r="16" spans="1:10" ht="20.25" customHeight="1" x14ac:dyDescent="0.2">
      <c r="A16" s="3"/>
      <c r="B16" s="10"/>
      <c r="C16" s="10"/>
      <c r="D16" s="1428" t="s">
        <v>681</v>
      </c>
      <c r="E16" s="1429"/>
      <c r="F16" s="1430" t="s">
        <v>17</v>
      </c>
      <c r="G16" s="1430"/>
      <c r="H16" s="1431" t="s">
        <v>4</v>
      </c>
      <c r="I16" s="1431"/>
      <c r="J16" s="3"/>
    </row>
    <row r="17" spans="1:10" ht="15" x14ac:dyDescent="0.25">
      <c r="A17" s="15" t="s">
        <v>18</v>
      </c>
      <c r="B17" s="16" t="s">
        <v>19</v>
      </c>
      <c r="C17" s="16" t="s">
        <v>20</v>
      </c>
      <c r="D17" s="17" t="s">
        <v>21</v>
      </c>
      <c r="E17" s="18" t="s">
        <v>22</v>
      </c>
      <c r="F17" s="17" t="s">
        <v>23</v>
      </c>
      <c r="G17" s="19" t="s">
        <v>22</v>
      </c>
      <c r="H17" s="17" t="s">
        <v>23</v>
      </c>
      <c r="I17" s="20" t="s">
        <v>22</v>
      </c>
      <c r="J17" s="3"/>
    </row>
    <row r="18" spans="1:10" x14ac:dyDescent="0.2">
      <c r="A18" s="21" t="s">
        <v>24</v>
      </c>
      <c r="B18" s="10">
        <v>1</v>
      </c>
      <c r="C18" s="22" t="s">
        <v>25</v>
      </c>
      <c r="D18" s="23">
        <v>0</v>
      </c>
      <c r="E18" s="24">
        <f t="shared" ref="E18:E23" si="0">D18*B18</f>
        <v>0</v>
      </c>
      <c r="F18" s="25">
        <v>1</v>
      </c>
      <c r="G18" s="26">
        <f t="shared" ref="G18:G23" si="1">F18*B18</f>
        <v>1</v>
      </c>
      <c r="H18" s="25"/>
      <c r="I18" s="27">
        <f t="shared" ref="I18:I23" si="2">H18*B18</f>
        <v>0</v>
      </c>
      <c r="J18" s="3"/>
    </row>
    <row r="19" spans="1:10" x14ac:dyDescent="0.2">
      <c r="A19" s="21" t="s">
        <v>26</v>
      </c>
      <c r="B19" s="10">
        <v>1</v>
      </c>
      <c r="C19" s="22" t="s">
        <v>25</v>
      </c>
      <c r="D19" s="23"/>
      <c r="E19" s="24">
        <f t="shared" si="0"/>
        <v>0</v>
      </c>
      <c r="F19" s="25">
        <v>1</v>
      </c>
      <c r="G19" s="26">
        <f t="shared" si="1"/>
        <v>1</v>
      </c>
      <c r="H19" s="25"/>
      <c r="I19" s="27">
        <f t="shared" si="2"/>
        <v>0</v>
      </c>
      <c r="J19" s="3"/>
    </row>
    <row r="20" spans="1:10" x14ac:dyDescent="0.2">
      <c r="A20" s="21" t="s">
        <v>27</v>
      </c>
      <c r="B20" s="10">
        <v>0</v>
      </c>
      <c r="C20" s="22"/>
      <c r="D20" s="23"/>
      <c r="E20" s="24">
        <f t="shared" si="0"/>
        <v>0</v>
      </c>
      <c r="F20" s="25"/>
      <c r="G20" s="26">
        <f t="shared" si="1"/>
        <v>0</v>
      </c>
      <c r="H20" s="25">
        <v>1</v>
      </c>
      <c r="I20" s="27">
        <f t="shared" si="2"/>
        <v>0</v>
      </c>
      <c r="J20" s="3"/>
    </row>
    <row r="21" spans="1:10" x14ac:dyDescent="0.2">
      <c r="A21" s="21" t="s">
        <v>28</v>
      </c>
      <c r="B21" s="10">
        <v>0</v>
      </c>
      <c r="C21" s="22"/>
      <c r="D21" s="23"/>
      <c r="E21" s="24">
        <f t="shared" si="0"/>
        <v>0</v>
      </c>
      <c r="F21" s="25"/>
      <c r="G21" s="26">
        <f t="shared" si="1"/>
        <v>0</v>
      </c>
      <c r="H21" s="25"/>
      <c r="I21" s="27">
        <f t="shared" si="2"/>
        <v>0</v>
      </c>
      <c r="J21" s="3"/>
    </row>
    <row r="22" spans="1:10" x14ac:dyDescent="0.2">
      <c r="A22" s="21" t="s">
        <v>29</v>
      </c>
      <c r="B22" s="10">
        <v>0</v>
      </c>
      <c r="C22" s="22"/>
      <c r="D22" s="23"/>
      <c r="E22" s="24">
        <f t="shared" si="0"/>
        <v>0</v>
      </c>
      <c r="F22" s="25"/>
      <c r="G22" s="26">
        <f t="shared" si="1"/>
        <v>0</v>
      </c>
      <c r="H22" s="25">
        <v>1</v>
      </c>
      <c r="I22" s="27">
        <f t="shared" si="2"/>
        <v>0</v>
      </c>
      <c r="J22" s="3"/>
    </row>
    <row r="23" spans="1:10" x14ac:dyDescent="0.2">
      <c r="A23" s="28" t="s">
        <v>30</v>
      </c>
      <c r="B23" s="16">
        <v>0</v>
      </c>
      <c r="C23" s="29"/>
      <c r="D23" s="25">
        <v>25</v>
      </c>
      <c r="E23" s="24">
        <f t="shared" si="0"/>
        <v>0</v>
      </c>
      <c r="F23" s="25">
        <v>0.15</v>
      </c>
      <c r="G23" s="26">
        <f t="shared" si="1"/>
        <v>0</v>
      </c>
      <c r="H23" s="25">
        <v>0</v>
      </c>
      <c r="I23" s="27">
        <f t="shared" si="2"/>
        <v>0</v>
      </c>
      <c r="J23" s="3"/>
    </row>
    <row r="24" spans="1:10" ht="15" x14ac:dyDescent="0.25">
      <c r="A24" s="3"/>
      <c r="B24" s="10"/>
      <c r="C24" s="10"/>
      <c r="D24" s="30" t="s">
        <v>31</v>
      </c>
      <c r="E24" s="30">
        <f>SUM(E18:E23)</f>
        <v>0</v>
      </c>
      <c r="F24" s="30" t="s">
        <v>32</v>
      </c>
      <c r="G24" s="30">
        <f>SUM(G18:G23)</f>
        <v>2</v>
      </c>
      <c r="H24" s="31" t="s">
        <v>32</v>
      </c>
      <c r="I24" s="30">
        <f>SUM(I18:I23)</f>
        <v>0</v>
      </c>
      <c r="J24" s="3"/>
    </row>
    <row r="25" spans="1:10" ht="15" x14ac:dyDescent="0.25">
      <c r="A25" s="3"/>
      <c r="B25" s="10"/>
      <c r="C25" s="10"/>
      <c r="D25" s="32"/>
      <c r="E25" s="32"/>
      <c r="F25" s="32"/>
      <c r="G25" s="32"/>
      <c r="H25" s="33"/>
      <c r="I25" s="32"/>
      <c r="J25" s="3"/>
    </row>
    <row r="26" spans="1:10" x14ac:dyDescent="0.2">
      <c r="A26" s="3"/>
      <c r="B26" s="10"/>
      <c r="C26" s="10"/>
      <c r="D26" s="10"/>
      <c r="E26" s="10"/>
      <c r="F26" s="10"/>
      <c r="G26" s="10"/>
      <c r="H26" s="10"/>
      <c r="I26" s="10"/>
      <c r="J26" s="3"/>
    </row>
    <row r="27" spans="1:10" ht="15" x14ac:dyDescent="0.25">
      <c r="A27" s="34" t="s">
        <v>18</v>
      </c>
      <c r="B27" s="35" t="s">
        <v>33</v>
      </c>
      <c r="C27" s="35"/>
      <c r="D27" s="35" t="s">
        <v>34</v>
      </c>
      <c r="E27" s="35" t="s">
        <v>35</v>
      </c>
      <c r="F27" s="36"/>
      <c r="G27" s="10"/>
      <c r="H27" s="10"/>
      <c r="I27" s="10"/>
      <c r="J27" s="3"/>
    </row>
    <row r="28" spans="1:10" x14ac:dyDescent="0.2">
      <c r="A28" s="37" t="s">
        <v>4</v>
      </c>
      <c r="B28" s="38">
        <f>I24</f>
        <v>0</v>
      </c>
      <c r="C28" s="22" t="s">
        <v>36</v>
      </c>
      <c r="D28" s="10"/>
      <c r="E28" s="39" t="e">
        <f>B28*MP_FINITIONS</f>
        <v>#VALUE!</v>
      </c>
      <c r="F28" s="40"/>
      <c r="G28" s="10"/>
      <c r="H28" s="10"/>
      <c r="I28" s="10"/>
      <c r="J28" s="3"/>
    </row>
    <row r="29" spans="1:10" x14ac:dyDescent="0.2">
      <c r="A29" s="37" t="s">
        <v>6</v>
      </c>
      <c r="B29" s="38">
        <f>G24</f>
        <v>2</v>
      </c>
      <c r="C29" s="22" t="s">
        <v>36</v>
      </c>
      <c r="D29" s="10"/>
      <c r="E29" s="39" t="e">
        <f>B29*MOA_BETON</f>
        <v>#VALUE!</v>
      </c>
      <c r="F29" s="40"/>
      <c r="G29" s="10"/>
      <c r="H29" s="10"/>
      <c r="I29" s="10"/>
      <c r="J29" s="3"/>
    </row>
    <row r="30" spans="1:10" x14ac:dyDescent="0.2">
      <c r="A30" s="310" t="s">
        <v>681</v>
      </c>
      <c r="B30" s="16">
        <f>E24</f>
        <v>0</v>
      </c>
      <c r="C30" s="29" t="s">
        <v>37</v>
      </c>
      <c r="D30" s="16">
        <f>B30*MO</f>
        <v>0</v>
      </c>
      <c r="E30" s="42">
        <f>D30+B30</f>
        <v>0</v>
      </c>
      <c r="F30" s="40"/>
      <c r="G30" s="10"/>
      <c r="H30" s="10"/>
      <c r="I30" s="10"/>
      <c r="J30" s="3"/>
    </row>
    <row r="31" spans="1:10" x14ac:dyDescent="0.2">
      <c r="A31" s="41"/>
      <c r="B31" s="16"/>
      <c r="C31" s="43"/>
      <c r="D31" s="28" t="s">
        <v>38</v>
      </c>
      <c r="E31" s="44" t="e">
        <f>SUM(E28:E30)</f>
        <v>#VALUE!</v>
      </c>
      <c r="F31" s="45" t="s">
        <v>39</v>
      </c>
      <c r="G31" s="10"/>
      <c r="H31" s="10"/>
      <c r="I31" s="10"/>
      <c r="J31" s="3"/>
    </row>
    <row r="32" spans="1:10" x14ac:dyDescent="0.2">
      <c r="A32" s="3"/>
      <c r="B32" s="10"/>
      <c r="C32" s="10"/>
      <c r="D32" s="10"/>
      <c r="E32" s="46"/>
      <c r="F32" s="10"/>
      <c r="G32" s="10"/>
      <c r="H32" s="10"/>
      <c r="I32" s="10"/>
      <c r="J32" s="3"/>
    </row>
    <row r="33" spans="1:10" x14ac:dyDescent="0.2">
      <c r="A33" s="3"/>
      <c r="B33" s="10"/>
      <c r="C33" s="10"/>
      <c r="D33" s="10"/>
      <c r="E33" s="10"/>
      <c r="F33" s="10"/>
      <c r="G33" s="10"/>
      <c r="H33" s="10"/>
      <c r="I33" s="10"/>
      <c r="J33" s="3"/>
    </row>
    <row r="34" spans="1:10" ht="15" x14ac:dyDescent="0.25">
      <c r="A34" s="3"/>
      <c r="B34" s="10"/>
      <c r="C34" s="10"/>
      <c r="D34" s="1432" t="s">
        <v>681</v>
      </c>
      <c r="E34" s="1433"/>
      <c r="F34" s="1433" t="s">
        <v>17</v>
      </c>
      <c r="G34" s="1433"/>
      <c r="H34" s="1433" t="s">
        <v>4</v>
      </c>
      <c r="I34" s="1433"/>
      <c r="J34" s="3"/>
    </row>
    <row r="35" spans="1:10" ht="15" x14ac:dyDescent="0.25">
      <c r="A35" s="15" t="s">
        <v>40</v>
      </c>
      <c r="B35" s="16" t="s">
        <v>19</v>
      </c>
      <c r="C35" s="16" t="s">
        <v>20</v>
      </c>
      <c r="D35" s="47" t="s">
        <v>21</v>
      </c>
      <c r="E35" s="48" t="s">
        <v>22</v>
      </c>
      <c r="F35" s="47" t="s">
        <v>23</v>
      </c>
      <c r="G35" s="48" t="s">
        <v>22</v>
      </c>
      <c r="H35" s="47" t="s">
        <v>23</v>
      </c>
      <c r="I35" s="48" t="s">
        <v>22</v>
      </c>
      <c r="J35" s="3"/>
    </row>
    <row r="36" spans="1:10" x14ac:dyDescent="0.2">
      <c r="A36" s="49" t="s">
        <v>41</v>
      </c>
      <c r="B36" s="10">
        <v>0</v>
      </c>
      <c r="C36" s="22" t="s">
        <v>42</v>
      </c>
      <c r="D36" s="50">
        <v>669</v>
      </c>
      <c r="E36" s="51">
        <f t="shared" ref="E36:E41" si="3">D36*B36</f>
        <v>0</v>
      </c>
      <c r="F36" s="52">
        <v>1</v>
      </c>
      <c r="G36" s="51">
        <f t="shared" ref="G36:G41" si="4">F36*B36</f>
        <v>0</v>
      </c>
      <c r="H36" s="52">
        <v>1</v>
      </c>
      <c r="I36" s="40">
        <f t="shared" ref="I36:I41" si="5">H36*B36</f>
        <v>0</v>
      </c>
      <c r="J36" s="3"/>
    </row>
    <row r="37" spans="1:10" x14ac:dyDescent="0.2">
      <c r="A37" s="49" t="s">
        <v>43</v>
      </c>
      <c r="B37" s="10">
        <v>1</v>
      </c>
      <c r="C37" s="22" t="s">
        <v>42</v>
      </c>
      <c r="D37" s="50">
        <v>699</v>
      </c>
      <c r="E37" s="51">
        <f t="shared" si="3"/>
        <v>699</v>
      </c>
      <c r="F37" s="52">
        <v>1</v>
      </c>
      <c r="G37" s="51">
        <f t="shared" si="4"/>
        <v>1</v>
      </c>
      <c r="H37" s="52">
        <v>1</v>
      </c>
      <c r="I37" s="40">
        <f t="shared" si="5"/>
        <v>1</v>
      </c>
      <c r="J37" s="3"/>
    </row>
    <row r="38" spans="1:10" x14ac:dyDescent="0.2">
      <c r="A38" s="49" t="s">
        <v>44</v>
      </c>
      <c r="B38" s="10">
        <v>0</v>
      </c>
      <c r="C38" s="22" t="s">
        <v>42</v>
      </c>
      <c r="D38" s="50">
        <v>756</v>
      </c>
      <c r="E38" s="51">
        <f t="shared" si="3"/>
        <v>0</v>
      </c>
      <c r="F38" s="52">
        <v>1</v>
      </c>
      <c r="G38" s="51">
        <f t="shared" si="4"/>
        <v>0</v>
      </c>
      <c r="H38" s="52">
        <v>1</v>
      </c>
      <c r="I38" s="40">
        <f t="shared" si="5"/>
        <v>0</v>
      </c>
      <c r="J38" s="3"/>
    </row>
    <row r="39" spans="1:10" x14ac:dyDescent="0.2">
      <c r="A39" s="49" t="s">
        <v>45</v>
      </c>
      <c r="B39" s="10">
        <v>1</v>
      </c>
      <c r="C39" s="22" t="s">
        <v>42</v>
      </c>
      <c r="D39" s="50">
        <v>399</v>
      </c>
      <c r="E39" s="51">
        <f t="shared" si="3"/>
        <v>399</v>
      </c>
      <c r="F39" s="52">
        <v>1</v>
      </c>
      <c r="G39" s="51">
        <f t="shared" si="4"/>
        <v>1</v>
      </c>
      <c r="H39" s="52">
        <v>1</v>
      </c>
      <c r="I39" s="40">
        <f t="shared" si="5"/>
        <v>1</v>
      </c>
      <c r="J39" s="3"/>
    </row>
    <row r="40" spans="1:10" x14ac:dyDescent="0.2">
      <c r="A40" s="49" t="s">
        <v>46</v>
      </c>
      <c r="B40" s="10">
        <v>0</v>
      </c>
      <c r="C40" s="22" t="s">
        <v>42</v>
      </c>
      <c r="D40" s="50">
        <v>222.38</v>
      </c>
      <c r="E40" s="51">
        <f t="shared" si="3"/>
        <v>0</v>
      </c>
      <c r="F40" s="52">
        <v>0.5</v>
      </c>
      <c r="G40" s="51">
        <f t="shared" si="4"/>
        <v>0</v>
      </c>
      <c r="H40" s="52">
        <v>0.5</v>
      </c>
      <c r="I40" s="40">
        <f t="shared" si="5"/>
        <v>0</v>
      </c>
      <c r="J40" s="3"/>
    </row>
    <row r="41" spans="1:10" x14ac:dyDescent="0.2">
      <c r="A41" s="49" t="s">
        <v>47</v>
      </c>
      <c r="B41" s="10">
        <v>0</v>
      </c>
      <c r="C41" s="22" t="s">
        <v>42</v>
      </c>
      <c r="D41" s="50">
        <v>320.44</v>
      </c>
      <c r="E41" s="51">
        <f t="shared" si="3"/>
        <v>0</v>
      </c>
      <c r="F41" s="52">
        <v>0.5</v>
      </c>
      <c r="G41" s="51">
        <f t="shared" si="4"/>
        <v>0</v>
      </c>
      <c r="H41" s="52">
        <v>0.5</v>
      </c>
      <c r="I41" s="40">
        <f t="shared" si="5"/>
        <v>0</v>
      </c>
      <c r="J41" s="3"/>
    </row>
    <row r="42" spans="1:10" x14ac:dyDescent="0.2">
      <c r="A42" s="49"/>
      <c r="B42" s="10"/>
      <c r="C42" s="22"/>
      <c r="D42" s="52"/>
      <c r="E42" s="51"/>
      <c r="F42" s="52"/>
      <c r="G42" s="51"/>
      <c r="H42" s="52"/>
      <c r="I42" s="40"/>
      <c r="J42" s="3"/>
    </row>
    <row r="43" spans="1:10" ht="15" x14ac:dyDescent="0.25">
      <c r="A43" s="53" t="s">
        <v>48</v>
      </c>
      <c r="B43" s="10"/>
      <c r="C43" s="10"/>
      <c r="D43" s="52"/>
      <c r="E43" s="51"/>
      <c r="F43" s="52"/>
      <c r="G43" s="51"/>
      <c r="H43" s="52"/>
      <c r="I43" s="40"/>
      <c r="J43" s="3"/>
    </row>
    <row r="44" spans="1:10" ht="15" x14ac:dyDescent="0.25">
      <c r="A44" s="54" t="s">
        <v>49</v>
      </c>
      <c r="B44" s="10">
        <v>1</v>
      </c>
      <c r="C44" s="10" t="s">
        <v>50</v>
      </c>
      <c r="D44" s="52">
        <f>4*9</f>
        <v>36</v>
      </c>
      <c r="E44" s="51">
        <f t="shared" ref="E44:E51" si="6">D44*B44</f>
        <v>36</v>
      </c>
      <c r="F44" s="52">
        <v>0.5</v>
      </c>
      <c r="G44" s="51">
        <f t="shared" ref="G44:G51" si="7">F44*B44</f>
        <v>0.5</v>
      </c>
      <c r="H44" s="52"/>
      <c r="I44" s="40">
        <f t="shared" ref="I44:I51" si="8">H44*B44</f>
        <v>0</v>
      </c>
      <c r="J44" s="3"/>
    </row>
    <row r="45" spans="1:10" ht="15" x14ac:dyDescent="0.25">
      <c r="A45" s="55" t="s">
        <v>51</v>
      </c>
      <c r="B45" s="56">
        <v>9.5</v>
      </c>
      <c r="C45" s="57" t="s">
        <v>52</v>
      </c>
      <c r="D45" s="52">
        <v>0.81720000000000004</v>
      </c>
      <c r="E45" s="51">
        <f t="shared" si="6"/>
        <v>7.7634000000000007</v>
      </c>
      <c r="F45" s="52">
        <v>0.05</v>
      </c>
      <c r="G45" s="51">
        <f t="shared" si="7"/>
        <v>0.47500000000000003</v>
      </c>
      <c r="H45" s="52"/>
      <c r="I45" s="40">
        <f t="shared" si="8"/>
        <v>0</v>
      </c>
      <c r="J45" s="3"/>
    </row>
    <row r="46" spans="1:10" ht="15" x14ac:dyDescent="0.25">
      <c r="A46" s="55" t="s">
        <v>53</v>
      </c>
      <c r="B46" s="56">
        <v>1</v>
      </c>
      <c r="C46" s="57" t="s">
        <v>50</v>
      </c>
      <c r="D46" s="52">
        <v>19.27</v>
      </c>
      <c r="E46" s="51">
        <f t="shared" si="6"/>
        <v>19.27</v>
      </c>
      <c r="F46" s="52">
        <v>0.25</v>
      </c>
      <c r="G46" s="51">
        <f t="shared" si="7"/>
        <v>0.25</v>
      </c>
      <c r="H46" s="52"/>
      <c r="I46" s="40">
        <f t="shared" si="8"/>
        <v>0</v>
      </c>
      <c r="J46" s="3"/>
    </row>
    <row r="47" spans="1:10" ht="15" x14ac:dyDescent="0.25">
      <c r="A47" s="58" t="s">
        <v>54</v>
      </c>
      <c r="B47" s="10">
        <v>9.5</v>
      </c>
      <c r="C47" s="22" t="s">
        <v>52</v>
      </c>
      <c r="D47" s="50">
        <v>0.12</v>
      </c>
      <c r="E47" s="51">
        <f t="shared" si="6"/>
        <v>1.1399999999999999</v>
      </c>
      <c r="F47" s="52">
        <v>0.02</v>
      </c>
      <c r="G47" s="51">
        <f t="shared" si="7"/>
        <v>0.19</v>
      </c>
      <c r="H47" s="52">
        <v>0.1</v>
      </c>
      <c r="I47" s="40">
        <f t="shared" si="8"/>
        <v>0.95000000000000007</v>
      </c>
      <c r="J47" s="3"/>
    </row>
    <row r="48" spans="1:10" ht="15" x14ac:dyDescent="0.25">
      <c r="A48" s="58" t="s">
        <v>55</v>
      </c>
      <c r="B48" s="10">
        <v>9.5</v>
      </c>
      <c r="C48" s="22" t="s">
        <v>52</v>
      </c>
      <c r="D48" s="50">
        <v>1.95</v>
      </c>
      <c r="E48" s="51">
        <f t="shared" si="6"/>
        <v>18.524999999999999</v>
      </c>
      <c r="F48" s="52">
        <v>0.05</v>
      </c>
      <c r="G48" s="51">
        <f t="shared" si="7"/>
        <v>0.47500000000000003</v>
      </c>
      <c r="H48" s="52"/>
      <c r="I48" s="40">
        <f t="shared" si="8"/>
        <v>0</v>
      </c>
      <c r="J48" s="3"/>
    </row>
    <row r="49" spans="1:10" ht="15" x14ac:dyDescent="0.25">
      <c r="A49" s="58" t="s">
        <v>56</v>
      </c>
      <c r="B49" s="10">
        <v>0</v>
      </c>
      <c r="C49" s="22" t="s">
        <v>52</v>
      </c>
      <c r="D49" s="50">
        <v>2.4500000000000002</v>
      </c>
      <c r="E49" s="51">
        <f t="shared" si="6"/>
        <v>0</v>
      </c>
      <c r="F49" s="52">
        <v>0.05</v>
      </c>
      <c r="G49" s="51">
        <f t="shared" si="7"/>
        <v>0</v>
      </c>
      <c r="H49" s="52"/>
      <c r="I49" s="40">
        <f t="shared" si="8"/>
        <v>0</v>
      </c>
      <c r="J49" s="3"/>
    </row>
    <row r="50" spans="1:10" ht="15" x14ac:dyDescent="0.25">
      <c r="A50" s="58" t="s">
        <v>57</v>
      </c>
      <c r="B50" s="10">
        <v>5</v>
      </c>
      <c r="C50" s="22" t="s">
        <v>42</v>
      </c>
      <c r="D50" s="52">
        <v>4</v>
      </c>
      <c r="E50" s="51">
        <f t="shared" si="6"/>
        <v>20</v>
      </c>
      <c r="F50" s="52">
        <v>0.08</v>
      </c>
      <c r="G50" s="51">
        <f t="shared" si="7"/>
        <v>0.4</v>
      </c>
      <c r="H50" s="52"/>
      <c r="I50" s="40">
        <f t="shared" si="8"/>
        <v>0</v>
      </c>
      <c r="J50" s="3"/>
    </row>
    <row r="51" spans="1:10" ht="15" x14ac:dyDescent="0.25">
      <c r="A51" s="58" t="s">
        <v>58</v>
      </c>
      <c r="B51" s="56">
        <v>1</v>
      </c>
      <c r="C51" s="57" t="s">
        <v>42</v>
      </c>
      <c r="D51" s="50">
        <v>12</v>
      </c>
      <c r="E51" s="51">
        <f t="shared" si="6"/>
        <v>12</v>
      </c>
      <c r="F51" s="52"/>
      <c r="G51" s="51">
        <f t="shared" si="7"/>
        <v>0</v>
      </c>
      <c r="H51" s="52"/>
      <c r="I51" s="40">
        <f t="shared" si="8"/>
        <v>0</v>
      </c>
      <c r="J51" s="3"/>
    </row>
    <row r="52" spans="1:10" ht="15" x14ac:dyDescent="0.25">
      <c r="A52" s="59"/>
      <c r="B52" s="10"/>
      <c r="C52" s="10"/>
      <c r="D52" s="60"/>
      <c r="E52" s="61"/>
      <c r="F52" s="60"/>
      <c r="G52" s="61"/>
      <c r="H52" s="37"/>
      <c r="I52" s="61"/>
      <c r="J52" s="3"/>
    </row>
    <row r="53" spans="1:10" ht="15" x14ac:dyDescent="0.25">
      <c r="A53" s="62" t="s">
        <v>59</v>
      </c>
      <c r="B53" s="10"/>
      <c r="C53" s="10"/>
      <c r="D53" s="60"/>
      <c r="E53" s="40"/>
      <c r="F53" s="60"/>
      <c r="G53" s="40"/>
      <c r="H53" s="60"/>
      <c r="I53" s="40"/>
      <c r="J53" s="3"/>
    </row>
    <row r="54" spans="1:10" ht="15" x14ac:dyDescent="0.25">
      <c r="A54" s="58" t="s">
        <v>54</v>
      </c>
      <c r="B54" s="10">
        <v>16</v>
      </c>
      <c r="C54" s="22" t="s">
        <v>52</v>
      </c>
      <c r="D54" s="50">
        <v>0.12</v>
      </c>
      <c r="E54" s="51">
        <f t="shared" ref="E54:E59" si="9">D54*B54</f>
        <v>1.92</v>
      </c>
      <c r="F54" s="52">
        <v>1.4999999999999999E-2</v>
      </c>
      <c r="G54" s="51">
        <f t="shared" ref="G54:G59" si="10">F54*B54</f>
        <v>0.24</v>
      </c>
      <c r="H54" s="52">
        <v>0.1</v>
      </c>
      <c r="I54" s="40">
        <f t="shared" ref="I54:I59" si="11">H54*B54</f>
        <v>1.6</v>
      </c>
      <c r="J54" s="3"/>
    </row>
    <row r="55" spans="1:10" ht="15" x14ac:dyDescent="0.25">
      <c r="A55" s="58" t="s">
        <v>60</v>
      </c>
      <c r="B55" s="10">
        <v>16</v>
      </c>
      <c r="C55" s="22" t="s">
        <v>52</v>
      </c>
      <c r="D55" s="50">
        <v>3.7383999999999999</v>
      </c>
      <c r="E55" s="51">
        <f t="shared" si="9"/>
        <v>59.814399999999999</v>
      </c>
      <c r="F55" s="52">
        <v>0.05</v>
      </c>
      <c r="G55" s="51">
        <f t="shared" si="10"/>
        <v>0.8</v>
      </c>
      <c r="H55" s="52"/>
      <c r="I55" s="40">
        <f t="shared" si="11"/>
        <v>0</v>
      </c>
      <c r="J55" s="3"/>
    </row>
    <row r="56" spans="1:10" ht="15" x14ac:dyDescent="0.25">
      <c r="A56" s="58" t="s">
        <v>61</v>
      </c>
      <c r="B56" s="10">
        <v>6</v>
      </c>
      <c r="C56" s="22" t="s">
        <v>52</v>
      </c>
      <c r="D56" s="50">
        <v>5.85</v>
      </c>
      <c r="E56" s="51">
        <f t="shared" si="9"/>
        <v>35.099999999999994</v>
      </c>
      <c r="F56" s="52">
        <v>0.05</v>
      </c>
      <c r="G56" s="51">
        <f t="shared" si="10"/>
        <v>0.30000000000000004</v>
      </c>
      <c r="H56" s="52"/>
      <c r="I56" s="40">
        <f t="shared" si="11"/>
        <v>0</v>
      </c>
      <c r="J56" s="3"/>
    </row>
    <row r="57" spans="1:10" ht="15" x14ac:dyDescent="0.25">
      <c r="A57" s="58" t="s">
        <v>62</v>
      </c>
      <c r="B57" s="10">
        <v>2</v>
      </c>
      <c r="C57" s="22" t="s">
        <v>42</v>
      </c>
      <c r="D57" s="50">
        <v>15.77</v>
      </c>
      <c r="E57" s="51">
        <f t="shared" si="9"/>
        <v>31.54</v>
      </c>
      <c r="F57" s="52">
        <v>0.25</v>
      </c>
      <c r="G57" s="51">
        <f t="shared" si="10"/>
        <v>0.5</v>
      </c>
      <c r="H57" s="52"/>
      <c r="I57" s="40">
        <f t="shared" si="11"/>
        <v>0</v>
      </c>
      <c r="J57" s="3"/>
    </row>
    <row r="58" spans="1:10" ht="15" x14ac:dyDescent="0.25">
      <c r="A58" s="58" t="s">
        <v>63</v>
      </c>
      <c r="B58" s="10">
        <v>9</v>
      </c>
      <c r="C58" s="22" t="s">
        <v>42</v>
      </c>
      <c r="D58" s="52">
        <v>2</v>
      </c>
      <c r="E58" s="51">
        <f t="shared" si="9"/>
        <v>18</v>
      </c>
      <c r="F58" s="52">
        <v>0.08</v>
      </c>
      <c r="G58" s="51">
        <f t="shared" si="10"/>
        <v>0.72</v>
      </c>
      <c r="H58" s="52"/>
      <c r="I58" s="40">
        <f t="shared" si="11"/>
        <v>0</v>
      </c>
      <c r="J58" s="3"/>
    </row>
    <row r="59" spans="1:10" ht="15" x14ac:dyDescent="0.25">
      <c r="A59" s="55" t="s">
        <v>51</v>
      </c>
      <c r="B59" s="56">
        <v>30</v>
      </c>
      <c r="C59" s="57" t="s">
        <v>52</v>
      </c>
      <c r="D59" s="52">
        <v>0.81720000000000004</v>
      </c>
      <c r="E59" s="51">
        <f t="shared" si="9"/>
        <v>24.516000000000002</v>
      </c>
      <c r="F59" s="52">
        <v>0.05</v>
      </c>
      <c r="G59" s="51">
        <f t="shared" si="10"/>
        <v>1.5</v>
      </c>
      <c r="H59" s="52"/>
      <c r="I59" s="40">
        <f t="shared" si="11"/>
        <v>0</v>
      </c>
      <c r="J59" s="3"/>
    </row>
    <row r="60" spans="1:10" x14ac:dyDescent="0.2">
      <c r="A60" s="3"/>
      <c r="B60" s="10"/>
      <c r="C60" s="10"/>
      <c r="D60" s="60"/>
      <c r="E60" s="40"/>
      <c r="F60" s="60"/>
      <c r="G60" s="40"/>
      <c r="H60" s="60"/>
      <c r="I60" s="40"/>
      <c r="J60" s="3"/>
    </row>
    <row r="61" spans="1:10" ht="15" x14ac:dyDescent="0.25">
      <c r="A61" s="11" t="s">
        <v>64</v>
      </c>
      <c r="B61" s="10"/>
      <c r="C61" s="10"/>
      <c r="D61" s="60"/>
      <c r="E61" s="40"/>
      <c r="F61" s="60"/>
      <c r="G61" s="40"/>
      <c r="H61" s="60"/>
      <c r="I61" s="40"/>
      <c r="J61" s="3"/>
    </row>
    <row r="62" spans="1:10" ht="15" x14ac:dyDescent="0.25">
      <c r="A62" s="63" t="s">
        <v>54</v>
      </c>
      <c r="B62" s="10">
        <v>3</v>
      </c>
      <c r="C62" s="22" t="s">
        <v>52</v>
      </c>
      <c r="D62" s="50">
        <f>0.12</f>
        <v>0.12</v>
      </c>
      <c r="E62" s="51">
        <f t="shared" ref="E62:E72" si="12">D62*B62</f>
        <v>0.36</v>
      </c>
      <c r="F62" s="52">
        <v>0.02</v>
      </c>
      <c r="G62" s="51">
        <f t="shared" ref="G62:G72" si="13">F62*B62</f>
        <v>0.06</v>
      </c>
      <c r="H62" s="52">
        <v>0.1</v>
      </c>
      <c r="I62" s="40">
        <f t="shared" ref="I62:I72" si="14">H62*B62</f>
        <v>0.30000000000000004</v>
      </c>
      <c r="J62" s="3"/>
    </row>
    <row r="63" spans="1:10" ht="15" x14ac:dyDescent="0.25">
      <c r="A63" s="63" t="s">
        <v>65</v>
      </c>
      <c r="B63" s="64">
        <v>0</v>
      </c>
      <c r="C63" s="59" t="s">
        <v>52</v>
      </c>
      <c r="D63" s="50">
        <v>1.95</v>
      </c>
      <c r="E63" s="51">
        <f t="shared" si="12"/>
        <v>0</v>
      </c>
      <c r="F63" s="52">
        <v>0.05</v>
      </c>
      <c r="G63" s="51">
        <f t="shared" si="13"/>
        <v>0</v>
      </c>
      <c r="H63" s="52"/>
      <c r="I63" s="40">
        <f t="shared" si="14"/>
        <v>0</v>
      </c>
      <c r="J63" s="3"/>
    </row>
    <row r="64" spans="1:10" ht="15" x14ac:dyDescent="0.25">
      <c r="A64" s="63" t="s">
        <v>66</v>
      </c>
      <c r="B64" s="64">
        <v>1</v>
      </c>
      <c r="C64" s="59" t="s">
        <v>42</v>
      </c>
      <c r="D64" s="50">
        <v>162.08000000000001</v>
      </c>
      <c r="E64" s="51">
        <f t="shared" si="12"/>
        <v>162.08000000000001</v>
      </c>
      <c r="F64" s="52">
        <v>0.5</v>
      </c>
      <c r="G64" s="51">
        <f t="shared" si="13"/>
        <v>0.5</v>
      </c>
      <c r="H64" s="52"/>
      <c r="I64" s="40">
        <f t="shared" si="14"/>
        <v>0</v>
      </c>
      <c r="J64" s="3"/>
    </row>
    <row r="65" spans="1:10" ht="15" x14ac:dyDescent="0.25">
      <c r="A65" s="63" t="s">
        <v>67</v>
      </c>
      <c r="B65" s="64">
        <v>9.5</v>
      </c>
      <c r="C65" s="59" t="s">
        <v>52</v>
      </c>
      <c r="D65" s="50">
        <v>2.4500000000000002</v>
      </c>
      <c r="E65" s="51">
        <f t="shared" si="12"/>
        <v>23.275000000000002</v>
      </c>
      <c r="F65" s="52">
        <v>0.05</v>
      </c>
      <c r="G65" s="51">
        <f t="shared" si="13"/>
        <v>0.47500000000000003</v>
      </c>
      <c r="H65" s="52"/>
      <c r="I65" s="40">
        <f t="shared" si="14"/>
        <v>0</v>
      </c>
      <c r="J65" s="3"/>
    </row>
    <row r="66" spans="1:10" ht="15" x14ac:dyDescent="0.25">
      <c r="A66" s="63" t="s">
        <v>68</v>
      </c>
      <c r="B66" s="64">
        <v>0</v>
      </c>
      <c r="C66" s="59" t="s">
        <v>42</v>
      </c>
      <c r="D66" s="50">
        <v>95</v>
      </c>
      <c r="E66" s="51">
        <f t="shared" si="12"/>
        <v>0</v>
      </c>
      <c r="F66" s="52">
        <v>0.25</v>
      </c>
      <c r="G66" s="51">
        <f t="shared" si="13"/>
        <v>0</v>
      </c>
      <c r="H66" s="52"/>
      <c r="I66" s="40">
        <f t="shared" si="14"/>
        <v>0</v>
      </c>
      <c r="J66" s="3"/>
    </row>
    <row r="67" spans="1:10" ht="15" x14ac:dyDescent="0.25">
      <c r="A67" s="63" t="s">
        <v>69</v>
      </c>
      <c r="B67" s="64">
        <f>6*0.5</f>
        <v>3</v>
      </c>
      <c r="C67" s="59" t="s">
        <v>70</v>
      </c>
      <c r="D67" s="65"/>
      <c r="E67" s="51">
        <f t="shared" si="12"/>
        <v>0</v>
      </c>
      <c r="F67" s="52">
        <v>0.02</v>
      </c>
      <c r="G67" s="51">
        <f t="shared" si="13"/>
        <v>0.06</v>
      </c>
      <c r="H67" s="52">
        <v>0.25</v>
      </c>
      <c r="I67" s="40">
        <f t="shared" si="14"/>
        <v>0.75</v>
      </c>
      <c r="J67" s="3"/>
    </row>
    <row r="68" spans="1:10" ht="15" x14ac:dyDescent="0.25">
      <c r="A68" s="63" t="s">
        <v>71</v>
      </c>
      <c r="B68" s="64">
        <f>3*1.6+1</f>
        <v>5.8000000000000007</v>
      </c>
      <c r="C68" s="59" t="s">
        <v>72</v>
      </c>
      <c r="D68" s="65">
        <v>30</v>
      </c>
      <c r="E68" s="51">
        <f t="shared" si="12"/>
        <v>174.00000000000003</v>
      </c>
      <c r="F68" s="52">
        <v>0.05</v>
      </c>
      <c r="G68" s="51">
        <f t="shared" si="13"/>
        <v>0.29000000000000004</v>
      </c>
      <c r="H68" s="52">
        <v>0.15</v>
      </c>
      <c r="I68" s="40">
        <f t="shared" si="14"/>
        <v>0.87000000000000011</v>
      </c>
      <c r="J68" s="3"/>
    </row>
    <row r="69" spans="1:10" ht="15" x14ac:dyDescent="0.25">
      <c r="A69" s="63" t="s">
        <v>73</v>
      </c>
      <c r="B69" s="64">
        <v>0</v>
      </c>
      <c r="C69" s="59" t="s">
        <v>74</v>
      </c>
      <c r="D69" s="65">
        <v>1.3</v>
      </c>
      <c r="E69" s="51">
        <f t="shared" si="12"/>
        <v>0</v>
      </c>
      <c r="F69" s="52">
        <v>0.01</v>
      </c>
      <c r="G69" s="51">
        <f t="shared" si="13"/>
        <v>0</v>
      </c>
      <c r="H69" s="52"/>
      <c r="I69" s="40">
        <f t="shared" si="14"/>
        <v>0</v>
      </c>
      <c r="J69" s="3"/>
    </row>
    <row r="70" spans="1:10" x14ac:dyDescent="0.2">
      <c r="A70" s="66" t="s">
        <v>75</v>
      </c>
      <c r="B70" s="10">
        <v>2</v>
      </c>
      <c r="C70" s="10" t="s">
        <v>42</v>
      </c>
      <c r="D70" s="67">
        <v>6.2</v>
      </c>
      <c r="E70" s="51">
        <f t="shared" si="12"/>
        <v>12.4</v>
      </c>
      <c r="F70" s="60">
        <v>0.05</v>
      </c>
      <c r="G70" s="51">
        <f t="shared" si="13"/>
        <v>0.1</v>
      </c>
      <c r="H70" s="37"/>
      <c r="I70" s="40">
        <f t="shared" si="14"/>
        <v>0</v>
      </c>
      <c r="J70" s="3"/>
    </row>
    <row r="71" spans="1:10" x14ac:dyDescent="0.2">
      <c r="A71" s="66" t="s">
        <v>76</v>
      </c>
      <c r="B71" s="10">
        <v>2</v>
      </c>
      <c r="C71" s="10" t="s">
        <v>42</v>
      </c>
      <c r="D71" s="67">
        <v>2.85</v>
      </c>
      <c r="E71" s="51">
        <f t="shared" si="12"/>
        <v>5.7</v>
      </c>
      <c r="F71" s="60">
        <v>0.02</v>
      </c>
      <c r="G71" s="51">
        <f t="shared" si="13"/>
        <v>0.04</v>
      </c>
      <c r="H71" s="37"/>
      <c r="I71" s="40">
        <f t="shared" si="14"/>
        <v>0</v>
      </c>
      <c r="J71" s="3"/>
    </row>
    <row r="72" spans="1:10" ht="15" x14ac:dyDescent="0.25">
      <c r="A72" s="63" t="s">
        <v>77</v>
      </c>
      <c r="B72" s="64">
        <v>25</v>
      </c>
      <c r="C72" s="59" t="s">
        <v>42</v>
      </c>
      <c r="D72" s="68">
        <v>2.1</v>
      </c>
      <c r="E72" s="69">
        <f t="shared" si="12"/>
        <v>52.5</v>
      </c>
      <c r="F72" s="70">
        <v>1.4999999999999999E-2</v>
      </c>
      <c r="G72" s="69">
        <f t="shared" si="13"/>
        <v>0.375</v>
      </c>
      <c r="H72" s="70"/>
      <c r="I72" s="45">
        <f t="shared" si="14"/>
        <v>0</v>
      </c>
      <c r="J72" s="3"/>
    </row>
    <row r="73" spans="1:10" ht="15" x14ac:dyDescent="0.25">
      <c r="A73" s="63"/>
      <c r="B73" s="64"/>
      <c r="C73" s="59"/>
      <c r="D73" s="71"/>
      <c r="E73" s="71">
        <f>SUM(E36:E72)</f>
        <v>1813.9038000000003</v>
      </c>
      <c r="F73" s="71"/>
      <c r="G73" s="71">
        <f>SUM(G36:G72)</f>
        <v>10.249999999999998</v>
      </c>
      <c r="H73" s="71"/>
      <c r="I73" s="71">
        <f>SUM(I36:I72)</f>
        <v>6.4700000000000006</v>
      </c>
      <c r="J73" s="3"/>
    </row>
    <row r="74" spans="1:10" x14ac:dyDescent="0.2">
      <c r="A74" s="3"/>
      <c r="B74" s="10"/>
      <c r="C74" s="10"/>
      <c r="D74" s="10"/>
      <c r="E74" s="10">
        <f>E73-E55-E49-E36-E68-E69-E72</f>
        <v>1527.5894000000003</v>
      </c>
      <c r="F74" s="10"/>
      <c r="G74" s="10"/>
      <c r="H74" s="10"/>
      <c r="I74" s="10"/>
      <c r="J74" s="3"/>
    </row>
    <row r="75" spans="1:10" ht="15" x14ac:dyDescent="0.25">
      <c r="A75" s="59"/>
      <c r="B75" s="10"/>
      <c r="C75" s="10"/>
      <c r="D75" s="10"/>
      <c r="E75" s="10"/>
      <c r="F75" s="10"/>
      <c r="G75" s="10"/>
      <c r="H75" s="10"/>
      <c r="I75" s="10"/>
      <c r="J75" s="3"/>
    </row>
    <row r="76" spans="1:10" ht="15" x14ac:dyDescent="0.25">
      <c r="A76" s="15" t="s">
        <v>40</v>
      </c>
      <c r="B76" s="72" t="s">
        <v>33</v>
      </c>
      <c r="C76" s="72"/>
      <c r="D76" s="72" t="s">
        <v>34</v>
      </c>
      <c r="E76" s="72" t="s">
        <v>35</v>
      </c>
      <c r="F76" s="10"/>
      <c r="G76" s="10"/>
      <c r="H76" s="10"/>
      <c r="I76" s="10"/>
      <c r="J76" s="3"/>
    </row>
    <row r="77" spans="1:10" x14ac:dyDescent="0.2">
      <c r="A77" s="3" t="s">
        <v>4</v>
      </c>
      <c r="B77" s="38">
        <f>I73</f>
        <v>6.4700000000000006</v>
      </c>
      <c r="C77" s="22" t="s">
        <v>36</v>
      </c>
      <c r="D77" s="10"/>
      <c r="E77" s="39" t="e">
        <f>B77*MP_FINITIONS</f>
        <v>#VALUE!</v>
      </c>
      <c r="F77" s="10"/>
      <c r="G77" s="10"/>
      <c r="H77" s="10"/>
      <c r="I77" s="10"/>
      <c r="J77" s="3"/>
    </row>
    <row r="78" spans="1:10" x14ac:dyDescent="0.2">
      <c r="A78" s="3" t="s">
        <v>6</v>
      </c>
      <c r="B78" s="38">
        <f>G73</f>
        <v>10.249999999999998</v>
      </c>
      <c r="C78" s="22" t="s">
        <v>36</v>
      </c>
      <c r="D78" s="10"/>
      <c r="E78" s="39" t="e">
        <f>B78*MOA_BETON</f>
        <v>#VALUE!</v>
      </c>
      <c r="F78" s="10"/>
      <c r="G78" s="10"/>
      <c r="H78" s="10"/>
      <c r="I78" s="10"/>
      <c r="J78" s="3"/>
    </row>
    <row r="79" spans="1:10" x14ac:dyDescent="0.2">
      <c r="A79" s="311" t="s">
        <v>681</v>
      </c>
      <c r="B79" s="16">
        <f>E73</f>
        <v>1813.9038000000003</v>
      </c>
      <c r="C79" s="29" t="s">
        <v>37</v>
      </c>
      <c r="D79" s="16">
        <f>B79*MO</f>
        <v>81625.671000000017</v>
      </c>
      <c r="E79" s="42">
        <f>D79+B79</f>
        <v>83439.574800000017</v>
      </c>
      <c r="F79" s="10"/>
      <c r="G79" s="10"/>
      <c r="H79" s="10"/>
      <c r="I79" s="10"/>
      <c r="J79" s="3"/>
    </row>
    <row r="80" spans="1:10" x14ac:dyDescent="0.2">
      <c r="A80" s="3"/>
      <c r="B80" s="10"/>
      <c r="C80" s="10"/>
      <c r="D80" s="21" t="s">
        <v>78</v>
      </c>
      <c r="E80" s="73" t="e">
        <f>SUM(E77:E79)</f>
        <v>#VALUE!</v>
      </c>
      <c r="F80" s="10" t="s">
        <v>39</v>
      </c>
      <c r="G80" s="10"/>
      <c r="H80" s="10"/>
      <c r="I80" s="10"/>
      <c r="J80" s="3"/>
    </row>
    <row r="81" spans="1:10" x14ac:dyDescent="0.2">
      <c r="A81" s="3"/>
      <c r="B81" s="10"/>
      <c r="C81" s="10"/>
      <c r="D81" s="21"/>
      <c r="E81" s="46"/>
      <c r="F81" s="10"/>
      <c r="G81" s="10"/>
      <c r="H81" s="10"/>
      <c r="I81" s="10"/>
      <c r="J81" s="3"/>
    </row>
    <row r="82" spans="1:10" ht="15" x14ac:dyDescent="0.25">
      <c r="A82" s="59" t="s">
        <v>79</v>
      </c>
      <c r="B82" s="10">
        <f>E36+E37+E39+E40+E41</f>
        <v>1098</v>
      </c>
      <c r="C82" s="10"/>
      <c r="D82" s="10"/>
      <c r="E82" s="10"/>
      <c r="F82" s="10"/>
      <c r="G82" s="10"/>
      <c r="H82" s="10"/>
      <c r="I82" s="10"/>
      <c r="J82" s="3"/>
    </row>
    <row r="83" spans="1:10" ht="15" x14ac:dyDescent="0.25">
      <c r="A83" s="59" t="s">
        <v>80</v>
      </c>
      <c r="B83" s="10">
        <f>E44+E45+E46</f>
        <v>63.0334</v>
      </c>
      <c r="C83" s="10"/>
      <c r="D83" s="10"/>
      <c r="E83" s="10"/>
      <c r="F83" s="10"/>
      <c r="G83" s="10"/>
      <c r="H83" s="10"/>
      <c r="I83" s="10"/>
      <c r="J83" s="3"/>
    </row>
    <row r="84" spans="1:10" ht="15" x14ac:dyDescent="0.25">
      <c r="A84" s="59" t="s">
        <v>81</v>
      </c>
      <c r="B84" s="10">
        <f>SUM(E47:E59)-E49-E55</f>
        <v>162.74099999999996</v>
      </c>
      <c r="C84" s="10"/>
      <c r="D84" s="10"/>
      <c r="E84" s="10"/>
      <c r="F84" s="10"/>
      <c r="G84" s="10"/>
      <c r="H84" s="10"/>
      <c r="I84" s="10"/>
      <c r="J84" s="3"/>
    </row>
    <row r="85" spans="1:10" ht="15" x14ac:dyDescent="0.25">
      <c r="A85" s="59" t="s">
        <v>82</v>
      </c>
      <c r="B85" s="10">
        <f>SUM(E62:E69)-E68-E65</f>
        <v>162.44</v>
      </c>
      <c r="C85" s="10"/>
      <c r="D85" s="10"/>
      <c r="E85" s="10"/>
      <c r="F85" s="10"/>
      <c r="G85" s="10"/>
      <c r="H85" s="10"/>
      <c r="I85" s="10"/>
      <c r="J85" s="3"/>
    </row>
    <row r="86" spans="1:10" ht="15" x14ac:dyDescent="0.25">
      <c r="A86" s="59" t="s">
        <v>83</v>
      </c>
      <c r="B86" s="10">
        <f>E70+E71</f>
        <v>18.100000000000001</v>
      </c>
      <c r="C86" s="10"/>
      <c r="D86" s="10"/>
      <c r="E86" s="10"/>
      <c r="F86" s="10"/>
      <c r="G86" s="10"/>
      <c r="H86" s="10"/>
      <c r="I86" s="10"/>
      <c r="J86" s="3"/>
    </row>
    <row r="87" spans="1:10" ht="15" x14ac:dyDescent="0.25">
      <c r="A87" s="74" t="s">
        <v>77</v>
      </c>
      <c r="B87" s="16">
        <f>E72</f>
        <v>52.5</v>
      </c>
      <c r="C87" s="10"/>
      <c r="D87" s="10"/>
      <c r="E87" s="10"/>
      <c r="F87" s="10"/>
      <c r="G87" s="10"/>
      <c r="H87" s="10"/>
      <c r="I87" s="10"/>
      <c r="J87" s="3"/>
    </row>
    <row r="88" spans="1:10" x14ac:dyDescent="0.2">
      <c r="A88" s="3"/>
      <c r="B88" s="10">
        <f>SUM(B82:B87)</f>
        <v>1556.8144</v>
      </c>
      <c r="C88" s="10"/>
      <c r="D88" s="10"/>
      <c r="E88" s="10"/>
      <c r="F88" s="10"/>
      <c r="G88" s="10"/>
      <c r="H88" s="10"/>
      <c r="I88" s="10"/>
      <c r="J88" s="3"/>
    </row>
    <row r="89" spans="1:10" x14ac:dyDescent="0.2">
      <c r="A89" s="3"/>
      <c r="B89" s="10"/>
      <c r="C89" s="10"/>
      <c r="D89" s="10"/>
      <c r="E89" s="10"/>
      <c r="F89" s="10"/>
      <c r="G89" s="10"/>
      <c r="H89" s="10"/>
      <c r="I89" s="10"/>
      <c r="J89" s="3"/>
    </row>
    <row r="90" spans="1:10" x14ac:dyDescent="0.2">
      <c r="A90" s="3"/>
      <c r="B90" s="10"/>
      <c r="C90" s="10"/>
      <c r="D90" s="10"/>
      <c r="E90" s="10"/>
      <c r="F90" s="10"/>
      <c r="G90" s="10"/>
      <c r="H90" s="10"/>
      <c r="I90" s="10"/>
      <c r="J90" s="3"/>
    </row>
    <row r="91" spans="1:10" x14ac:dyDescent="0.2">
      <c r="A91" s="3"/>
      <c r="B91" s="10"/>
      <c r="C91" s="10"/>
      <c r="D91" s="10"/>
      <c r="E91" s="10"/>
      <c r="F91" s="10"/>
      <c r="G91" s="10"/>
      <c r="H91" s="10"/>
      <c r="I91" s="10"/>
      <c r="J91" s="3"/>
    </row>
    <row r="92" spans="1:10" x14ac:dyDescent="0.2">
      <c r="A92" s="3"/>
      <c r="B92" s="10"/>
      <c r="C92" s="10"/>
      <c r="D92" s="10"/>
      <c r="E92" s="10"/>
      <c r="F92" s="10"/>
      <c r="G92" s="10"/>
      <c r="H92" s="10"/>
      <c r="I92" s="10"/>
      <c r="J92" s="3"/>
    </row>
    <row r="93" spans="1:10" ht="15" x14ac:dyDescent="0.25">
      <c r="A93" s="3"/>
      <c r="B93" s="10"/>
      <c r="C93" s="10"/>
      <c r="D93" s="1432" t="s">
        <v>681</v>
      </c>
      <c r="E93" s="1433"/>
      <c r="F93" s="1433" t="s">
        <v>17</v>
      </c>
      <c r="G93" s="1433"/>
      <c r="H93" s="1433" t="s">
        <v>4</v>
      </c>
      <c r="I93" s="1433"/>
      <c r="J93" s="3"/>
    </row>
    <row r="94" spans="1:10" ht="15" x14ac:dyDescent="0.25">
      <c r="A94" s="15" t="s">
        <v>84</v>
      </c>
      <c r="B94" s="72" t="s">
        <v>19</v>
      </c>
      <c r="C94" s="72" t="s">
        <v>20</v>
      </c>
      <c r="D94" s="47" t="s">
        <v>21</v>
      </c>
      <c r="E94" s="48" t="s">
        <v>22</v>
      </c>
      <c r="F94" s="47" t="s">
        <v>23</v>
      </c>
      <c r="G94" s="48" t="s">
        <v>22</v>
      </c>
      <c r="H94" s="47" t="s">
        <v>23</v>
      </c>
      <c r="I94" s="48" t="s">
        <v>22</v>
      </c>
      <c r="J94" s="3"/>
    </row>
    <row r="95" spans="1:10" x14ac:dyDescent="0.2">
      <c r="A95" s="3"/>
      <c r="B95" s="10"/>
      <c r="C95" s="10"/>
      <c r="D95" s="75"/>
      <c r="E95" s="36"/>
      <c r="F95" s="75"/>
      <c r="G95" s="36"/>
      <c r="H95" s="75"/>
      <c r="I95" s="36"/>
      <c r="J95" s="3"/>
    </row>
    <row r="96" spans="1:10" ht="15" x14ac:dyDescent="0.25">
      <c r="A96" s="11" t="s">
        <v>85</v>
      </c>
      <c r="B96" s="10"/>
      <c r="C96" s="10"/>
      <c r="D96" s="60"/>
      <c r="E96" s="40"/>
      <c r="F96" s="60"/>
      <c r="G96" s="40"/>
      <c r="H96" s="60"/>
      <c r="I96" s="40"/>
      <c r="J96" s="3"/>
    </row>
    <row r="97" spans="1:10" x14ac:dyDescent="0.2">
      <c r="A97" s="21" t="s">
        <v>86</v>
      </c>
      <c r="B97" s="10">
        <v>0</v>
      </c>
      <c r="C97" s="10" t="s">
        <v>50</v>
      </c>
      <c r="D97" s="76">
        <v>167.89</v>
      </c>
      <c r="E97" s="51">
        <f>D97*B97</f>
        <v>0</v>
      </c>
      <c r="F97" s="52">
        <v>0.5</v>
      </c>
      <c r="G97" s="51">
        <f>F97*B97</f>
        <v>0</v>
      </c>
      <c r="H97" s="52"/>
      <c r="I97" s="40">
        <f>H97*B97</f>
        <v>0</v>
      </c>
      <c r="J97" s="3"/>
    </row>
    <row r="98" spans="1:10" x14ac:dyDescent="0.2">
      <c r="A98" s="21" t="s">
        <v>87</v>
      </c>
      <c r="B98" s="10">
        <v>0</v>
      </c>
      <c r="C98" s="10" t="s">
        <v>50</v>
      </c>
      <c r="D98" s="76">
        <v>120.5</v>
      </c>
      <c r="E98" s="51">
        <f>D98*B98</f>
        <v>0</v>
      </c>
      <c r="F98" s="52">
        <v>0.5</v>
      </c>
      <c r="G98" s="51">
        <f>F98*B98</f>
        <v>0</v>
      </c>
      <c r="H98" s="52"/>
      <c r="I98" s="40">
        <f>H98*B98</f>
        <v>0</v>
      </c>
      <c r="J98" s="3"/>
    </row>
    <row r="99" spans="1:10" x14ac:dyDescent="0.2">
      <c r="A99" s="21" t="s">
        <v>88</v>
      </c>
      <c r="B99" s="10">
        <v>1</v>
      </c>
      <c r="C99" s="10" t="s">
        <v>50</v>
      </c>
      <c r="D99" s="76">
        <f>91.8+73.67+(4.42*4)</f>
        <v>183.15</v>
      </c>
      <c r="E99" s="51">
        <f>D99*B99</f>
        <v>183.15</v>
      </c>
      <c r="F99" s="52">
        <v>0.75</v>
      </c>
      <c r="G99" s="51">
        <f>F99*B99</f>
        <v>0.75</v>
      </c>
      <c r="H99" s="52"/>
      <c r="I99" s="40">
        <f>H99*B99</f>
        <v>0</v>
      </c>
      <c r="J99" s="3"/>
    </row>
    <row r="100" spans="1:10" x14ac:dyDescent="0.2">
      <c r="A100" s="21" t="s">
        <v>89</v>
      </c>
      <c r="B100" s="10">
        <v>0</v>
      </c>
      <c r="C100" s="10" t="s">
        <v>50</v>
      </c>
      <c r="D100" s="76">
        <v>627.05999999999995</v>
      </c>
      <c r="E100" s="51">
        <f>D100*B100</f>
        <v>0</v>
      </c>
      <c r="F100" s="52">
        <v>1</v>
      </c>
      <c r="G100" s="51">
        <f>F100*B100</f>
        <v>0</v>
      </c>
      <c r="H100" s="52"/>
      <c r="I100" s="40">
        <f>H100*B100</f>
        <v>0</v>
      </c>
      <c r="J100" s="3"/>
    </row>
    <row r="101" spans="1:10" x14ac:dyDescent="0.2">
      <c r="A101" s="21"/>
      <c r="B101" s="10"/>
      <c r="C101" s="10"/>
      <c r="D101" s="67"/>
      <c r="E101" s="51"/>
      <c r="F101" s="52"/>
      <c r="G101" s="51"/>
      <c r="H101" s="52"/>
      <c r="I101" s="40"/>
      <c r="J101" s="3"/>
    </row>
    <row r="102" spans="1:10" x14ac:dyDescent="0.2">
      <c r="A102" s="21" t="s">
        <v>90</v>
      </c>
      <c r="B102" s="10">
        <v>1</v>
      </c>
      <c r="C102" s="10" t="s">
        <v>50</v>
      </c>
      <c r="D102" s="76">
        <v>112.15</v>
      </c>
      <c r="E102" s="51">
        <f t="shared" ref="E102:E110" si="15">D102*B102</f>
        <v>112.15</v>
      </c>
      <c r="F102" s="52">
        <v>0.5</v>
      </c>
      <c r="G102" s="51">
        <f>F102*B102</f>
        <v>0.5</v>
      </c>
      <c r="H102" s="52"/>
      <c r="I102" s="40">
        <f>H102*B102</f>
        <v>0</v>
      </c>
      <c r="J102" s="3"/>
    </row>
    <row r="103" spans="1:10" x14ac:dyDescent="0.2">
      <c r="A103" s="21" t="s">
        <v>91</v>
      </c>
      <c r="B103" s="10">
        <v>0</v>
      </c>
      <c r="C103" s="10" t="s">
        <v>50</v>
      </c>
      <c r="D103" s="60">
        <v>283.85000000000002</v>
      </c>
      <c r="E103" s="51">
        <f t="shared" si="15"/>
        <v>0</v>
      </c>
      <c r="F103" s="52">
        <v>1.5</v>
      </c>
      <c r="G103" s="51">
        <f>F103*B103</f>
        <v>0</v>
      </c>
      <c r="H103" s="52"/>
      <c r="I103" s="40">
        <f>H103*B103</f>
        <v>0</v>
      </c>
      <c r="J103" s="3"/>
    </row>
    <row r="104" spans="1:10" x14ac:dyDescent="0.2">
      <c r="A104" s="21" t="s">
        <v>92</v>
      </c>
      <c r="B104" s="10">
        <v>0</v>
      </c>
      <c r="C104" s="10" t="s">
        <v>50</v>
      </c>
      <c r="D104" s="60">
        <v>216.92</v>
      </c>
      <c r="E104" s="51">
        <f t="shared" si="15"/>
        <v>0</v>
      </c>
      <c r="F104" s="52">
        <v>1</v>
      </c>
      <c r="G104" s="51">
        <f>F104*B104</f>
        <v>0</v>
      </c>
      <c r="H104" s="52"/>
      <c r="I104" s="40">
        <f>H104*B104</f>
        <v>0</v>
      </c>
      <c r="J104" s="3"/>
    </row>
    <row r="105" spans="1:10" x14ac:dyDescent="0.2">
      <c r="A105" s="21" t="s">
        <v>93</v>
      </c>
      <c r="B105" s="10">
        <v>0</v>
      </c>
      <c r="C105" s="10" t="s">
        <v>50</v>
      </c>
      <c r="D105" s="77">
        <v>164.33</v>
      </c>
      <c r="E105" s="51">
        <f t="shared" si="15"/>
        <v>0</v>
      </c>
      <c r="F105" s="52">
        <v>0.5</v>
      </c>
      <c r="G105" s="51">
        <f>F105*B105</f>
        <v>0</v>
      </c>
      <c r="H105" s="52"/>
      <c r="I105" s="40">
        <f>H105*B105</f>
        <v>0</v>
      </c>
      <c r="J105" s="3"/>
    </row>
    <row r="106" spans="1:10" x14ac:dyDescent="0.2">
      <c r="A106" s="21"/>
      <c r="B106" s="10"/>
      <c r="C106" s="10"/>
      <c r="D106" s="67"/>
      <c r="E106" s="51">
        <f t="shared" si="15"/>
        <v>0</v>
      </c>
      <c r="F106" s="52"/>
      <c r="G106" s="51"/>
      <c r="H106" s="52"/>
      <c r="I106" s="40"/>
      <c r="J106" s="3"/>
    </row>
    <row r="107" spans="1:10" x14ac:dyDescent="0.2">
      <c r="A107" s="21" t="s">
        <v>94</v>
      </c>
      <c r="B107" s="10">
        <v>0</v>
      </c>
      <c r="C107" s="10" t="s">
        <v>50</v>
      </c>
      <c r="D107" s="77">
        <v>757.27</v>
      </c>
      <c r="E107" s="51">
        <f t="shared" si="15"/>
        <v>0</v>
      </c>
      <c r="F107" s="52">
        <v>0.5</v>
      </c>
      <c r="G107" s="51">
        <f>F107*B107</f>
        <v>0</v>
      </c>
      <c r="H107" s="52">
        <v>0.25</v>
      </c>
      <c r="I107" s="40">
        <f>H107*B107</f>
        <v>0</v>
      </c>
      <c r="J107" s="3"/>
    </row>
    <row r="108" spans="1:10" x14ac:dyDescent="0.2">
      <c r="A108" s="21" t="s">
        <v>95</v>
      </c>
      <c r="B108" s="10">
        <v>1</v>
      </c>
      <c r="C108" s="10" t="s">
        <v>50</v>
      </c>
      <c r="D108" s="77">
        <v>873.96</v>
      </c>
      <c r="E108" s="51">
        <f t="shared" si="15"/>
        <v>873.96</v>
      </c>
      <c r="F108" s="52">
        <v>1</v>
      </c>
      <c r="G108" s="51">
        <f>F108*B108</f>
        <v>1</v>
      </c>
      <c r="H108" s="52">
        <v>1</v>
      </c>
      <c r="I108" s="40">
        <f>H108*B108</f>
        <v>1</v>
      </c>
      <c r="J108" s="3"/>
    </row>
    <row r="109" spans="1:10" x14ac:dyDescent="0.2">
      <c r="A109" s="21"/>
      <c r="B109" s="10"/>
      <c r="C109" s="10"/>
      <c r="D109" s="60"/>
      <c r="E109" s="51">
        <f t="shared" si="15"/>
        <v>0</v>
      </c>
      <c r="F109" s="52"/>
      <c r="G109" s="51">
        <f>F109*B109</f>
        <v>0</v>
      </c>
      <c r="H109" s="52"/>
      <c r="I109" s="40">
        <f>H109*B109</f>
        <v>0</v>
      </c>
      <c r="J109" s="3"/>
    </row>
    <row r="110" spans="1:10" x14ac:dyDescent="0.2">
      <c r="A110" s="21" t="s">
        <v>96</v>
      </c>
      <c r="B110" s="10">
        <v>1</v>
      </c>
      <c r="C110" s="10" t="s">
        <v>25</v>
      </c>
      <c r="D110" s="60">
        <v>200</v>
      </c>
      <c r="E110" s="51">
        <f t="shared" si="15"/>
        <v>200</v>
      </c>
      <c r="F110" s="52">
        <v>0.25</v>
      </c>
      <c r="G110" s="51">
        <f>F110*B110</f>
        <v>0.25</v>
      </c>
      <c r="H110" s="52">
        <v>0.25</v>
      </c>
      <c r="I110" s="40">
        <f>H110*B110</f>
        <v>0.25</v>
      </c>
      <c r="J110" s="3"/>
    </row>
    <row r="111" spans="1:10" x14ac:dyDescent="0.2">
      <c r="A111" s="3"/>
      <c r="B111" s="10"/>
      <c r="C111" s="10"/>
      <c r="D111" s="60"/>
      <c r="E111" s="51"/>
      <c r="F111" s="60"/>
      <c r="G111" s="51"/>
      <c r="H111" s="37"/>
      <c r="I111" s="40"/>
      <c r="J111" s="3"/>
    </row>
    <row r="112" spans="1:10" x14ac:dyDescent="0.2">
      <c r="A112" s="21" t="s">
        <v>97</v>
      </c>
      <c r="B112" s="10">
        <v>1</v>
      </c>
      <c r="C112" s="10"/>
      <c r="D112" s="76">
        <f>1.95*2</f>
        <v>3.9</v>
      </c>
      <c r="E112" s="51">
        <f>D112*B112</f>
        <v>3.9</v>
      </c>
      <c r="F112" s="60">
        <v>0.05</v>
      </c>
      <c r="G112" s="51">
        <f>F112*B112</f>
        <v>0.05</v>
      </c>
      <c r="H112" s="60"/>
      <c r="I112" s="40">
        <f>H112*B112</f>
        <v>0</v>
      </c>
      <c r="J112" s="3"/>
    </row>
    <row r="113" spans="1:10" x14ac:dyDescent="0.2">
      <c r="A113" s="21" t="s">
        <v>98</v>
      </c>
      <c r="B113" s="10">
        <v>1</v>
      </c>
      <c r="C113" s="10"/>
      <c r="D113" s="76">
        <v>12</v>
      </c>
      <c r="E113" s="51">
        <f>D113*B113</f>
        <v>12</v>
      </c>
      <c r="F113" s="52">
        <v>0.25</v>
      </c>
      <c r="G113" s="51">
        <f>F113*B113</f>
        <v>0.25</v>
      </c>
      <c r="H113" s="52"/>
      <c r="I113" s="40">
        <f>H113*B113</f>
        <v>0</v>
      </c>
      <c r="J113" s="3"/>
    </row>
    <row r="114" spans="1:10" x14ac:dyDescent="0.2">
      <c r="A114" s="3" t="s">
        <v>99</v>
      </c>
      <c r="B114" s="10">
        <v>1</v>
      </c>
      <c r="C114" s="10"/>
      <c r="D114" s="67">
        <v>4.6100000000000003</v>
      </c>
      <c r="E114" s="78">
        <f>D114*B114</f>
        <v>4.6100000000000003</v>
      </c>
      <c r="F114" s="67">
        <v>0.1</v>
      </c>
      <c r="G114" s="78">
        <f>F114*B114</f>
        <v>0.1</v>
      </c>
      <c r="H114" s="67"/>
      <c r="I114" s="78"/>
      <c r="J114" s="3"/>
    </row>
    <row r="115" spans="1:10" x14ac:dyDescent="0.2">
      <c r="A115" s="3" t="s">
        <v>100</v>
      </c>
      <c r="B115" s="10">
        <v>2</v>
      </c>
      <c r="C115" s="10"/>
      <c r="D115" s="67">
        <v>4.42</v>
      </c>
      <c r="E115" s="78">
        <f>D115*B115</f>
        <v>8.84</v>
      </c>
      <c r="F115" s="67">
        <v>0.15</v>
      </c>
      <c r="G115" s="78">
        <f>F115*B115</f>
        <v>0.3</v>
      </c>
      <c r="H115" s="67"/>
      <c r="I115" s="78"/>
      <c r="J115" s="3">
        <f>E115+E114+E113+E112</f>
        <v>29.349999999999998</v>
      </c>
    </row>
    <row r="116" spans="1:10" x14ac:dyDescent="0.2">
      <c r="A116" s="3"/>
      <c r="B116" s="10"/>
      <c r="C116" s="10"/>
      <c r="D116" s="67"/>
      <c r="E116" s="78"/>
      <c r="F116" s="67"/>
      <c r="G116" s="78"/>
      <c r="H116" s="67"/>
      <c r="I116" s="78"/>
      <c r="J116" s="3"/>
    </row>
    <row r="117" spans="1:10" ht="15" x14ac:dyDescent="0.25">
      <c r="A117" s="11" t="s">
        <v>101</v>
      </c>
      <c r="B117" s="10"/>
      <c r="C117" s="10"/>
      <c r="D117" s="60"/>
      <c r="E117" s="51"/>
      <c r="F117" s="52"/>
      <c r="G117" s="51"/>
      <c r="H117" s="52"/>
      <c r="I117" s="40"/>
      <c r="J117" s="3"/>
    </row>
    <row r="118" spans="1:10" x14ac:dyDescent="0.2">
      <c r="A118" s="79" t="s">
        <v>102</v>
      </c>
      <c r="B118" s="10">
        <v>3.5</v>
      </c>
      <c r="C118" s="10" t="s">
        <v>70</v>
      </c>
      <c r="D118" s="60">
        <v>0</v>
      </c>
      <c r="E118" s="51">
        <f t="shared" ref="E118:E130" si="16">D118*B118</f>
        <v>0</v>
      </c>
      <c r="F118" s="52">
        <v>0</v>
      </c>
      <c r="G118" s="51">
        <f t="shared" ref="G118:G130" si="17">F118*B118</f>
        <v>0</v>
      </c>
      <c r="H118" s="52">
        <v>0.35</v>
      </c>
      <c r="I118" s="40">
        <f t="shared" ref="I118:I130" si="18">H118*B118</f>
        <v>1.2249999999999999</v>
      </c>
      <c r="J118" s="3"/>
    </row>
    <row r="119" spans="1:10" x14ac:dyDescent="0.2">
      <c r="A119" s="21" t="s">
        <v>103</v>
      </c>
      <c r="B119" s="10">
        <v>6</v>
      </c>
      <c r="C119" s="10" t="s">
        <v>74</v>
      </c>
      <c r="D119" s="60">
        <f>30*0.05</f>
        <v>1.5</v>
      </c>
      <c r="E119" s="51">
        <f t="shared" si="16"/>
        <v>9</v>
      </c>
      <c r="F119" s="52">
        <v>0.12</v>
      </c>
      <c r="G119" s="51">
        <f t="shared" si="17"/>
        <v>0.72</v>
      </c>
      <c r="H119" s="52">
        <v>0.06</v>
      </c>
      <c r="I119" s="40">
        <f t="shared" si="18"/>
        <v>0.36</v>
      </c>
      <c r="J119" s="3"/>
    </row>
    <row r="120" spans="1:10" x14ac:dyDescent="0.2">
      <c r="A120" s="21" t="s">
        <v>104</v>
      </c>
      <c r="B120" s="10">
        <v>0</v>
      </c>
      <c r="C120" s="10" t="s">
        <v>52</v>
      </c>
      <c r="D120" s="80">
        <f>1.89*1.1</f>
        <v>2.0790000000000002</v>
      </c>
      <c r="E120" s="51">
        <f t="shared" si="16"/>
        <v>0</v>
      </c>
      <c r="F120" s="52">
        <v>0.15</v>
      </c>
      <c r="G120" s="51">
        <f t="shared" si="17"/>
        <v>0</v>
      </c>
      <c r="H120" s="52"/>
      <c r="I120" s="40">
        <f t="shared" si="18"/>
        <v>0</v>
      </c>
      <c r="J120" s="3"/>
    </row>
    <row r="121" spans="1:10" x14ac:dyDescent="0.2">
      <c r="A121" s="21" t="s">
        <v>105</v>
      </c>
      <c r="B121" s="10">
        <v>0</v>
      </c>
      <c r="C121" s="10" t="s">
        <v>42</v>
      </c>
      <c r="D121" s="60">
        <f>1.86*1.25*1.5</f>
        <v>3.4875000000000003</v>
      </c>
      <c r="E121" s="51">
        <f t="shared" si="16"/>
        <v>0</v>
      </c>
      <c r="F121" s="52">
        <v>0.25</v>
      </c>
      <c r="G121" s="51">
        <f t="shared" si="17"/>
        <v>0</v>
      </c>
      <c r="H121" s="52"/>
      <c r="I121" s="40">
        <f t="shared" si="18"/>
        <v>0</v>
      </c>
      <c r="J121" s="3"/>
    </row>
    <row r="122" spans="1:10" x14ac:dyDescent="0.2">
      <c r="A122" s="21" t="s">
        <v>106</v>
      </c>
      <c r="B122" s="10">
        <v>20</v>
      </c>
      <c r="C122" s="10" t="s">
        <v>42</v>
      </c>
      <c r="D122" s="77">
        <v>0.4738</v>
      </c>
      <c r="E122" s="51">
        <f t="shared" si="16"/>
        <v>9.4759999999999991</v>
      </c>
      <c r="F122" s="60"/>
      <c r="G122" s="51">
        <f t="shared" si="17"/>
        <v>0</v>
      </c>
      <c r="H122" s="60"/>
      <c r="I122" s="40">
        <f t="shared" si="18"/>
        <v>0</v>
      </c>
      <c r="J122" s="3"/>
    </row>
    <row r="123" spans="1:10" x14ac:dyDescent="0.2">
      <c r="A123" s="21" t="s">
        <v>107</v>
      </c>
      <c r="B123" s="10">
        <v>10</v>
      </c>
      <c r="C123" s="10" t="s">
        <v>52</v>
      </c>
      <c r="D123" s="76">
        <v>2.2915000000000001</v>
      </c>
      <c r="E123" s="51">
        <f t="shared" si="16"/>
        <v>22.914999999999999</v>
      </c>
      <c r="F123" s="52">
        <v>0.05</v>
      </c>
      <c r="G123" s="51">
        <f t="shared" si="17"/>
        <v>0.5</v>
      </c>
      <c r="H123" s="52"/>
      <c r="I123" s="40">
        <f t="shared" si="18"/>
        <v>0</v>
      </c>
      <c r="J123" s="3"/>
    </row>
    <row r="124" spans="1:10" x14ac:dyDescent="0.2">
      <c r="A124" s="21" t="s">
        <v>108</v>
      </c>
      <c r="B124" s="10">
        <v>0</v>
      </c>
      <c r="C124" s="10" t="s">
        <v>52</v>
      </c>
      <c r="D124" s="76">
        <v>3.25</v>
      </c>
      <c r="E124" s="51">
        <f t="shared" si="16"/>
        <v>0</v>
      </c>
      <c r="F124" s="52">
        <v>0.05</v>
      </c>
      <c r="G124" s="51">
        <f t="shared" si="17"/>
        <v>0</v>
      </c>
      <c r="H124" s="52"/>
      <c r="I124" s="40">
        <f t="shared" si="18"/>
        <v>0</v>
      </c>
      <c r="J124" s="3"/>
    </row>
    <row r="125" spans="1:10" x14ac:dyDescent="0.2">
      <c r="A125" s="21" t="s">
        <v>109</v>
      </c>
      <c r="B125" s="10">
        <v>0</v>
      </c>
      <c r="C125" s="10" t="s">
        <v>52</v>
      </c>
      <c r="D125" s="76">
        <v>2.08</v>
      </c>
      <c r="E125" s="51">
        <f t="shared" si="16"/>
        <v>0</v>
      </c>
      <c r="F125" s="52">
        <v>0.15</v>
      </c>
      <c r="G125" s="51">
        <f t="shared" si="17"/>
        <v>0</v>
      </c>
      <c r="H125" s="52"/>
      <c r="I125" s="40">
        <f t="shared" si="18"/>
        <v>0</v>
      </c>
      <c r="J125" s="3"/>
    </row>
    <row r="126" spans="1:10" x14ac:dyDescent="0.2">
      <c r="A126" s="21" t="s">
        <v>110</v>
      </c>
      <c r="B126" s="10">
        <v>2</v>
      </c>
      <c r="C126" s="10" t="s">
        <v>52</v>
      </c>
      <c r="D126" s="76">
        <v>6.74</v>
      </c>
      <c r="E126" s="51">
        <f t="shared" si="16"/>
        <v>13.48</v>
      </c>
      <c r="F126" s="60">
        <v>0.35</v>
      </c>
      <c r="G126" s="51">
        <f t="shared" si="17"/>
        <v>0.7</v>
      </c>
      <c r="H126" s="60"/>
      <c r="I126" s="40">
        <f t="shared" si="18"/>
        <v>0</v>
      </c>
      <c r="J126" s="3"/>
    </row>
    <row r="127" spans="1:10" x14ac:dyDescent="0.2">
      <c r="A127" s="21" t="s">
        <v>111</v>
      </c>
      <c r="B127" s="10">
        <v>0</v>
      </c>
      <c r="C127" s="10" t="s">
        <v>52</v>
      </c>
      <c r="D127" s="60">
        <f>0.06*0.17*342*1.25*1.05</f>
        <v>4.578525</v>
      </c>
      <c r="E127" s="51">
        <f t="shared" si="16"/>
        <v>0</v>
      </c>
      <c r="F127" s="52">
        <v>0.15</v>
      </c>
      <c r="G127" s="51">
        <f t="shared" si="17"/>
        <v>0</v>
      </c>
      <c r="H127" s="52"/>
      <c r="I127" s="40">
        <f t="shared" si="18"/>
        <v>0</v>
      </c>
      <c r="J127" s="3"/>
    </row>
    <row r="128" spans="1:10" x14ac:dyDescent="0.2">
      <c r="A128" s="21" t="s">
        <v>112</v>
      </c>
      <c r="B128" s="10">
        <v>0</v>
      </c>
      <c r="C128" s="10" t="s">
        <v>50</v>
      </c>
      <c r="D128" s="60">
        <v>0</v>
      </c>
      <c r="E128" s="51">
        <f t="shared" si="16"/>
        <v>0</v>
      </c>
      <c r="F128" s="52">
        <v>8.3000000000000004E-2</v>
      </c>
      <c r="G128" s="51">
        <f t="shared" si="17"/>
        <v>0</v>
      </c>
      <c r="H128" s="52"/>
      <c r="I128" s="40">
        <f t="shared" si="18"/>
        <v>0</v>
      </c>
      <c r="J128" s="3"/>
    </row>
    <row r="129" spans="1:10" x14ac:dyDescent="0.2">
      <c r="A129" s="21" t="s">
        <v>113</v>
      </c>
      <c r="B129" s="10">
        <v>0</v>
      </c>
      <c r="C129" s="10" t="s">
        <v>42</v>
      </c>
      <c r="D129" s="60">
        <v>0.37119999999999997</v>
      </c>
      <c r="E129" s="51">
        <f t="shared" si="16"/>
        <v>0</v>
      </c>
      <c r="F129" s="52"/>
      <c r="G129" s="51">
        <f t="shared" si="17"/>
        <v>0</v>
      </c>
      <c r="H129" s="52"/>
      <c r="I129" s="40">
        <f t="shared" si="18"/>
        <v>0</v>
      </c>
      <c r="J129" s="3"/>
    </row>
    <row r="130" spans="1:10" x14ac:dyDescent="0.2">
      <c r="A130" s="21" t="s">
        <v>114</v>
      </c>
      <c r="B130" s="10">
        <v>0</v>
      </c>
      <c r="C130" s="10" t="s">
        <v>42</v>
      </c>
      <c r="D130" s="60">
        <v>0.4738</v>
      </c>
      <c r="E130" s="51">
        <f t="shared" si="16"/>
        <v>0</v>
      </c>
      <c r="F130" s="52"/>
      <c r="G130" s="51">
        <f t="shared" si="17"/>
        <v>0</v>
      </c>
      <c r="H130" s="52"/>
      <c r="I130" s="40">
        <f t="shared" si="18"/>
        <v>0</v>
      </c>
      <c r="J130" s="3"/>
    </row>
    <row r="131" spans="1:10" ht="15" x14ac:dyDescent="0.25">
      <c r="A131" s="11"/>
      <c r="B131" s="10"/>
      <c r="C131" s="10"/>
      <c r="D131" s="60"/>
      <c r="E131" s="51"/>
      <c r="F131" s="52"/>
      <c r="G131" s="51"/>
      <c r="H131" s="52"/>
      <c r="I131" s="40"/>
      <c r="J131" s="3"/>
    </row>
    <row r="132" spans="1:10" x14ac:dyDescent="0.2">
      <c r="A132" s="81" t="s">
        <v>115</v>
      </c>
      <c r="B132" s="10"/>
      <c r="C132" s="10"/>
      <c r="D132" s="60"/>
      <c r="E132" s="51"/>
      <c r="F132" s="52"/>
      <c r="G132" s="51"/>
      <c r="H132" s="52"/>
      <c r="I132" s="40"/>
      <c r="J132" s="3"/>
    </row>
    <row r="133" spans="1:10" x14ac:dyDescent="0.2">
      <c r="A133" s="21" t="s">
        <v>116</v>
      </c>
      <c r="B133" s="10">
        <v>0</v>
      </c>
      <c r="C133" s="10" t="s">
        <v>52</v>
      </c>
      <c r="D133" s="80">
        <f>0.15*0.3*1.5*30</f>
        <v>2.0250000000000004</v>
      </c>
      <c r="E133" s="51">
        <f>D133*B133</f>
        <v>0</v>
      </c>
      <c r="F133" s="52">
        <v>0.08</v>
      </c>
      <c r="G133" s="51">
        <f>F133*B133</f>
        <v>0</v>
      </c>
      <c r="H133" s="52">
        <v>0.08</v>
      </c>
      <c r="I133" s="40">
        <f>H133*B133</f>
        <v>0</v>
      </c>
      <c r="J133" s="3"/>
    </row>
    <row r="134" spans="1:10" x14ac:dyDescent="0.2">
      <c r="A134" s="21" t="s">
        <v>117</v>
      </c>
      <c r="B134" s="10">
        <v>0</v>
      </c>
      <c r="C134" s="10" t="s">
        <v>52</v>
      </c>
      <c r="D134" s="80">
        <v>7</v>
      </c>
      <c r="E134" s="51">
        <f>D134*B134</f>
        <v>0</v>
      </c>
      <c r="F134" s="52">
        <v>0.12</v>
      </c>
      <c r="G134" s="51">
        <f>F134*B134</f>
        <v>0</v>
      </c>
      <c r="H134" s="52"/>
      <c r="I134" s="40">
        <f>H134*B134</f>
        <v>0</v>
      </c>
      <c r="J134" s="3"/>
    </row>
    <row r="135" spans="1:10" x14ac:dyDescent="0.2">
      <c r="A135" s="21" t="s">
        <v>118</v>
      </c>
      <c r="B135" s="10">
        <v>0</v>
      </c>
      <c r="C135" s="10" t="s">
        <v>52</v>
      </c>
      <c r="D135" s="77">
        <v>2</v>
      </c>
      <c r="E135" s="51">
        <f>D135*B135</f>
        <v>0</v>
      </c>
      <c r="F135" s="52">
        <v>0.12</v>
      </c>
      <c r="G135" s="51">
        <f>F135*B135</f>
        <v>0</v>
      </c>
      <c r="H135" s="52"/>
      <c r="I135" s="40">
        <f>H135*B135</f>
        <v>0</v>
      </c>
      <c r="J135" s="3"/>
    </row>
    <row r="136" spans="1:10" x14ac:dyDescent="0.2">
      <c r="A136" s="21" t="s">
        <v>119</v>
      </c>
      <c r="B136" s="10">
        <v>0</v>
      </c>
      <c r="C136" s="10" t="s">
        <v>52</v>
      </c>
      <c r="D136" s="77">
        <f>2000*0.04*0.22*1.06*1.1</f>
        <v>20.521600000000003</v>
      </c>
      <c r="E136" s="51">
        <f>D136*B136</f>
        <v>0</v>
      </c>
      <c r="F136" s="60">
        <v>0.15</v>
      </c>
      <c r="G136" s="51">
        <f>F136*B136</f>
        <v>0</v>
      </c>
      <c r="H136" s="60"/>
      <c r="I136" s="40">
        <f>H136*B136</f>
        <v>0</v>
      </c>
      <c r="J136" s="3"/>
    </row>
    <row r="137" spans="1:10" x14ac:dyDescent="0.2">
      <c r="A137" s="21" t="s">
        <v>114</v>
      </c>
      <c r="B137" s="10">
        <v>0</v>
      </c>
      <c r="C137" s="10" t="s">
        <v>42</v>
      </c>
      <c r="D137" s="77">
        <v>0.4738</v>
      </c>
      <c r="E137" s="51">
        <f>D137*B137</f>
        <v>0</v>
      </c>
      <c r="F137" s="60"/>
      <c r="G137" s="51">
        <f>F137*B137</f>
        <v>0</v>
      </c>
      <c r="H137" s="60"/>
      <c r="I137" s="40">
        <f>H137*B137</f>
        <v>0</v>
      </c>
      <c r="J137" s="3"/>
    </row>
    <row r="138" spans="1:10" x14ac:dyDescent="0.2">
      <c r="A138" s="3"/>
      <c r="B138" s="10"/>
      <c r="C138" s="10"/>
      <c r="D138" s="60"/>
      <c r="E138" s="51"/>
      <c r="F138" s="52"/>
      <c r="G138" s="51"/>
      <c r="H138" s="52"/>
      <c r="I138" s="40"/>
      <c r="J138" s="3"/>
    </row>
    <row r="139" spans="1:10" x14ac:dyDescent="0.2">
      <c r="A139" s="81" t="s">
        <v>120</v>
      </c>
      <c r="B139" s="10"/>
      <c r="C139" s="10"/>
      <c r="D139" s="60"/>
      <c r="E139" s="51"/>
      <c r="F139" s="52"/>
      <c r="G139" s="51"/>
      <c r="H139" s="52"/>
      <c r="I139" s="40"/>
      <c r="J139" s="3"/>
    </row>
    <row r="140" spans="1:10" x14ac:dyDescent="0.2">
      <c r="A140" s="21" t="s">
        <v>121</v>
      </c>
      <c r="B140" s="10">
        <f>11.6*5</f>
        <v>58</v>
      </c>
      <c r="C140" s="10" t="s">
        <v>52</v>
      </c>
      <c r="D140" s="60">
        <f>D127</f>
        <v>4.578525</v>
      </c>
      <c r="E140" s="51">
        <f>D140*B140</f>
        <v>265.55444999999997</v>
      </c>
      <c r="F140" s="52">
        <v>0.08</v>
      </c>
      <c r="G140" s="51">
        <f>F140*B140</f>
        <v>4.6399999999999997</v>
      </c>
      <c r="H140" s="52"/>
      <c r="I140" s="40">
        <f>H140*B140</f>
        <v>0</v>
      </c>
      <c r="J140" s="3"/>
    </row>
    <row r="141" spans="1:10" x14ac:dyDescent="0.2">
      <c r="A141" s="21" t="s">
        <v>112</v>
      </c>
      <c r="B141" s="10">
        <f>B128*3</f>
        <v>0</v>
      </c>
      <c r="C141" s="10" t="s">
        <v>50</v>
      </c>
      <c r="D141" s="60"/>
      <c r="E141" s="51">
        <f>D141*B141</f>
        <v>0</v>
      </c>
      <c r="F141" s="52">
        <v>8.3000000000000004E-2</v>
      </c>
      <c r="G141" s="51">
        <f>F141*B141</f>
        <v>0</v>
      </c>
      <c r="H141" s="52"/>
      <c r="I141" s="40">
        <f>H141*B141</f>
        <v>0</v>
      </c>
      <c r="J141" s="3"/>
    </row>
    <row r="142" spans="1:10" x14ac:dyDescent="0.2">
      <c r="A142" s="21" t="s">
        <v>113</v>
      </c>
      <c r="B142" s="10">
        <f>B129*3</f>
        <v>0</v>
      </c>
      <c r="C142" s="10" t="s">
        <v>42</v>
      </c>
      <c r="D142" s="60">
        <v>0.37119999999999997</v>
      </c>
      <c r="E142" s="51">
        <f>D142*B142</f>
        <v>0</v>
      </c>
      <c r="F142" s="52"/>
      <c r="G142" s="51">
        <f>F142*B142</f>
        <v>0</v>
      </c>
      <c r="H142" s="52"/>
      <c r="I142" s="40">
        <f>H142*B142</f>
        <v>0</v>
      </c>
      <c r="J142" s="3"/>
    </row>
    <row r="143" spans="1:10" x14ac:dyDescent="0.2">
      <c r="A143" s="21" t="s">
        <v>114</v>
      </c>
      <c r="B143" s="10">
        <v>72</v>
      </c>
      <c r="C143" s="10" t="s">
        <v>42</v>
      </c>
      <c r="D143" s="60">
        <v>0.4738</v>
      </c>
      <c r="E143" s="51">
        <f>D143*B143</f>
        <v>34.113599999999998</v>
      </c>
      <c r="F143" s="52"/>
      <c r="G143" s="51">
        <f>F143*B143</f>
        <v>0</v>
      </c>
      <c r="H143" s="52"/>
      <c r="I143" s="40">
        <f>H143*B143</f>
        <v>0</v>
      </c>
      <c r="J143" s="3"/>
    </row>
    <row r="144" spans="1:10" x14ac:dyDescent="0.2">
      <c r="A144" s="3"/>
      <c r="B144" s="10"/>
      <c r="C144" s="10"/>
      <c r="D144" s="60"/>
      <c r="E144" s="51"/>
      <c r="F144" s="52"/>
      <c r="G144" s="51"/>
      <c r="H144" s="52"/>
      <c r="I144" s="40"/>
      <c r="J144" s="3"/>
    </row>
    <row r="145" spans="1:10" x14ac:dyDescent="0.2">
      <c r="A145" s="81" t="s">
        <v>122</v>
      </c>
      <c r="B145" s="10"/>
      <c r="C145" s="10"/>
      <c r="D145" s="60"/>
      <c r="E145" s="51"/>
      <c r="F145" s="60"/>
      <c r="G145" s="51"/>
      <c r="H145" s="37"/>
      <c r="I145" s="40"/>
      <c r="J145" s="3"/>
    </row>
    <row r="146" spans="1:10" x14ac:dyDescent="0.2">
      <c r="A146" s="21" t="s">
        <v>123</v>
      </c>
      <c r="B146" s="10">
        <v>0</v>
      </c>
      <c r="C146" s="10" t="s">
        <v>52</v>
      </c>
      <c r="D146" s="60">
        <f>6.74*2</f>
        <v>13.48</v>
      </c>
      <c r="E146" s="51">
        <f>D146*B146</f>
        <v>0</v>
      </c>
      <c r="F146" s="60">
        <v>0.33</v>
      </c>
      <c r="G146" s="51">
        <f>F146*B146</f>
        <v>0</v>
      </c>
      <c r="H146" s="37"/>
      <c r="I146" s="40">
        <f>H146*B146</f>
        <v>0</v>
      </c>
      <c r="J146" s="3"/>
    </row>
    <row r="147" spans="1:10" x14ac:dyDescent="0.2">
      <c r="A147" s="21" t="s">
        <v>124</v>
      </c>
      <c r="B147" s="10">
        <f>B146*4</f>
        <v>0</v>
      </c>
      <c r="C147" s="10" t="s">
        <v>42</v>
      </c>
      <c r="D147" s="60">
        <v>0.187</v>
      </c>
      <c r="E147" s="51">
        <f>D147*B147</f>
        <v>0</v>
      </c>
      <c r="F147" s="52"/>
      <c r="G147" s="51">
        <f>F147*B147</f>
        <v>0</v>
      </c>
      <c r="H147" s="52"/>
      <c r="I147" s="40">
        <f>H147*B147</f>
        <v>0</v>
      </c>
      <c r="J147" s="3">
        <f>SUM(E118:E147)</f>
        <v>354.53904999999997</v>
      </c>
    </row>
    <row r="148" spans="1:10" x14ac:dyDescent="0.2">
      <c r="A148" s="3"/>
      <c r="B148" s="10"/>
      <c r="C148" s="10"/>
      <c r="D148" s="37"/>
      <c r="E148" s="61"/>
      <c r="F148" s="37"/>
      <c r="G148" s="61"/>
      <c r="H148" s="37"/>
      <c r="I148" s="61"/>
      <c r="J148" s="3"/>
    </row>
    <row r="149" spans="1:10" x14ac:dyDescent="0.2">
      <c r="A149" s="3"/>
      <c r="B149" s="10"/>
      <c r="C149" s="10"/>
      <c r="D149" s="37"/>
      <c r="E149" s="61"/>
      <c r="F149" s="37"/>
      <c r="G149" s="61"/>
      <c r="H149" s="37"/>
      <c r="I149" s="61"/>
      <c r="J149" s="3"/>
    </row>
    <row r="150" spans="1:10" ht="15" x14ac:dyDescent="0.25">
      <c r="A150" s="11" t="s">
        <v>125</v>
      </c>
      <c r="B150" s="10"/>
      <c r="C150" s="10"/>
      <c r="D150" s="37"/>
      <c r="E150" s="61"/>
      <c r="F150" s="37"/>
      <c r="G150" s="61"/>
      <c r="H150" s="37"/>
      <c r="I150" s="61"/>
      <c r="J150" s="3"/>
    </row>
    <row r="151" spans="1:10" x14ac:dyDescent="0.2">
      <c r="A151" s="79" t="s">
        <v>102</v>
      </c>
      <c r="B151" s="10">
        <v>0</v>
      </c>
      <c r="C151" s="10" t="s">
        <v>70</v>
      </c>
      <c r="D151" s="60">
        <v>0</v>
      </c>
      <c r="E151" s="51">
        <f t="shared" ref="E151:E161" si="19">D151*B151</f>
        <v>0</v>
      </c>
      <c r="F151" s="52">
        <v>0</v>
      </c>
      <c r="G151" s="51">
        <f t="shared" ref="G151:G161" si="20">F151*B151</f>
        <v>0</v>
      </c>
      <c r="H151" s="52">
        <v>0.25</v>
      </c>
      <c r="I151" s="40">
        <f t="shared" ref="I151:I161" si="21">H151*B151</f>
        <v>0</v>
      </c>
      <c r="J151" s="3"/>
    </row>
    <row r="152" spans="1:10" x14ac:dyDescent="0.2">
      <c r="A152" s="21" t="s">
        <v>103</v>
      </c>
      <c r="B152" s="10">
        <v>0</v>
      </c>
      <c r="C152" s="10" t="s">
        <v>74</v>
      </c>
      <c r="D152" s="60">
        <f>30*0.05</f>
        <v>1.5</v>
      </c>
      <c r="E152" s="51">
        <f t="shared" si="19"/>
        <v>0</v>
      </c>
      <c r="F152" s="52">
        <v>0.12</v>
      </c>
      <c r="G152" s="51">
        <f t="shared" si="20"/>
        <v>0</v>
      </c>
      <c r="H152" s="52">
        <v>0.06</v>
      </c>
      <c r="I152" s="40">
        <f t="shared" si="21"/>
        <v>0</v>
      </c>
      <c r="J152" s="3"/>
    </row>
    <row r="153" spans="1:10" x14ac:dyDescent="0.2">
      <c r="A153" s="21" t="s">
        <v>104</v>
      </c>
      <c r="B153" s="10">
        <v>0</v>
      </c>
      <c r="C153" s="10" t="s">
        <v>52</v>
      </c>
      <c r="D153" s="80">
        <f>1.89*1.1</f>
        <v>2.0790000000000002</v>
      </c>
      <c r="E153" s="51">
        <f t="shared" si="19"/>
        <v>0</v>
      </c>
      <c r="F153" s="52">
        <v>0.15</v>
      </c>
      <c r="G153" s="51">
        <f t="shared" si="20"/>
        <v>0</v>
      </c>
      <c r="H153" s="52"/>
      <c r="I153" s="40">
        <f t="shared" si="21"/>
        <v>0</v>
      </c>
      <c r="J153" s="3"/>
    </row>
    <row r="154" spans="1:10" x14ac:dyDescent="0.2">
      <c r="A154" s="21" t="s">
        <v>105</v>
      </c>
      <c r="B154" s="10">
        <v>0</v>
      </c>
      <c r="C154" s="10" t="s">
        <v>42</v>
      </c>
      <c r="D154" s="60">
        <f>1.86*1.25*1</f>
        <v>2.3250000000000002</v>
      </c>
      <c r="E154" s="51">
        <f t="shared" si="19"/>
        <v>0</v>
      </c>
      <c r="F154" s="52">
        <v>0.25</v>
      </c>
      <c r="G154" s="51">
        <f t="shared" si="20"/>
        <v>0</v>
      </c>
      <c r="H154" s="52"/>
      <c r="I154" s="40">
        <f t="shared" si="21"/>
        <v>0</v>
      </c>
      <c r="J154" s="3"/>
    </row>
    <row r="155" spans="1:10" x14ac:dyDescent="0.2">
      <c r="A155" s="21" t="s">
        <v>106</v>
      </c>
      <c r="B155" s="10">
        <v>0</v>
      </c>
      <c r="C155" s="10" t="s">
        <v>42</v>
      </c>
      <c r="D155" s="77">
        <v>0.4738</v>
      </c>
      <c r="E155" s="51">
        <f t="shared" si="19"/>
        <v>0</v>
      </c>
      <c r="F155" s="60"/>
      <c r="G155" s="51">
        <f t="shared" si="20"/>
        <v>0</v>
      </c>
      <c r="H155" s="60"/>
      <c r="I155" s="40">
        <f t="shared" si="21"/>
        <v>0</v>
      </c>
      <c r="J155" s="3"/>
    </row>
    <row r="156" spans="1:10" x14ac:dyDescent="0.2">
      <c r="A156" s="21" t="s">
        <v>126</v>
      </c>
      <c r="B156" s="10">
        <v>0</v>
      </c>
      <c r="C156" s="10" t="s">
        <v>52</v>
      </c>
      <c r="D156" s="76">
        <v>4.42</v>
      </c>
      <c r="E156" s="51">
        <f t="shared" si="19"/>
        <v>0</v>
      </c>
      <c r="F156" s="60">
        <v>0.35</v>
      </c>
      <c r="G156" s="51">
        <f t="shared" si="20"/>
        <v>0</v>
      </c>
      <c r="H156" s="60"/>
      <c r="I156" s="40">
        <f t="shared" si="21"/>
        <v>0</v>
      </c>
      <c r="J156" s="3"/>
    </row>
    <row r="157" spans="1:10" x14ac:dyDescent="0.2">
      <c r="A157" s="21" t="s">
        <v>124</v>
      </c>
      <c r="B157" s="10">
        <v>0</v>
      </c>
      <c r="C157" s="10" t="s">
        <v>42</v>
      </c>
      <c r="D157" s="76">
        <v>0.187</v>
      </c>
      <c r="E157" s="51">
        <f t="shared" si="19"/>
        <v>0</v>
      </c>
      <c r="F157" s="60"/>
      <c r="G157" s="51">
        <f t="shared" si="20"/>
        <v>0</v>
      </c>
      <c r="H157" s="60"/>
      <c r="I157" s="40">
        <f t="shared" si="21"/>
        <v>0</v>
      </c>
      <c r="J157" s="3"/>
    </row>
    <row r="158" spans="1:10" x14ac:dyDescent="0.2">
      <c r="A158" s="21" t="s">
        <v>111</v>
      </c>
      <c r="B158" s="10">
        <v>0</v>
      </c>
      <c r="C158" s="10" t="s">
        <v>52</v>
      </c>
      <c r="D158" s="60">
        <f>0.06*0.17*342*1.25*1.05</f>
        <v>4.578525</v>
      </c>
      <c r="E158" s="51">
        <f t="shared" si="19"/>
        <v>0</v>
      </c>
      <c r="F158" s="52">
        <v>0.15</v>
      </c>
      <c r="G158" s="51">
        <f t="shared" si="20"/>
        <v>0</v>
      </c>
      <c r="H158" s="52"/>
      <c r="I158" s="40">
        <f t="shared" si="21"/>
        <v>0</v>
      </c>
      <c r="J158" s="3"/>
    </row>
    <row r="159" spans="1:10" x14ac:dyDescent="0.2">
      <c r="A159" s="21" t="s">
        <v>112</v>
      </c>
      <c r="B159" s="10">
        <v>0</v>
      </c>
      <c r="C159" s="10" t="s">
        <v>50</v>
      </c>
      <c r="D159" s="60">
        <v>0</v>
      </c>
      <c r="E159" s="51">
        <f t="shared" si="19"/>
        <v>0</v>
      </c>
      <c r="F159" s="52">
        <v>8.3000000000000004E-2</v>
      </c>
      <c r="G159" s="51">
        <f t="shared" si="20"/>
        <v>0</v>
      </c>
      <c r="H159" s="52"/>
      <c r="I159" s="40">
        <f t="shared" si="21"/>
        <v>0</v>
      </c>
      <c r="J159" s="3"/>
    </row>
    <row r="160" spans="1:10" x14ac:dyDescent="0.2">
      <c r="A160" s="21" t="s">
        <v>113</v>
      </c>
      <c r="B160" s="10">
        <v>0</v>
      </c>
      <c r="C160" s="10" t="s">
        <v>42</v>
      </c>
      <c r="D160" s="60">
        <v>0.37119999999999997</v>
      </c>
      <c r="E160" s="51">
        <f t="shared" si="19"/>
        <v>0</v>
      </c>
      <c r="F160" s="52"/>
      <c r="G160" s="51">
        <f t="shared" si="20"/>
        <v>0</v>
      </c>
      <c r="H160" s="52"/>
      <c r="I160" s="40">
        <f t="shared" si="21"/>
        <v>0</v>
      </c>
      <c r="J160" s="3"/>
    </row>
    <row r="161" spans="1:10" x14ac:dyDescent="0.2">
      <c r="A161" s="21" t="s">
        <v>114</v>
      </c>
      <c r="B161" s="10">
        <v>0</v>
      </c>
      <c r="C161" s="10" t="s">
        <v>42</v>
      </c>
      <c r="D161" s="60">
        <v>0.4738</v>
      </c>
      <c r="E161" s="51">
        <f t="shared" si="19"/>
        <v>0</v>
      </c>
      <c r="F161" s="52"/>
      <c r="G161" s="51">
        <f t="shared" si="20"/>
        <v>0</v>
      </c>
      <c r="H161" s="52"/>
      <c r="I161" s="40">
        <f t="shared" si="21"/>
        <v>0</v>
      </c>
      <c r="J161" s="3">
        <f>SUM(E151:E161)</f>
        <v>0</v>
      </c>
    </row>
    <row r="162" spans="1:10" x14ac:dyDescent="0.2">
      <c r="A162" s="3"/>
      <c r="B162" s="10"/>
      <c r="C162" s="10"/>
      <c r="D162" s="60"/>
      <c r="E162" s="40"/>
      <c r="F162" s="60"/>
      <c r="G162" s="40"/>
      <c r="H162" s="60"/>
      <c r="I162" s="40"/>
      <c r="J162" s="3"/>
    </row>
    <row r="163" spans="1:10" ht="15" x14ac:dyDescent="0.25">
      <c r="A163" s="11" t="s">
        <v>127</v>
      </c>
      <c r="B163" s="10"/>
      <c r="C163" s="10"/>
      <c r="D163" s="60"/>
      <c r="E163" s="40"/>
      <c r="F163" s="60"/>
      <c r="G163" s="40"/>
      <c r="H163" s="60"/>
      <c r="I163" s="40"/>
      <c r="J163" s="3"/>
    </row>
    <row r="164" spans="1:10" x14ac:dyDescent="0.2">
      <c r="A164" s="21" t="s">
        <v>128</v>
      </c>
      <c r="B164" s="10">
        <f>((6*0.2))*1.6+2</f>
        <v>3.9200000000000004</v>
      </c>
      <c r="C164" s="10" t="s">
        <v>72</v>
      </c>
      <c r="D164" s="60">
        <v>30</v>
      </c>
      <c r="E164" s="51">
        <f>D164*B164</f>
        <v>117.60000000000001</v>
      </c>
      <c r="F164" s="52">
        <v>0.15</v>
      </c>
      <c r="G164" s="51">
        <f>F164*B164</f>
        <v>0.58800000000000008</v>
      </c>
      <c r="H164" s="52">
        <v>0.5</v>
      </c>
      <c r="I164" s="40">
        <f>H164*B164</f>
        <v>1.9600000000000002</v>
      </c>
      <c r="J164" s="3"/>
    </row>
    <row r="165" spans="1:10" x14ac:dyDescent="0.2">
      <c r="A165" s="21" t="s">
        <v>129</v>
      </c>
      <c r="B165" s="10">
        <f>((6*0.3))*1.6+2</f>
        <v>4.88</v>
      </c>
      <c r="C165" s="10" t="s">
        <v>72</v>
      </c>
      <c r="D165" s="60">
        <v>30</v>
      </c>
      <c r="E165" s="51">
        <f>D165*B165</f>
        <v>146.4</v>
      </c>
      <c r="F165" s="52">
        <v>0.15</v>
      </c>
      <c r="G165" s="51">
        <f>F165*B165</f>
        <v>0.73199999999999998</v>
      </c>
      <c r="H165" s="52">
        <v>0.5</v>
      </c>
      <c r="I165" s="40">
        <f>H165*B165</f>
        <v>2.44</v>
      </c>
      <c r="J165" s="3"/>
    </row>
    <row r="166" spans="1:10" x14ac:dyDescent="0.2">
      <c r="A166" s="21" t="s">
        <v>130</v>
      </c>
      <c r="B166" s="10">
        <f>6*0.15*1.8+1</f>
        <v>2.62</v>
      </c>
      <c r="C166" s="10" t="s">
        <v>72</v>
      </c>
      <c r="D166" s="80">
        <v>40</v>
      </c>
      <c r="E166" s="51">
        <f>D166*B166</f>
        <v>104.80000000000001</v>
      </c>
      <c r="F166" s="52">
        <v>0.15</v>
      </c>
      <c r="G166" s="51">
        <f>F166*B166</f>
        <v>0.39300000000000002</v>
      </c>
      <c r="H166" s="52">
        <v>0.5</v>
      </c>
      <c r="I166" s="40">
        <f>H166*B166</f>
        <v>1.31</v>
      </c>
      <c r="J166" s="3"/>
    </row>
    <row r="167" spans="1:10" x14ac:dyDescent="0.2">
      <c r="A167" s="21" t="s">
        <v>131</v>
      </c>
      <c r="B167" s="10">
        <v>4</v>
      </c>
      <c r="C167" s="10" t="s">
        <v>72</v>
      </c>
      <c r="D167" s="60">
        <v>25</v>
      </c>
      <c r="E167" s="51">
        <f>D167*B167</f>
        <v>100</v>
      </c>
      <c r="F167" s="52">
        <v>0.15</v>
      </c>
      <c r="G167" s="51">
        <f>F167*B167</f>
        <v>0.6</v>
      </c>
      <c r="H167" s="52">
        <v>0.35</v>
      </c>
      <c r="I167" s="40">
        <f>H167*B167</f>
        <v>1.4</v>
      </c>
      <c r="J167" s="3"/>
    </row>
    <row r="168" spans="1:10" x14ac:dyDescent="0.2">
      <c r="A168" s="3"/>
      <c r="B168" s="10"/>
      <c r="C168" s="10"/>
      <c r="D168" s="60"/>
      <c r="E168" s="40"/>
      <c r="F168" s="60"/>
      <c r="G168" s="40"/>
      <c r="H168" s="60"/>
      <c r="I168" s="40"/>
      <c r="J168" s="3"/>
    </row>
    <row r="169" spans="1:10" x14ac:dyDescent="0.2">
      <c r="A169" s="3"/>
      <c r="B169" s="10"/>
      <c r="C169" s="10"/>
      <c r="D169" s="60"/>
      <c r="E169" s="40"/>
      <c r="F169" s="60"/>
      <c r="G169" s="40"/>
      <c r="H169" s="60"/>
      <c r="I169" s="40"/>
      <c r="J169" s="3"/>
    </row>
    <row r="170" spans="1:10" ht="15" x14ac:dyDescent="0.25">
      <c r="A170" s="11" t="s">
        <v>132</v>
      </c>
      <c r="B170" s="10"/>
      <c r="C170" s="10"/>
      <c r="D170" s="60"/>
      <c r="E170" s="40"/>
      <c r="F170" s="60"/>
      <c r="G170" s="40"/>
      <c r="H170" s="60"/>
      <c r="I170" s="40"/>
      <c r="J170" s="3"/>
    </row>
    <row r="171" spans="1:10" x14ac:dyDescent="0.2">
      <c r="A171" s="21" t="s">
        <v>133</v>
      </c>
      <c r="B171" s="10">
        <v>0</v>
      </c>
      <c r="C171" s="10" t="s">
        <v>52</v>
      </c>
      <c r="D171" s="60">
        <f>15.2*1.1</f>
        <v>16.72</v>
      </c>
      <c r="E171" s="51">
        <f>D171*B171</f>
        <v>0</v>
      </c>
      <c r="F171" s="52">
        <v>0.15</v>
      </c>
      <c r="G171" s="51">
        <f>F171*B171</f>
        <v>0</v>
      </c>
      <c r="H171" s="52"/>
      <c r="I171" s="40">
        <f>H171*B171</f>
        <v>0</v>
      </c>
      <c r="J171" s="3"/>
    </row>
    <row r="172" spans="1:10" x14ac:dyDescent="0.2">
      <c r="A172" s="21" t="s">
        <v>134</v>
      </c>
      <c r="B172" s="10">
        <v>0</v>
      </c>
      <c r="C172" s="10" t="s">
        <v>52</v>
      </c>
      <c r="D172" s="60">
        <f>16.8*1.1</f>
        <v>18.480000000000004</v>
      </c>
      <c r="E172" s="51">
        <f>D172*B172</f>
        <v>0</v>
      </c>
      <c r="F172" s="52">
        <v>0.15</v>
      </c>
      <c r="G172" s="51">
        <f>F172*B172</f>
        <v>0</v>
      </c>
      <c r="H172" s="52"/>
      <c r="I172" s="40">
        <f>H172*B172</f>
        <v>0</v>
      </c>
      <c r="J172" s="3"/>
    </row>
    <row r="173" spans="1:10" x14ac:dyDescent="0.2">
      <c r="A173" s="21" t="s">
        <v>135</v>
      </c>
      <c r="B173" s="10">
        <v>0</v>
      </c>
      <c r="C173" s="10" t="s">
        <v>42</v>
      </c>
      <c r="D173" s="60">
        <f>21.9*1.1</f>
        <v>24.09</v>
      </c>
      <c r="E173" s="51">
        <f>D173*B173</f>
        <v>0</v>
      </c>
      <c r="F173" s="52">
        <v>0.08</v>
      </c>
      <c r="G173" s="51">
        <f>F173*B173</f>
        <v>0</v>
      </c>
      <c r="H173" s="52"/>
      <c r="I173" s="40">
        <f>H173*B173</f>
        <v>0</v>
      </c>
      <c r="J173" s="3"/>
    </row>
    <row r="174" spans="1:10" x14ac:dyDescent="0.2">
      <c r="A174" s="21" t="s">
        <v>136</v>
      </c>
      <c r="B174" s="10">
        <v>0</v>
      </c>
      <c r="C174" s="10" t="s">
        <v>42</v>
      </c>
      <c r="D174" s="60">
        <f>27.27*1.1</f>
        <v>29.997000000000003</v>
      </c>
      <c r="E174" s="51">
        <f>D174*B174</f>
        <v>0</v>
      </c>
      <c r="F174" s="52">
        <v>0.08</v>
      </c>
      <c r="G174" s="51">
        <f>F174*B174</f>
        <v>0</v>
      </c>
      <c r="H174" s="52"/>
      <c r="I174" s="40">
        <f>H174*B174</f>
        <v>0</v>
      </c>
      <c r="J174" s="3"/>
    </row>
    <row r="175" spans="1:10" x14ac:dyDescent="0.2">
      <c r="A175" s="3"/>
      <c r="B175" s="10"/>
      <c r="C175" s="10"/>
      <c r="D175" s="60"/>
      <c r="E175" s="40"/>
      <c r="F175" s="60"/>
      <c r="G175" s="40"/>
      <c r="H175" s="60"/>
      <c r="I175" s="40"/>
      <c r="J175" s="3">
        <f>E171+E174</f>
        <v>0</v>
      </c>
    </row>
    <row r="176" spans="1:10" x14ac:dyDescent="0.2">
      <c r="A176" s="3"/>
      <c r="B176" s="10"/>
      <c r="C176" s="10"/>
      <c r="D176" s="60"/>
      <c r="E176" s="40"/>
      <c r="F176" s="60"/>
      <c r="G176" s="40"/>
      <c r="H176" s="60"/>
      <c r="I176" s="40"/>
      <c r="J176" s="3"/>
    </row>
    <row r="177" spans="1:10" ht="15" x14ac:dyDescent="0.25">
      <c r="A177" s="11" t="s">
        <v>137</v>
      </c>
      <c r="B177" s="10"/>
      <c r="C177" s="10"/>
      <c r="D177" s="60"/>
      <c r="E177" s="40"/>
      <c r="F177" s="60"/>
      <c r="G177" s="40"/>
      <c r="H177" s="60"/>
      <c r="I177" s="40"/>
      <c r="J177" s="3"/>
    </row>
    <row r="178" spans="1:10" x14ac:dyDescent="0.2">
      <c r="A178" s="21" t="s">
        <v>138</v>
      </c>
      <c r="B178" s="10">
        <v>36</v>
      </c>
      <c r="C178" s="10" t="s">
        <v>42</v>
      </c>
      <c r="D178" s="60">
        <v>2.1</v>
      </c>
      <c r="E178" s="51">
        <f>D178*B178</f>
        <v>75.600000000000009</v>
      </c>
      <c r="F178" s="52">
        <v>0.01</v>
      </c>
      <c r="G178" s="51">
        <f>F178*B178</f>
        <v>0.36</v>
      </c>
      <c r="H178" s="52"/>
      <c r="I178" s="40">
        <f>H178*B178</f>
        <v>0</v>
      </c>
      <c r="J178" s="3"/>
    </row>
    <row r="179" spans="1:10" x14ac:dyDescent="0.2">
      <c r="A179" s="21" t="s">
        <v>139</v>
      </c>
      <c r="B179" s="10">
        <v>0</v>
      </c>
      <c r="C179" s="10" t="s">
        <v>42</v>
      </c>
      <c r="D179" s="82">
        <v>2.1</v>
      </c>
      <c r="E179" s="69">
        <f>D179*B179</f>
        <v>0</v>
      </c>
      <c r="F179" s="70">
        <v>0.01</v>
      </c>
      <c r="G179" s="69">
        <f>F179*B179</f>
        <v>0</v>
      </c>
      <c r="H179" s="70"/>
      <c r="I179" s="45">
        <f>H179*B179</f>
        <v>0</v>
      </c>
      <c r="J179" s="3"/>
    </row>
    <row r="180" spans="1:10" x14ac:dyDescent="0.2">
      <c r="A180" s="3"/>
      <c r="B180" s="10"/>
      <c r="C180" s="10"/>
      <c r="D180" s="10"/>
      <c r="E180" s="83">
        <f>SUM(E95:E179)</f>
        <v>2297.5490499999996</v>
      </c>
      <c r="F180" s="83"/>
      <c r="G180" s="83">
        <f>SUM(G95:G179)</f>
        <v>12.432999999999998</v>
      </c>
      <c r="H180" s="83"/>
      <c r="I180" s="83">
        <f>SUM(I95:I179)</f>
        <v>9.9450000000000003</v>
      </c>
      <c r="J180" s="3"/>
    </row>
    <row r="181" spans="1:10" x14ac:dyDescent="0.2">
      <c r="A181" s="3"/>
      <c r="B181" s="10"/>
      <c r="C181" s="10"/>
      <c r="D181" s="10"/>
      <c r="E181" s="10">
        <f>E174+E171</f>
        <v>0</v>
      </c>
      <c r="F181" s="10"/>
      <c r="G181" s="10"/>
      <c r="H181" s="10"/>
      <c r="I181" s="10"/>
      <c r="J181" s="3"/>
    </row>
    <row r="182" spans="1:10" x14ac:dyDescent="0.2">
      <c r="A182" s="3"/>
      <c r="B182" s="10"/>
      <c r="C182" s="10"/>
      <c r="D182" s="10"/>
      <c r="E182" s="10"/>
      <c r="F182" s="10"/>
      <c r="G182" s="10"/>
      <c r="H182" s="10"/>
      <c r="I182" s="10"/>
      <c r="J182" s="3"/>
    </row>
    <row r="183" spans="1:10" ht="15" x14ac:dyDescent="0.25">
      <c r="A183" s="15" t="s">
        <v>84</v>
      </c>
      <c r="B183" s="72" t="s">
        <v>33</v>
      </c>
      <c r="C183" s="72"/>
      <c r="D183" s="72" t="s">
        <v>34</v>
      </c>
      <c r="E183" s="72" t="s">
        <v>35</v>
      </c>
      <c r="F183" s="10"/>
      <c r="G183" s="10"/>
      <c r="H183" s="10"/>
      <c r="I183" s="10"/>
      <c r="J183" s="3"/>
    </row>
    <row r="184" spans="1:10" x14ac:dyDescent="0.2">
      <c r="A184" s="3" t="s">
        <v>4</v>
      </c>
      <c r="B184" s="38">
        <f>I180</f>
        <v>9.9450000000000003</v>
      </c>
      <c r="C184" s="22" t="s">
        <v>36</v>
      </c>
      <c r="D184" s="10"/>
      <c r="E184" s="39" t="e">
        <f>B184*MP_FINITIONS</f>
        <v>#VALUE!</v>
      </c>
      <c r="F184" s="10"/>
      <c r="G184" s="10"/>
      <c r="H184" s="10"/>
      <c r="I184" s="10"/>
      <c r="J184" s="3"/>
    </row>
    <row r="185" spans="1:10" x14ac:dyDescent="0.2">
      <c r="A185" s="3" t="s">
        <v>6</v>
      </c>
      <c r="B185" s="38">
        <f>G180</f>
        <v>12.432999999999998</v>
      </c>
      <c r="C185" s="22" t="s">
        <v>36</v>
      </c>
      <c r="D185" s="10"/>
      <c r="E185" s="39" t="e">
        <f>B185*MOA_BETON</f>
        <v>#VALUE!</v>
      </c>
      <c r="F185" s="10"/>
      <c r="G185" s="10"/>
      <c r="H185" s="10"/>
      <c r="I185" s="10"/>
      <c r="J185" s="3"/>
    </row>
    <row r="186" spans="1:10" x14ac:dyDescent="0.2">
      <c r="A186" s="311" t="s">
        <v>681</v>
      </c>
      <c r="B186" s="16">
        <f>E180</f>
        <v>2297.5490499999996</v>
      </c>
      <c r="C186" s="29" t="s">
        <v>37</v>
      </c>
      <c r="D186" s="16">
        <f>B186*MO</f>
        <v>103389.70724999998</v>
      </c>
      <c r="E186" s="42">
        <f>D186+B186</f>
        <v>105687.25629999998</v>
      </c>
      <c r="F186" s="10"/>
      <c r="G186" s="10"/>
      <c r="H186" s="10"/>
      <c r="I186" s="10"/>
      <c r="J186" s="3"/>
    </row>
    <row r="187" spans="1:10" x14ac:dyDescent="0.2">
      <c r="A187" s="3"/>
      <c r="B187" s="10"/>
      <c r="C187" s="10"/>
      <c r="D187" s="21" t="s">
        <v>140</v>
      </c>
      <c r="E187" s="73" t="e">
        <f>SUM(E184:E186)</f>
        <v>#VALUE!</v>
      </c>
      <c r="F187" s="10" t="s">
        <v>39</v>
      </c>
      <c r="G187" s="10"/>
      <c r="H187" s="10"/>
      <c r="I187" s="10"/>
      <c r="J187" s="3"/>
    </row>
    <row r="188" spans="1:10" x14ac:dyDescent="0.2">
      <c r="A188" s="3"/>
      <c r="B188" s="10"/>
      <c r="C188" s="10"/>
      <c r="D188" s="10"/>
      <c r="E188" s="10"/>
      <c r="F188" s="10"/>
      <c r="G188" s="10"/>
      <c r="H188" s="10"/>
      <c r="I188" s="10"/>
      <c r="J188" s="3"/>
    </row>
    <row r="189" spans="1:10" x14ac:dyDescent="0.2">
      <c r="A189" s="3" t="s">
        <v>85</v>
      </c>
      <c r="B189" s="84">
        <f>SUM(E95:E110)</f>
        <v>1369.26</v>
      </c>
      <c r="C189" s="10"/>
      <c r="D189" s="10"/>
      <c r="E189" s="10"/>
      <c r="F189" s="10"/>
      <c r="G189" s="10"/>
      <c r="H189" s="10"/>
      <c r="I189" s="10"/>
      <c r="J189" s="3"/>
    </row>
    <row r="190" spans="1:10" x14ac:dyDescent="0.2">
      <c r="A190" s="3" t="s">
        <v>141</v>
      </c>
      <c r="B190" s="84">
        <f>SUM(E112:E115)</f>
        <v>29.35</v>
      </c>
      <c r="C190" s="10"/>
      <c r="D190" s="10"/>
      <c r="E190" s="10"/>
      <c r="F190" s="10"/>
      <c r="G190" s="10"/>
      <c r="H190" s="10"/>
      <c r="I190" s="10"/>
      <c r="J190" s="3"/>
    </row>
    <row r="191" spans="1:10" x14ac:dyDescent="0.2">
      <c r="A191" s="3" t="s">
        <v>142</v>
      </c>
      <c r="B191" s="84">
        <f>SUM(E118:E147)</f>
        <v>354.53904999999997</v>
      </c>
      <c r="C191" s="10"/>
      <c r="D191" s="10"/>
      <c r="E191" s="10"/>
      <c r="F191" s="10"/>
      <c r="G191" s="10"/>
      <c r="H191" s="10"/>
      <c r="I191" s="10"/>
      <c r="J191" s="3"/>
    </row>
    <row r="192" spans="1:10" x14ac:dyDescent="0.2">
      <c r="A192" s="3" t="s">
        <v>143</v>
      </c>
      <c r="B192" s="84">
        <f>SUM(E151:E161)</f>
        <v>0</v>
      </c>
      <c r="C192" s="10"/>
      <c r="D192" s="10"/>
      <c r="E192" s="10"/>
      <c r="F192" s="10"/>
      <c r="G192" s="10"/>
      <c r="H192" s="10"/>
      <c r="I192" s="10"/>
      <c r="J192" s="3"/>
    </row>
    <row r="193" spans="1:10" x14ac:dyDescent="0.2">
      <c r="A193" s="3" t="s">
        <v>127</v>
      </c>
      <c r="B193" s="84">
        <f>SUM(E164:E168)</f>
        <v>468.8</v>
      </c>
      <c r="C193" s="10"/>
      <c r="D193" s="10"/>
      <c r="E193" s="10"/>
      <c r="F193" s="10"/>
      <c r="G193" s="10"/>
      <c r="H193" s="10"/>
      <c r="I193" s="10"/>
      <c r="J193" s="3"/>
    </row>
    <row r="194" spans="1:10" x14ac:dyDescent="0.2">
      <c r="A194" s="3" t="s">
        <v>132</v>
      </c>
      <c r="B194" s="84">
        <f>SUM(E171:E174)</f>
        <v>0</v>
      </c>
      <c r="C194" s="10"/>
      <c r="D194" s="10"/>
      <c r="E194" s="10"/>
      <c r="F194" s="10"/>
      <c r="G194" s="10"/>
      <c r="H194" s="10"/>
      <c r="I194" s="10"/>
      <c r="J194" s="3"/>
    </row>
    <row r="195" spans="1:10" x14ac:dyDescent="0.2">
      <c r="A195" s="43" t="s">
        <v>137</v>
      </c>
      <c r="B195" s="85">
        <f>SUM(E178:E179)</f>
        <v>75.600000000000009</v>
      </c>
      <c r="C195" s="10"/>
      <c r="D195" s="10"/>
      <c r="E195" s="10"/>
      <c r="F195" s="10"/>
      <c r="G195" s="10"/>
      <c r="H195" s="10"/>
      <c r="I195" s="10"/>
      <c r="J195" s="3"/>
    </row>
    <row r="196" spans="1:10" x14ac:dyDescent="0.2">
      <c r="A196" s="3" t="s">
        <v>144</v>
      </c>
      <c r="B196" s="84">
        <f>SUM(B189:B195)</f>
        <v>2297.5490500000001</v>
      </c>
      <c r="C196" s="10"/>
      <c r="D196" s="10"/>
      <c r="E196" s="10"/>
      <c r="F196" s="10"/>
      <c r="G196" s="10"/>
      <c r="H196" s="10"/>
      <c r="I196" s="10"/>
      <c r="J196" s="3"/>
    </row>
    <row r="197" spans="1:10" x14ac:dyDescent="0.2">
      <c r="A197" s="3"/>
      <c r="B197" s="10"/>
      <c r="C197" s="10"/>
      <c r="D197" s="10"/>
      <c r="E197" s="10"/>
      <c r="F197" s="10"/>
      <c r="G197" s="10"/>
      <c r="H197" s="10"/>
      <c r="I197" s="10"/>
      <c r="J197" s="3"/>
    </row>
    <row r="198" spans="1:10" x14ac:dyDescent="0.2">
      <c r="A198" s="3"/>
      <c r="B198" s="10"/>
      <c r="C198" s="10"/>
      <c r="D198" s="10"/>
      <c r="E198" s="10"/>
      <c r="F198" s="10"/>
      <c r="G198" s="10"/>
      <c r="H198" s="10"/>
      <c r="I198" s="10"/>
      <c r="J198" s="3"/>
    </row>
    <row r="199" spans="1:10" ht="15" x14ac:dyDescent="0.25">
      <c r="A199" s="3"/>
      <c r="B199" s="10"/>
      <c r="C199" s="10"/>
      <c r="D199" s="1432" t="s">
        <v>681</v>
      </c>
      <c r="E199" s="1433"/>
      <c r="F199" s="1433" t="s">
        <v>17</v>
      </c>
      <c r="G199" s="1433"/>
      <c r="H199" s="1433" t="s">
        <v>4</v>
      </c>
      <c r="I199" s="1433"/>
      <c r="J199" s="3"/>
    </row>
    <row r="200" spans="1:10" ht="15" x14ac:dyDescent="0.25">
      <c r="A200" s="15" t="s">
        <v>145</v>
      </c>
      <c r="B200" s="16" t="s">
        <v>19</v>
      </c>
      <c r="C200" s="16" t="s">
        <v>20</v>
      </c>
      <c r="D200" s="47" t="s">
        <v>21</v>
      </c>
      <c r="E200" s="48" t="s">
        <v>22</v>
      </c>
      <c r="F200" s="47" t="s">
        <v>23</v>
      </c>
      <c r="G200" s="48" t="s">
        <v>22</v>
      </c>
      <c r="H200" s="47" t="s">
        <v>23</v>
      </c>
      <c r="I200" s="48" t="s">
        <v>22</v>
      </c>
      <c r="J200" s="3"/>
    </row>
    <row r="201" spans="1:10" x14ac:dyDescent="0.2">
      <c r="A201" s="21" t="s">
        <v>27</v>
      </c>
      <c r="B201" s="10">
        <v>0</v>
      </c>
      <c r="C201" s="22"/>
      <c r="D201" s="86"/>
      <c r="E201" s="40">
        <f>D201*B201</f>
        <v>0</v>
      </c>
      <c r="F201" s="60">
        <v>1</v>
      </c>
      <c r="G201" s="40">
        <f>F201*B201</f>
        <v>0</v>
      </c>
      <c r="H201" s="60">
        <v>1</v>
      </c>
      <c r="I201" s="40">
        <f>H201*B201</f>
        <v>0</v>
      </c>
      <c r="J201" s="3"/>
    </row>
    <row r="202" spans="1:10" x14ac:dyDescent="0.2">
      <c r="A202" s="21" t="s">
        <v>146</v>
      </c>
      <c r="B202" s="10">
        <v>0</v>
      </c>
      <c r="C202" s="22" t="s">
        <v>74</v>
      </c>
      <c r="D202" s="86">
        <v>0</v>
      </c>
      <c r="E202" s="40"/>
      <c r="F202" s="60">
        <v>1.5</v>
      </c>
      <c r="G202" s="40">
        <f>F202*B202</f>
        <v>0</v>
      </c>
      <c r="H202" s="60">
        <v>0</v>
      </c>
      <c r="I202" s="40">
        <v>0</v>
      </c>
      <c r="J202" s="3"/>
    </row>
    <row r="203" spans="1:10" x14ac:dyDescent="0.2">
      <c r="A203" s="21" t="s">
        <v>147</v>
      </c>
      <c r="B203" s="10">
        <v>0</v>
      </c>
      <c r="C203" s="22"/>
      <c r="D203" s="86"/>
      <c r="E203" s="40">
        <f>D203*B203</f>
        <v>0</v>
      </c>
      <c r="F203" s="60"/>
      <c r="G203" s="40">
        <f>F203*B203</f>
        <v>0</v>
      </c>
      <c r="H203" s="60"/>
      <c r="I203" s="40">
        <f>H203*B203</f>
        <v>0</v>
      </c>
      <c r="J203" s="3"/>
    </row>
    <row r="204" spans="1:10" x14ac:dyDescent="0.2">
      <c r="A204" s="21" t="s">
        <v>148</v>
      </c>
      <c r="B204" s="10">
        <v>0</v>
      </c>
      <c r="C204" s="22"/>
      <c r="D204" s="86"/>
      <c r="E204" s="40">
        <f>D204*B204</f>
        <v>0</v>
      </c>
      <c r="F204" s="60"/>
      <c r="G204" s="40">
        <f>F204*B204</f>
        <v>0</v>
      </c>
      <c r="H204" s="60"/>
      <c r="I204" s="40">
        <f>H204*B204</f>
        <v>0</v>
      </c>
      <c r="J204" s="3"/>
    </row>
    <row r="205" spans="1:10" x14ac:dyDescent="0.2">
      <c r="A205" s="28"/>
      <c r="B205" s="16">
        <v>0</v>
      </c>
      <c r="C205" s="29"/>
      <c r="D205" s="82"/>
      <c r="E205" s="45">
        <f>D205*B205</f>
        <v>0</v>
      </c>
      <c r="F205" s="82"/>
      <c r="G205" s="45">
        <f>F205*B205</f>
        <v>0</v>
      </c>
      <c r="H205" s="82"/>
      <c r="I205" s="45">
        <f>H205*B205</f>
        <v>0</v>
      </c>
      <c r="J205" s="3"/>
    </row>
    <row r="206" spans="1:10" ht="15" x14ac:dyDescent="0.25">
      <c r="A206" s="3"/>
      <c r="B206" s="10"/>
      <c r="C206" s="10"/>
      <c r="D206" s="47" t="s">
        <v>31</v>
      </c>
      <c r="E206" s="48">
        <f>SUM(E201:E205)</f>
        <v>0</v>
      </c>
      <c r="F206" s="47" t="s">
        <v>32</v>
      </c>
      <c r="G206" s="48">
        <f>SUM(G201:G205)</f>
        <v>0</v>
      </c>
      <c r="H206" s="87" t="s">
        <v>32</v>
      </c>
      <c r="I206" s="48">
        <f>SUM(I201:I205)</f>
        <v>0</v>
      </c>
      <c r="J206" s="3"/>
    </row>
    <row r="207" spans="1:10" ht="15" x14ac:dyDescent="0.25">
      <c r="A207" s="3"/>
      <c r="B207" s="10"/>
      <c r="C207" s="10"/>
      <c r="D207" s="32"/>
      <c r="E207" s="32"/>
      <c r="F207" s="32"/>
      <c r="G207" s="32"/>
      <c r="H207" s="33"/>
      <c r="I207" s="32"/>
      <c r="J207" s="3"/>
    </row>
    <row r="208" spans="1:10" x14ac:dyDescent="0.2">
      <c r="A208" s="3"/>
      <c r="B208" s="10"/>
      <c r="C208" s="10"/>
      <c r="D208" s="10"/>
      <c r="E208" s="10"/>
      <c r="F208" s="10"/>
      <c r="G208" s="10"/>
      <c r="H208" s="10"/>
      <c r="I208" s="10"/>
      <c r="J208" s="3"/>
    </row>
    <row r="209" spans="1:10" ht="15" x14ac:dyDescent="0.25">
      <c r="A209" s="15" t="s">
        <v>145</v>
      </c>
      <c r="B209" s="72" t="s">
        <v>33</v>
      </c>
      <c r="C209" s="72"/>
      <c r="D209" s="72" t="s">
        <v>34</v>
      </c>
      <c r="E209" s="72" t="s">
        <v>35</v>
      </c>
      <c r="F209" s="10"/>
      <c r="G209" s="10"/>
      <c r="H209" s="10"/>
      <c r="I209" s="10"/>
      <c r="J209" s="3"/>
    </row>
    <row r="210" spans="1:10" x14ac:dyDescent="0.2">
      <c r="A210" s="3" t="s">
        <v>4</v>
      </c>
      <c r="B210" s="38">
        <f>I206</f>
        <v>0</v>
      </c>
      <c r="C210" s="22" t="s">
        <v>36</v>
      </c>
      <c r="D210" s="10"/>
      <c r="E210" s="39" t="e">
        <f>B210*MP_FINITIONS</f>
        <v>#VALUE!</v>
      </c>
      <c r="F210" s="10"/>
      <c r="G210" s="10"/>
      <c r="H210" s="10"/>
      <c r="I210" s="10"/>
      <c r="J210" s="3"/>
    </row>
    <row r="211" spans="1:10" x14ac:dyDescent="0.2">
      <c r="A211" s="3" t="s">
        <v>6</v>
      </c>
      <c r="B211" s="38">
        <f>G206</f>
        <v>0</v>
      </c>
      <c r="C211" s="22" t="s">
        <v>36</v>
      </c>
      <c r="D211" s="10"/>
      <c r="E211" s="39" t="e">
        <f>B211*MOA_BETON</f>
        <v>#VALUE!</v>
      </c>
      <c r="F211" s="10"/>
      <c r="G211" s="10"/>
      <c r="H211" s="10"/>
      <c r="I211" s="10"/>
      <c r="J211" s="3"/>
    </row>
    <row r="212" spans="1:10" x14ac:dyDescent="0.2">
      <c r="A212" s="311" t="s">
        <v>681</v>
      </c>
      <c r="B212" s="16">
        <f>E206</f>
        <v>0</v>
      </c>
      <c r="C212" s="29" t="s">
        <v>37</v>
      </c>
      <c r="D212" s="16">
        <f>B212*MO</f>
        <v>0</v>
      </c>
      <c r="E212" s="42">
        <f>D212+B212</f>
        <v>0</v>
      </c>
      <c r="F212" s="10"/>
      <c r="G212" s="10"/>
      <c r="H212" s="10"/>
      <c r="I212" s="10"/>
      <c r="J212" s="3"/>
    </row>
    <row r="213" spans="1:10" x14ac:dyDescent="0.2">
      <c r="A213" s="3"/>
      <c r="B213" s="10"/>
      <c r="C213" s="10"/>
      <c r="D213" s="21" t="s">
        <v>149</v>
      </c>
      <c r="E213" s="73" t="e">
        <f>SUM(E210:E212)</f>
        <v>#VALUE!</v>
      </c>
      <c r="F213" s="10" t="s">
        <v>39</v>
      </c>
      <c r="G213" s="10"/>
      <c r="H213" s="10"/>
      <c r="I213" s="10"/>
      <c r="J213" s="3"/>
    </row>
    <row r="214" spans="1:10" x14ac:dyDescent="0.2">
      <c r="A214" s="3"/>
      <c r="B214" s="10"/>
      <c r="C214" s="10"/>
      <c r="D214" s="10"/>
      <c r="E214" s="10"/>
      <c r="F214" s="10"/>
      <c r="G214" s="10"/>
      <c r="H214" s="10"/>
      <c r="I214" s="10"/>
      <c r="J214" s="3"/>
    </row>
    <row r="215" spans="1:10" x14ac:dyDescent="0.2">
      <c r="A215" s="3"/>
      <c r="B215" s="10"/>
      <c r="C215" s="10"/>
      <c r="D215" s="10"/>
      <c r="E215" s="10"/>
      <c r="F215" s="10"/>
      <c r="G215" s="10"/>
      <c r="H215" s="10"/>
      <c r="I215" s="10"/>
      <c r="J215" s="3"/>
    </row>
    <row r="216" spans="1:10" x14ac:dyDescent="0.2">
      <c r="A216" s="3"/>
      <c r="B216" s="10"/>
      <c r="C216" s="10"/>
      <c r="D216" s="10"/>
      <c r="E216" s="10"/>
      <c r="F216" s="10"/>
      <c r="G216" s="10"/>
      <c r="H216" s="10"/>
      <c r="I216" s="10"/>
      <c r="J216" s="3"/>
    </row>
    <row r="217" spans="1:10" x14ac:dyDescent="0.2">
      <c r="A217" s="3"/>
      <c r="B217" s="10"/>
      <c r="C217" s="10"/>
      <c r="D217" s="10"/>
      <c r="E217" s="10"/>
      <c r="F217" s="10"/>
      <c r="G217" s="10"/>
      <c r="H217" s="10"/>
      <c r="I217" s="10"/>
      <c r="J217" s="3"/>
    </row>
    <row r="218" spans="1:10" ht="15" x14ac:dyDescent="0.25">
      <c r="A218" s="11" t="s">
        <v>150</v>
      </c>
      <c r="B218" s="10"/>
      <c r="C218" s="10"/>
      <c r="D218" s="10"/>
      <c r="E218" s="10"/>
      <c r="F218" s="10"/>
      <c r="G218" s="10"/>
      <c r="H218" s="10"/>
      <c r="I218" s="10"/>
      <c r="J218" s="3"/>
    </row>
    <row r="219" spans="1:10" x14ac:dyDescent="0.2">
      <c r="A219" s="88" t="s">
        <v>18</v>
      </c>
      <c r="B219" s="39" t="e">
        <f>E31</f>
        <v>#VALUE!</v>
      </c>
      <c r="C219" s="10"/>
      <c r="D219" s="10"/>
      <c r="E219" s="10"/>
      <c r="F219" s="10"/>
      <c r="G219" s="10"/>
      <c r="H219" s="10"/>
      <c r="I219" s="10"/>
      <c r="J219" s="3"/>
    </row>
    <row r="220" spans="1:10" x14ac:dyDescent="0.2">
      <c r="A220" s="88" t="s">
        <v>40</v>
      </c>
      <c r="B220" s="39" t="e">
        <f>E80</f>
        <v>#VALUE!</v>
      </c>
      <c r="C220" s="10"/>
      <c r="D220" s="10"/>
      <c r="E220" s="10"/>
      <c r="F220" s="10"/>
      <c r="G220" s="10"/>
      <c r="H220" s="10"/>
      <c r="I220" s="10"/>
      <c r="J220" s="3"/>
    </row>
    <row r="221" spans="1:10" x14ac:dyDescent="0.2">
      <c r="A221" s="88" t="s">
        <v>151</v>
      </c>
      <c r="B221" s="39" t="e">
        <f>E187</f>
        <v>#VALUE!</v>
      </c>
      <c r="C221" s="10"/>
      <c r="D221" s="10"/>
      <c r="E221" s="10"/>
      <c r="F221" s="10"/>
      <c r="G221" s="10"/>
      <c r="H221" s="10"/>
      <c r="I221" s="10"/>
      <c r="J221" s="3"/>
    </row>
    <row r="222" spans="1:10" x14ac:dyDescent="0.2">
      <c r="A222" s="89" t="s">
        <v>145</v>
      </c>
      <c r="B222" s="42" t="e">
        <f>E213</f>
        <v>#VALUE!</v>
      </c>
      <c r="C222" s="10"/>
      <c r="D222" s="10"/>
      <c r="E222" s="10"/>
      <c r="F222" s="10"/>
      <c r="G222" s="10"/>
      <c r="H222" s="10"/>
      <c r="I222" s="10"/>
      <c r="J222" s="3"/>
    </row>
    <row r="223" spans="1:10" x14ac:dyDescent="0.2">
      <c r="A223" s="90" t="s">
        <v>152</v>
      </c>
      <c r="B223" s="39" t="e">
        <f>SUM(B219:B222)</f>
        <v>#VALUE!</v>
      </c>
      <c r="C223" s="10"/>
      <c r="D223" s="10"/>
      <c r="E223" s="10"/>
      <c r="F223" s="10"/>
      <c r="G223" s="10"/>
      <c r="H223" s="10"/>
      <c r="I223" s="10"/>
      <c r="J223" s="3"/>
    </row>
    <row r="224" spans="1:10" ht="15" x14ac:dyDescent="0.25">
      <c r="A224" s="91" t="s">
        <v>153</v>
      </c>
      <c r="B224" s="39"/>
      <c r="C224" s="10"/>
      <c r="D224" s="10"/>
      <c r="E224" s="10"/>
      <c r="F224" s="10"/>
      <c r="G224" s="10"/>
      <c r="H224" s="10"/>
      <c r="I224" s="10"/>
      <c r="J224" s="3"/>
    </row>
    <row r="225" spans="1:10" x14ac:dyDescent="0.2">
      <c r="A225" s="21" t="s">
        <v>154</v>
      </c>
      <c r="B225" s="92">
        <v>175</v>
      </c>
      <c r="C225" s="10"/>
      <c r="D225" s="10"/>
      <c r="E225" s="10"/>
      <c r="F225" s="10"/>
      <c r="G225" s="10"/>
      <c r="H225" s="10"/>
      <c r="I225" s="10"/>
      <c r="J225" s="3"/>
    </row>
    <row r="226" spans="1:10" x14ac:dyDescent="0.2">
      <c r="A226" s="21" t="s">
        <v>155</v>
      </c>
      <c r="B226" s="92">
        <v>175</v>
      </c>
      <c r="C226" s="10"/>
      <c r="D226" s="10"/>
      <c r="E226" s="10"/>
      <c r="F226" s="10"/>
      <c r="G226" s="10"/>
      <c r="H226" s="10"/>
      <c r="I226" s="10"/>
      <c r="J226" s="3"/>
    </row>
    <row r="227" spans="1:10" x14ac:dyDescent="0.2">
      <c r="A227" s="21" t="s">
        <v>156</v>
      </c>
      <c r="B227" s="92">
        <v>200</v>
      </c>
      <c r="C227" s="10"/>
      <c r="D227" s="10"/>
      <c r="E227" s="10"/>
      <c r="F227" s="10"/>
      <c r="G227" s="10"/>
      <c r="H227" s="10"/>
      <c r="I227" s="10"/>
      <c r="J227" s="3"/>
    </row>
    <row r="228" spans="1:10" x14ac:dyDescent="0.2">
      <c r="A228" s="28" t="s">
        <v>157</v>
      </c>
      <c r="B228" s="93">
        <v>150</v>
      </c>
      <c r="C228" s="10"/>
      <c r="D228" s="10"/>
      <c r="E228" s="10"/>
      <c r="F228" s="10"/>
      <c r="G228" s="10"/>
      <c r="H228" s="10"/>
      <c r="I228" s="10"/>
      <c r="J228" s="3"/>
    </row>
    <row r="229" spans="1:10" ht="15" x14ac:dyDescent="0.25">
      <c r="A229" s="94" t="s">
        <v>144</v>
      </c>
      <c r="B229" s="94" t="e">
        <f>SUM(B223:B228)</f>
        <v>#VALUE!</v>
      </c>
      <c r="C229" s="10"/>
      <c r="D229" s="10"/>
      <c r="E229" s="10"/>
      <c r="F229" s="10"/>
      <c r="G229" s="10"/>
      <c r="H229" s="10"/>
      <c r="I229" s="10"/>
      <c r="J229" s="3"/>
    </row>
    <row r="230" spans="1:10" ht="15" x14ac:dyDescent="0.25">
      <c r="A230" s="94" t="s">
        <v>10</v>
      </c>
      <c r="B230" s="94" t="e">
        <f>B229*B7</f>
        <v>#VALUE!</v>
      </c>
      <c r="C230" s="10"/>
      <c r="D230" s="10"/>
      <c r="E230" s="10"/>
      <c r="F230" s="10"/>
      <c r="G230" s="10"/>
      <c r="H230" s="10"/>
      <c r="I230" s="10"/>
      <c r="J230" s="3"/>
    </row>
    <row r="231" spans="1:10" ht="15" x14ac:dyDescent="0.25">
      <c r="A231" s="94" t="s">
        <v>158</v>
      </c>
      <c r="B231" s="94" t="e">
        <f>B230+B229</f>
        <v>#VALUE!</v>
      </c>
      <c r="C231" s="10"/>
      <c r="D231" s="10"/>
      <c r="E231" s="10"/>
      <c r="F231" s="10"/>
      <c r="G231" s="10"/>
      <c r="H231" s="10"/>
      <c r="I231" s="10"/>
      <c r="J231" s="3"/>
    </row>
    <row r="232" spans="1:10" ht="15" x14ac:dyDescent="0.25">
      <c r="A232" s="11" t="s">
        <v>159</v>
      </c>
      <c r="B232" s="10"/>
      <c r="C232" s="10"/>
      <c r="D232" s="10"/>
      <c r="E232" s="10"/>
      <c r="F232" s="10"/>
      <c r="G232" s="10"/>
      <c r="H232" s="10"/>
      <c r="I232" s="10"/>
      <c r="J232" s="3"/>
    </row>
    <row r="233" spans="1:10" x14ac:dyDescent="0.2">
      <c r="A233" s="95" t="s">
        <v>160</v>
      </c>
      <c r="B233" s="83">
        <f>B28+B77+B184+B210</f>
        <v>16.414999999999999</v>
      </c>
      <c r="C233" s="10" t="s">
        <v>36</v>
      </c>
      <c r="D233" s="10"/>
      <c r="E233" s="10"/>
      <c r="F233" s="10"/>
      <c r="G233" s="10"/>
      <c r="H233" s="10"/>
      <c r="I233" s="10"/>
      <c r="J233" s="3"/>
    </row>
    <row r="234" spans="1:10" x14ac:dyDescent="0.2">
      <c r="A234" s="95" t="s">
        <v>161</v>
      </c>
      <c r="B234" s="83">
        <f>B29+B78+B185+B211</f>
        <v>24.682999999999996</v>
      </c>
      <c r="C234" s="10" t="s">
        <v>36</v>
      </c>
      <c r="D234" s="10"/>
      <c r="E234" s="10"/>
      <c r="F234" s="10"/>
      <c r="G234" s="10"/>
      <c r="H234" s="10"/>
      <c r="I234" s="10"/>
      <c r="J234" s="3"/>
    </row>
    <row r="235" spans="1:10" x14ac:dyDescent="0.2">
      <c r="A235" s="95" t="s">
        <v>682</v>
      </c>
      <c r="B235" s="96">
        <f>B30+B79+B186+B212</f>
        <v>4111.4528499999997</v>
      </c>
      <c r="C235" s="10" t="s">
        <v>39</v>
      </c>
      <c r="D235" s="10"/>
      <c r="E235" s="10"/>
      <c r="F235" s="10"/>
      <c r="G235" s="10"/>
      <c r="H235" s="10"/>
      <c r="I235" s="10"/>
      <c r="J235" s="3"/>
    </row>
    <row r="236" spans="1:10" x14ac:dyDescent="0.2">
      <c r="A236" s="95" t="s">
        <v>162</v>
      </c>
      <c r="B236" s="96">
        <f>SUM(B225:B228)</f>
        <v>700</v>
      </c>
      <c r="C236" s="10" t="s">
        <v>39</v>
      </c>
      <c r="D236" s="10"/>
      <c r="E236" s="10"/>
      <c r="F236" s="10"/>
      <c r="G236" s="10"/>
      <c r="H236" s="10"/>
      <c r="I236" s="10"/>
      <c r="J236" s="3"/>
    </row>
    <row r="237" spans="1:10" x14ac:dyDescent="0.2">
      <c r="A237" s="95"/>
      <c r="B237" s="96"/>
      <c r="C237" s="10"/>
      <c r="D237" s="10"/>
      <c r="E237" s="10"/>
      <c r="F237" s="10"/>
      <c r="G237" s="10"/>
      <c r="H237" s="10"/>
      <c r="I237" s="10"/>
      <c r="J237" s="3"/>
    </row>
    <row r="238" spans="1:10" ht="15" x14ac:dyDescent="0.25">
      <c r="A238" s="11" t="s">
        <v>163</v>
      </c>
      <c r="B238" s="10"/>
      <c r="C238" s="10"/>
      <c r="D238" s="10"/>
      <c r="E238" s="10"/>
      <c r="F238" s="10"/>
      <c r="G238" s="10"/>
      <c r="H238" s="10"/>
      <c r="I238" s="10"/>
      <c r="J238" s="3"/>
    </row>
    <row r="239" spans="1:10" x14ac:dyDescent="0.2">
      <c r="A239" s="21" t="s">
        <v>164</v>
      </c>
      <c r="B239" s="84">
        <f>B234+B233</f>
        <v>41.097999999999999</v>
      </c>
      <c r="C239" s="10" t="s">
        <v>36</v>
      </c>
      <c r="D239" s="10"/>
      <c r="E239" s="10"/>
      <c r="F239" s="10"/>
      <c r="G239" s="10"/>
      <c r="H239" s="10"/>
      <c r="I239" s="10"/>
      <c r="J239" s="3"/>
    </row>
    <row r="240" spans="1:10" x14ac:dyDescent="0.2">
      <c r="A240" s="21" t="s">
        <v>165</v>
      </c>
      <c r="B240" s="83">
        <f>B239/8</f>
        <v>5.1372499999999999</v>
      </c>
      <c r="C240" s="10" t="s">
        <v>166</v>
      </c>
      <c r="D240" s="10"/>
      <c r="E240" s="10"/>
      <c r="F240" s="10"/>
      <c r="G240" s="10"/>
      <c r="H240" s="10"/>
      <c r="I240" s="10"/>
      <c r="J240" s="3"/>
    </row>
    <row r="241" spans="1:10" x14ac:dyDescent="0.2">
      <c r="A241" s="21" t="s">
        <v>167</v>
      </c>
      <c r="B241" s="97">
        <v>5</v>
      </c>
      <c r="C241" s="10" t="s">
        <v>166</v>
      </c>
      <c r="D241" s="10"/>
      <c r="E241" s="10"/>
      <c r="F241" s="10"/>
      <c r="G241" s="10"/>
      <c r="H241" s="10"/>
      <c r="I241" s="10"/>
      <c r="J241" s="3"/>
    </row>
    <row r="242" spans="1:10" x14ac:dyDescent="0.2">
      <c r="A242" s="21" t="s">
        <v>168</v>
      </c>
      <c r="B242" s="98">
        <v>0</v>
      </c>
      <c r="C242" s="10" t="s">
        <v>169</v>
      </c>
      <c r="D242" s="10"/>
      <c r="E242" s="10"/>
      <c r="F242" s="10"/>
      <c r="G242" s="10"/>
      <c r="H242" s="10"/>
      <c r="I242" s="10"/>
      <c r="J242" s="3"/>
    </row>
    <row r="243" spans="1:10" x14ac:dyDescent="0.2">
      <c r="A243" s="21" t="s">
        <v>170</v>
      </c>
      <c r="B243" s="96">
        <f>B242*B241*8</f>
        <v>0</v>
      </c>
      <c r="C243" s="10" t="s">
        <v>39</v>
      </c>
      <c r="D243" s="10"/>
      <c r="E243" s="10"/>
      <c r="F243" s="10"/>
      <c r="G243" s="10"/>
      <c r="H243" s="10"/>
      <c r="I243" s="10"/>
      <c r="J243" s="3"/>
    </row>
    <row r="244" spans="1:10" x14ac:dyDescent="0.2">
      <c r="A244" s="3"/>
      <c r="B244" s="10"/>
      <c r="C244" s="10"/>
      <c r="D244" s="10"/>
      <c r="E244" s="10"/>
      <c r="F244" s="10"/>
      <c r="G244" s="10"/>
      <c r="H244" s="10"/>
      <c r="I244" s="10"/>
      <c r="J244" s="3"/>
    </row>
    <row r="245" spans="1:10" ht="15" x14ac:dyDescent="0.25">
      <c r="A245" s="11" t="s">
        <v>4</v>
      </c>
      <c r="B245" s="10"/>
      <c r="C245" s="10"/>
      <c r="D245" s="10"/>
      <c r="E245" s="10"/>
      <c r="F245" s="10"/>
      <c r="G245" s="10"/>
      <c r="H245" s="10"/>
      <c r="I245" s="10"/>
      <c r="J245" s="3"/>
    </row>
    <row r="246" spans="1:10" x14ac:dyDescent="0.2">
      <c r="A246" s="79" t="s">
        <v>171</v>
      </c>
      <c r="B246" s="12">
        <v>4</v>
      </c>
      <c r="C246" s="10"/>
      <c r="D246" s="10"/>
      <c r="E246" s="10"/>
      <c r="F246" s="10"/>
      <c r="G246" s="10"/>
      <c r="H246" s="10"/>
      <c r="I246" s="10"/>
      <c r="J246" s="3"/>
    </row>
    <row r="247" spans="1:10" x14ac:dyDescent="0.2">
      <c r="A247" s="79" t="s">
        <v>172</v>
      </c>
      <c r="B247" s="12">
        <v>4</v>
      </c>
      <c r="C247" s="10"/>
      <c r="D247" s="10"/>
      <c r="E247" s="10"/>
      <c r="F247" s="10"/>
      <c r="G247" s="10"/>
      <c r="H247" s="10"/>
      <c r="I247" s="10"/>
      <c r="J247" s="3"/>
    </row>
    <row r="248" spans="1:10" x14ac:dyDescent="0.2">
      <c r="A248" s="21" t="s">
        <v>173</v>
      </c>
      <c r="B248" s="99">
        <f>B246*110</f>
        <v>440</v>
      </c>
      <c r="C248" s="10" t="s">
        <v>39</v>
      </c>
      <c r="D248" s="10"/>
      <c r="E248" s="10"/>
      <c r="F248" s="10"/>
      <c r="G248" s="10"/>
      <c r="H248" s="10"/>
      <c r="I248" s="10"/>
      <c r="J248" s="3"/>
    </row>
    <row r="249" spans="1:10" x14ac:dyDescent="0.2">
      <c r="A249" s="21" t="s">
        <v>174</v>
      </c>
      <c r="B249" s="99">
        <f>B247*75</f>
        <v>300</v>
      </c>
      <c r="C249" s="10"/>
      <c r="D249" s="10"/>
      <c r="E249" s="10"/>
      <c r="F249" s="10"/>
      <c r="G249" s="10"/>
      <c r="H249" s="10"/>
      <c r="I249" s="10"/>
      <c r="J249" s="3"/>
    </row>
    <row r="250" spans="1:10" x14ac:dyDescent="0.2">
      <c r="A250" s="21" t="s">
        <v>175</v>
      </c>
      <c r="B250" s="99">
        <v>120</v>
      </c>
      <c r="C250" s="10" t="s">
        <v>39</v>
      </c>
      <c r="D250" s="10"/>
      <c r="E250" s="10"/>
      <c r="F250" s="10"/>
      <c r="G250" s="10"/>
      <c r="H250" s="10"/>
      <c r="I250" s="10"/>
      <c r="J250" s="3"/>
    </row>
    <row r="251" spans="1:10" x14ac:dyDescent="0.2">
      <c r="A251" s="21" t="s">
        <v>176</v>
      </c>
      <c r="B251" s="96">
        <f>B250+B249+B248</f>
        <v>860</v>
      </c>
      <c r="C251" s="10" t="s">
        <v>39</v>
      </c>
      <c r="D251" s="10"/>
      <c r="E251" s="10"/>
      <c r="F251" s="10"/>
      <c r="G251" s="10"/>
      <c r="H251" s="10"/>
      <c r="I251" s="10"/>
      <c r="J251" s="3"/>
    </row>
    <row r="252" spans="1:10" x14ac:dyDescent="0.2">
      <c r="A252" s="21"/>
      <c r="B252" s="96"/>
      <c r="C252" s="10"/>
      <c r="D252" s="10"/>
      <c r="E252" s="10"/>
      <c r="F252" s="10"/>
      <c r="G252" s="10"/>
      <c r="H252" s="10"/>
      <c r="I252" s="10"/>
      <c r="J252" s="3"/>
    </row>
    <row r="253" spans="1:10" ht="15" x14ac:dyDescent="0.25">
      <c r="A253" s="91" t="s">
        <v>177</v>
      </c>
      <c r="B253" s="96"/>
      <c r="C253" s="10"/>
      <c r="D253" s="10"/>
      <c r="E253" s="10"/>
      <c r="F253" s="10"/>
      <c r="G253" s="10"/>
      <c r="H253" s="10"/>
      <c r="I253" s="10"/>
      <c r="J253" s="3"/>
    </row>
    <row r="254" spans="1:10" x14ac:dyDescent="0.2">
      <c r="A254" s="21" t="s">
        <v>6</v>
      </c>
      <c r="B254" s="96">
        <v>0</v>
      </c>
      <c r="C254" s="10"/>
      <c r="D254" s="10"/>
      <c r="E254" s="10"/>
      <c r="F254" s="10"/>
      <c r="G254" s="10"/>
      <c r="H254" s="10"/>
      <c r="I254" s="10"/>
      <c r="J254" s="3"/>
    </row>
    <row r="255" spans="1:10" x14ac:dyDescent="0.2">
      <c r="A255" s="21" t="s">
        <v>178</v>
      </c>
      <c r="B255" s="96">
        <v>0</v>
      </c>
      <c r="C255" s="10"/>
      <c r="D255" s="10"/>
      <c r="E255" s="10"/>
      <c r="F255" s="10"/>
      <c r="G255" s="10"/>
      <c r="H255" s="10"/>
      <c r="I255" s="10"/>
      <c r="J255" s="3"/>
    </row>
    <row r="256" spans="1:10" x14ac:dyDescent="0.2">
      <c r="A256" s="3"/>
      <c r="B256" s="10">
        <f>B255+B254</f>
        <v>0</v>
      </c>
      <c r="C256" s="10"/>
      <c r="D256" s="10"/>
      <c r="E256" s="10"/>
      <c r="F256" s="10"/>
      <c r="G256" s="10"/>
      <c r="H256" s="10"/>
      <c r="I256" s="10"/>
      <c r="J256" s="3"/>
    </row>
    <row r="257" spans="1:10" x14ac:dyDescent="0.2">
      <c r="A257" s="3"/>
      <c r="B257" s="10"/>
      <c r="C257" s="10"/>
      <c r="D257" s="10"/>
      <c r="E257" s="10"/>
      <c r="F257" s="10"/>
      <c r="G257" s="10"/>
      <c r="H257" s="10"/>
      <c r="I257" s="10"/>
      <c r="J257" s="3"/>
    </row>
    <row r="258" spans="1:10" x14ac:dyDescent="0.2">
      <c r="A258" s="3"/>
      <c r="B258" s="10"/>
      <c r="C258" s="10"/>
      <c r="D258" s="10"/>
      <c r="E258" s="10"/>
      <c r="F258" s="10"/>
      <c r="G258" s="10"/>
      <c r="H258" s="10"/>
      <c r="I258" s="10"/>
      <c r="J258" s="3"/>
    </row>
    <row r="259" spans="1:10" ht="15" x14ac:dyDescent="0.25">
      <c r="A259" s="11" t="s">
        <v>179</v>
      </c>
      <c r="B259" s="10"/>
      <c r="C259" s="10"/>
      <c r="D259" s="10"/>
      <c r="E259" s="10"/>
      <c r="F259" s="10"/>
      <c r="G259" s="10"/>
      <c r="H259" s="10"/>
      <c r="I259" s="10"/>
      <c r="J259" s="3"/>
    </row>
    <row r="260" spans="1:10" x14ac:dyDescent="0.2">
      <c r="A260" s="21" t="s">
        <v>180</v>
      </c>
      <c r="B260" s="10" t="e">
        <f>B229</f>
        <v>#VALUE!</v>
      </c>
      <c r="C260" s="10"/>
      <c r="D260" s="10"/>
      <c r="E260" s="10"/>
      <c r="F260" s="10"/>
      <c r="G260" s="10"/>
      <c r="H260" s="10"/>
      <c r="I260" s="10"/>
      <c r="J260" s="3"/>
    </row>
    <row r="261" spans="1:10" x14ac:dyDescent="0.2">
      <c r="A261" s="312" t="s">
        <v>681</v>
      </c>
      <c r="B261" s="10">
        <f>B235</f>
        <v>4111.4528499999997</v>
      </c>
      <c r="C261" s="100" t="e">
        <f>B261/B260</f>
        <v>#VALUE!</v>
      </c>
      <c r="D261" s="10"/>
      <c r="E261" s="10"/>
      <c r="F261" s="10"/>
      <c r="G261" s="10"/>
      <c r="H261" s="10"/>
      <c r="I261" s="10"/>
      <c r="J261" s="3"/>
    </row>
    <row r="262" spans="1:10" x14ac:dyDescent="0.2">
      <c r="A262" s="21" t="s">
        <v>181</v>
      </c>
      <c r="B262" s="10">
        <f>B243</f>
        <v>0</v>
      </c>
      <c r="C262" s="100" t="e">
        <f>B262/B260</f>
        <v>#VALUE!</v>
      </c>
      <c r="D262" s="10"/>
      <c r="E262" s="10"/>
      <c r="F262" s="10"/>
      <c r="G262" s="10"/>
      <c r="H262" s="10"/>
      <c r="I262" s="10"/>
      <c r="J262" s="3"/>
    </row>
    <row r="263" spans="1:10" x14ac:dyDescent="0.2">
      <c r="A263" s="21" t="s">
        <v>182</v>
      </c>
      <c r="B263" s="10">
        <f>B251</f>
        <v>860</v>
      </c>
      <c r="C263" s="100" t="e">
        <f>B263/B260</f>
        <v>#VALUE!</v>
      </c>
      <c r="D263" s="10"/>
      <c r="E263" s="10"/>
      <c r="F263" s="10"/>
      <c r="G263" s="10"/>
      <c r="H263" s="10"/>
      <c r="I263" s="10"/>
      <c r="J263" s="3"/>
    </row>
    <row r="264" spans="1:10" x14ac:dyDescent="0.2">
      <c r="A264" s="21" t="s">
        <v>153</v>
      </c>
      <c r="B264" s="10">
        <f>B236</f>
        <v>700</v>
      </c>
      <c r="C264" s="100" t="e">
        <f>B264/B260</f>
        <v>#VALUE!</v>
      </c>
      <c r="D264" s="10"/>
      <c r="E264" s="10"/>
      <c r="F264" s="10"/>
      <c r="G264" s="10"/>
      <c r="H264" s="10"/>
      <c r="I264" s="10"/>
      <c r="J264" s="3"/>
    </row>
    <row r="265" spans="1:10" x14ac:dyDescent="0.2">
      <c r="A265" s="21" t="s">
        <v>183</v>
      </c>
      <c r="B265" s="10">
        <f>SUM(B261:B264)</f>
        <v>5671.4528499999997</v>
      </c>
      <c r="C265" s="100" t="e">
        <f>B265/B260</f>
        <v>#VALUE!</v>
      </c>
      <c r="D265" s="10"/>
      <c r="E265" s="10"/>
      <c r="F265" s="10"/>
      <c r="G265" s="10"/>
      <c r="H265" s="10"/>
      <c r="I265" s="10"/>
      <c r="J265" s="3"/>
    </row>
    <row r="266" spans="1:10" x14ac:dyDescent="0.2">
      <c r="A266" s="21" t="s">
        <v>177</v>
      </c>
      <c r="B266" s="10">
        <f>B256*-1</f>
        <v>0</v>
      </c>
      <c r="C266" s="100" t="e">
        <f>B266/B260</f>
        <v>#VALUE!</v>
      </c>
      <c r="D266" s="10"/>
      <c r="E266" s="10"/>
      <c r="F266" s="10"/>
      <c r="G266" s="10"/>
      <c r="H266" s="10"/>
      <c r="I266" s="10"/>
      <c r="J266" s="3"/>
    </row>
    <row r="267" spans="1:10" ht="15" x14ac:dyDescent="0.25">
      <c r="A267" s="101" t="s">
        <v>184</v>
      </c>
      <c r="B267" s="102" t="e">
        <f>B260-B265</f>
        <v>#VALUE!</v>
      </c>
      <c r="C267" s="103" t="e">
        <f>B267/B260</f>
        <v>#VALUE!</v>
      </c>
      <c r="D267" s="10"/>
      <c r="E267" s="10" t="s">
        <v>185</v>
      </c>
      <c r="F267" s="10"/>
      <c r="G267" s="10"/>
      <c r="H267" s="10"/>
      <c r="I267" s="10"/>
      <c r="J267" s="3"/>
    </row>
    <row r="268" spans="1:10" x14ac:dyDescent="0.2">
      <c r="A268" s="3"/>
      <c r="B268" s="10"/>
      <c r="C268" s="10"/>
      <c r="D268" s="10"/>
      <c r="E268" s="10"/>
      <c r="F268" s="10"/>
      <c r="G268" s="10"/>
      <c r="H268" s="10"/>
      <c r="I268" s="10"/>
      <c r="J268" s="3"/>
    </row>
    <row r="269" spans="1:10" x14ac:dyDescent="0.2">
      <c r="A269" s="21" t="s">
        <v>186</v>
      </c>
      <c r="B269" s="98">
        <v>35</v>
      </c>
      <c r="C269" s="10"/>
      <c r="D269" s="10"/>
      <c r="E269" s="10"/>
      <c r="F269" s="10"/>
      <c r="G269" s="10"/>
      <c r="H269" s="10"/>
      <c r="I269" s="10"/>
      <c r="J269" s="3"/>
    </row>
    <row r="270" spans="1:10" x14ac:dyDescent="0.2">
      <c r="A270" s="21" t="s">
        <v>187</v>
      </c>
      <c r="B270" s="96">
        <f>B269*B239</f>
        <v>1438.43</v>
      </c>
      <c r="C270" s="10"/>
      <c r="D270" s="10"/>
      <c r="E270" s="10"/>
      <c r="F270" s="10"/>
      <c r="G270" s="10"/>
      <c r="H270" s="10"/>
      <c r="I270" s="10"/>
      <c r="J270" s="3"/>
    </row>
    <row r="271" spans="1:10" x14ac:dyDescent="0.2">
      <c r="A271" s="21"/>
      <c r="B271" s="10"/>
      <c r="C271" s="10"/>
      <c r="D271" s="10"/>
      <c r="E271" s="10"/>
      <c r="F271" s="10"/>
      <c r="G271" s="10"/>
      <c r="H271" s="10"/>
      <c r="I271" s="10"/>
      <c r="J271" s="3"/>
    </row>
    <row r="272" spans="1:10" x14ac:dyDescent="0.2">
      <c r="A272" s="21" t="s">
        <v>188</v>
      </c>
      <c r="B272" s="104">
        <v>1.8759999999999999E-2</v>
      </c>
      <c r="C272" s="10"/>
      <c r="D272" s="10"/>
      <c r="E272" s="10"/>
      <c r="F272" s="10"/>
      <c r="G272" s="10"/>
      <c r="H272" s="10"/>
      <c r="I272" s="10"/>
      <c r="J272" s="3"/>
    </row>
    <row r="273" spans="1:10" x14ac:dyDescent="0.2">
      <c r="A273" s="21" t="s">
        <v>189</v>
      </c>
      <c r="B273" s="10" t="e">
        <f>B272*B260</f>
        <v>#VALUE!</v>
      </c>
      <c r="C273" s="10"/>
      <c r="D273" s="10"/>
      <c r="E273" s="10"/>
      <c r="F273" s="10"/>
      <c r="G273" s="10"/>
      <c r="H273" s="10"/>
      <c r="I273" s="10"/>
      <c r="J273" s="3"/>
    </row>
    <row r="274" spans="1:10" x14ac:dyDescent="0.2">
      <c r="A274" s="3"/>
      <c r="B274" s="10"/>
      <c r="C274" s="10"/>
      <c r="D274" s="10"/>
      <c r="E274" s="10"/>
      <c r="F274" s="10"/>
      <c r="G274" s="10"/>
      <c r="H274" s="10"/>
      <c r="I274" s="10"/>
      <c r="J274" s="3"/>
    </row>
    <row r="275" spans="1:10" ht="15" x14ac:dyDescent="0.25">
      <c r="A275" s="105" t="s">
        <v>190</v>
      </c>
      <c r="B275" s="106" t="e">
        <f>B267-B270-B273</f>
        <v>#VALUE!</v>
      </c>
      <c r="C275" s="107" t="e">
        <f>B275/B260</f>
        <v>#VALUE!</v>
      </c>
      <c r="D275" s="10"/>
      <c r="E275" s="10"/>
      <c r="F275" s="10"/>
      <c r="G275" s="10"/>
      <c r="H275" s="10"/>
      <c r="I275" s="10"/>
      <c r="J275" s="3"/>
    </row>
    <row r="276" spans="1:10" x14ac:dyDescent="0.2">
      <c r="A276" s="3"/>
      <c r="B276" s="10"/>
      <c r="C276" s="10"/>
      <c r="D276" s="10"/>
      <c r="E276" s="10"/>
      <c r="F276" s="10"/>
      <c r="G276" s="10"/>
      <c r="H276" s="10"/>
      <c r="I276" s="10"/>
      <c r="J276" s="3"/>
    </row>
    <row r="277" spans="1:10" x14ac:dyDescent="0.2">
      <c r="A277" s="3"/>
      <c r="B277" s="10"/>
      <c r="C277" s="10"/>
      <c r="D277" s="10"/>
      <c r="E277" s="10"/>
      <c r="F277" s="10"/>
      <c r="G277" s="10"/>
      <c r="H277" s="10"/>
      <c r="I277" s="10"/>
      <c r="J277" s="3"/>
    </row>
    <row r="278" spans="1:10" x14ac:dyDescent="0.2">
      <c r="A278" s="3" t="s">
        <v>191</v>
      </c>
      <c r="B278" s="10" t="e">
        <f>B260+B266</f>
        <v>#VALUE!</v>
      </c>
      <c r="C278" s="10" t="s">
        <v>39</v>
      </c>
      <c r="D278" s="10"/>
      <c r="E278" s="10"/>
      <c r="F278" s="10"/>
      <c r="G278" s="10"/>
      <c r="H278" s="10"/>
      <c r="I278" s="10"/>
      <c r="J278" s="3"/>
    </row>
    <row r="279" spans="1:10" x14ac:dyDescent="0.2">
      <c r="A279" s="3"/>
      <c r="B279" s="10"/>
      <c r="C279" s="10"/>
      <c r="D279" s="10"/>
      <c r="E279" s="10"/>
      <c r="F279" s="10"/>
      <c r="G279" s="10"/>
      <c r="H279" s="10"/>
      <c r="I279" s="10"/>
      <c r="J279" s="3"/>
    </row>
    <row r="280" spans="1:10" x14ac:dyDescent="0.2">
      <c r="A280" s="3"/>
      <c r="B280" s="10"/>
      <c r="C280" s="10"/>
      <c r="D280" s="10"/>
      <c r="E280" s="10"/>
      <c r="F280" s="10"/>
      <c r="G280" s="10"/>
      <c r="H280" s="10"/>
      <c r="I280" s="10"/>
      <c r="J280" s="3"/>
    </row>
    <row r="281" spans="1:10" x14ac:dyDescent="0.2">
      <c r="A281" s="3"/>
      <c r="B281" s="10"/>
      <c r="C281" s="10"/>
      <c r="D281" s="10"/>
      <c r="E281" s="10"/>
      <c r="F281" s="10"/>
      <c r="G281" s="10"/>
      <c r="H281" s="10"/>
      <c r="I281" s="10"/>
      <c r="J281" s="3"/>
    </row>
    <row r="282" spans="1:10" x14ac:dyDescent="0.2">
      <c r="A282" s="3"/>
      <c r="B282" s="10">
        <v>8508.25</v>
      </c>
      <c r="C282" s="10"/>
      <c r="D282" s="10"/>
      <c r="E282" s="10"/>
      <c r="F282" s="10"/>
      <c r="G282" s="10"/>
      <c r="H282" s="10"/>
      <c r="I282" s="10"/>
      <c r="J282" s="3"/>
    </row>
    <row r="283" spans="1:10" x14ac:dyDescent="0.2">
      <c r="A283" s="3"/>
      <c r="B283" s="10" t="e">
        <f>B282-B231</f>
        <v>#VALUE!</v>
      </c>
      <c r="C283" s="10"/>
      <c r="D283" s="10"/>
      <c r="E283" s="10"/>
      <c r="F283" s="10"/>
      <c r="G283" s="10"/>
      <c r="H283" s="10"/>
      <c r="I283" s="10"/>
      <c r="J283" s="3"/>
    </row>
    <row r="284" spans="1:10" x14ac:dyDescent="0.2">
      <c r="A284" s="3"/>
      <c r="B284" s="10"/>
      <c r="C284" s="10"/>
      <c r="D284" s="10"/>
      <c r="E284" s="10"/>
      <c r="F284" s="10"/>
      <c r="G284" s="10"/>
      <c r="H284" s="10"/>
      <c r="I284" s="10"/>
      <c r="J284" s="3"/>
    </row>
    <row r="285" spans="1:10" x14ac:dyDescent="0.2">
      <c r="A285" s="3"/>
      <c r="B285" s="10"/>
      <c r="C285" s="10"/>
      <c r="D285" s="10"/>
      <c r="E285" s="10"/>
      <c r="F285" s="10"/>
      <c r="G285" s="10"/>
      <c r="H285" s="10"/>
      <c r="I285" s="10"/>
      <c r="J285" s="3"/>
    </row>
    <row r="286" spans="1:10" ht="15" x14ac:dyDescent="0.25">
      <c r="A286" s="3"/>
      <c r="B286" s="10"/>
      <c r="C286" s="10"/>
      <c r="D286" s="1432" t="s">
        <v>681</v>
      </c>
      <c r="E286" s="1433"/>
      <c r="F286" s="1433" t="s">
        <v>17</v>
      </c>
      <c r="G286" s="1433"/>
      <c r="H286" s="1433" t="s">
        <v>4</v>
      </c>
      <c r="I286" s="1433"/>
      <c r="J286" s="3"/>
    </row>
    <row r="287" spans="1:10" ht="15" x14ac:dyDescent="0.25">
      <c r="A287" s="15" t="s">
        <v>192</v>
      </c>
      <c r="B287" s="16" t="s">
        <v>19</v>
      </c>
      <c r="C287" s="16" t="s">
        <v>20</v>
      </c>
      <c r="D287" s="47" t="s">
        <v>21</v>
      </c>
      <c r="E287" s="48" t="s">
        <v>22</v>
      </c>
      <c r="F287" s="47" t="s">
        <v>23</v>
      </c>
      <c r="G287" s="48" t="s">
        <v>22</v>
      </c>
      <c r="H287" s="47" t="s">
        <v>23</v>
      </c>
      <c r="I287" s="48" t="s">
        <v>22</v>
      </c>
      <c r="J287" s="3"/>
    </row>
    <row r="288" spans="1:10" ht="15" x14ac:dyDescent="0.25">
      <c r="A288" s="15" t="s">
        <v>193</v>
      </c>
      <c r="B288" s="16">
        <v>156</v>
      </c>
      <c r="C288" s="16" t="s">
        <v>74</v>
      </c>
      <c r="D288" s="47"/>
      <c r="E288" s="48"/>
      <c r="F288" s="47"/>
      <c r="G288" s="48"/>
      <c r="H288" s="47"/>
      <c r="I288" s="108"/>
      <c r="J288" s="3"/>
    </row>
    <row r="289" spans="1:10" x14ac:dyDescent="0.2">
      <c r="A289" s="21" t="s">
        <v>27</v>
      </c>
      <c r="B289" s="10">
        <f>B288*0.15</f>
        <v>23.4</v>
      </c>
      <c r="C289" s="22" t="s">
        <v>70</v>
      </c>
      <c r="D289" s="52"/>
      <c r="E289" s="51">
        <f t="shared" ref="E289:E297" si="22">D289*B289</f>
        <v>0</v>
      </c>
      <c r="F289" s="52">
        <v>0.05</v>
      </c>
      <c r="G289" s="51">
        <f t="shared" ref="G289:G297" si="23">F289*B289</f>
        <v>1.17</v>
      </c>
      <c r="H289" s="52">
        <v>0.25</v>
      </c>
      <c r="I289" s="51">
        <f t="shared" ref="I289:I297" si="24">H289*B289</f>
        <v>5.85</v>
      </c>
      <c r="J289" s="3"/>
    </row>
    <row r="290" spans="1:10" x14ac:dyDescent="0.2">
      <c r="A290" s="21" t="s">
        <v>194</v>
      </c>
      <c r="B290" s="10">
        <v>0</v>
      </c>
      <c r="C290" s="22" t="s">
        <v>52</v>
      </c>
      <c r="D290" s="52">
        <v>0.95120000000000005</v>
      </c>
      <c r="E290" s="51">
        <f t="shared" si="22"/>
        <v>0</v>
      </c>
      <c r="F290" s="52">
        <v>2.5000000000000001E-2</v>
      </c>
      <c r="G290" s="51">
        <f t="shared" si="23"/>
        <v>0</v>
      </c>
      <c r="H290" s="52"/>
      <c r="I290" s="51">
        <f t="shared" si="24"/>
        <v>0</v>
      </c>
      <c r="J290" s="3"/>
    </row>
    <row r="291" spans="1:10" x14ac:dyDescent="0.2">
      <c r="A291" s="21" t="s">
        <v>195</v>
      </c>
      <c r="B291" s="10">
        <v>0</v>
      </c>
      <c r="C291" s="22" t="s">
        <v>74</v>
      </c>
      <c r="D291" s="52">
        <v>1.3220000000000001</v>
      </c>
      <c r="E291" s="51">
        <f t="shared" si="22"/>
        <v>0</v>
      </c>
      <c r="F291" s="52">
        <v>0.03</v>
      </c>
      <c r="G291" s="51">
        <f t="shared" si="23"/>
        <v>0</v>
      </c>
      <c r="H291" s="52"/>
      <c r="I291" s="51">
        <f t="shared" si="24"/>
        <v>0</v>
      </c>
      <c r="J291" s="3"/>
    </row>
    <row r="292" spans="1:10" x14ac:dyDescent="0.2">
      <c r="A292" s="21" t="s">
        <v>196</v>
      </c>
      <c r="B292" s="10">
        <v>0</v>
      </c>
      <c r="C292" s="22" t="s">
        <v>72</v>
      </c>
      <c r="D292" s="52">
        <v>20</v>
      </c>
      <c r="E292" s="51">
        <f t="shared" si="22"/>
        <v>0</v>
      </c>
      <c r="F292" s="52">
        <v>0</v>
      </c>
      <c r="G292" s="51">
        <f t="shared" si="23"/>
        <v>0</v>
      </c>
      <c r="H292" s="52">
        <v>0.15</v>
      </c>
      <c r="I292" s="51">
        <f t="shared" si="24"/>
        <v>0</v>
      </c>
      <c r="J292" s="3"/>
    </row>
    <row r="293" spans="1:10" x14ac:dyDescent="0.2">
      <c r="A293" s="21" t="s">
        <v>197</v>
      </c>
      <c r="B293" s="10">
        <v>180</v>
      </c>
      <c r="C293" s="22" t="s">
        <v>74</v>
      </c>
      <c r="D293" s="52">
        <v>1.1200000000000001</v>
      </c>
      <c r="E293" s="51">
        <f t="shared" si="22"/>
        <v>201.60000000000002</v>
      </c>
      <c r="F293" s="52">
        <v>0.01</v>
      </c>
      <c r="G293" s="51">
        <f t="shared" si="23"/>
        <v>1.8</v>
      </c>
      <c r="H293" s="52">
        <v>0</v>
      </c>
      <c r="I293" s="51">
        <f t="shared" si="24"/>
        <v>0</v>
      </c>
      <c r="J293" s="3"/>
    </row>
    <row r="294" spans="1:10" x14ac:dyDescent="0.2">
      <c r="A294" s="21" t="s">
        <v>198</v>
      </c>
      <c r="B294" s="10">
        <v>26</v>
      </c>
      <c r="C294" s="22" t="s">
        <v>72</v>
      </c>
      <c r="D294" s="52">
        <v>17</v>
      </c>
      <c r="E294" s="51">
        <f t="shared" si="22"/>
        <v>442</v>
      </c>
      <c r="F294" s="52">
        <v>0.15</v>
      </c>
      <c r="G294" s="51">
        <f t="shared" si="23"/>
        <v>3.9</v>
      </c>
      <c r="H294" s="52">
        <v>0.15</v>
      </c>
      <c r="I294" s="51">
        <f t="shared" si="24"/>
        <v>3.9</v>
      </c>
      <c r="J294" s="3"/>
    </row>
    <row r="295" spans="1:10" x14ac:dyDescent="0.2">
      <c r="A295" s="21" t="s">
        <v>199</v>
      </c>
      <c r="B295" s="10">
        <v>13</v>
      </c>
      <c r="C295" s="22" t="s">
        <v>72</v>
      </c>
      <c r="D295" s="52">
        <v>46.54</v>
      </c>
      <c r="E295" s="51">
        <f t="shared" si="22"/>
        <v>605.02</v>
      </c>
      <c r="F295" s="52">
        <v>0.15</v>
      </c>
      <c r="G295" s="51">
        <f t="shared" si="23"/>
        <v>1.95</v>
      </c>
      <c r="H295" s="52">
        <v>0.15</v>
      </c>
      <c r="I295" s="51">
        <f t="shared" si="24"/>
        <v>1.95</v>
      </c>
      <c r="J295" s="3"/>
    </row>
    <row r="296" spans="1:10" x14ac:dyDescent="0.2">
      <c r="A296" s="21" t="s">
        <v>200</v>
      </c>
      <c r="B296" s="10">
        <v>0</v>
      </c>
      <c r="C296" s="22" t="s">
        <v>74</v>
      </c>
      <c r="D296" s="52">
        <f>21.9/1.2</f>
        <v>18.25</v>
      </c>
      <c r="E296" s="51">
        <f t="shared" si="22"/>
        <v>0</v>
      </c>
      <c r="F296" s="52"/>
      <c r="G296" s="51">
        <f t="shared" si="23"/>
        <v>0</v>
      </c>
      <c r="H296" s="52"/>
      <c r="I296" s="51">
        <f t="shared" si="24"/>
        <v>0</v>
      </c>
      <c r="J296" s="3"/>
    </row>
    <row r="297" spans="1:10" x14ac:dyDescent="0.2">
      <c r="A297" s="28" t="s">
        <v>201</v>
      </c>
      <c r="B297" s="16">
        <v>1</v>
      </c>
      <c r="C297" s="29" t="s">
        <v>25</v>
      </c>
      <c r="D297" s="70">
        <v>140</v>
      </c>
      <c r="E297" s="69">
        <f t="shared" si="22"/>
        <v>140</v>
      </c>
      <c r="F297" s="70">
        <v>1</v>
      </c>
      <c r="G297" s="69">
        <f t="shared" si="23"/>
        <v>1</v>
      </c>
      <c r="H297" s="70"/>
      <c r="I297" s="69">
        <f t="shared" si="24"/>
        <v>0</v>
      </c>
      <c r="J297" s="3"/>
    </row>
    <row r="298" spans="1:10" ht="15" x14ac:dyDescent="0.25">
      <c r="A298" s="3"/>
      <c r="B298" s="10"/>
      <c r="C298" s="10"/>
      <c r="D298" s="109" t="s">
        <v>31</v>
      </c>
      <c r="E298" s="110">
        <f>SUM(E289:E297)</f>
        <v>1388.62</v>
      </c>
      <c r="F298" s="109" t="s">
        <v>32</v>
      </c>
      <c r="G298" s="110">
        <f>SUM(G289:G297)</f>
        <v>9.8199999999999985</v>
      </c>
      <c r="H298" s="111" t="s">
        <v>32</v>
      </c>
      <c r="I298" s="110">
        <f>SUM(I289:I297)</f>
        <v>11.7</v>
      </c>
      <c r="J298" s="3"/>
    </row>
    <row r="299" spans="1:10" x14ac:dyDescent="0.2">
      <c r="A299" s="3"/>
      <c r="B299" s="10"/>
      <c r="C299" s="10"/>
      <c r="D299" s="10"/>
      <c r="E299" s="10"/>
      <c r="F299" s="10"/>
      <c r="G299" s="10"/>
      <c r="H299" s="10"/>
      <c r="I299" s="10"/>
      <c r="J299" s="3"/>
    </row>
    <row r="300" spans="1:10" x14ac:dyDescent="0.2">
      <c r="A300" s="3"/>
      <c r="B300" s="10"/>
      <c r="C300" s="10"/>
      <c r="D300" s="10"/>
      <c r="E300" s="10"/>
      <c r="F300" s="10"/>
      <c r="G300" s="10"/>
      <c r="H300" s="10"/>
      <c r="I300" s="10"/>
      <c r="J300" s="3"/>
    </row>
    <row r="301" spans="1:10" ht="15" x14ac:dyDescent="0.25">
      <c r="A301" s="15" t="s">
        <v>145</v>
      </c>
      <c r="B301" s="72" t="s">
        <v>33</v>
      </c>
      <c r="C301" s="72"/>
      <c r="D301" s="72" t="s">
        <v>34</v>
      </c>
      <c r="E301" s="72" t="s">
        <v>35</v>
      </c>
      <c r="F301" s="10"/>
      <c r="G301" s="10"/>
      <c r="H301" s="10"/>
      <c r="I301" s="10"/>
      <c r="J301" s="3"/>
    </row>
    <row r="302" spans="1:10" x14ac:dyDescent="0.2">
      <c r="A302" s="3" t="s">
        <v>4</v>
      </c>
      <c r="B302" s="38">
        <f>I298</f>
        <v>11.7</v>
      </c>
      <c r="C302" s="22" t="s">
        <v>36</v>
      </c>
      <c r="D302" s="10"/>
      <c r="E302" s="39" t="e">
        <f>B302*MP_FINITIONS</f>
        <v>#VALUE!</v>
      </c>
      <c r="F302" s="10"/>
      <c r="G302" s="10"/>
      <c r="H302" s="10"/>
      <c r="I302" s="10"/>
      <c r="J302" s="3"/>
    </row>
    <row r="303" spans="1:10" x14ac:dyDescent="0.2">
      <c r="A303" s="3" t="s">
        <v>6</v>
      </c>
      <c r="B303" s="38">
        <f>G298</f>
        <v>9.8199999999999985</v>
      </c>
      <c r="C303" s="22" t="s">
        <v>36</v>
      </c>
      <c r="D303" s="10"/>
      <c r="E303" s="39" t="e">
        <f>B303*MOA_BETON</f>
        <v>#VALUE!</v>
      </c>
      <c r="F303" s="10"/>
      <c r="G303" s="10"/>
      <c r="H303" s="10"/>
      <c r="I303" s="10"/>
      <c r="J303" s="3"/>
    </row>
    <row r="304" spans="1:10" x14ac:dyDescent="0.2">
      <c r="A304" s="311" t="s">
        <v>681</v>
      </c>
      <c r="B304" s="16">
        <f>E298</f>
        <v>1388.62</v>
      </c>
      <c r="C304" s="29" t="s">
        <v>37</v>
      </c>
      <c r="D304" s="16">
        <f>B304*MO</f>
        <v>62487.899999999994</v>
      </c>
      <c r="E304" s="42">
        <f>D304+B304</f>
        <v>63876.52</v>
      </c>
      <c r="F304" s="10"/>
      <c r="G304" s="10"/>
      <c r="H304" s="10"/>
      <c r="I304" s="10"/>
      <c r="J304" s="3"/>
    </row>
    <row r="305" spans="1:10" x14ac:dyDescent="0.2">
      <c r="A305" s="3"/>
      <c r="B305" s="10"/>
      <c r="C305" s="10"/>
      <c r="D305" s="21" t="s">
        <v>149</v>
      </c>
      <c r="E305" s="73" t="e">
        <f>SUM(E302:E304)</f>
        <v>#VALUE!</v>
      </c>
      <c r="F305" s="10" t="s">
        <v>39</v>
      </c>
      <c r="G305" s="10"/>
      <c r="H305" s="10"/>
      <c r="I305" s="10"/>
      <c r="J305" s="3"/>
    </row>
    <row r="306" spans="1:10" x14ac:dyDescent="0.2">
      <c r="A306" s="3"/>
      <c r="B306" s="10"/>
      <c r="C306" s="10"/>
      <c r="D306" s="10"/>
      <c r="E306" s="10"/>
      <c r="F306" s="10"/>
      <c r="G306" s="10"/>
      <c r="H306" s="10"/>
      <c r="I306" s="10"/>
      <c r="J306" s="3"/>
    </row>
    <row r="307" spans="1:10" x14ac:dyDescent="0.2">
      <c r="A307" s="3"/>
      <c r="B307" s="10"/>
      <c r="C307" s="10"/>
      <c r="D307" s="10"/>
      <c r="E307" s="10">
        <f>2457.56</f>
        <v>2457.56</v>
      </c>
      <c r="F307" s="10"/>
      <c r="G307" s="10"/>
      <c r="H307" s="10"/>
      <c r="I307" s="10">
        <f>75*0.15*1.5</f>
        <v>16.875</v>
      </c>
      <c r="J307" s="3"/>
    </row>
    <row r="308" spans="1:10" x14ac:dyDescent="0.2">
      <c r="A308" s="3"/>
      <c r="B308" s="10"/>
      <c r="C308" s="10"/>
      <c r="D308" s="10"/>
      <c r="E308" s="10"/>
      <c r="F308" s="10"/>
      <c r="G308" s="10"/>
      <c r="H308" s="10"/>
      <c r="I308" s="10"/>
      <c r="J308" s="3"/>
    </row>
    <row r="309" spans="1:10" x14ac:dyDescent="0.2">
      <c r="A309" s="3"/>
      <c r="B309" s="10"/>
      <c r="C309" s="10"/>
      <c r="D309" s="10"/>
      <c r="E309" s="10" t="e">
        <f>E305-E307</f>
        <v>#VALUE!</v>
      </c>
      <c r="F309" s="10" t="e">
        <f>E309*1.2</f>
        <v>#VALUE!</v>
      </c>
      <c r="G309" s="10"/>
      <c r="H309" s="10"/>
      <c r="I309" s="10"/>
      <c r="J309" s="3"/>
    </row>
  </sheetData>
  <mergeCells count="15">
    <mergeCell ref="D286:E286"/>
    <mergeCell ref="F286:G286"/>
    <mergeCell ref="H286:I286"/>
    <mergeCell ref="D93:E93"/>
    <mergeCell ref="F93:G93"/>
    <mergeCell ref="H93:I93"/>
    <mergeCell ref="D199:E199"/>
    <mergeCell ref="F199:G199"/>
    <mergeCell ref="H199:I199"/>
    <mergeCell ref="D16:E16"/>
    <mergeCell ref="F16:G16"/>
    <mergeCell ref="H16:I16"/>
    <mergeCell ref="D34:E34"/>
    <mergeCell ref="F34:G34"/>
    <mergeCell ref="H34:I34"/>
  </mergeCell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published="0" codeName="Feuil13"/>
  <dimension ref="A1:Z283"/>
  <sheetViews>
    <sheetView topLeftCell="J1" zoomScaleNormal="100" workbookViewId="0">
      <pane ySplit="1" topLeftCell="A2" activePane="bottomLeft" state="frozen"/>
      <selection activeCell="K17" sqref="K17:P44"/>
      <selection pane="bottomLeft" activeCell="L14" sqref="L14"/>
    </sheetView>
  </sheetViews>
  <sheetFormatPr baseColWidth="10" defaultRowHeight="14.25" x14ac:dyDescent="0.2"/>
  <cols>
    <col min="1" max="1" width="14.125" customWidth="1"/>
    <col min="2" max="2" width="15.625" customWidth="1"/>
    <col min="3" max="3" width="13.625" customWidth="1"/>
    <col min="4" max="4" width="14.125" customWidth="1"/>
    <col min="5" max="5" width="13.625" customWidth="1"/>
    <col min="6" max="6" width="1.125" customWidth="1"/>
    <col min="7" max="7" width="10.125" bestFit="1" customWidth="1"/>
    <col min="9" max="9" width="16.625" customWidth="1"/>
    <col min="10" max="10" width="35.625" customWidth="1"/>
    <col min="11" max="11" width="10.125" customWidth="1"/>
    <col min="12" max="12" width="49.625" customWidth="1"/>
    <col min="15" max="15" width="10.625" bestFit="1" customWidth="1"/>
    <col min="16" max="16" width="7.625" customWidth="1"/>
    <col min="19" max="19" width="14.875" customWidth="1"/>
    <col min="21" max="22" width="11.125"/>
    <col min="23" max="23" width="41.375" customWidth="1"/>
    <col min="24" max="24" width="45.375" customWidth="1"/>
  </cols>
  <sheetData>
    <row r="1" spans="1:26" ht="36.6" customHeight="1" x14ac:dyDescent="0.2">
      <c r="A1" s="1362"/>
      <c r="B1" s="1362"/>
      <c r="C1" s="1362"/>
      <c r="D1" s="1362"/>
      <c r="E1" s="1362"/>
      <c r="F1" s="1362"/>
      <c r="G1" s="1362"/>
      <c r="H1" s="1363"/>
      <c r="I1" s="1363"/>
      <c r="J1" s="1363">
        <v>1</v>
      </c>
      <c r="K1" s="1434" t="s">
        <v>1464</v>
      </c>
      <c r="L1" s="1434"/>
      <c r="M1" s="1434"/>
      <c r="N1" s="1434"/>
      <c r="O1" s="1434"/>
      <c r="P1" s="1434"/>
      <c r="Q1" s="1434"/>
      <c r="R1" s="338"/>
      <c r="S1" s="338"/>
      <c r="T1" s="338"/>
      <c r="U1" s="345"/>
      <c r="V1" s="345"/>
      <c r="X1" s="557" t="s">
        <v>1487</v>
      </c>
      <c r="Y1" s="345"/>
    </row>
    <row r="2" spans="1:26" ht="55.5" customHeight="1" x14ac:dyDescent="0.2">
      <c r="A2" s="338"/>
      <c r="B2" s="338"/>
      <c r="C2" s="338"/>
      <c r="D2" s="338"/>
      <c r="E2" s="338"/>
      <c r="F2" s="338"/>
      <c r="G2" s="338"/>
      <c r="H2" s="338"/>
      <c r="I2" s="338"/>
      <c r="J2" s="338"/>
      <c r="K2" s="559" t="s">
        <v>444</v>
      </c>
      <c r="L2" s="559" t="s">
        <v>1489</v>
      </c>
      <c r="M2" s="559" t="s">
        <v>1493</v>
      </c>
      <c r="N2" s="559" t="s">
        <v>1491</v>
      </c>
      <c r="O2" s="559" t="s">
        <v>1494</v>
      </c>
      <c r="P2" s="559" t="s">
        <v>1490</v>
      </c>
      <c r="Q2" s="559"/>
      <c r="R2" s="338"/>
      <c r="S2" s="338"/>
      <c r="T2" s="338"/>
      <c r="U2" s="345"/>
      <c r="V2" s="345"/>
      <c r="X2" s="1435" t="s">
        <v>439</v>
      </c>
      <c r="Y2" s="1435"/>
    </row>
    <row r="3" spans="1:26" s="345" customFormat="1" ht="29.25" customHeight="1" x14ac:dyDescent="0.2">
      <c r="A3" s="1434" t="s">
        <v>1477</v>
      </c>
      <c r="B3" s="1434"/>
      <c r="C3" s="1434"/>
      <c r="D3" s="1434"/>
      <c r="E3" s="1434"/>
      <c r="F3" s="1434"/>
      <c r="G3" s="1434"/>
      <c r="H3" s="338"/>
      <c r="I3" s="338"/>
      <c r="J3" s="338"/>
      <c r="K3" s="1360"/>
      <c r="L3" s="1361"/>
      <c r="M3" s="1369" t="str">
        <f>_xlfn.IFNA(VLOOKUP($L3,MATIERES!$A$2:$F$448,4,0),"")</f>
        <v/>
      </c>
      <c r="N3" s="1361" t="str">
        <f>_xlfn.IFNA(VLOOKUP($L3,MATIERES!$A$2:$F$448,5,0),"")</f>
        <v/>
      </c>
      <c r="O3" s="1360" t="str">
        <f>IFERROR(M3*K3,"")</f>
        <v/>
      </c>
      <c r="P3" s="558"/>
      <c r="Q3" s="558"/>
      <c r="R3" s="338"/>
      <c r="S3" s="338"/>
      <c r="T3" s="338"/>
      <c r="X3" s="1222"/>
      <c r="Y3" s="1222"/>
    </row>
    <row r="4" spans="1:26" ht="24" customHeight="1" x14ac:dyDescent="0.2">
      <c r="A4" s="338"/>
      <c r="B4" s="553" t="s">
        <v>1113</v>
      </c>
      <c r="C4" s="553" t="s">
        <v>1209</v>
      </c>
      <c r="D4" s="553" t="s">
        <v>1211</v>
      </c>
      <c r="E4" s="553" t="s">
        <v>1210</v>
      </c>
      <c r="F4" s="1090"/>
      <c r="G4" s="554" t="s">
        <v>1486</v>
      </c>
      <c r="H4" s="338"/>
      <c r="I4" s="338"/>
      <c r="J4" s="338"/>
      <c r="K4" s="1360">
        <v>0</v>
      </c>
      <c r="L4" s="1361" t="s">
        <v>1806</v>
      </c>
      <c r="M4" s="1360" t="str">
        <f>_xlfn.IFNA(VLOOKUP($L4,MATIERES!$A$2:$F$448,4,0),"")</f>
        <v/>
      </c>
      <c r="N4" s="1361" t="str">
        <f>_xlfn.IFNA(VLOOKUP($L4,MATIERES!$A$2:$F$448,5,0),"")</f>
        <v/>
      </c>
      <c r="O4" s="1360" t="str">
        <f>IFERROR(M4*K4,"")</f>
        <v/>
      </c>
      <c r="P4" s="558"/>
      <c r="Q4" s="558"/>
      <c r="R4" s="338"/>
      <c r="S4" s="338"/>
      <c r="T4" s="338"/>
      <c r="U4" s="345"/>
      <c r="V4" s="345"/>
      <c r="X4" s="557" t="str">
        <f>_xlfn.IFNA(IF(Simulation!$J$7="",IF(VLOOKUP(TCFV!$C4,MATIERES!$A$2:$G$421,3,0)="SASKIT",TCFV!$C4,"non"),IF(VLOOKUP(TCBACS!$C4,MATIERES!$A$2:$G$421,3,0)="SASKIT",TCBACS!$C4,"non")),"non")</f>
        <v>non</v>
      </c>
      <c r="Y4" s="345">
        <f>_xlfn.IFNA(IF(Simulation!$J$7="",VLOOKUP(X4,TCFV!$C$4:AN$46,VLOOKUP(Simulation!$B$10,'Estimatif Q'!$A$97:$B$114,2,0),0),VLOOKUP(X4,TCBACS!$C$4:AK$48,VLOOKUP(Simulation!$B$10,'Estimatif Q'!$A$97:$B$114,2,0),0)),0)</f>
        <v>0</v>
      </c>
      <c r="Z4" s="345" t="str">
        <f>IF(Y4=0,"non",X4)</f>
        <v>non</v>
      </c>
    </row>
    <row r="5" spans="1:26" x14ac:dyDescent="0.2">
      <c r="A5" s="553" t="s">
        <v>222</v>
      </c>
      <c r="B5" s="555" t="s">
        <v>1146</v>
      </c>
      <c r="C5" s="555" t="s">
        <v>1146</v>
      </c>
      <c r="D5" s="555" t="s">
        <v>1146</v>
      </c>
      <c r="E5" s="555" t="s">
        <v>1146</v>
      </c>
      <c r="F5" s="1091"/>
      <c r="G5" s="555" t="s">
        <v>70</v>
      </c>
      <c r="H5" s="338"/>
      <c r="I5" s="338"/>
      <c r="J5" s="338"/>
      <c r="K5" s="1360">
        <v>1</v>
      </c>
      <c r="L5" s="1361" t="s">
        <v>304</v>
      </c>
      <c r="M5" s="1360">
        <f>_xlfn.IFNA(VLOOKUP($L5,MATIERES!$A$2:$F$448,4,0),"")</f>
        <v>378.51</v>
      </c>
      <c r="N5" s="1361" t="str">
        <f>_xlfn.IFNA(VLOOKUP($L5,MATIERES!$A$2:$F$448,5,0),"")</f>
        <v>pc</v>
      </c>
      <c r="O5" s="1360">
        <f t="shared" ref="O5:O13" si="0">IFERROR(M5*K5,"")</f>
        <v>378.51</v>
      </c>
      <c r="P5" s="558"/>
      <c r="Q5" s="558"/>
      <c r="R5" s="338"/>
      <c r="S5" s="338"/>
      <c r="T5" s="338"/>
      <c r="U5" s="345"/>
      <c r="V5" s="345"/>
      <c r="X5" s="557" t="str">
        <f>_xlfn.IFNA(IF(Simulation!$J$7="",IF(VLOOKUP(TCFV!$C5,MATIERES!$A$2:$G$421,3,0)="SASKIT",TCFV!$C5,"non"),IF(VLOOKUP(TCBACS!$C5,MATIERES!$A$2:$G$421,3,0)="SASKIT",TCBACS!$C5,"non")),"non")</f>
        <v>non</v>
      </c>
      <c r="Y5" s="345">
        <f>_xlfn.IFNA(IF(Simulation!$J$7="",VLOOKUP(X5,TCFV!$C$4:AN$46,VLOOKUP(Simulation!$B$10,'Estimatif Q'!$A$97:$B$114,2,0),0),VLOOKUP(X5,TCBACS!$C$4:AK$48,VLOOKUP(Simulation!$B$10,'Estimatif Q'!$A$97:$B$114,2,0),0)),0)</f>
        <v>0</v>
      </c>
      <c r="Z5" s="345" t="str">
        <f t="shared" ref="Z5:Z68" si="1">IF(Y5=0,"non",X5)</f>
        <v>non</v>
      </c>
    </row>
    <row r="6" spans="1:26" ht="15" customHeight="1" x14ac:dyDescent="0.2">
      <c r="A6" s="547" t="s">
        <v>1478</v>
      </c>
      <c r="B6" s="545">
        <f>IF(FVBchoix="",VLOOKUP(B$4,TCFV!$C$4:$AN$32,(VLOOKUP(Simulation!$B$10,'Estimatif Q'!$A$97:$B$114,2,0)),0),VLOOKUP(B$4,TCBACS!$C$4:$AK$32,(VLOOKUP(Simulation!$B$10,'Estimatif Q'!$G$108:$H$113,2,0)),0))</f>
        <v>4.96</v>
      </c>
      <c r="C6" s="545">
        <f>IF(FVBchoix="",VLOOKUP(C$4,TCFV!$C$4:$AN$32,(VLOOKUP(Simulation!$B$10,'Estimatif Q'!$A$97:$B$114,2,0)),0),VLOOKUP(C$4,TCBACS!$C$4:$AK$32,(VLOOKUP(Simulation!$B$10,'Estimatif Q'!$G$108:$H$113,2,0)),0))</f>
        <v>6.8</v>
      </c>
      <c r="D6" s="545">
        <f>IF(FVBchoix="",VLOOKUP(D$4,TCFV!$C$4:$AN$32,(VLOOKUP(Simulation!$B$10,'Estimatif Q'!$A$97:$B$114,2,0)),0),VLOOKUP(D$4,TCBACS!$C$4:$AK$32,(VLOOKUP(Simulation!$B$10,'Estimatif Q'!$G$108:$H$113,2,0)),0))</f>
        <v>16.200000000000003</v>
      </c>
      <c r="E6" s="545">
        <f>IF(FVBchoix="",VLOOKUP(E$4,TCFV!$C$4:$AN$32,(VLOOKUP(Simulation!$B$10,'Estimatif Q'!$A$97:$B$114,2,0)),0),VLOOKUP(E$4,TCBACS!$C$4:$AK$32,(VLOOKUP(Simulation!$B$10,'Estimatif Q'!$G$108:$H$113,2,0)),0))</f>
        <v>0.9</v>
      </c>
      <c r="F6" s="566"/>
      <c r="G6" s="568" t="str">
        <f>IF(OR(Simulation!J9="H1",Simulation!K9="H1"),IF(Simulation!J17=2,-Simulation!G11*(1.8/4)-0.25*0.9-0.9,-Simulation!G11*(0.9/4)-0.25*0.45-0.45),"")</f>
        <v/>
      </c>
      <c r="H6" s="338"/>
      <c r="I6" s="338"/>
      <c r="J6" s="338"/>
      <c r="K6" s="1360">
        <v>1</v>
      </c>
      <c r="L6" s="1361" t="s">
        <v>283</v>
      </c>
      <c r="M6" s="1360">
        <f>_xlfn.IFNA(VLOOKUP($L6,MATIERES!$A$2:$F$448,4,0),"")</f>
        <v>112.15</v>
      </c>
      <c r="N6" s="1361" t="str">
        <f>_xlfn.IFNA(VLOOKUP($L6,MATIERES!$A$2:$F$448,5,0),"")</f>
        <v>pc</v>
      </c>
      <c r="O6" s="1360">
        <f t="shared" si="0"/>
        <v>112.15</v>
      </c>
      <c r="P6" s="558"/>
      <c r="Q6" s="558"/>
      <c r="R6" s="338"/>
      <c r="S6" s="338"/>
      <c r="T6" s="338"/>
      <c r="X6" s="557" t="str">
        <f>_xlfn.IFNA(IF(Simulation!$J$7="",IF(VLOOKUP(TCFV!$C6,MATIERES!$A$2:$G$421,3,0)="SASKIT",TCFV!$C6,"non"),IF(VLOOKUP(TCBACS!$C6,MATIERES!$A$2:$G$421,3,0)="SASKIT",TCBACS!$C6,"non")),"non")</f>
        <v>non</v>
      </c>
      <c r="Y6" s="345">
        <f>_xlfn.IFNA(IF(Simulation!$J$7="",VLOOKUP(X6,TCFV!$C$4:AN$46,VLOOKUP(Simulation!$B$10,'Estimatif Q'!$A$97:$B$114,2,0),0),VLOOKUP(X6,TCBACS!$C$4:AK$48,VLOOKUP(Simulation!$B$10,'Estimatif Q'!$A$97:$B$114,2,0),0)),0)</f>
        <v>0</v>
      </c>
      <c r="Z6" s="345" t="str">
        <f t="shared" si="1"/>
        <v>non</v>
      </c>
    </row>
    <row r="7" spans="1:26" ht="15" customHeight="1" x14ac:dyDescent="0.2">
      <c r="A7" s="547" t="s">
        <v>1262</v>
      </c>
      <c r="B7" s="545" t="str">
        <f>IFERROR(IF(FVSCchoix="FV1",VLOOKUP(B$4,'FV1'!$C$4:$AM$10,VLOOKUP(Simulation!$B$10,'Estimatif Q'!$A$97:$B$114,2,1),0),IF(FVSCchoix="FV2",VLOOKUP(B$4,'FV2'!$C$4:$AM$11,VLOOKUP(Simulation!$B$10,'Estimatif Q'!$A$97:$B$114,2,1),0),IF(FVSCchoix="FV3",VLOOKUP(B$4,'FV3'!$C$4:$AM$11,VLOOKUP(Simulation!$B$10,'Estimatif Q'!$A$97:$B$114,2,1),0),IF(FVSCchoix="FV4",VLOOKUP(B$4,'FV4'!$C$4:$AM$10,VLOOKUP(Simulation!$B$10,'Estimatif Q'!$A$97:$B$114,2,1),0),IF(FVSCchoix="FV5",VLOOKUP(B$4,'FV5'!$C$4:$AM$11,VLOOKUP(Simulation!$B$10,'Estimatif Q'!$A$97:$B$114,2,1),0),IF(FVSCchoix="FV6",VLOOKUP(B$4,'FV6'!$C$4:$AM$11,VLOOKUP(Simulation!$B$10,'Estimatif Q'!$A$97:$B$114,2,1),0),IF(FVSCchoix="FV7",VLOOKUP(B$4,'FV7'!$C$4:$AM$12,VLOOKUP(Simulation!$B$10,'Estimatif Q'!$A$97:$B$114,2,1),0),IF(FVSCchoix="FV8",VLOOKUP(B$4,'FV8'!$C$4:$AM$11,VLOOKUP(Simulation!$B$10,'Estimatif Q'!$A$97:$B$114,2,1),0),IF(FVSCchoix="FV9",VLOOKUP(B$4,'FV9'!$C$4:$AM$13,VLOOKUP(Simulation!$B$10,'Estimatif Q'!$A$97:$B$114,2,1),0),IF(FVSCchoix="FV8",VLOOKUP(B$4,'FV8'!$C$4:$AM$11,VLOOKUP(Simulation!$B$10,'Estimatif Q'!$A$97:$B$114,2,1),0),0)))))))))),"")</f>
        <v/>
      </c>
      <c r="C7" s="545" t="str">
        <f>IFERROR(IF(FVSCchoix="FV1",VLOOKUP(C$4,'FV1'!$C$4:$AM$10,VLOOKUP(Simulation!$B$10,'Estimatif Q'!$A$97:$B$114,2,1),0),IF(FVSCchoix="FV2",VLOOKUP(C$4,'FV2'!$C$4:$AM$11,VLOOKUP(Simulation!$B$10,'Estimatif Q'!$A$97:$B$114,2,1),0),IF(FVSCchoix="FV3",VLOOKUP(C$4,'FV3'!$C$4:$AM$11,VLOOKUP(Simulation!$B$10,'Estimatif Q'!$A$97:$B$114,2,1),0),IF(FVSCchoix="FV4",VLOOKUP(C$4,'FV4'!$C$4:$AM$10,VLOOKUP(Simulation!$B$10,'Estimatif Q'!$A$97:$B$114,2,1),0),IF(FVSCchoix="FV5",VLOOKUP(C$4,'FV5'!$C$4:$AM$11,VLOOKUP(Simulation!$B$10,'Estimatif Q'!$A$97:$B$114,2,1),0),IF(FVSCchoix="FV6",VLOOKUP(C$4,'FV6'!$C$4:$AM$11,VLOOKUP(Simulation!$B$10,'Estimatif Q'!$A$97:$B$114,2,1),0),IF(FVSCchoix="FV7",VLOOKUP(C$4,'FV7'!$C$4:$AM$12,VLOOKUP(Simulation!$B$10,'Estimatif Q'!$A$97:$B$114,2,1),0),IF(FVSCchoix="FV8",VLOOKUP(C$4,'FV8'!$C$4:$AM$11,VLOOKUP(Simulation!$B$10,'Estimatif Q'!$A$97:$B$114,2,1),0),IF(FVSCchoix="FV9",VLOOKUP(C$4,'FV9'!$C$4:$AM$13,VLOOKUP(Simulation!$B$10,'Estimatif Q'!$A$97:$B$114,2,1),0),IF(FVSCchoix="FV8",VLOOKUP(C$4,'FV8'!$C$4:$AM$11,VLOOKUP(Simulation!$B$10,'Estimatif Q'!$A$97:$B$114,2,1),0),0)))))))))),"")</f>
        <v/>
      </c>
      <c r="D7" s="545" t="str">
        <f>IFERROR(IF(FVSCchoix="FV1",VLOOKUP(D$4,'FV1'!$C$4:$AM$10,VLOOKUP(Simulation!$B$10,'Estimatif Q'!$A$97:$B$114,2,1),0),IF(FVSCchoix="FV2",VLOOKUP(D$4,'FV2'!$C$4:$AM$11,VLOOKUP(Simulation!$B$10,'Estimatif Q'!$A$97:$B$114,2,1),0),IF(FVSCchoix="FV3",VLOOKUP(D$4,'FV3'!$C$4:$AM$11,VLOOKUP(Simulation!$B$10,'Estimatif Q'!$A$97:$B$114,2,1),0),IF(FVSCchoix="FV4",VLOOKUP(D$4,'FV4'!$C$4:$AM$10,VLOOKUP(Simulation!$B$10,'Estimatif Q'!$A$97:$B$114,2,1),0),IF(FVSCchoix="FV5",VLOOKUP(D$4,'FV5'!$C$4:$AM$11,VLOOKUP(Simulation!$B$10,'Estimatif Q'!$A$97:$B$114,2,1),0),IF(FVSCchoix="FV6",VLOOKUP(D$4,'FV6'!$C$4:$AM$11,VLOOKUP(Simulation!$B$10,'Estimatif Q'!$A$97:$B$114,2,1),0),IF(FVSCchoix="FV7",VLOOKUP(D$4,'FV7'!$C$4:$AM$12,VLOOKUP(Simulation!$B$10,'Estimatif Q'!$A$97:$B$114,2,1),0),IF(FVSCchoix="FV8",VLOOKUP(D$4,'FV8'!$C$4:$AM$11,VLOOKUP(Simulation!$B$10,'Estimatif Q'!$A$97:$B$114,2,1),0),IF(FVSCchoix="FV9",VLOOKUP(D$4,'FV9'!$C$4:$AM$13,VLOOKUP(Simulation!$B$10,'Estimatif Q'!$A$97:$B$114,2,1),0),IF(FVSCchoix="FV8",VLOOKUP(D$4,'FV8'!$C$4:$AM$11,VLOOKUP(Simulation!$B$10,'Estimatif Q'!$A$97:$B$114,2,1),0),0)))))))))),"")</f>
        <v/>
      </c>
      <c r="E7" s="545" t="str">
        <f>IFERROR(IF(FVSCchoix="FV1",VLOOKUP(E$4,'FV1'!$C$4:$AM$10,VLOOKUP(Simulation!$B$10,'Estimatif Q'!$A$97:$B$114,2,1),0),IF(FVSCchoix="FV2",VLOOKUP(E$4,'FV2'!$C$4:$AM$11,VLOOKUP(Simulation!$B$10,'Estimatif Q'!$A$97:$B$114,2,1),0),IF(FVSCchoix="FV3",VLOOKUP(E$4,'FV3'!$C$4:$AM$11,VLOOKUP(Simulation!$B$10,'Estimatif Q'!$A$97:$B$114,2,1),0),IF(FVSCchoix="FV4",VLOOKUP(E$4,'FV4'!$C$4:$AM$10,VLOOKUP(Simulation!$B$10,'Estimatif Q'!$A$97:$B$114,2,1),0),IF(FVSCchoix="FV5",VLOOKUP(E$4,'FV5'!$C$4:$AM$11,VLOOKUP(Simulation!$B$10,'Estimatif Q'!$A$97:$B$114,2,1),0),IF(FVSCchoix="FV6",VLOOKUP(E$4,'FV6'!$C$4:$AM$11,VLOOKUP(Simulation!$B$10,'Estimatif Q'!$A$97:$B$114,2,1),0),IF(FVSCchoix="FV7",VLOOKUP(E$4,'FV7'!$C$4:$AM$12,VLOOKUP(Simulation!$B$10,'Estimatif Q'!$A$97:$B$114,2,1),0),IF(FVSCchoix="FV8",VLOOKUP(E$4,'FV8'!$C$4:$AM$11,VLOOKUP(Simulation!$B$10,'Estimatif Q'!$A$97:$B$114,2,1),0),IF(FVSCchoix="FV9",VLOOKUP(E$4,'FV9'!$C$4:$AM$13,VLOOKUP(Simulation!$B$10,'Estimatif Q'!$A$97:$B$114,2,1),0),IF(FVSCchoix="FV8",VLOOKUP(E$4,'FV8'!$C$4:$AM$11,VLOOKUP(Simulation!$B$10,'Estimatif Q'!$A$97:$B$114,2,1),0),0)))))))))),"")</f>
        <v/>
      </c>
      <c r="F7" s="566"/>
      <c r="G7" s="551">
        <f>IF(OR(Simulation!K8="FV5",Simulation!K8="FV6",Simulation!K8="FV7"),Simulation!$G$16*0.5,IF(OR(Simulation!K8="FV8",Simulation!K8="FV9"),Simulation!$G$16*0.9,0))</f>
        <v>0</v>
      </c>
      <c r="H7" s="338"/>
      <c r="I7" s="338"/>
      <c r="J7" s="338"/>
      <c r="K7" s="1360">
        <v>1</v>
      </c>
      <c r="L7" s="1361" t="s">
        <v>287</v>
      </c>
      <c r="M7" s="1360">
        <f>_xlfn.IFNA(VLOOKUP($L7,MATIERES!$A$2:$F$448,4,0),"")</f>
        <v>158.16999999999999</v>
      </c>
      <c r="N7" s="1361" t="str">
        <f>_xlfn.IFNA(VLOOKUP($L7,MATIERES!$A$2:$F$448,5,0),"")</f>
        <v>pc</v>
      </c>
      <c r="O7" s="1360">
        <f t="shared" si="0"/>
        <v>158.16999999999999</v>
      </c>
      <c r="P7" s="558"/>
      <c r="Q7" s="558"/>
      <c r="R7" s="338"/>
      <c r="S7" s="338"/>
      <c r="T7" s="338"/>
      <c r="X7" s="557" t="str">
        <f>_xlfn.IFNA(IF(Simulation!$J$7="",IF(VLOOKUP(TCFV!$C7,MATIERES!$A$2:$G$421,3,0)="SASKIT",TCFV!$C7,"non"),IF(VLOOKUP(TCBACS!$C7,MATIERES!$A$2:$G$421,3,0)="SASKIT",TCBACS!$C7,"non")),"non")</f>
        <v>non</v>
      </c>
      <c r="Y7" s="345">
        <f>_xlfn.IFNA(IF(Simulation!$J$7="",VLOOKUP(X7,TCFV!$C$4:AN$46,VLOOKUP(Simulation!$B$10,'Estimatif Q'!$A$97:$B$114,2,0),0),VLOOKUP(X7,TCBACS!$C$4:AK$48,VLOOKUP(Simulation!$B$10,'Estimatif Q'!$A$97:$B$114,2,0),0)),0)</f>
        <v>0</v>
      </c>
      <c r="Z7" s="345" t="str">
        <f t="shared" si="1"/>
        <v>non</v>
      </c>
    </row>
    <row r="8" spans="1:26" ht="15" customHeight="1" x14ac:dyDescent="0.2">
      <c r="A8" s="547" t="s">
        <v>1483</v>
      </c>
      <c r="B8" s="545">
        <f>IF(FVBSCchoix="FVB1",VLOOKUP(B$4,'FVB1'!$C$4:$AK$25,(VLOOKUP(Simulation!$B$10,'Estimatif Q'!$G$108:$H$113,2,1)),1),IF(FVBSCchoix="FVB2",VLOOKUP(B$4,'FVB2'!$C$4:$AK$25,(VLOOKUP(Simulation!$B$10,'Estimatif Q'!$G$108:$H$113,2,1)),1),IF(FVBSCchoix="FVB3",VLOOKUP(B$4,'FVB3'!$C$4:$AK$24,(VLOOKUP(Simulation!$B$10,'Estimatif Q'!$G$108:$H$113,2,1)),1),0)))</f>
        <v>0</v>
      </c>
      <c r="C8" s="545">
        <f>IF(FVBSCchoix="FVB1",VLOOKUP(C$4,'FVB1'!$C$4:$AK$25,(VLOOKUP(Simulation!$B$10,'Estimatif Q'!$G$108:$H$113,2,1)),1),IF(FVBSCchoix="FVB2",VLOOKUP(C$4,'FVB2'!$C$4:$AK$25,(VLOOKUP(Simulation!$B$10,'Estimatif Q'!$G$108:$H$113,2,1)),1),IF(FVBSCchoix="FVB3",VLOOKUP(C$4,'FVB3'!$C$4:$AK$24,(VLOOKUP(Simulation!$B$10,'Estimatif Q'!$G$108:$H$113,2,1)),1),0)))</f>
        <v>0</v>
      </c>
      <c r="D8" s="545">
        <f>IF(FVBSCchoix="FVB1",VLOOKUP(D$4,'FVB1'!$C$4:$AK$25,(VLOOKUP(Simulation!$B$10,'Estimatif Q'!$G$108:$H$113,2,1)),1),IF(FVBSCchoix="FVB2",VLOOKUP(D$4,'FVB2'!$C$4:$AK$25,(VLOOKUP(Simulation!$B$10,'Estimatif Q'!$G$108:$H$113,2,1)),1),IF(FVBSCchoix="FVB3",VLOOKUP(D$4,'FVB3'!$C$4:$AK$24,(VLOOKUP(Simulation!$B$10,'Estimatif Q'!$G$108:$H$113,2,1)),1),0)))</f>
        <v>0</v>
      </c>
      <c r="E8" s="545">
        <f>IF(FVBSCchoix="FVB1",VLOOKUP(E$4,'FVB1'!$C$4:$AK$25,(VLOOKUP(Simulation!$B$10,'Estimatif Q'!$G$108:$H$113,2,0)),0),IF(FVBSCchoix="FVB2",VLOOKUP(E$4,'FVB2'!$C$4:$AK$25,(VLOOKUP(Simulation!$B$10,'Estimatif Q'!$G$108:$H$113,2,0)),0),IF(FVBSCchoix="FVB3",VLOOKUP(E$4,'FVB3'!$C$4:$AK$24,(VLOOKUP(Simulation!$B$10,'Estimatif Q'!$G$108:$H$113,2,0)),1),0)))</f>
        <v>0</v>
      </c>
      <c r="F8" s="566"/>
      <c r="G8" s="551">
        <f>IF(Simulation!J8="FVB2",Simulation!$G$16*0.5,IF(Simulation!J8="FVB1",Simulation!$G$16*0.9,0))</f>
        <v>0</v>
      </c>
      <c r="H8" s="338"/>
      <c r="I8" s="338"/>
      <c r="J8" s="338"/>
      <c r="K8" s="1360">
        <v>1</v>
      </c>
      <c r="L8" s="1361" t="s">
        <v>350</v>
      </c>
      <c r="M8" s="1360">
        <f>_xlfn.IFNA(VLOOKUP($L8,MATIERES!$A$2:$F$448,4,0),"")</f>
        <v>899</v>
      </c>
      <c r="N8" s="1361" t="str">
        <f>_xlfn.IFNA(VLOOKUP($L8,MATIERES!$A$2:$F$448,5,0),"")</f>
        <v>pc</v>
      </c>
      <c r="O8" s="1360">
        <f t="shared" si="0"/>
        <v>899</v>
      </c>
      <c r="P8" s="558"/>
      <c r="Q8" s="558"/>
      <c r="R8" s="338"/>
      <c r="S8" s="338"/>
      <c r="T8" s="338"/>
      <c r="X8" s="557" t="str">
        <f>_xlfn.IFNA(IF(Simulation!$J$7="",IF(VLOOKUP(TCFV!$C8,MATIERES!$A$2:$G$421,3,0)="SASKIT",TCFV!$C8,"non"),IF(VLOOKUP(TCBACS!$C8,MATIERES!$A$2:$G$421,3,0)="SASKIT",TCBACS!$C8,"non")),"non")</f>
        <v>PFV2EH</v>
      </c>
      <c r="Y8" s="345">
        <f>_xlfn.IFNA(IF(Simulation!$J$7="",VLOOKUP(X8,TCFV!$C$4:AN$46,VLOOKUP(Simulation!$B$10,'Estimatif Q'!$A$97:$B$114,2,0),0),VLOOKUP(X8,TCBACS!$C$4:AK$48,VLOOKUP(Simulation!$B$10,'Estimatif Q'!$A$97:$B$114,2,0),0)),0)</f>
        <v>0</v>
      </c>
      <c r="Z8" s="345" t="str">
        <f t="shared" si="1"/>
        <v>non</v>
      </c>
    </row>
    <row r="9" spans="1:26" ht="15" customHeight="1" x14ac:dyDescent="0.2">
      <c r="A9" s="547" t="s">
        <v>1261</v>
      </c>
      <c r="B9" s="545">
        <f>IF(Simulation!$L$7="",0,VLOOKUP(B$4,TCFH!$C$4:$AN$33,(VLOOKUP(Simulation!$B$10,'Estimatif Q'!$A$97:$B$114,2,0)),0))</f>
        <v>0</v>
      </c>
      <c r="C9" s="545">
        <f>IF(Simulation!$L$7="",0,VLOOKUP(C$4,TCFH!$C$4:$AN$53,(VLOOKUP(Simulation!$B$10,'Estimatif Q'!$A$97:$B$114,2,1)),0))</f>
        <v>0</v>
      </c>
      <c r="D9" s="545">
        <f>IFERROR(IF(Simulation!$L$7="",0,VLOOKUP(D$4,TCFH!$C$4:$AN$53,(VLOOKUP(Simulation!$B$10,'Estimatif Q'!$A$97:$B$114,2,1)),0)),0)</f>
        <v>0</v>
      </c>
      <c r="E9" s="545">
        <f>IF(Simulation!$L$7="",0,VLOOKUP(E$4,TCFH!$C$4:$AN$33,(VLOOKUP(Simulation!$B$10,'Estimatif Q'!$A$97:$B$114,2,1)),1))</f>
        <v>0</v>
      </c>
      <c r="F9" s="566"/>
      <c r="G9" s="550" t="s">
        <v>223</v>
      </c>
      <c r="H9" s="338"/>
      <c r="I9" s="338"/>
      <c r="J9" s="338"/>
      <c r="K9" s="1360">
        <v>1</v>
      </c>
      <c r="L9" s="1361" t="s">
        <v>1498</v>
      </c>
      <c r="M9" s="1360">
        <f>_xlfn.IFNA(VLOOKUP($L9,MATIERES!$A$2:$F$448,4,0),"")</f>
        <v>332.96</v>
      </c>
      <c r="N9" s="1361" t="str">
        <f>_xlfn.IFNA(VLOOKUP($L9,MATIERES!$A$2:$F$448,5,0),"")</f>
        <v>pc</v>
      </c>
      <c r="O9" s="1360">
        <f t="shared" si="0"/>
        <v>332.96</v>
      </c>
      <c r="P9" s="558"/>
      <c r="Q9" s="558"/>
      <c r="R9" s="338"/>
      <c r="S9" s="338"/>
      <c r="T9" s="338"/>
      <c r="X9" s="557" t="str">
        <f>_xlfn.IFNA(IF(Simulation!$J$7="",IF(VLOOKUP(TCFV!$C9,MATIERES!$A$2:$G$421,3,0)="SASKIT",TCFV!$C9,"non"),IF(VLOOKUP(TCBACS!$C9,MATIERES!$A$2:$G$421,3,0)="SASKIT",TCBACS!$C9,"non")),"non")</f>
        <v>PFV3EH3X2</v>
      </c>
      <c r="Y9" s="345">
        <f>_xlfn.IFNA(IF(Simulation!$J$7="",VLOOKUP(X9,TCFV!$C$4:AN$46,VLOOKUP(Simulation!$B$10,'Estimatif Q'!$A$97:$B$114,2,0),0),VLOOKUP(X9,TCBACS!$C$4:AK$48,VLOOKUP(Simulation!$B$10,'Estimatif Q'!$A$97:$B$114,2,0),0)),0)</f>
        <v>0</v>
      </c>
      <c r="Z9" s="345" t="str">
        <f t="shared" si="1"/>
        <v>non</v>
      </c>
    </row>
    <row r="10" spans="1:26" ht="15" customHeight="1" x14ac:dyDescent="0.2">
      <c r="A10" s="547" t="s">
        <v>1263</v>
      </c>
      <c r="B10" s="545">
        <f>_xlfn.IFNA(IF(Simulation!$L$8="FH1",VLOOKUP(B$4,'FH1'!$C$4:$AN$11,VLOOKUP(Simulation!$B$10,'Estimatif Q'!$A$97:$B$114,2,1),0),IF(Simulation!$L$8="FH2",VLOOKUP(B$4,'FH2'!$C$4:$AN$11,VLOOKUP(Simulation!$B$10,'Estimatif Q'!$A$97:$B$114,2,1),0),IF(Simulation!$L$8="FH3",VLOOKUP(B$4,'FH3'!$C$4:$AN$11,VLOOKUP(Simulation!$B$10,'Estimatif Q'!$A$97:$B$114,2,1),0),IF(Simulation!$L$8="FH4",VLOOKUP(B$4,'FH4'!$C$4:$AN$11,VLOOKUP(Simulation!$B$10,'Estimatif Q'!$A$97:$B$114,2,1),0),IF(Simulation!$L$8="FH5",VLOOKUP(B$4,'FH5'!$C$4:$AN$11,VLOOKUP(Simulation!$B$10,'Estimatif Q'!$A$97:$B$114,2,1),0),IF(Simulation!$L$8="FH6",VLOOKUP(B$4,'FH6'!$C$4:$AN$11,VLOOKUP(Simulation!$B$10,'Estimatif Q'!$A$97:$B$114,2,1),0),IF(Simulation!$L$8="FH7",VLOOKUP(B$4,'FH7'!$C$4:$AN$11,VLOOKUP(Simulation!$B$10,'Estimatif Q'!$A$97:$B$114,2,1),0),IF(Simulation!$L$8="FH8",VLOOKUP(B$4,'FH8'!$C$4:$AN$11,VLOOKUP(Simulation!$B$10,'Estimatif Q'!$A$97:$B$114,2,1),0),IF(Simulation!$L$8="FH9",VLOOKUP(B$4,'FH9'!$C$4:$AM$11,VLOOKUP(Simulation!$B$10,'Estimatif Q'!$A$97:$B$114,2,1),0),IF(Simulation!$L$8="FH8",VLOOKUP(B$4,'FH8'!$C$4:$AN$11,VLOOKUP(Simulation!$B$10,'Estimatif Q'!$A$97:$B$114,2,1),0),0)))))))))),0)</f>
        <v>0</v>
      </c>
      <c r="C10" s="545">
        <f>_xlfn.IFNA(IF(Simulation!$L$8="FH1",VLOOKUP(C$4,'FH1'!$C$4:$AN$11,VLOOKUP(Simulation!$B$10,'Estimatif Q'!$A$97:$B$114,2,1),0),IF(Simulation!$L$8="FH2",VLOOKUP(C$4,'FH2'!$C$4:$AN$11,VLOOKUP(Simulation!$B$10,'Estimatif Q'!$A$97:$B$114,2,1),0),IF(Simulation!$L$8="FH3",VLOOKUP(C$4,'FH3'!$C$4:$AN$11,VLOOKUP(Simulation!$B$10,'Estimatif Q'!$A$97:$B$114,2,1),0),IF(Simulation!$L$8="FH4",VLOOKUP(C$4,'FH4'!$C$4:$AN$11,VLOOKUP(Simulation!$B$10,'Estimatif Q'!$A$97:$B$114,2,1),0),IF(Simulation!$L$8="FH5",VLOOKUP(C$4,'FH5'!$C$4:$AN$11,VLOOKUP(Simulation!$B$10,'Estimatif Q'!$A$97:$B$114,2,1),0),IF(Simulation!$L$8="FH6",VLOOKUP(C$4,'FH6'!$C$4:$AN$11,VLOOKUP(Simulation!$B$10,'Estimatif Q'!$A$97:$B$114,2,1),0),IF(Simulation!$L$8="FH7",VLOOKUP(C$4,'FH7'!$C$4:$AN$11,VLOOKUP(Simulation!$B$10,'Estimatif Q'!$A$97:$B$114,2,1),0),IF(Simulation!$L$8="FH8",VLOOKUP(C$4,'FH8'!$C$4:$AN$11,VLOOKUP(Simulation!$B$10,'Estimatif Q'!$A$97:$B$114,2,1),0),IF(Simulation!$L$8="FH9",VLOOKUP(C$4,'FH9'!$C$4:$AM$11,VLOOKUP(Simulation!$B$10,'Estimatif Q'!$A$97:$B$114,2,1),0),IF(Simulation!$L$8="FH8",VLOOKUP(C$4,'FH8'!$C$4:$AN$11,VLOOKUP(Simulation!$B$10,'Estimatif Q'!$A$97:$B$114,2,1),0),0)))))))))),0)</f>
        <v>0</v>
      </c>
      <c r="D10" s="545">
        <f>_xlfn.IFNA(IF(Simulation!$L$8="FH1",VLOOKUP(D$4,'FH1'!$C$4:$AN$11,VLOOKUP(Simulation!$B$10,'Estimatif Q'!$A$97:$B$114,2,1),0),IF(Simulation!$L$8="FH2",VLOOKUP(D$4,'FH2'!$C$4:$AN$11,VLOOKUP(Simulation!$B$10,'Estimatif Q'!$A$97:$B$114,2,1),0),IF(Simulation!$L$8="FH3",VLOOKUP(D$4,'FH3'!$C$4:$AN$11,VLOOKUP(Simulation!$B$10,'Estimatif Q'!$A$97:$B$114,2,1),0),IF(Simulation!$L$8="FH4",VLOOKUP(D$4,'FH4'!$C$4:$AN$11,VLOOKUP(Simulation!$B$10,'Estimatif Q'!$A$97:$B$114,2,1),0),IF(Simulation!$L$8="FH5",VLOOKUP(D$4,'FH5'!$C$4:$AN$11,VLOOKUP(Simulation!$B$10,'Estimatif Q'!$A$97:$B$114,2,1),0),IF(Simulation!$L$8="FH6",VLOOKUP(D$4,'FH6'!$C$4:$AN$11,VLOOKUP(Simulation!$B$10,'Estimatif Q'!$A$97:$B$114,2,1),0),IF(Simulation!$L$8="FH7",VLOOKUP(D$4,'FH7'!$C$4:$AN$11,VLOOKUP(Simulation!$B$10,'Estimatif Q'!$A$97:$B$114,2,1),0),IF(Simulation!$L$8="FH8",VLOOKUP(D$4,'FH8'!$C$4:$AN$11,VLOOKUP(Simulation!$B$10,'Estimatif Q'!$A$97:$B$114,2,1),0),IF(Simulation!$L$8="FH9",VLOOKUP(D$4,'FH9'!$C$4:$AM$11,VLOOKUP(Simulation!$B$10,'Estimatif Q'!$A$97:$B$114,2,1),0),IF(Simulation!$L$8="FH8",VLOOKUP(D$4,'FH8'!$C$4:$AN$11,VLOOKUP(Simulation!$B$10,'Estimatif Q'!$A$97:$B$114,2,1),0),0)))))))))),0)</f>
        <v>0</v>
      </c>
      <c r="E10" s="545">
        <f>_xlfn.IFNA(IF(Simulation!$L$8="FH1",VLOOKUP(E$4,'FH1'!$C$4:$AN$11,VLOOKUP(Simulation!$B$10,'Estimatif Q'!$A$97:$B$114,2,1),0),IF(Simulation!$L$8="FH2",VLOOKUP(E$4,'FH2'!$C$4:$AN$11,VLOOKUP(Simulation!$B$10,'Estimatif Q'!$A$97:$B$114,2,1),0),IF(Simulation!$L$8="FH3",VLOOKUP(E$4,'FH3'!$C$4:$AN$11,VLOOKUP(Simulation!$B$10,'Estimatif Q'!$A$97:$B$114,2,1),0),IF(Simulation!$L$8="FH4",VLOOKUP(E$4,'FH4'!$C$4:$AN$11,VLOOKUP(Simulation!$B$10,'Estimatif Q'!$A$97:$B$114,2,1),0),IF(Simulation!$L$8="FH5",VLOOKUP(E$4,'FH5'!$C$4:$AN$11,VLOOKUP(Simulation!$B$10,'Estimatif Q'!$A$97:$B$114,2,1),0),IF(Simulation!$L$8="FH6",VLOOKUP(E$4,'FH6'!$C$4:$AN$11,VLOOKUP(Simulation!$B$10,'Estimatif Q'!$A$97:$B$114,2,1),0),IF(Simulation!$L$8="FH7",VLOOKUP(E$4,'FH7'!$C$4:$AN$11,VLOOKUP(Simulation!$B$10,'Estimatif Q'!$A$97:$B$114,2,1),0),IF(Simulation!$L$8="FH8",VLOOKUP(E$4,'FH8'!$C$4:$AN$11,VLOOKUP(Simulation!$B$10,'Estimatif Q'!$A$97:$B$114,2,1),0),IF(Simulation!$L$8="FH9",VLOOKUP(E$4,'FH9'!$C$4:$AM$11,VLOOKUP(Simulation!$B$10,'Estimatif Q'!$A$97:$B$114,2,1),0),IF(Simulation!$L$8="FH8",VLOOKUP(E$4,'FH8'!$C$4:$AN$11,VLOOKUP(Simulation!$B$10,'Estimatif Q'!$A$97:$B$114,2,1),0),0)))))))))),0)</f>
        <v>0</v>
      </c>
      <c r="F10" s="566"/>
      <c r="G10" s="551">
        <f>IF(OR(Simulation!L8="FH5",Simulation!L8="FH6",Simulation!L8="FH7"),Simulation!$G$16*0.25,IF(OR(Simulation!L8="FH8",Simulation!L8="FH9"),Simulation!$G$16*0.5,0))</f>
        <v>0</v>
      </c>
      <c r="H10" s="393"/>
      <c r="I10" s="393"/>
      <c r="J10" s="338"/>
      <c r="K10" s="1360"/>
      <c r="L10" s="1361"/>
      <c r="M10" s="1360" t="str">
        <f>_xlfn.IFNA(VLOOKUP($L10,MATIERES!$A$2:$F$448,4,0),"")</f>
        <v/>
      </c>
      <c r="N10" s="1361" t="str">
        <f>_xlfn.IFNA(VLOOKUP($L10,MATIERES!$A$2:$F$448,5,0),"")</f>
        <v/>
      </c>
      <c r="O10" s="1360" t="str">
        <f t="shared" si="0"/>
        <v/>
      </c>
      <c r="P10" s="558"/>
      <c r="Q10" s="558"/>
      <c r="R10" s="338"/>
      <c r="S10" s="338"/>
      <c r="T10" s="338"/>
      <c r="X10" s="557" t="str">
        <f>_xlfn.IFNA(IF(Simulation!$J$7="",IF(VLOOKUP(TCFV!$C11,MATIERES!$A$2:$G$421,3,0)="SASKIT",TCFV!$C11,"non"),IF(VLOOKUP(TCBACS!$C10,MATIERES!$A$2:$G$421,3,0)="SASKIT",TCBACS!$C10,"non")),"non")</f>
        <v>PFV5EH4X2,5</v>
      </c>
      <c r="Y10" s="345">
        <f>_xlfn.IFNA(IF(Simulation!$J$7="",VLOOKUP(X10,TCFV!$C$4:AN$46,VLOOKUP(Simulation!$B$10,'Estimatif Q'!$A$97:$B$114,2,0),0),VLOOKUP(X10,TCBACS!$C$4:AK$48,VLOOKUP(Simulation!$B$10,'Estimatif Q'!$A$97:$B$114,2,0),0)),0)</f>
        <v>1</v>
      </c>
      <c r="Z10" s="345" t="str">
        <f t="shared" si="1"/>
        <v>PFV5EH4X2,5</v>
      </c>
    </row>
    <row r="11" spans="1:26" ht="15" customHeight="1" x14ac:dyDescent="0.2">
      <c r="A11" s="547" t="s">
        <v>1481</v>
      </c>
      <c r="B11" s="1107">
        <f>VLOOKUP(B$4,'Zones d''infiltration'!$C$4:$L$22,7,0)</f>
        <v>2.8</v>
      </c>
      <c r="C11" s="1107">
        <f>VLOOKUP(C$4,'Zones d''infiltration'!$C$4:$L$22,7,0)</f>
        <v>0.48</v>
      </c>
      <c r="D11" s="1107">
        <v>0</v>
      </c>
      <c r="E11" s="1107">
        <v>0</v>
      </c>
      <c r="F11" s="1092"/>
      <c r="G11" s="551">
        <f>(B11+C11)/1.6</f>
        <v>2.0499999999999998</v>
      </c>
      <c r="H11" s="393"/>
      <c r="I11" s="393"/>
      <c r="J11" s="338"/>
      <c r="K11" s="1360"/>
      <c r="L11" s="1361"/>
      <c r="M11" s="1360" t="str">
        <f>_xlfn.IFNA(VLOOKUP($L11,MATIERES!$A$2:$F$448,4,0),"")</f>
        <v/>
      </c>
      <c r="N11" s="1361" t="str">
        <f>_xlfn.IFNA(VLOOKUP($L11,MATIERES!$A$2:$F$448,5,0),"")</f>
        <v/>
      </c>
      <c r="O11" s="1360" t="str">
        <f t="shared" si="0"/>
        <v/>
      </c>
      <c r="P11" s="558"/>
      <c r="Q11" s="558"/>
      <c r="R11" s="338"/>
      <c r="S11" s="338"/>
      <c r="T11" s="338"/>
      <c r="X11" s="557" t="str">
        <f>_xlfn.IFNA(IF(Simulation!$J$7="",IF(VLOOKUP(TCFV!$C12,MATIERES!$A$2:$G$421,3,0)="SASKIT",TCFV!$C12,"non"),IF(VLOOKUP(TCBACS!$C11,MATIERES!$A$2:$G$421,3,0)="SASKIT",TCBACS!$C11,"non")),"non")</f>
        <v>PFV6EH4X3</v>
      </c>
      <c r="Y11" s="345">
        <f>_xlfn.IFNA(IF(Simulation!$J$7="",VLOOKUP(X11,TCFV!$C$4:AN$46,VLOOKUP(Simulation!$B$10,'Estimatif Q'!$A$97:$B$114,2,0),0),VLOOKUP(X11,TCBACS!$C$4:AK$48,VLOOKUP(Simulation!$B$10,'Estimatif Q'!$A$97:$B$114,2,0),0)),0)</f>
        <v>0</v>
      </c>
      <c r="Z11" s="345" t="str">
        <f t="shared" si="1"/>
        <v>non</v>
      </c>
    </row>
    <row r="12" spans="1:26" s="345" customFormat="1" ht="15" customHeight="1" x14ac:dyDescent="0.2">
      <c r="A12" s="547" t="s">
        <v>1482</v>
      </c>
      <c r="B12" s="1107">
        <f>VLOOKUP(B$4,'Zones d''infiltration'!$C$4:$L$22,9,0)</f>
        <v>0</v>
      </c>
      <c r="C12" s="1107">
        <f>VLOOKUP(C$4,'Zones d''infiltration'!$C$4:$L$22,9,0)</f>
        <v>0</v>
      </c>
      <c r="D12" s="1107">
        <v>0</v>
      </c>
      <c r="E12" s="1107">
        <v>0</v>
      </c>
      <c r="F12" s="1092"/>
      <c r="G12" s="551">
        <f>(B12+C12)/1.6</f>
        <v>0</v>
      </c>
      <c r="H12" s="393"/>
      <c r="I12" s="393"/>
      <c r="J12" s="338"/>
      <c r="K12" s="1360"/>
      <c r="L12" s="1361"/>
      <c r="M12" s="1360" t="str">
        <f>_xlfn.IFNA(VLOOKUP($L12,MATIERES!$A$2:$F$448,4,0),"")</f>
        <v/>
      </c>
      <c r="N12" s="1361" t="str">
        <f>_xlfn.IFNA(VLOOKUP($L12,MATIERES!$A$2:$F$448,5,0),"")</f>
        <v/>
      </c>
      <c r="O12" s="1360" t="str">
        <f t="shared" si="0"/>
        <v/>
      </c>
      <c r="P12" s="558"/>
      <c r="Q12" s="558"/>
      <c r="R12" s="338"/>
      <c r="S12" s="338"/>
      <c r="T12" s="338"/>
      <c r="U12"/>
      <c r="V12"/>
      <c r="W12"/>
      <c r="X12" s="557" t="str">
        <f>_xlfn.IFNA(IF(Simulation!$J$7="",IF(VLOOKUP(TCFV!$C13,MATIERES!$A$2:$G$421,3,0)="SASKIT",TCFV!$C13,"non"),IF(VLOOKUP(TCBACS!$C12,MATIERES!$A$2:$G$421,3,0)="SASKIT",TCBACS!$C12,"non")),"non")</f>
        <v>PFV7EH4X3,5</v>
      </c>
      <c r="Y12" s="345">
        <f>_xlfn.IFNA(IF(Simulation!$J$7="",VLOOKUP(X12,TCFV!$C$4:AN$46,VLOOKUP(Simulation!$B$10,'Estimatif Q'!$A$97:$B$114,2,0),0),VLOOKUP(X12,TCBACS!$C$4:AK$48,VLOOKUP(Simulation!$B$10,'Estimatif Q'!$A$97:$B$114,2,0),0)),0)</f>
        <v>0</v>
      </c>
      <c r="Z12" s="345" t="str">
        <f t="shared" si="1"/>
        <v>non</v>
      </c>
    </row>
    <row r="13" spans="1:26" ht="15" customHeight="1" x14ac:dyDescent="0.2">
      <c r="A13" s="547" t="s">
        <v>569</v>
      </c>
      <c r="B13" s="1107">
        <f>VLOOKUP(B$4,'Zones d''infiltration'!$C$4:$L$22,3,0)</f>
        <v>0</v>
      </c>
      <c r="C13" s="1107">
        <f>VLOOKUP(C$4,'Zones d''infiltration'!$C$4:$L$22,3,0)</f>
        <v>0</v>
      </c>
      <c r="D13" s="1107">
        <v>0</v>
      </c>
      <c r="E13" s="1107">
        <v>0</v>
      </c>
      <c r="F13" s="1092"/>
      <c r="G13" s="551">
        <f>(B13+C13)/1.6</f>
        <v>0</v>
      </c>
      <c r="H13" s="338"/>
      <c r="I13" s="338"/>
      <c r="J13" s="338"/>
      <c r="K13" s="1360"/>
      <c r="L13" s="1361"/>
      <c r="M13" s="1360" t="str">
        <f>_xlfn.IFNA(VLOOKUP($L13,MATIERES!$A$2:$F$448,4,0),"")</f>
        <v/>
      </c>
      <c r="N13" s="1361" t="str">
        <f>_xlfn.IFNA(VLOOKUP($L13,MATIERES!$A$2:$F$448,5,0),"")</f>
        <v/>
      </c>
      <c r="O13" s="1360" t="str">
        <f t="shared" si="0"/>
        <v/>
      </c>
      <c r="P13" s="558"/>
      <c r="Q13" s="558"/>
      <c r="R13" s="338"/>
      <c r="S13" s="338"/>
      <c r="T13" s="338"/>
      <c r="X13" s="557" t="str">
        <f>_xlfn.IFNA(IF(Simulation!$J$7="",IF(VLOOKUP(TCFV!$C14,MATIERES!$A$2:$G$421,3,0)="SASKIT",TCFV!$C14,"non"),IF(VLOOKUP(TCBACS!$C13,MATIERES!$A$2:$G$421,3,0)="SASKIT",TCBACS!$C13,"non")),"non")</f>
        <v>PFV8EH4X4</v>
      </c>
      <c r="Y13" s="345">
        <f>_xlfn.IFNA(IF(Simulation!$J$7="",VLOOKUP(X13,TCFV!$C$4:AN$46,VLOOKUP(Simulation!$B$10,'Estimatif Q'!$A$97:$B$114,2,0),0),VLOOKUP(X13,TCBACS!$C$4:AK$48,VLOOKUP(Simulation!$B$10,'Estimatif Q'!$A$97:$B$114,2,0),0)),0)</f>
        <v>0</v>
      </c>
      <c r="Z13" s="345" t="str">
        <f t="shared" si="1"/>
        <v>non</v>
      </c>
    </row>
    <row r="14" spans="1:26" s="345" customFormat="1" ht="15" customHeight="1" x14ac:dyDescent="0.2">
      <c r="A14" s="547" t="s">
        <v>1479</v>
      </c>
      <c r="B14" s="545"/>
      <c r="C14" s="545"/>
      <c r="D14" s="545"/>
      <c r="E14" s="545"/>
      <c r="F14" s="566"/>
      <c r="G14" s="550"/>
      <c r="H14" s="338"/>
      <c r="I14" s="338"/>
      <c r="J14" s="338"/>
      <c r="K14" s="1360"/>
      <c r="L14" s="1361"/>
      <c r="M14" s="1360" t="str">
        <f>_xlfn.IFNA(VLOOKUP($L14,MATIERES!$A$2:$F$448,4,0),"")</f>
        <v/>
      </c>
      <c r="N14" s="1361" t="str">
        <f>_xlfn.IFNA(VLOOKUP($L14,MATIERES!$A$2:$F$448,5,0),"")</f>
        <v/>
      </c>
      <c r="O14" s="1360" t="str">
        <f>_xlfn.IFNA(VLOOKUP($L14,MATIERES!$A$2:$F$448,4,0),"")</f>
        <v/>
      </c>
      <c r="P14" s="566"/>
      <c r="Q14" s="566"/>
      <c r="R14" s="338"/>
      <c r="S14" s="338"/>
      <c r="T14" s="338"/>
      <c r="U14"/>
      <c r="V14"/>
      <c r="W14"/>
      <c r="X14" s="557" t="str">
        <f>_xlfn.IFNA(IF(Simulation!$J$7="",IF(VLOOKUP(TCFV!$C15,MATIERES!$A$2:$G$421,3,0)="SASKIT",TCFV!$C15,"non"),IF(VLOOKUP(TCBACS!#REF!,MATIERES!$A$2:$G$421,3,0)="SASKIT",TCBACS!#REF!,"non")),"non")</f>
        <v>PFV9EH4X4,5</v>
      </c>
      <c r="Y14" s="345">
        <f>_xlfn.IFNA(IF(Simulation!$J$7="",VLOOKUP(X14,TCFV!$C$4:AN$46,VLOOKUP(Simulation!$B$10,'Estimatif Q'!$A$97:$B$114,2,0),0),VLOOKUP(X14,TCBACS!$C$4:AK$48,VLOOKUP(Simulation!$B$10,'Estimatif Q'!$A$97:$B$114,2,0),0)),0)</f>
        <v>0</v>
      </c>
      <c r="Z14" s="345" t="str">
        <f t="shared" si="1"/>
        <v>non</v>
      </c>
    </row>
    <row r="15" spans="1:26" s="345" customFormat="1" ht="15" customHeight="1" x14ac:dyDescent="0.2">
      <c r="A15" s="547" t="s">
        <v>599</v>
      </c>
      <c r="B15" s="545"/>
      <c r="C15" s="545"/>
      <c r="D15" s="545"/>
      <c r="E15" s="545"/>
      <c r="F15" s="566"/>
      <c r="G15" s="550"/>
      <c r="H15" s="338"/>
      <c r="I15" s="338"/>
      <c r="J15" s="338"/>
      <c r="K15" s="1360"/>
      <c r="L15" s="1360"/>
      <c r="M15" s="1360"/>
      <c r="N15" s="1361"/>
      <c r="O15" s="1360"/>
      <c r="P15" s="1370"/>
      <c r="Q15" s="566"/>
      <c r="R15" s="338"/>
      <c r="S15" s="338"/>
      <c r="T15" s="338"/>
      <c r="U15"/>
      <c r="V15"/>
      <c r="W15"/>
      <c r="X15" s="557" t="str">
        <f>_xlfn.IFNA(IF(Simulation!$J$7="",IF(VLOOKUP(TCFV!$C16,MATIERES!$A$2:$G$421,3,0)="SASKIT",TCFV!$C16,"non"),IF(VLOOKUP(TCBACS!#REF!,MATIERES!$A$2:$G$421,3,0)="SASKIT",TCBACS!#REF!,"non")),"non")</f>
        <v>PFV10EH4X5</v>
      </c>
      <c r="Y15" s="345">
        <f>_xlfn.IFNA(IF(Simulation!$J$7="",VLOOKUP(X15,TCFV!$C$4:AN$46,VLOOKUP(Simulation!$B$10,'Estimatif Q'!$A$97:$B$114,2,0),0),VLOOKUP(X15,TCBACS!$C$4:AK$48,VLOOKUP(Simulation!$B$10,'Estimatif Q'!$A$97:$B$114,2,0),0)),0)</f>
        <v>0</v>
      </c>
      <c r="Z15" s="345" t="str">
        <f t="shared" si="1"/>
        <v>non</v>
      </c>
    </row>
    <row r="16" spans="1:26" ht="15" customHeight="1" x14ac:dyDescent="0.2">
      <c r="A16" s="547" t="s">
        <v>487</v>
      </c>
      <c r="B16" s="545"/>
      <c r="C16" s="545"/>
      <c r="D16" s="545"/>
      <c r="E16" s="545"/>
      <c r="F16" s="566"/>
      <c r="G16" s="550"/>
      <c r="H16" s="338"/>
      <c r="I16" s="338"/>
      <c r="J16" s="552"/>
      <c r="K16" s="1360"/>
      <c r="L16" s="1360"/>
      <c r="M16" s="1360"/>
      <c r="N16" s="1361"/>
      <c r="O16" s="1360"/>
      <c r="P16" s="1370"/>
      <c r="Q16" s="566"/>
      <c r="R16" s="338"/>
      <c r="S16" s="338"/>
      <c r="T16" s="338"/>
      <c r="X16" s="557" t="str">
        <f>_xlfn.IFNA(IF(Simulation!$J$7="",IF(VLOOKUP(TCFV!$C17,MATIERES!$A$2:$G$421,3,0)="SASKIT",TCFV!$C17,"non"),IF(VLOOKUP(TCBACS!$C14,MATIERES!$A$2:$G$421,3,0)="SASKIT",TCBACS!$C14,"non")),"non")</f>
        <v>PFV12EH6X4</v>
      </c>
      <c r="Y16" s="345">
        <f>_xlfn.IFNA(IF(Simulation!$J$7="",VLOOKUP(X16,TCFV!$C$4:AN$46,VLOOKUP(Simulation!$B$10,'Estimatif Q'!$A$97:$B$114,2,0),0),VLOOKUP(X16,TCBACS!$C$4:AK$48,VLOOKUP(Simulation!$B$10,'Estimatif Q'!$A$97:$B$114,2,0),0)),0)</f>
        <v>0</v>
      </c>
      <c r="Z16" s="345" t="str">
        <f t="shared" si="1"/>
        <v>non</v>
      </c>
    </row>
    <row r="17" spans="1:26" ht="15" customHeight="1" x14ac:dyDescent="0.2">
      <c r="A17" s="547" t="s">
        <v>1480</v>
      </c>
      <c r="B17" s="545" t="s">
        <v>223</v>
      </c>
      <c r="C17" s="545" t="s">
        <v>223</v>
      </c>
      <c r="D17" s="545" t="s">
        <v>223</v>
      </c>
      <c r="E17" s="545">
        <f>(Simulation!J82+Simulation!M82+[0]!distC+Simulation!P82)*'collecte-exutoire'!E6+'collecte-exutoire'!O6</f>
        <v>4.1379999999999999</v>
      </c>
      <c r="F17" s="566"/>
      <c r="G17" s="550"/>
      <c r="H17" s="552"/>
      <c r="I17" s="556"/>
      <c r="J17" s="566"/>
      <c r="K17" s="552"/>
      <c r="L17" s="566"/>
      <c r="M17" s="552" t="str">
        <f>_xlfn.IFNA(VLOOKUP($L17,MATIERES!$A$2:$F$448,4,0),"")</f>
        <v/>
      </c>
      <c r="N17" s="566"/>
      <c r="O17" s="552" t="str">
        <f>_xlfn.IFNA(VLOOKUP($L17,MATIERES!$A$2:$F$448,4,0),"")</f>
        <v/>
      </c>
      <c r="P17" s="1099"/>
      <c r="Q17" s="1099"/>
      <c r="R17" s="338"/>
      <c r="S17" s="338"/>
      <c r="T17" s="338"/>
      <c r="X17" s="557" t="str">
        <f>_xlfn.IFNA(IF(Simulation!$J$7="",IF(VLOOKUP(TCFV!$C18,MATIERES!$A$2:$G$421,3,0)="SASKIT",TCFV!$C18,"non"),IF(VLOOKUP(TCBACS!$C15,MATIERES!$A$2:$G$421,3,0)="SASKIT",TCBACS!$C15,"non")),"non")</f>
        <v>PFV12EH8X3</v>
      </c>
      <c r="Y17" s="345">
        <f>_xlfn.IFNA(IF(Simulation!$J$7="",VLOOKUP(X17,TCFV!$C$4:AN$46,VLOOKUP(Simulation!$B$10,'Estimatif Q'!$A$97:$B$114,2,0),0),VLOOKUP(X17,TCBACS!$C$4:AK$48,VLOOKUP(Simulation!$B$10,'Estimatif Q'!$A$97:$B$114,2,0),0)),0)</f>
        <v>0</v>
      </c>
      <c r="Z17" s="345" t="str">
        <f t="shared" si="1"/>
        <v>non</v>
      </c>
    </row>
    <row r="18" spans="1:26" ht="20.100000000000001" customHeight="1" x14ac:dyDescent="0.2">
      <c r="A18" s="548" t="s">
        <v>1484</v>
      </c>
      <c r="B18" s="549">
        <f>SUM(B6:B17)</f>
        <v>7.76</v>
      </c>
      <c r="C18" s="549">
        <f>SUM(C6:C17)</f>
        <v>7.2799999999999994</v>
      </c>
      <c r="D18" s="549">
        <f>SUM(D6:D17)</f>
        <v>16.200000000000003</v>
      </c>
      <c r="E18" s="549">
        <f>SUM(E6:E17)</f>
        <v>5.0380000000000003</v>
      </c>
      <c r="F18" s="1093"/>
      <c r="G18" s="1442">
        <f>SUM(G6:G17)</f>
        <v>2.0499999999999998</v>
      </c>
      <c r="H18" s="1436" t="s">
        <v>70</v>
      </c>
      <c r="I18" s="338"/>
      <c r="J18" s="338"/>
      <c r="K18" s="552"/>
      <c r="L18" s="566"/>
      <c r="M18" s="552" t="str">
        <f>_xlfn.IFNA(VLOOKUP($L18,MATIERES!$A$2:$F$448,4,0),"")</f>
        <v/>
      </c>
      <c r="N18" s="566"/>
      <c r="O18" s="552" t="str">
        <f>_xlfn.IFNA(VLOOKUP($L18,MATIERES!$A$2:$F$448,4,0),"")</f>
        <v/>
      </c>
      <c r="P18" s="566"/>
      <c r="Q18" s="566"/>
      <c r="R18" s="338"/>
      <c r="S18" s="338"/>
      <c r="T18" s="338"/>
      <c r="X18" s="557" t="str">
        <f>_xlfn.IFNA(IF(Simulation!$J$7="",IF(VLOOKUP(TCFV!$C19,MATIERES!$A$2:$G$421,3,0)="SASKIT",TCFV!$C19,"non"),IF(VLOOKUP(TCBACS!$C16,MATIERES!$A$2:$G$421,3,0)="SASKIT",TCBACS!$C16,"non")),"non")</f>
        <v>PFV14EH8X3,5</v>
      </c>
      <c r="Y18" s="345">
        <f>_xlfn.IFNA(IF(Simulation!$J$7="",VLOOKUP(X18,TCFV!$C$4:AN$46,VLOOKUP(Simulation!$B$10,'Estimatif Q'!$A$97:$B$114,2,0),0),VLOOKUP(X18,TCBACS!$C$4:AK$48,VLOOKUP(Simulation!$B$10,'Estimatif Q'!$A$97:$B$114,2,0),0)),0)</f>
        <v>0</v>
      </c>
      <c r="Z18" s="345" t="str">
        <f t="shared" si="1"/>
        <v>non</v>
      </c>
    </row>
    <row r="19" spans="1:26" s="1103" customFormat="1" ht="20.100000000000001" customHeight="1" x14ac:dyDescent="0.2">
      <c r="A19" s="1095" t="s">
        <v>1485</v>
      </c>
      <c r="B19" s="1096">
        <f>B18/1.6</f>
        <v>4.8499999999999996</v>
      </c>
      <c r="C19" s="1096">
        <f>C18/1.6</f>
        <v>4.5499999999999989</v>
      </c>
      <c r="D19" s="1097">
        <f>D18/1.8</f>
        <v>9.0000000000000018</v>
      </c>
      <c r="E19" s="1097">
        <f>E18/1.8</f>
        <v>2.798888888888889</v>
      </c>
      <c r="F19" s="1098"/>
      <c r="G19" s="1443"/>
      <c r="H19" s="1437"/>
      <c r="I19" s="566"/>
      <c r="J19" s="338"/>
      <c r="K19" s="552"/>
      <c r="L19" s="566"/>
      <c r="M19" s="552" t="str">
        <f>_xlfn.IFNA(VLOOKUP($L19,MATIERES!$A$2:$F$448,4,0),"")</f>
        <v/>
      </c>
      <c r="N19" s="566"/>
      <c r="O19" s="552" t="str">
        <f>_xlfn.IFNA(VLOOKUP($L19,MATIERES!$A$2:$F$448,4,0),"")</f>
        <v/>
      </c>
      <c r="P19" s="566"/>
      <c r="Q19" s="566"/>
      <c r="R19" s="566"/>
      <c r="S19" s="566"/>
      <c r="T19" s="566"/>
      <c r="X19" s="557" t="str">
        <f>_xlfn.IFNA(IF(Simulation!$J$7="",IF(VLOOKUP(TCFV!$C20,MATIERES!$A$2:$G$421,3,0)="SASKIT",TCFV!$C20,"non"),IF(VLOOKUP(TCBACS!$C17,MATIERES!$A$2:$G$421,3,0)="SASKIT",TCBACS!$C17,"non")),"non")</f>
        <v>PFV14EH7X4</v>
      </c>
      <c r="Y19" s="345">
        <f>_xlfn.IFNA(IF(Simulation!$J$7="",VLOOKUP(X19,TCFV!$C$4:AN$46,VLOOKUP(Simulation!$B$10,'Estimatif Q'!$A$97:$B$114,2,0),0),VLOOKUP(X19,TCBACS!$C$4:AK$48,VLOOKUP(Simulation!$B$10,'Estimatif Q'!$A$97:$B$114,2,0),0)),0)</f>
        <v>0</v>
      </c>
      <c r="Z19" s="345" t="str">
        <f t="shared" si="1"/>
        <v>non</v>
      </c>
    </row>
    <row r="20" spans="1:26" s="1103" customFormat="1" ht="20.100000000000001" customHeight="1" x14ac:dyDescent="0.2">
      <c r="A20" s="1101" t="s">
        <v>455</v>
      </c>
      <c r="B20" s="1102">
        <f>B18*30</f>
        <v>232.79999999999998</v>
      </c>
      <c r="C20" s="1102">
        <f>C18*30</f>
        <v>218.39999999999998</v>
      </c>
      <c r="D20" s="1102">
        <f>D18*50</f>
        <v>810.00000000000011</v>
      </c>
      <c r="E20" s="1102">
        <f>E18*20</f>
        <v>100.76</v>
      </c>
      <c r="F20" s="566"/>
      <c r="G20" s="1106">
        <f>G18*1.3</f>
        <v>2.665</v>
      </c>
      <c r="H20" s="566"/>
      <c r="I20" s="566"/>
      <c r="J20" s="338"/>
      <c r="K20" s="552"/>
      <c r="L20" s="566"/>
      <c r="M20" s="552" t="str">
        <f>_xlfn.IFNA(VLOOKUP($L20,MATIERES!$A$2:$F$448,4,0),"")</f>
        <v/>
      </c>
      <c r="N20" s="566"/>
      <c r="O20" s="552" t="str">
        <f>_xlfn.IFNA(VLOOKUP($L20,MATIERES!$A$2:$F$448,4,0),"")</f>
        <v/>
      </c>
      <c r="P20" s="566"/>
      <c r="Q20" s="566"/>
      <c r="R20" s="566"/>
      <c r="S20" s="566"/>
      <c r="T20" s="566"/>
      <c r="X20" s="557" t="str">
        <f>_xlfn.IFNA(IF(Simulation!$J$7="",IF(VLOOKUP(TCFV!$C21,MATIERES!$A$2:$G$421,3,0)="SASKIT",TCFV!$C21,"non"),IF(VLOOKUP(TCBACS!$C18,MATIERES!$A$2:$G$421,3,0)="SASKIT",TCBACS!$C18,"non")),"non")</f>
        <v>PFV16EH8X4</v>
      </c>
      <c r="Y20" s="345">
        <f>_xlfn.IFNA(IF(Simulation!$J$7="",VLOOKUP(X20,TCFV!$C$4:AN$46,VLOOKUP(Simulation!$B$10,'Estimatif Q'!$A$97:$B$114,2,0),0),VLOOKUP(X20,TCBACS!$C$4:AK$48,VLOOKUP(Simulation!$B$10,'Estimatif Q'!$A$97:$B$114,2,0),0)),0)</f>
        <v>0</v>
      </c>
      <c r="Z20" s="345" t="str">
        <f t="shared" si="1"/>
        <v>non</v>
      </c>
    </row>
    <row r="21" spans="1:26" s="1103" customFormat="1" ht="20.100000000000001" customHeight="1" x14ac:dyDescent="0.2">
      <c r="A21" s="1101" t="s">
        <v>1636</v>
      </c>
      <c r="B21" s="1102">
        <f>SUM(B20:E20)</f>
        <v>1361.96</v>
      </c>
      <c r="C21" s="566"/>
      <c r="D21" s="566"/>
      <c r="E21" s="566"/>
      <c r="F21" s="566"/>
      <c r="G21" s="566"/>
      <c r="H21" s="566"/>
      <c r="I21" s="566"/>
      <c r="J21" s="338"/>
      <c r="K21" s="552"/>
      <c r="L21" s="566"/>
      <c r="M21" s="552" t="str">
        <f>_xlfn.IFNA(VLOOKUP($L21,MATIERES!$A$2:$F$448,4,0),"")</f>
        <v/>
      </c>
      <c r="N21" s="566"/>
      <c r="O21" s="552" t="str">
        <f>_xlfn.IFNA(VLOOKUP($L21,MATIERES!$A$2:$F$448,4,0),"")</f>
        <v/>
      </c>
      <c r="P21" s="1100"/>
      <c r="Q21" s="1100"/>
      <c r="R21" s="566"/>
      <c r="S21" s="566"/>
      <c r="T21" s="566"/>
      <c r="X21" s="557" t="str">
        <f>_xlfn.IFNA(IF(Simulation!$J$7="",IF(VLOOKUP(TCFV!$C22,MATIERES!$A$2:$G$421,3,0)="SASKIT",TCFV!$C22,"non"),IF(VLOOKUP(TCBACS!$C19,MATIERES!$A$2:$G$421,3,0)="SASKIT",TCBACS!$C19,"non")),"non")</f>
        <v>PFV18EH8X4,5</v>
      </c>
      <c r="Y21" s="345">
        <f>_xlfn.IFNA(IF(Simulation!$J$7="",VLOOKUP(X21,TCFV!$C$4:AN$46,VLOOKUP(Simulation!$B$10,'Estimatif Q'!$A$97:$B$114,2,0),0),VLOOKUP(X21,TCBACS!$C$4:AK$48,VLOOKUP(Simulation!$B$10,'Estimatif Q'!$A$97:$B$114,2,0),0)),0)</f>
        <v>0</v>
      </c>
      <c r="Z21" s="345" t="str">
        <f t="shared" si="1"/>
        <v>non</v>
      </c>
    </row>
    <row r="22" spans="1:26" s="345" customFormat="1" ht="20.100000000000001" customHeight="1" x14ac:dyDescent="0.2">
      <c r="A22" s="1101" t="s">
        <v>1484</v>
      </c>
      <c r="B22" s="1102">
        <f>SUM(B18:E18)</f>
        <v>36.278000000000006</v>
      </c>
      <c r="C22" s="566"/>
      <c r="D22" s="566"/>
      <c r="E22" s="566"/>
      <c r="F22" s="566"/>
      <c r="G22" s="566"/>
      <c r="H22" s="338"/>
      <c r="I22" s="338"/>
      <c r="J22" s="338"/>
      <c r="K22" s="552"/>
      <c r="L22" s="566"/>
      <c r="M22" s="552" t="str">
        <f>_xlfn.IFNA(VLOOKUP($L22,MATIERES!$A$2:$F$448,4,0),"")</f>
        <v/>
      </c>
      <c r="N22" s="566"/>
      <c r="O22" s="552" t="str">
        <f>_xlfn.IFNA(VLOOKUP($L22,MATIERES!$A$2:$F$448,4,0),"")</f>
        <v/>
      </c>
      <c r="P22" s="566"/>
      <c r="Q22" s="566"/>
      <c r="R22" s="338"/>
      <c r="S22" s="338"/>
      <c r="T22" s="338"/>
      <c r="U22"/>
      <c r="V22"/>
      <c r="W22"/>
      <c r="X22" s="557" t="str">
        <f>_xlfn.IFNA(IF(Simulation!$J$7="",IF(VLOOKUP(TCFV!$C23,MATIERES!$A$2:$G$421,3,0)="SASKIT",TCFV!$C23,"non"),IF(VLOOKUP(TCBACS!$C20,MATIERES!$A$2:$G$421,3,0)="SASKIT",TCBACS!$C20,"non")),"non")</f>
        <v>PFV18EH9X4</v>
      </c>
      <c r="Y22" s="345">
        <f>_xlfn.IFNA(IF(Simulation!$J$7="",VLOOKUP(X22,TCFV!$C$4:AN$46,VLOOKUP(Simulation!$B$10,'Estimatif Q'!$A$97:$B$114,2,0),0),VLOOKUP(X22,TCBACS!$C$4:AK$48,VLOOKUP(Simulation!$B$10,'Estimatif Q'!$A$97:$B$114,2,0),0)),0)</f>
        <v>0</v>
      </c>
      <c r="Z22" s="345" t="str">
        <f t="shared" si="1"/>
        <v>non</v>
      </c>
    </row>
    <row r="23" spans="1:26" s="345" customFormat="1" x14ac:dyDescent="0.2">
      <c r="A23" s="1101" t="s">
        <v>1707</v>
      </c>
      <c r="B23" s="1102">
        <f>SUM(B19:E19)</f>
        <v>21.198888888888888</v>
      </c>
      <c r="C23" s="338"/>
      <c r="D23" s="338"/>
      <c r="E23" s="338"/>
      <c r="F23" s="338"/>
      <c r="G23" s="338"/>
      <c r="H23" s="338"/>
      <c r="I23" s="338"/>
      <c r="J23" s="338"/>
      <c r="K23" s="552"/>
      <c r="L23" s="566"/>
      <c r="M23" s="552" t="str">
        <f>_xlfn.IFNA(VLOOKUP($L23,MATIERES!$A$2:$F$448,4,0),"")</f>
        <v/>
      </c>
      <c r="N23" s="566"/>
      <c r="O23" s="552" t="str">
        <f>_xlfn.IFNA(VLOOKUP($L23,MATIERES!$A$2:$F$448,4,0),"")</f>
        <v/>
      </c>
      <c r="P23" s="566"/>
      <c r="Q23" s="566"/>
      <c r="R23" s="338"/>
      <c r="S23" s="338"/>
      <c r="T23" s="338"/>
      <c r="U23"/>
      <c r="V23"/>
      <c r="W23"/>
      <c r="X23" s="557" t="str">
        <f>_xlfn.IFNA(IF(Simulation!$J$7="",IF(VLOOKUP(TCFV!$C24,MATIERES!$A$2:$G$421,3,0)="SASKIT",TCFV!$C24,"non"),IF(VLOOKUP(TCBACS!$C21,MATIERES!$A$2:$G$421,3,0)="SASKIT",TCBACS!$C21,"non")),"non")</f>
        <v>PFV20EH8X5</v>
      </c>
      <c r="Y23" s="345">
        <f>_xlfn.IFNA(IF(Simulation!$J$7="",VLOOKUP(X23,TCFV!$C$4:AN$46,VLOOKUP(Simulation!$B$10,'Estimatif Q'!$A$97:$B$114,2,0),0),VLOOKUP(X23,TCBACS!$C$4:AK$48,VLOOKUP(Simulation!$B$10,'Estimatif Q'!$A$97:$B$114,2,0),0)),0)</f>
        <v>0</v>
      </c>
      <c r="Z23" s="345" t="str">
        <f t="shared" si="1"/>
        <v>non</v>
      </c>
    </row>
    <row r="24" spans="1:26" s="345" customFormat="1" x14ac:dyDescent="0.2">
      <c r="A24" s="338"/>
      <c r="B24" s="338"/>
      <c r="C24" s="338"/>
      <c r="D24" s="338"/>
      <c r="E24" s="338"/>
      <c r="F24" s="338"/>
      <c r="G24" s="338"/>
      <c r="H24" s="338"/>
      <c r="I24" s="338"/>
      <c r="J24" s="338"/>
      <c r="K24" s="552"/>
      <c r="L24" s="566"/>
      <c r="M24" s="552" t="str">
        <f>_xlfn.IFNA(VLOOKUP($L24,MATIERES!$A$2:$F$448,4,0),"")</f>
        <v/>
      </c>
      <c r="N24" s="566"/>
      <c r="O24" s="552" t="str">
        <f>_xlfn.IFNA(VLOOKUP($L24,MATIERES!$A$2:$F$448,4,0),"")</f>
        <v/>
      </c>
      <c r="P24" s="566"/>
      <c r="Q24" s="566"/>
      <c r="R24" s="338"/>
      <c r="S24" s="338"/>
      <c r="T24" s="338"/>
      <c r="U24"/>
      <c r="V24"/>
      <c r="W24"/>
      <c r="X24" s="557" t="str">
        <f>_xlfn.IFNA(IF(Simulation!$J$7="",IF(VLOOKUP(TCFV!$C25,MATIERES!$A$2:$G$421,3,0)="SASKIT",TCFV!$C25,"non"),IF(VLOOKUP(TCBACS!$C22,MATIERES!$A$2:$G$421,3,0)="SASKIT",TCBACS!$C22,"non")),"non")</f>
        <v>PFV20EH10X4</v>
      </c>
      <c r="Y24" s="345">
        <f>_xlfn.IFNA(IF(Simulation!$J$7="",VLOOKUP(X24,TCFV!$C$4:AN$46,VLOOKUP(Simulation!$B$10,'Estimatif Q'!$A$97:$B$114,2,0),0),VLOOKUP(X24,TCBACS!$C$4:AK$48,VLOOKUP(Simulation!$B$10,'Estimatif Q'!$A$97:$B$114,2,0),0)),0)</f>
        <v>0</v>
      </c>
      <c r="Z24" s="345" t="str">
        <f t="shared" si="1"/>
        <v>non</v>
      </c>
    </row>
    <row r="25" spans="1:26" s="345" customFormat="1" x14ac:dyDescent="0.2">
      <c r="A25" s="338"/>
      <c r="B25" s="338"/>
      <c r="C25" s="338"/>
      <c r="D25" s="338"/>
      <c r="E25" s="338"/>
      <c r="F25" s="338"/>
      <c r="G25" s="338"/>
      <c r="H25" s="338"/>
      <c r="I25" s="338"/>
      <c r="J25" s="338"/>
      <c r="K25" s="552"/>
      <c r="L25" s="566"/>
      <c r="M25" s="552" t="str">
        <f>_xlfn.IFNA(VLOOKUP($L25,MATIERES!$A$2:$F$448,4,0),"")</f>
        <v/>
      </c>
      <c r="N25" s="566"/>
      <c r="O25" s="552" t="str">
        <f>_xlfn.IFNA(VLOOKUP($L25,MATIERES!$A$2:$F$448,4,0),"")</f>
        <v/>
      </c>
      <c r="P25" s="566"/>
      <c r="Q25" s="566"/>
      <c r="R25" s="338"/>
      <c r="S25" s="338"/>
      <c r="T25" s="338"/>
      <c r="U25"/>
      <c r="V25"/>
      <c r="W25"/>
      <c r="X25" s="557" t="str">
        <f>_xlfn.IFNA(IF(Simulation!$J$7="",IF(VLOOKUP(TCFV!$C26,MATIERES!$A$2:$G$421,3,0)="SASKIT",TCFV!$C26,"non"),IF(VLOOKUP(TCBACS!$C23,MATIERES!$A$2:$G$421,3,0)="SASKIT",TCBACS!$C23,"non")),"non")</f>
        <v>non</v>
      </c>
      <c r="Y25" s="345">
        <f>_xlfn.IFNA(IF(Simulation!$J$7="",VLOOKUP(X25,TCFV!$C$4:AN$46,VLOOKUP(Simulation!$B$10,'Estimatif Q'!$A$97:$B$114,2,0),0),VLOOKUP(X25,TCBACS!$C$4:AK$48,VLOOKUP(Simulation!$B$10,'Estimatif Q'!$A$97:$B$114,2,0),0)),0)</f>
        <v>0</v>
      </c>
      <c r="Z25" s="345" t="str">
        <f t="shared" si="1"/>
        <v>non</v>
      </c>
    </row>
    <row r="26" spans="1:26" s="345" customFormat="1" x14ac:dyDescent="0.2">
      <c r="A26" s="1440" t="s">
        <v>1464</v>
      </c>
      <c r="B26" s="1441"/>
      <c r="C26" s="1441"/>
      <c r="D26" s="1367"/>
      <c r="E26" s="338"/>
      <c r="F26" s="338"/>
      <c r="G26" s="338"/>
      <c r="H26" s="338"/>
      <c r="I26" s="338"/>
      <c r="J26" s="338"/>
      <c r="K26" s="552"/>
      <c r="L26" s="566"/>
      <c r="M26" s="552" t="str">
        <f>_xlfn.IFNA(VLOOKUP($L26,MATIERES!$A$2:$F$448,4,0),"")</f>
        <v/>
      </c>
      <c r="N26" s="566"/>
      <c r="O26" s="552" t="str">
        <f>_xlfn.IFNA(VLOOKUP($L26,MATIERES!$A$2:$F$448,4,0),"")</f>
        <v/>
      </c>
      <c r="P26" s="566"/>
      <c r="Q26" s="566"/>
      <c r="R26" s="338"/>
      <c r="S26" s="338"/>
      <c r="T26" s="338"/>
      <c r="U26"/>
      <c r="V26"/>
      <c r="W26"/>
      <c r="X26" s="557" t="str">
        <f>_xlfn.IFNA(IF(Simulation!$J$7="",IF(VLOOKUP(TCFV!$C27,MATIERES!$A$2:$G$421,3,0)="SASKIT",TCFV!$C27,"non"),IF(VLOOKUP(TCBACS!$C24,MATIERES!$A$2:$G$421,3,0)="SASKIT",TCBACS!$C24,"non")),"non")</f>
        <v>non</v>
      </c>
      <c r="Y26" s="345">
        <f>_xlfn.IFNA(IF(Simulation!$J$7="",VLOOKUP(X26,TCFV!$C$4:AN$46,VLOOKUP(Simulation!$B$10,'Estimatif Q'!$A$97:$B$114,2,0),0),VLOOKUP(X26,TCBACS!$C$4:AK$48,VLOOKUP(Simulation!$B$10,'Estimatif Q'!$A$97:$B$114,2,0),0)),0)</f>
        <v>0</v>
      </c>
      <c r="Z26" s="345" t="str">
        <f t="shared" ref="Z26:Z27" si="2">IF(Y26=0,"non",X26)</f>
        <v>non</v>
      </c>
    </row>
    <row r="27" spans="1:26" s="345" customFormat="1" ht="15" x14ac:dyDescent="0.2">
      <c r="A27" s="1438" t="s">
        <v>144</v>
      </c>
      <c r="B27" s="1368">
        <f>SUM(O3:O13)</f>
        <v>1880.79</v>
      </c>
      <c r="C27" s="1364" t="s">
        <v>39</v>
      </c>
      <c r="D27" s="566"/>
      <c r="E27" s="338"/>
      <c r="F27" s="338"/>
      <c r="G27" s="338"/>
      <c r="H27" s="338"/>
      <c r="I27" s="338"/>
      <c r="J27" s="338"/>
      <c r="K27" s="552"/>
      <c r="L27" s="566"/>
      <c r="M27" s="552" t="str">
        <f>_xlfn.IFNA(VLOOKUP($L27,MATIERES!$A$2:$F$448,4,0),"")</f>
        <v/>
      </c>
      <c r="N27" s="566"/>
      <c r="O27" s="552" t="str">
        <f>_xlfn.IFNA(VLOOKUP($L27,MATIERES!$A$2:$F$448,4,0),"")</f>
        <v/>
      </c>
      <c r="P27" s="566"/>
      <c r="Q27" s="566"/>
      <c r="R27" s="338"/>
      <c r="S27" s="338"/>
      <c r="T27" s="338"/>
      <c r="U27"/>
      <c r="V27"/>
      <c r="W27"/>
      <c r="X27" s="557" t="str">
        <f>_xlfn.IFNA(IF(Simulation!$J$7="",IF(VLOOKUP(TCFV!$C28,MATIERES!$A$2:$G$421,3,0)="SASKIT",TCFV!$C28,"non"),IF(VLOOKUP(TCBACS!$C25,MATIERES!$A$2:$G$421,3,0)="SASKIT",TCBACS!$C25,"non")),"non")</f>
        <v>non</v>
      </c>
      <c r="Y27" s="345">
        <f>_xlfn.IFNA(IF(Simulation!$J$7="",VLOOKUP(X27,TCFV!$C$4:AN$46,VLOOKUP(Simulation!$B$10,'Estimatif Q'!$A$97:$B$114,2,0),0),VLOOKUP(X27,TCBACS!$C$4:AK$48,VLOOKUP(Simulation!$B$10,'Estimatif Q'!$A$97:$B$114,2,0),0)),0)</f>
        <v>0</v>
      </c>
      <c r="Z27" s="345" t="str">
        <f t="shared" si="2"/>
        <v>non</v>
      </c>
    </row>
    <row r="28" spans="1:26" s="345" customFormat="1" ht="15" x14ac:dyDescent="0.2">
      <c r="A28" s="1439"/>
      <c r="B28" s="1366">
        <f>1.2*B27</f>
        <v>2256.9479999999999</v>
      </c>
      <c r="C28" s="1365" t="s">
        <v>158</v>
      </c>
      <c r="D28" s="566"/>
      <c r="F28" s="338"/>
      <c r="H28" s="338"/>
      <c r="I28" s="338"/>
      <c r="J28" s="338"/>
      <c r="K28" s="552"/>
      <c r="L28" s="566"/>
      <c r="M28" s="552" t="str">
        <f>_xlfn.IFNA(VLOOKUP($L28,MATIERES!$A$2:$F$448,4,0),"")</f>
        <v/>
      </c>
      <c r="N28" s="566"/>
      <c r="O28" s="552" t="str">
        <f>_xlfn.IFNA(VLOOKUP($L28,MATIERES!$A$2:$F$448,4,0),"")</f>
        <v/>
      </c>
      <c r="P28" s="338"/>
      <c r="Q28" s="338"/>
      <c r="R28" s="338"/>
      <c r="S28" s="338"/>
      <c r="T28" s="338"/>
      <c r="U28"/>
      <c r="V28"/>
      <c r="W28"/>
      <c r="X28" s="557" t="str">
        <f>_xlfn.IFNA(IF(Simulation!$J$7="",IF(VLOOKUP(TCFV!$C28,MATIERES!$A$2:$G$421,3,0)="SASKIT",TCFV!$C28,"non"),IF(VLOOKUP(TCBACS!$C26,MATIERES!$A$2:$G$421,3,0)="SASKIT",TCBACS!$C26,"non")),"non")</f>
        <v>non</v>
      </c>
      <c r="Y28" s="345">
        <f>_xlfn.IFNA(IF(Simulation!$J$7="",VLOOKUP(X28,TCFV!$C$4:AN$46,VLOOKUP(Simulation!$B$10,'Estimatif Q'!$A$96:$B$113,2,0),0),VLOOKUP(X28,TCBACS!$C$4:AK$48,VLOOKUP(Simulation!$B$10,'Estimatif Q'!$A$96:$B$113,2,0),0)),0)</f>
        <v>0</v>
      </c>
      <c r="Z28" s="345" t="str">
        <f t="shared" si="1"/>
        <v>non</v>
      </c>
    </row>
    <row r="29" spans="1:26" s="345" customFormat="1" x14ac:dyDescent="0.2">
      <c r="A29" s="338"/>
      <c r="B29" s="338"/>
      <c r="C29" s="338"/>
      <c r="D29" s="338"/>
      <c r="E29" s="338"/>
      <c r="F29" s="338"/>
      <c r="G29" s="338"/>
      <c r="H29" s="338"/>
      <c r="I29" s="338"/>
      <c r="J29" s="338"/>
      <c r="K29" s="552"/>
      <c r="L29" s="566"/>
      <c r="M29" s="552" t="str">
        <f>_xlfn.IFNA(VLOOKUP($L29,MATIERES!$A$2:$F$448,4,0),"")</f>
        <v/>
      </c>
      <c r="N29" s="566"/>
      <c r="O29" s="552" t="str">
        <f>_xlfn.IFNA(VLOOKUP($L29,MATIERES!$A$2:$F$448,4,0),"")</f>
        <v/>
      </c>
      <c r="P29" s="338"/>
      <c r="Q29" s="338"/>
      <c r="R29" s="338"/>
      <c r="S29" s="338"/>
      <c r="T29" s="338"/>
      <c r="U29"/>
      <c r="V29"/>
      <c r="W29"/>
      <c r="X29" s="557" t="str">
        <f>_xlfn.IFNA(IF(Simulation!$J$7="",IF(VLOOKUP(TCFV!$C29,MATIERES!$A$2:$G$421,3,0)="SASKIT",TCFV!$C29,"non"),IF(VLOOKUP(TCBACS!$C27,MATIERES!$A$2:$G$421,3,0)="SASKIT",TCBACS!$C27,"non")),"non")</f>
        <v>non</v>
      </c>
      <c r="Y29" s="345">
        <f>_xlfn.IFNA(IF(Simulation!$J$7="",VLOOKUP(X29,TCFV!$C$4:AN$46,VLOOKUP(Simulation!$B$10,'Estimatif Q'!$A$96:$B$113,2,0),0),VLOOKUP(X29,TCBACS!$C$4:AK$48,VLOOKUP(Simulation!$B$10,'Estimatif Q'!$A$96:$B$113,2,0),0)),0)</f>
        <v>0</v>
      </c>
      <c r="Z29" s="345" t="str">
        <f t="shared" si="1"/>
        <v>non</v>
      </c>
    </row>
    <row r="30" spans="1:26" s="345" customFormat="1" x14ac:dyDescent="0.2">
      <c r="A30" s="338"/>
      <c r="B30" s="338"/>
      <c r="C30" s="338"/>
      <c r="D30" s="338"/>
      <c r="E30" s="338"/>
      <c r="F30" s="338"/>
      <c r="G30" s="338"/>
      <c r="H30" s="338"/>
      <c r="I30" s="338"/>
      <c r="J30" s="338"/>
      <c r="K30" s="552"/>
      <c r="L30" s="566"/>
      <c r="M30" s="552" t="str">
        <f>_xlfn.IFNA(VLOOKUP($L30,MATIERES!$A$2:$F$448,4,0),"")</f>
        <v/>
      </c>
      <c r="N30" s="566"/>
      <c r="O30" s="552" t="str">
        <f>_xlfn.IFNA(VLOOKUP($L30,MATIERES!$A$2:$F$448,4,0),"")</f>
        <v/>
      </c>
      <c r="P30" s="338"/>
      <c r="Q30" s="338"/>
      <c r="R30" s="338"/>
      <c r="S30" s="338"/>
      <c r="T30" s="338"/>
      <c r="U30"/>
      <c r="V30"/>
      <c r="W30"/>
      <c r="X30" s="557" t="str">
        <f>_xlfn.IFNA(IF(Simulation!$J$7="",IF(VLOOKUP(TCFV!$C30,MATIERES!$A$2:$G$421,3,0)="SASKIT",TCFV!$C30,"non"),IF(VLOOKUP(TCBACS!$C28,MATIERES!$A$2:$G$421,3,0)="SASKIT",TCBACS!$C28,"non")),"non")</f>
        <v>non</v>
      </c>
      <c r="Y30" s="345">
        <f>_xlfn.IFNA(IF(Simulation!$J$7="",VLOOKUP(X30,TCFV!$C$4:AN$46,VLOOKUP(Simulation!$B$10,'Estimatif Q'!$A$96:$B$113,2,0),0),VLOOKUP(X30,TCBACS!$C$4:AK$48,VLOOKUP(Simulation!$B$10,'Estimatif Q'!$A$96:$B$113,2,0),0)),0)</f>
        <v>0</v>
      </c>
      <c r="Z30" s="345" t="str">
        <f t="shared" si="1"/>
        <v>non</v>
      </c>
    </row>
    <row r="31" spans="1:26" s="345" customFormat="1" x14ac:dyDescent="0.2">
      <c r="A31" s="338"/>
      <c r="B31" s="338"/>
      <c r="C31" s="338"/>
      <c r="D31" s="338"/>
      <c r="E31" s="338"/>
      <c r="F31" s="338"/>
      <c r="G31" s="338"/>
      <c r="H31" s="338"/>
      <c r="I31" s="338"/>
      <c r="J31" s="338"/>
      <c r="K31" s="552"/>
      <c r="L31" s="566"/>
      <c r="M31" s="552" t="str">
        <f>_xlfn.IFNA(VLOOKUP($L31,MATIERES!$A$2:$F$448,4,0),"")</f>
        <v/>
      </c>
      <c r="N31" s="566"/>
      <c r="O31" s="552" t="str">
        <f>_xlfn.IFNA(VLOOKUP($L31,MATIERES!$A$2:$F$448,4,0),"")</f>
        <v/>
      </c>
      <c r="P31" s="338"/>
      <c r="Q31" s="338"/>
      <c r="R31" s="338"/>
      <c r="S31" s="338"/>
      <c r="T31" s="338"/>
      <c r="U31"/>
      <c r="V31"/>
      <c r="W31"/>
      <c r="X31" s="557" t="str">
        <f>_xlfn.IFNA(IF(Simulation!$J$7="",IF(VLOOKUP(TCFV!$C34,MATIERES!$A$2:$G$421,3,0)="SASKIT",TCFV!$C34,"non"),IF(VLOOKUP(TCBACS!$C34,MATIERES!$A$2:$G$421,3,0)="SASKIT",TCBACS!$C34,"non")),"non")</f>
        <v>non</v>
      </c>
      <c r="Y31" s="345">
        <f>_xlfn.IFNA(IF(Simulation!$J$7="",VLOOKUP(X31,TCFV!$C$4:AN$46,VLOOKUP(Simulation!$B$10,'Estimatif Q'!$A$96:$B$113,2,0),0),VLOOKUP(X31,TCBACS!$C$4:AK$48,VLOOKUP(Simulation!$B$10,'Estimatif Q'!$A$96:$B$113,2,0),0)),0)</f>
        <v>0</v>
      </c>
      <c r="Z31" s="345" t="str">
        <f t="shared" si="1"/>
        <v>non</v>
      </c>
    </row>
    <row r="32" spans="1:26" s="345" customFormat="1" x14ac:dyDescent="0.2">
      <c r="A32" s="338"/>
      <c r="B32" s="338"/>
      <c r="C32" s="338"/>
      <c r="D32" s="338"/>
      <c r="E32" s="338"/>
      <c r="F32" s="338"/>
      <c r="G32" s="338"/>
      <c r="H32" s="338"/>
      <c r="I32" s="338"/>
      <c r="J32" s="338"/>
      <c r="K32" s="552"/>
      <c r="L32" s="566"/>
      <c r="M32" s="552" t="str">
        <f>_xlfn.IFNA(VLOOKUP($L32,MATIERES!$A$2:$F$448,4,0),"")</f>
        <v/>
      </c>
      <c r="N32" s="566"/>
      <c r="O32" s="552" t="str">
        <f>_xlfn.IFNA(VLOOKUP($L32,MATIERES!$A$2:$F$448,4,0),"")</f>
        <v/>
      </c>
      <c r="P32" s="338"/>
      <c r="Q32" s="338"/>
      <c r="R32" s="338"/>
      <c r="S32" s="338"/>
      <c r="T32" s="338"/>
      <c r="U32"/>
      <c r="V32"/>
      <c r="X32" s="557" t="str">
        <f>_xlfn.IFNA(IF(Simulation!$L$7="","non",IF(VLOOKUP(TCFH!$C6,MATIERES!$A$2:$G$421,3,0)="SASKIT",TCFH!$C6,"non")),"non")</f>
        <v>non</v>
      </c>
      <c r="Y32" s="345">
        <f>_xlfn.IFNA(VLOOKUP(X32,TCFH!$C$4:AP$49,VLOOKUP(Simulation!$B$10,'Estimatif Q'!$A$96:$B$113,2,0),0),0)</f>
        <v>0</v>
      </c>
      <c r="Z32" s="345" t="str">
        <f t="shared" si="1"/>
        <v>non</v>
      </c>
    </row>
    <row r="33" spans="1:26" s="345" customFormat="1" x14ac:dyDescent="0.2">
      <c r="A33" s="338"/>
      <c r="B33" s="338"/>
      <c r="C33" s="338"/>
      <c r="D33" s="338"/>
      <c r="E33" s="338"/>
      <c r="F33" s="338"/>
      <c r="G33" s="338"/>
      <c r="H33" s="338"/>
      <c r="I33" s="338"/>
      <c r="J33" s="338"/>
      <c r="K33" s="552"/>
      <c r="L33" s="566"/>
      <c r="M33" s="552" t="str">
        <f>_xlfn.IFNA(VLOOKUP($L33,MATIERES!$A$2:$F$448,4,0),"")</f>
        <v/>
      </c>
      <c r="N33" s="566"/>
      <c r="O33" s="552" t="str">
        <f>_xlfn.IFNA(VLOOKUP($L33,MATIERES!$A$2:$F$448,4,0),"")</f>
        <v/>
      </c>
      <c r="P33" s="338"/>
      <c r="Q33" s="338"/>
      <c r="R33" s="338"/>
      <c r="S33" s="338"/>
      <c r="T33" s="338"/>
      <c r="U33"/>
      <c r="V33"/>
      <c r="X33" s="557" t="str">
        <f>_xlfn.IFNA(IF(Simulation!$L$7="","non",IF(VLOOKUP(TCFH!$C7,MATIERES!$A$2:$G$421,3,0)="SASKIT",TCFH!$C7,"non")),"non")</f>
        <v>non</v>
      </c>
      <c r="Y33" s="345">
        <f>_xlfn.IFNA(VLOOKUP(X33,TCFH!$C$4:AP$49,VLOOKUP(Simulation!$B$10,'Estimatif Q'!$A$96:$B$113,2,0),0),0)</f>
        <v>0</v>
      </c>
      <c r="Z33" s="345" t="str">
        <f t="shared" si="1"/>
        <v>non</v>
      </c>
    </row>
    <row r="34" spans="1:26" s="345" customFormat="1" x14ac:dyDescent="0.2">
      <c r="A34" s="338"/>
      <c r="B34" s="338"/>
      <c r="C34" s="338"/>
      <c r="D34" s="338"/>
      <c r="E34" s="338"/>
      <c r="F34" s="338"/>
      <c r="G34" s="338"/>
      <c r="H34" s="338"/>
      <c r="I34" s="338"/>
      <c r="J34" s="338"/>
      <c r="K34" s="552"/>
      <c r="L34" s="566"/>
      <c r="M34" s="552"/>
      <c r="N34" s="566"/>
      <c r="O34" s="552"/>
      <c r="P34" s="338"/>
      <c r="Q34" s="338"/>
      <c r="R34" s="338"/>
      <c r="S34" s="338"/>
      <c r="T34" s="338"/>
      <c r="U34"/>
      <c r="V34"/>
      <c r="X34" s="557" t="str">
        <f>_xlfn.IFNA(IF(Simulation!$L$7="","non",IF(VLOOKUP(TCFH!$C8,MATIERES!$A$2:$G$421,3,0)="SASKIT",TCFH!$C8,"non")),"non")</f>
        <v>non</v>
      </c>
      <c r="Y34" s="345">
        <f>_xlfn.IFNA(VLOOKUP(X34,TCFH!$C$4:AP$49,VLOOKUP(Simulation!$B$10,'Estimatif Q'!$A$96:$B$113,2,0),0),0)</f>
        <v>0</v>
      </c>
      <c r="Z34" s="345" t="str">
        <f t="shared" si="1"/>
        <v>non</v>
      </c>
    </row>
    <row r="35" spans="1:26" s="345" customFormat="1" x14ac:dyDescent="0.2">
      <c r="A35" s="338"/>
      <c r="B35" s="338"/>
      <c r="C35" s="338"/>
      <c r="D35" s="338"/>
      <c r="E35" s="338"/>
      <c r="F35" s="338"/>
      <c r="G35" s="338"/>
      <c r="H35" s="338"/>
      <c r="I35" s="338"/>
      <c r="J35" s="338"/>
      <c r="K35" s="552"/>
      <c r="L35" s="566"/>
      <c r="M35" s="552"/>
      <c r="N35" s="566"/>
      <c r="O35" s="552"/>
      <c r="P35" s="338"/>
      <c r="Q35" s="338"/>
      <c r="R35" s="338"/>
      <c r="S35" s="338"/>
      <c r="T35" s="338"/>
      <c r="U35"/>
      <c r="V35"/>
      <c r="X35" s="557" t="str">
        <f>_xlfn.IFNA(IF(Simulation!$L$7="","non",IF(VLOOKUP(TCFH!$C9,MATIERES!$A$2:$G$421,3,0)="SASKIT",TCFH!$C9,"non")),"non")</f>
        <v>non</v>
      </c>
      <c r="Y35" s="345">
        <f>_xlfn.IFNA(VLOOKUP(X35,TCFH!$C$4:AP$49,VLOOKUP(Simulation!$B$10,'Estimatif Q'!$A$96:$B$113,2,0),0),0)</f>
        <v>0</v>
      </c>
      <c r="Z35" s="345" t="str">
        <f t="shared" si="1"/>
        <v>non</v>
      </c>
    </row>
    <row r="36" spans="1:26" s="345" customFormat="1" x14ac:dyDescent="0.2">
      <c r="A36" s="338"/>
      <c r="B36" s="338"/>
      <c r="C36" s="338"/>
      <c r="D36" s="338"/>
      <c r="E36" s="338"/>
      <c r="F36" s="338"/>
      <c r="G36" s="338"/>
      <c r="H36" s="338"/>
      <c r="I36" s="338"/>
      <c r="J36" s="338"/>
      <c r="K36" s="552"/>
      <c r="L36" s="566"/>
      <c r="M36" s="552"/>
      <c r="N36" s="566"/>
      <c r="O36" s="552"/>
      <c r="P36" s="338"/>
      <c r="Q36" s="338"/>
      <c r="R36" s="338"/>
      <c r="S36" s="338"/>
      <c r="T36" s="338"/>
      <c r="U36"/>
      <c r="V36"/>
      <c r="X36" s="557" t="str">
        <f>_xlfn.IFNA(IF(Simulation!$L$7="","non",IF(VLOOKUP(TCFH!$C10,MATIERES!$A$2:$G$421,3,0)="SASKIT",TCFH!$C10,"non")),"non")</f>
        <v>non</v>
      </c>
      <c r="Y36" s="345">
        <f>_xlfn.IFNA(VLOOKUP(X36,TCFH!$C$4:AP$49,VLOOKUP(Simulation!$B$10,'Estimatif Q'!$A$96:$B$113,2,0),0),0)</f>
        <v>0</v>
      </c>
      <c r="Z36" s="345" t="str">
        <f t="shared" si="1"/>
        <v>non</v>
      </c>
    </row>
    <row r="37" spans="1:26" s="345" customFormat="1" x14ac:dyDescent="0.2">
      <c r="A37" s="338"/>
      <c r="B37" s="338"/>
      <c r="C37" s="338"/>
      <c r="D37" s="338"/>
      <c r="E37" s="338"/>
      <c r="F37" s="338"/>
      <c r="G37" s="338"/>
      <c r="H37" s="338"/>
      <c r="I37" s="338"/>
      <c r="J37" s="338"/>
      <c r="K37" s="552"/>
      <c r="L37" s="566"/>
      <c r="M37" s="552"/>
      <c r="N37" s="566"/>
      <c r="O37" s="552"/>
      <c r="P37" s="338"/>
      <c r="Q37" s="338"/>
      <c r="R37" s="338"/>
      <c r="S37" s="338"/>
      <c r="T37" s="338"/>
      <c r="U37"/>
      <c r="V37"/>
      <c r="X37" s="557" t="str">
        <f>_xlfn.IFNA(IF(Simulation!$L$7="","non",IF(VLOOKUP(TCFH!$C11,MATIERES!$A$2:$G$421,3,0)="SASKIT",TCFH!$C11,"non")),"non")</f>
        <v>non</v>
      </c>
      <c r="Y37" s="345">
        <f>_xlfn.IFNA(VLOOKUP(X37,TCFH!$C$4:AP$49,VLOOKUP(Simulation!$B$10,'Estimatif Q'!$A$96:$B$113,2,0),0),0)</f>
        <v>0</v>
      </c>
      <c r="Z37" s="345" t="str">
        <f t="shared" si="1"/>
        <v>non</v>
      </c>
    </row>
    <row r="38" spans="1:26" s="345" customFormat="1" x14ac:dyDescent="0.2">
      <c r="A38" s="338"/>
      <c r="B38" s="338"/>
      <c r="C38" s="338"/>
      <c r="D38" s="338"/>
      <c r="E38" s="338"/>
      <c r="F38" s="338"/>
      <c r="G38" s="338"/>
      <c r="H38" s="338"/>
      <c r="I38" s="338"/>
      <c r="J38" s="338"/>
      <c r="K38" s="552"/>
      <c r="L38" s="566"/>
      <c r="M38" s="552"/>
      <c r="N38" s="566"/>
      <c r="O38" s="552"/>
      <c r="P38" s="338"/>
      <c r="Q38" s="338"/>
      <c r="R38" s="338"/>
      <c r="S38" s="338"/>
      <c r="T38" s="338"/>
      <c r="U38"/>
      <c r="V38"/>
      <c r="X38" s="557" t="str">
        <f>_xlfn.IFNA(IF(Simulation!$L$7="","non",IF(VLOOKUP(TCFH!$C12,MATIERES!$A$2:$G$421,3,0)="SASKIT",TCFH!$C12,"non")),"non")</f>
        <v>non</v>
      </c>
      <c r="Y38" s="345">
        <f>_xlfn.IFNA(VLOOKUP(X38,TCFH!$C$4:AP$49,VLOOKUP(Simulation!$B$10,'Estimatif Q'!$A$96:$B$113,2,0),0),0)</f>
        <v>0</v>
      </c>
      <c r="Z38" s="345" t="str">
        <f t="shared" si="1"/>
        <v>non</v>
      </c>
    </row>
    <row r="39" spans="1:26" s="345" customFormat="1" x14ac:dyDescent="0.2">
      <c r="A39" s="338"/>
      <c r="B39" s="338"/>
      <c r="C39" s="338"/>
      <c r="D39" s="338"/>
      <c r="E39" s="338"/>
      <c r="F39" s="338"/>
      <c r="G39" s="338"/>
      <c r="H39" s="338"/>
      <c r="I39" s="338"/>
      <c r="J39" s="338"/>
      <c r="K39" s="552"/>
      <c r="L39" s="566"/>
      <c r="M39" s="552"/>
      <c r="N39" s="566"/>
      <c r="O39" s="552"/>
      <c r="P39" s="338"/>
      <c r="Q39" s="338"/>
      <c r="R39" s="338"/>
      <c r="S39" s="338"/>
      <c r="T39" s="338"/>
      <c r="U39"/>
      <c r="V39"/>
      <c r="X39" s="557" t="str">
        <f>_xlfn.IFNA(IF(Simulation!$L$7="","non",IF(VLOOKUP(TCFH!$C13,MATIERES!$A$2:$G$421,3,0)="SASKIT",TCFH!$C13,"non")),"non")</f>
        <v>non</v>
      </c>
      <c r="Y39" s="345">
        <f>_xlfn.IFNA(VLOOKUP(X39,TCFH!$C$4:AP$49,VLOOKUP(Simulation!$B$10,'Estimatif Q'!$A$96:$B$113,2,0),0),0)</f>
        <v>0</v>
      </c>
      <c r="Z39" s="345" t="str">
        <f t="shared" si="1"/>
        <v>non</v>
      </c>
    </row>
    <row r="40" spans="1:26" s="345" customFormat="1" x14ac:dyDescent="0.2">
      <c r="A40" s="338"/>
      <c r="B40" s="338"/>
      <c r="C40" s="338"/>
      <c r="D40" s="338"/>
      <c r="E40" s="338"/>
      <c r="F40" s="338"/>
      <c r="G40" s="338"/>
      <c r="H40" s="338"/>
      <c r="I40" s="338"/>
      <c r="J40" s="338"/>
      <c r="K40" s="552"/>
      <c r="L40" s="566"/>
      <c r="M40" s="552"/>
      <c r="N40" s="566"/>
      <c r="O40" s="552"/>
      <c r="P40" s="338"/>
      <c r="Q40" s="338"/>
      <c r="R40" s="338"/>
      <c r="S40" s="338"/>
      <c r="T40" s="338"/>
      <c r="U40"/>
      <c r="V40"/>
      <c r="X40" s="557" t="str">
        <f>_xlfn.IFNA(IF(Simulation!$L$7="","non",IF(VLOOKUP(TCFH!$C14,MATIERES!$A$2:$G$421,3,0)="SASKIT",TCFH!$C14,"non")),"non")</f>
        <v>non</v>
      </c>
      <c r="Y40" s="345">
        <f>_xlfn.IFNA(VLOOKUP(X40,TCFH!$C$4:AP$49,VLOOKUP(Simulation!$B$10,'Estimatif Q'!$A$96:$B$113,2,0),0),0)</f>
        <v>0</v>
      </c>
      <c r="Z40" s="345" t="str">
        <f t="shared" si="1"/>
        <v>non</v>
      </c>
    </row>
    <row r="41" spans="1:26" s="345" customFormat="1" x14ac:dyDescent="0.2">
      <c r="A41" s="338"/>
      <c r="B41" s="338"/>
      <c r="C41" s="338"/>
      <c r="D41" s="338"/>
      <c r="E41" s="338"/>
      <c r="F41" s="338"/>
      <c r="G41" s="338"/>
      <c r="H41" s="338"/>
      <c r="I41" s="338"/>
      <c r="J41" s="338"/>
      <c r="K41" s="552"/>
      <c r="L41" s="566"/>
      <c r="M41" s="552"/>
      <c r="N41" s="566"/>
      <c r="O41" s="552"/>
      <c r="P41" s="338"/>
      <c r="Q41" s="338"/>
      <c r="R41" s="338"/>
      <c r="S41" s="338"/>
      <c r="T41" s="338"/>
      <c r="U41"/>
      <c r="V41"/>
      <c r="X41" s="557" t="str">
        <f>_xlfn.IFNA(IF(Simulation!$L$7="","non",IF(VLOOKUP(TCFH!$C15,MATIERES!$A$2:$G$421,3,0)="SASKIT",TCFH!$C15,"non")),"non")</f>
        <v>non</v>
      </c>
      <c r="Y41" s="345">
        <f>_xlfn.IFNA(VLOOKUP(X41,TCFH!$C$4:AP$49,VLOOKUP(Simulation!$B$10,'Estimatif Q'!$A$96:$B$113,2,0),0),0)</f>
        <v>0</v>
      </c>
      <c r="Z41" s="345" t="str">
        <f t="shared" si="1"/>
        <v>non</v>
      </c>
    </row>
    <row r="42" spans="1:26" s="345" customFormat="1" x14ac:dyDescent="0.2">
      <c r="A42" s="338"/>
      <c r="B42" s="338"/>
      <c r="C42" s="338"/>
      <c r="D42" s="338"/>
      <c r="E42" s="338"/>
      <c r="F42" s="338"/>
      <c r="G42" s="338"/>
      <c r="H42" s="338"/>
      <c r="I42" s="338"/>
      <c r="J42" s="338"/>
      <c r="K42" s="552"/>
      <c r="L42" s="566"/>
      <c r="M42" s="552"/>
      <c r="N42" s="566"/>
      <c r="O42" s="552"/>
      <c r="P42" s="338"/>
      <c r="Q42" s="338"/>
      <c r="R42" s="338"/>
      <c r="S42" s="338"/>
      <c r="T42" s="338"/>
      <c r="U42"/>
      <c r="V42"/>
      <c r="X42" s="557" t="str">
        <f>_xlfn.IFNA(IF(Simulation!$L$7="","non",IF(VLOOKUP(TCFH!$C16,MATIERES!$A$2:$G$421,3,0)="SASKIT",TCFH!$C16,"non")),"non")</f>
        <v>non</v>
      </c>
      <c r="Y42" s="345">
        <f>_xlfn.IFNA(VLOOKUP(X42,TCFH!$C$4:AP$49,VLOOKUP(Simulation!$B$10,'Estimatif Q'!$A$96:$B$113,2,0),0),0)</f>
        <v>0</v>
      </c>
      <c r="Z42" s="345" t="str">
        <f t="shared" si="1"/>
        <v>non</v>
      </c>
    </row>
    <row r="43" spans="1:26" s="345" customFormat="1" x14ac:dyDescent="0.2">
      <c r="A43" s="338"/>
      <c r="B43" s="338"/>
      <c r="C43" s="338"/>
      <c r="D43" s="338"/>
      <c r="E43" s="338"/>
      <c r="F43" s="338"/>
      <c r="G43" s="338"/>
      <c r="H43" s="338"/>
      <c r="I43" s="338"/>
      <c r="J43" s="338"/>
      <c r="K43"/>
      <c r="L43"/>
      <c r="M43" s="338"/>
      <c r="N43" s="338"/>
      <c r="O43" s="338"/>
      <c r="P43" s="338"/>
      <c r="Q43" s="338"/>
      <c r="R43" s="338"/>
      <c r="S43" s="338"/>
      <c r="T43" s="338"/>
      <c r="U43"/>
      <c r="V43"/>
      <c r="X43" s="557" t="str">
        <f>_xlfn.IFNA(IF(Simulation!$L$7="","non",IF(VLOOKUP(TCFH!$C17,MATIERES!$A$2:$G$421,3,0)="SASKIT",TCFH!$C17,"non")),"non")</f>
        <v>non</v>
      </c>
      <c r="Y43" s="345">
        <f>_xlfn.IFNA(VLOOKUP(X43,TCFH!$C$4:AP$49,VLOOKUP(Simulation!$B$10,'Estimatif Q'!$A$96:$B$113,2,0),0),0)</f>
        <v>0</v>
      </c>
      <c r="Z43" s="345" t="str">
        <f t="shared" si="1"/>
        <v>non</v>
      </c>
    </row>
    <row r="44" spans="1:26" s="345" customFormat="1" x14ac:dyDescent="0.2">
      <c r="F44" s="338"/>
      <c r="J44" s="338"/>
      <c r="K44"/>
      <c r="L44"/>
      <c r="M44" s="338"/>
      <c r="N44" s="338"/>
      <c r="O44" s="338"/>
      <c r="P44" s="338"/>
      <c r="Q44" s="338"/>
      <c r="U44"/>
      <c r="V44"/>
      <c r="X44" s="557" t="str">
        <f>_xlfn.IFNA(IF(Simulation!$L$7="","non",IF(VLOOKUP(TCFH!$C18,MATIERES!$A$2:$G$421,3,0)="SASKIT",TCFH!$C18,"non")),"non")</f>
        <v>non</v>
      </c>
      <c r="Y44" s="345">
        <f>_xlfn.IFNA(VLOOKUP(X44,TCFH!$C$4:AP$49,VLOOKUP(Simulation!$B$10,'Estimatif Q'!$A$96:$B$113,2,0),0),0)</f>
        <v>0</v>
      </c>
      <c r="Z44" s="345" t="str">
        <f t="shared" si="1"/>
        <v>non</v>
      </c>
    </row>
    <row r="45" spans="1:26" s="345" customFormat="1" x14ac:dyDescent="0.2">
      <c r="F45" s="338"/>
      <c r="J45" s="338"/>
      <c r="K45"/>
      <c r="L45"/>
      <c r="M45" s="338"/>
      <c r="N45" s="338"/>
      <c r="O45" s="338"/>
      <c r="P45" s="338"/>
      <c r="Q45" s="338"/>
      <c r="U45"/>
      <c r="V45"/>
      <c r="X45" s="557" t="str">
        <f>_xlfn.IFNA(IF(Simulation!$L$7="","non",IF(VLOOKUP(TCFH!$C19,MATIERES!$A$2:$G$421,3,0)="SASKIT",TCFH!$C19,"non")),"non")</f>
        <v>non</v>
      </c>
      <c r="Y45" s="345">
        <f>_xlfn.IFNA(VLOOKUP(X45,TCFH!$C$4:AP$49,VLOOKUP(Simulation!$B$10,'Estimatif Q'!$A$96:$B$113,2,0),0),0)</f>
        <v>0</v>
      </c>
      <c r="Z45" s="345" t="str">
        <f t="shared" si="1"/>
        <v>non</v>
      </c>
    </row>
    <row r="46" spans="1:26" s="345" customFormat="1" x14ac:dyDescent="0.2">
      <c r="F46" s="338"/>
      <c r="J46" s="338"/>
      <c r="K46"/>
      <c r="L46"/>
      <c r="M46" s="338"/>
      <c r="N46" s="338"/>
      <c r="O46" s="338"/>
      <c r="P46" s="338"/>
      <c r="Q46" s="338"/>
      <c r="U46"/>
      <c r="V46"/>
      <c r="X46" s="557" t="str">
        <f>_xlfn.IFNA(IF(Simulation!$L$7="","non",IF(VLOOKUP(TCFH!$C20,MATIERES!$A$2:$G$421,3,0)="SASKIT",TCFH!$C20,"non")),"non")</f>
        <v>non</v>
      </c>
      <c r="Y46" s="345">
        <f>_xlfn.IFNA(VLOOKUP(X46,TCFH!$C$4:AP$49,VLOOKUP(Simulation!$B$10,'Estimatif Q'!$A$96:$B$113,2,0),0),0)</f>
        <v>0</v>
      </c>
      <c r="Z46" s="345" t="str">
        <f t="shared" si="1"/>
        <v>non</v>
      </c>
    </row>
    <row r="47" spans="1:26" s="345" customFormat="1" x14ac:dyDescent="0.2">
      <c r="F47" s="338"/>
      <c r="J47" s="338"/>
      <c r="K47"/>
      <c r="L47"/>
      <c r="M47" s="338"/>
      <c r="N47" s="338"/>
      <c r="O47" s="338"/>
      <c r="P47" s="338"/>
      <c r="Q47" s="338"/>
      <c r="U47"/>
      <c r="V47"/>
      <c r="X47" s="557" t="str">
        <f>_xlfn.IFNA(IF(Simulation!$L$7="","non",IF(VLOOKUP(TCFH!$C21,MATIERES!$A$2:$G$421,3,0)="SASKIT",TCFH!$C21,"non")),"non")</f>
        <v>non</v>
      </c>
      <c r="Y47" s="345">
        <f>_xlfn.IFNA(VLOOKUP(X47,TCFH!$C$4:AP$49,VLOOKUP(Simulation!$B$10,'Estimatif Q'!$A$96:$B$113,2,0),0),0)</f>
        <v>0</v>
      </c>
      <c r="Z47" s="345" t="str">
        <f t="shared" si="1"/>
        <v>non</v>
      </c>
    </row>
    <row r="48" spans="1:26" s="345" customFormat="1" x14ac:dyDescent="0.2">
      <c r="F48" s="338"/>
      <c r="J48" s="338"/>
      <c r="K48"/>
      <c r="L48"/>
      <c r="M48" s="338"/>
      <c r="N48" s="338"/>
      <c r="O48" s="338"/>
      <c r="P48" s="338"/>
      <c r="Q48" s="338"/>
      <c r="U48"/>
      <c r="V48"/>
      <c r="X48" s="557" t="str">
        <f>_xlfn.IFNA(IF(Simulation!$L$7="","non",IF(VLOOKUP(TCFH!$C22,MATIERES!$A$2:$G$421,3,0)="SASKIT",TCFH!$C22,"non")),"non")</f>
        <v>non</v>
      </c>
      <c r="Y48" s="345">
        <f>_xlfn.IFNA(VLOOKUP(X48,TCFH!$C$4:AP$49,VLOOKUP(Simulation!$B$10,'Estimatif Q'!$A$96:$B$113,2,0),0),0)</f>
        <v>0</v>
      </c>
      <c r="Z48" s="345" t="str">
        <f t="shared" si="1"/>
        <v>non</v>
      </c>
    </row>
    <row r="49" spans="6:26" s="345" customFormat="1" x14ac:dyDescent="0.2">
      <c r="F49" s="338"/>
      <c r="J49" s="338"/>
      <c r="K49"/>
      <c r="L49"/>
      <c r="M49" s="338"/>
      <c r="N49" s="338"/>
      <c r="O49" s="338"/>
      <c r="P49" s="338"/>
      <c r="Q49" s="338"/>
      <c r="U49"/>
      <c r="V49"/>
      <c r="X49" s="557" t="str">
        <f>_xlfn.IFNA(IF(Simulation!$L$7="","non",IF(VLOOKUP(TCFH!$C23,MATIERES!$A$2:$G$421,3,0)="SASKIT",TCFH!$C23,"non")),"non")</f>
        <v>non</v>
      </c>
      <c r="Y49" s="345">
        <f>_xlfn.IFNA(VLOOKUP(X49,TCFH!$C$4:AP$49,VLOOKUP(Simulation!$B$10,'Estimatif Q'!$A$96:$B$113,2,0),0),0)</f>
        <v>0</v>
      </c>
      <c r="Z49" s="345" t="str">
        <f t="shared" si="1"/>
        <v>non</v>
      </c>
    </row>
    <row r="50" spans="6:26" s="345" customFormat="1" x14ac:dyDescent="0.2">
      <c r="F50" s="338"/>
      <c r="J50" s="338"/>
      <c r="K50"/>
      <c r="L50"/>
      <c r="M50" s="338"/>
      <c r="N50" s="338"/>
      <c r="O50" s="338"/>
      <c r="P50" s="338"/>
      <c r="Q50" s="338"/>
      <c r="U50"/>
      <c r="V50"/>
      <c r="X50" s="557" t="str">
        <f>_xlfn.IFNA(IF(Simulation!$L$7="","non",IF(VLOOKUP(TCFH!$C24,MATIERES!$A$2:$G$421,3,0)="SASKIT",TCFH!$C24,"non")),"non")</f>
        <v>non</v>
      </c>
      <c r="Y50" s="345">
        <f>_xlfn.IFNA(VLOOKUP(X50,TCFH!$C$4:AP$49,VLOOKUP(Simulation!$B$10,'Estimatif Q'!$A$96:$B$113,2,0),0),0)</f>
        <v>0</v>
      </c>
      <c r="Z50" s="345" t="str">
        <f t="shared" si="1"/>
        <v>non</v>
      </c>
    </row>
    <row r="51" spans="6:26" s="345" customFormat="1" x14ac:dyDescent="0.2">
      <c r="F51" s="338"/>
      <c r="J51" s="338"/>
      <c r="K51"/>
      <c r="L51"/>
      <c r="M51" s="338"/>
      <c r="N51" s="338"/>
      <c r="O51" s="338"/>
      <c r="P51" s="338"/>
      <c r="Q51" s="338"/>
      <c r="U51"/>
      <c r="V51"/>
      <c r="X51" s="557" t="str">
        <f>_xlfn.IFNA(IF(Simulation!$L$7="","non",IF(VLOOKUP(TCFH!$C25,MATIERES!$A$2:$G$421,3,0)="SASKIT",TCFH!$C25,"non")),"non")</f>
        <v>non</v>
      </c>
      <c r="Y51" s="345">
        <f>_xlfn.IFNA(VLOOKUP(X51,TCFH!$C$4:AP$49,VLOOKUP(Simulation!$B$10,'Estimatif Q'!$A$96:$B$113,2,0),0),0)</f>
        <v>0</v>
      </c>
      <c r="Z51" s="345" t="str">
        <f t="shared" si="1"/>
        <v>non</v>
      </c>
    </row>
    <row r="52" spans="6:26" s="345" customFormat="1" x14ac:dyDescent="0.2">
      <c r="F52" s="338"/>
      <c r="J52" s="338"/>
      <c r="K52"/>
      <c r="L52"/>
      <c r="M52" s="338"/>
      <c r="N52" s="338"/>
      <c r="O52" s="338"/>
      <c r="P52" s="338"/>
      <c r="Q52" s="338"/>
      <c r="U52"/>
      <c r="V52"/>
      <c r="X52" s="557" t="str">
        <f>_xlfn.IFNA(IF(Simulation!$L$7="","non",IF(VLOOKUP(TCFH!$C26,MATIERES!$A$2:$G$421,3,0)="SASKIT",TCFH!$C26,"non")),"non")</f>
        <v>non</v>
      </c>
      <c r="Y52" s="345">
        <f>_xlfn.IFNA(VLOOKUP(X52,TCFH!$C$4:AP$49,VLOOKUP(Simulation!$B$10,'Estimatif Q'!$A$96:$B$113,2,0),0),0)</f>
        <v>0</v>
      </c>
      <c r="Z52" s="345" t="str">
        <f t="shared" si="1"/>
        <v>non</v>
      </c>
    </row>
    <row r="53" spans="6:26" s="345" customFormat="1" x14ac:dyDescent="0.2">
      <c r="F53" s="338"/>
      <c r="J53" s="338"/>
      <c r="K53"/>
      <c r="L53"/>
      <c r="M53" s="338"/>
      <c r="N53" s="338"/>
      <c r="O53" s="338"/>
      <c r="P53" s="338"/>
      <c r="Q53" s="338"/>
      <c r="U53"/>
      <c r="V53"/>
      <c r="X53" s="557" t="str">
        <f>_xlfn.IFNA(IF(Simulation!$L$7="","non",IF(VLOOKUP(TCFH!$C27,MATIERES!$A$2:$G$421,3,0)="SASKIT",TCFH!$C27,"non")),"non")</f>
        <v>non</v>
      </c>
      <c r="Y53" s="345">
        <f>_xlfn.IFNA(VLOOKUP(X53,TCFH!$C$4:AP$49,VLOOKUP(Simulation!$B$10,'Estimatif Q'!$A$96:$B$113,2,0),0),0)</f>
        <v>0</v>
      </c>
      <c r="Z53" s="345" t="str">
        <f t="shared" si="1"/>
        <v>non</v>
      </c>
    </row>
    <row r="54" spans="6:26" s="345" customFormat="1" x14ac:dyDescent="0.2">
      <c r="F54" s="338"/>
      <c r="J54" s="338"/>
      <c r="K54"/>
      <c r="L54"/>
      <c r="M54" s="338"/>
      <c r="N54" s="338"/>
      <c r="O54" s="338"/>
      <c r="P54" s="338"/>
      <c r="Q54" s="338"/>
      <c r="U54"/>
      <c r="V54"/>
      <c r="X54" s="557" t="str">
        <f>_xlfn.IFNA(IF(Simulation!$L$7="","non",IF(VLOOKUP(TCFH!$C28,MATIERES!$A$2:$G$421,3,0)="SASKIT",TCFH!$C28,"non")),"non")</f>
        <v>non</v>
      </c>
      <c r="Y54" s="345">
        <f>_xlfn.IFNA(VLOOKUP(X54,TCFH!$C$4:AP$49,VLOOKUP(Simulation!$B$10,'Estimatif Q'!$A$96:$B$113,2,0),0),0)</f>
        <v>0</v>
      </c>
      <c r="Z54" s="345" t="str">
        <f t="shared" si="1"/>
        <v>non</v>
      </c>
    </row>
    <row r="55" spans="6:26" s="345" customFormat="1" x14ac:dyDescent="0.2">
      <c r="F55" s="338"/>
      <c r="J55" s="338"/>
      <c r="K55"/>
      <c r="L55"/>
      <c r="M55" s="338"/>
      <c r="N55" s="338"/>
      <c r="O55" s="338"/>
      <c r="P55" s="338"/>
      <c r="Q55" s="338"/>
      <c r="U55"/>
      <c r="V55"/>
      <c r="X55" s="557" t="str">
        <f>_xlfn.IFNA(IF(Simulation!$L$7="","non",IF(VLOOKUP(TCFH!$C29,MATIERES!$A$2:$G$421,3,0)="SASKIT",TCFH!$C29,"non")),"non")</f>
        <v>non</v>
      </c>
      <c r="Y55" s="345">
        <f>_xlfn.IFNA(VLOOKUP(X55,TCFH!$C$4:AP$49,VLOOKUP(Simulation!$B$10,'Estimatif Q'!$A$96:$B$113,2,0),0),0)</f>
        <v>0</v>
      </c>
      <c r="Z55" s="345" t="str">
        <f t="shared" si="1"/>
        <v>non</v>
      </c>
    </row>
    <row r="56" spans="6:26" s="345" customFormat="1" x14ac:dyDescent="0.2">
      <c r="F56" s="338"/>
      <c r="J56" s="338"/>
      <c r="K56"/>
      <c r="L56"/>
      <c r="M56" s="338"/>
      <c r="N56" s="338"/>
      <c r="O56" s="338"/>
      <c r="P56" s="338"/>
      <c r="Q56" s="338"/>
      <c r="U56"/>
      <c r="V56"/>
      <c r="X56" s="557" t="str">
        <f>_xlfn.IFNA(IF(Simulation!$L$7="","non",IF(VLOOKUP(TCFH!$C30,MATIERES!$A$2:$G$421,3,0)="SASKIT",TCFH!$C30,"non")),"non")</f>
        <v>non</v>
      </c>
      <c r="Y56" s="345">
        <f>_xlfn.IFNA(VLOOKUP(X56,TCFH!$C$4:AP$49,VLOOKUP(Simulation!$B$10,'Estimatif Q'!$A$96:$B$113,2,0),0),0)</f>
        <v>0</v>
      </c>
      <c r="Z56" s="345" t="str">
        <f t="shared" si="1"/>
        <v>non</v>
      </c>
    </row>
    <row r="57" spans="6:26" s="345" customFormat="1" x14ac:dyDescent="0.2">
      <c r="F57" s="338"/>
      <c r="J57" s="338"/>
      <c r="K57"/>
      <c r="L57"/>
      <c r="M57" s="338"/>
      <c r="N57" s="338"/>
      <c r="O57" s="338"/>
      <c r="P57" s="338"/>
      <c r="Q57" s="338"/>
      <c r="U57"/>
      <c r="V57"/>
      <c r="X57" s="557" t="str">
        <f>_xlfn.IFNA(IF(Simulation!$L$7="","non",IF(VLOOKUP(TCFH!$C31,MATIERES!$A$2:$G$421,3,0)="SASKIT",TCFH!$C31,"non")),"non")</f>
        <v>non</v>
      </c>
      <c r="Y57" s="345">
        <f>_xlfn.IFNA(VLOOKUP(X57,TCFH!$C$4:AP$49,VLOOKUP(Simulation!$B$10,'Estimatif Q'!$A$96:$B$113,2,0),0),0)</f>
        <v>0</v>
      </c>
      <c r="Z57" s="345" t="str">
        <f t="shared" si="1"/>
        <v>non</v>
      </c>
    </row>
    <row r="58" spans="6:26" s="345" customFormat="1" x14ac:dyDescent="0.2">
      <c r="F58" s="338"/>
      <c r="J58" s="338"/>
      <c r="K58"/>
      <c r="L58"/>
      <c r="M58" s="338"/>
      <c r="N58" s="338"/>
      <c r="O58" s="338"/>
      <c r="P58" s="338"/>
      <c r="Q58" s="338"/>
      <c r="U58"/>
      <c r="V58"/>
      <c r="X58" s="557" t="str">
        <f>_xlfn.IFNA(IF(Simulation!$L$7="","non",IF(VLOOKUP(TCFH!$C32,MATIERES!$A$2:$G$421,3,0)="SASKIT",TCFH!$C32,"non")),"non")</f>
        <v>non</v>
      </c>
      <c r="Y58" s="345">
        <f>_xlfn.IFNA(VLOOKUP(X58,TCFH!$C$4:AP$49,VLOOKUP(Simulation!$B$10,'Estimatif Q'!$A$96:$B$113,2,0),0),0)</f>
        <v>0</v>
      </c>
      <c r="Z58" s="345" t="str">
        <f t="shared" si="1"/>
        <v>non</v>
      </c>
    </row>
    <row r="59" spans="6:26" s="345" customFormat="1" x14ac:dyDescent="0.2">
      <c r="F59" s="338"/>
      <c r="J59" s="338"/>
      <c r="K59"/>
      <c r="L59"/>
      <c r="M59" s="338"/>
      <c r="N59" s="338"/>
      <c r="O59" s="338"/>
      <c r="P59" s="338"/>
      <c r="Q59" s="338"/>
      <c r="U59"/>
      <c r="V59"/>
      <c r="X59" s="557" t="str">
        <f>_xlfn.IFNA(IF(Simulation!$L$7="","non",IF(VLOOKUP(TCFH!$C33,MATIERES!$A$2:$G$421,3,0)="SASKIT",TCFH!$C33,"non")),"non")</f>
        <v>non</v>
      </c>
      <c r="Y59" s="345">
        <f>_xlfn.IFNA(VLOOKUP(X59,TCFH!$C$4:AP$49,VLOOKUP(Simulation!$B$10,'Estimatif Q'!$A$96:$B$113,2,0),0),0)</f>
        <v>0</v>
      </c>
      <c r="Z59" s="345" t="str">
        <f t="shared" si="1"/>
        <v>non</v>
      </c>
    </row>
    <row r="60" spans="6:26" s="345" customFormat="1" x14ac:dyDescent="0.2">
      <c r="F60" s="338"/>
      <c r="J60" s="338"/>
      <c r="K60"/>
      <c r="L60"/>
      <c r="M60" s="338"/>
      <c r="N60" s="338"/>
      <c r="O60" s="338"/>
      <c r="P60" s="338"/>
      <c r="Q60" s="338"/>
      <c r="U60"/>
      <c r="V60"/>
      <c r="X60" s="557" t="str">
        <f>_xlfn.IFNA(IF(Simulation!$L$7="","non",IF(VLOOKUP(TCFH!#REF!,MATIERES!$A$2:$G$421,3,0)="SASKIT",TCFH!#REF!,"non")),"non")</f>
        <v>non</v>
      </c>
      <c r="Y60" s="345">
        <f>_xlfn.IFNA(VLOOKUP(X60,TCFH!$C$4:AP$49,VLOOKUP(Simulation!$B$10,'Estimatif Q'!$A$96:$B$113,2,0),0),0)</f>
        <v>0</v>
      </c>
      <c r="Z60" s="345" t="str">
        <f t="shared" si="1"/>
        <v>non</v>
      </c>
    </row>
    <row r="61" spans="6:26" s="345" customFormat="1" x14ac:dyDescent="0.2">
      <c r="F61" s="338"/>
      <c r="J61" s="338"/>
      <c r="K61"/>
      <c r="L61"/>
      <c r="M61" s="338"/>
      <c r="N61" s="338"/>
      <c r="O61" s="338"/>
      <c r="P61" s="338"/>
      <c r="Q61" s="338"/>
      <c r="U61"/>
      <c r="V61"/>
      <c r="X61" s="557" t="str">
        <f>_xlfn.IFNA(IF(Simulation!$L$7="","non",IF(VLOOKUP(TCFH!$C34,MATIERES!$A$2:$G$421,3,0)="SASKIT",TCFH!$C34,"non")),"non")</f>
        <v>non</v>
      </c>
      <c r="Y61" s="345">
        <f>_xlfn.IFNA(VLOOKUP(X61,TCFH!$C$4:AP$49,VLOOKUP(Simulation!$B$10,'Estimatif Q'!$A$96:$B$113,2,0),0),0)</f>
        <v>0</v>
      </c>
      <c r="Z61" s="345" t="str">
        <f t="shared" si="1"/>
        <v>non</v>
      </c>
    </row>
    <row r="62" spans="6:26" s="345" customFormat="1" x14ac:dyDescent="0.2">
      <c r="F62" s="338"/>
      <c r="J62" s="338"/>
      <c r="K62"/>
      <c r="L62"/>
      <c r="M62" s="338"/>
      <c r="N62" s="338"/>
      <c r="O62" s="338"/>
      <c r="P62" s="338"/>
      <c r="Q62" s="338"/>
      <c r="U62"/>
      <c r="V62"/>
      <c r="X62" s="557" t="str">
        <f>_xlfn.IFNA(IF(Simulation!$L$7="","non",IF(VLOOKUP(TCFH!$C35,MATIERES!$A$2:$G$421,3,0)="SASKIT",TCFH!$C35,"non")),"non")</f>
        <v>non</v>
      </c>
      <c r="Y62" s="345">
        <f>_xlfn.IFNA(VLOOKUP(X62,TCFH!$C$4:AP$49,VLOOKUP(Simulation!$B$10,'Estimatif Q'!$A$96:$B$113,2,0),0),0)</f>
        <v>0</v>
      </c>
      <c r="Z62" s="345" t="str">
        <f t="shared" si="1"/>
        <v>non</v>
      </c>
    </row>
    <row r="63" spans="6:26" s="345" customFormat="1" x14ac:dyDescent="0.2">
      <c r="F63" s="338"/>
      <c r="J63" s="338"/>
      <c r="K63"/>
      <c r="L63"/>
      <c r="M63" s="338"/>
      <c r="N63" s="338"/>
      <c r="O63" s="338"/>
      <c r="P63" s="338"/>
      <c r="Q63" s="338"/>
      <c r="U63"/>
      <c r="V63"/>
      <c r="X63" s="557" t="str">
        <f>_xlfn.IFNA(IF(Simulation!$L$7="","non",IF(VLOOKUP(TCFH!$C36,MATIERES!$A$2:$G$421,3,0)="SASKIT",TCFH!$C36,"non")),"non")</f>
        <v>non</v>
      </c>
      <c r="Y63" s="345">
        <f>_xlfn.IFNA(VLOOKUP(X63,TCFH!$C$4:AP$49,VLOOKUP(Simulation!$B$10,'Estimatif Q'!$A$96:$B$113,2,0),0),0)</f>
        <v>0</v>
      </c>
      <c r="Z63" s="345" t="str">
        <f t="shared" si="1"/>
        <v>non</v>
      </c>
    </row>
    <row r="64" spans="6:26" s="345" customFormat="1" x14ac:dyDescent="0.2">
      <c r="F64" s="338"/>
      <c r="J64" s="338"/>
      <c r="K64"/>
      <c r="L64"/>
      <c r="M64" s="338"/>
      <c r="N64" s="338"/>
      <c r="O64" s="338"/>
      <c r="P64" s="338"/>
      <c r="Q64" s="338"/>
      <c r="U64"/>
      <c r="V64"/>
      <c r="X64" s="557" t="str">
        <f>_xlfn.IFNA(IF(Simulation!$L$7="","non",IF(VLOOKUP(TCFH!$C37,MATIERES!$A$2:$G$421,3,0)="SASKIT",TCFH!$C37,"non")),"non")</f>
        <v>non</v>
      </c>
      <c r="Y64" s="345">
        <f>_xlfn.IFNA(VLOOKUP(X64,TCFH!$C$4:AP$49,VLOOKUP(Simulation!$B$10,'Estimatif Q'!$A$96:$B$113,2,0),0),0)</f>
        <v>0</v>
      </c>
      <c r="Z64" s="345" t="str">
        <f t="shared" si="1"/>
        <v>non</v>
      </c>
    </row>
    <row r="65" spans="6:26" s="345" customFormat="1" x14ac:dyDescent="0.2">
      <c r="F65" s="338"/>
      <c r="J65" s="338"/>
      <c r="K65"/>
      <c r="L65"/>
      <c r="M65" s="338"/>
      <c r="N65" s="338"/>
      <c r="O65" s="338"/>
      <c r="P65" s="338"/>
      <c r="Q65" s="338"/>
      <c r="U65"/>
      <c r="V65"/>
      <c r="X65" s="557" t="str">
        <f>_xlfn.IFNA(IF(Simulation!$L$7="","non",IF(VLOOKUP(TCFH!$C38,MATIERES!$A$2:$G$421,3,0)="SASKIT",TCFH!$C38,"non")),"non")</f>
        <v>non</v>
      </c>
      <c r="Y65" s="345">
        <f>_xlfn.IFNA(VLOOKUP(X65,TCFH!$C$4:AP$49,VLOOKUP(Simulation!$B$10,'Estimatif Q'!$A$96:$B$113,2,0),0),0)</f>
        <v>0</v>
      </c>
      <c r="Z65" s="345" t="str">
        <f t="shared" si="1"/>
        <v>non</v>
      </c>
    </row>
    <row r="66" spans="6:26" s="345" customFormat="1" x14ac:dyDescent="0.2">
      <c r="F66" s="338"/>
      <c r="J66" s="338"/>
      <c r="K66"/>
      <c r="L66"/>
      <c r="M66" s="338"/>
      <c r="N66" s="338"/>
      <c r="O66" s="338"/>
      <c r="P66" s="338"/>
      <c r="Q66" s="338"/>
      <c r="U66"/>
      <c r="V66"/>
      <c r="X66" s="557" t="str">
        <f>_xlfn.IFNA(IF(Simulation!$L$7="","non",IF(VLOOKUP(TCFH!$C39,MATIERES!$A$2:$G$421,3,0)="SASKIT",TCFH!$C39,"non")),"non")</f>
        <v>non</v>
      </c>
      <c r="Y66" s="345">
        <f>_xlfn.IFNA(VLOOKUP(X66,TCFH!$C$4:AP$49,VLOOKUP(Simulation!$B$10,'Estimatif Q'!$A$96:$B$113,2,0),0),0)</f>
        <v>0</v>
      </c>
      <c r="Z66" s="345" t="str">
        <f t="shared" si="1"/>
        <v>non</v>
      </c>
    </row>
    <row r="67" spans="6:26" s="345" customFormat="1" x14ac:dyDescent="0.2">
      <c r="F67" s="338"/>
      <c r="J67" s="338"/>
      <c r="K67"/>
      <c r="L67"/>
      <c r="M67" s="338"/>
      <c r="N67" s="338"/>
      <c r="O67" s="338"/>
      <c r="P67" s="338"/>
      <c r="Q67" s="338"/>
      <c r="U67"/>
      <c r="V67"/>
      <c r="X67" s="557" t="str">
        <f>_xlfn.IFNA(IF(Simulation!$L$7="","non",IF(VLOOKUP(TCFH!$C40,MATIERES!$A$2:$G$421,3,0)="SASKIT",TCFH!$C40,"non")),"non")</f>
        <v>non</v>
      </c>
      <c r="Y67" s="345">
        <f>_xlfn.IFNA(VLOOKUP(X67,TCFH!$C$4:AP$49,VLOOKUP(Simulation!$B$10,'Estimatif Q'!$A$96:$B$113,2,0),0),0)</f>
        <v>0</v>
      </c>
      <c r="Z67" s="345" t="str">
        <f t="shared" si="1"/>
        <v>non</v>
      </c>
    </row>
    <row r="68" spans="6:26" s="345" customFormat="1" x14ac:dyDescent="0.2">
      <c r="F68" s="338"/>
      <c r="J68" s="338"/>
      <c r="K68"/>
      <c r="L68"/>
      <c r="M68" s="338"/>
      <c r="N68" s="338"/>
      <c r="O68" s="338"/>
      <c r="P68" s="338"/>
      <c r="Q68" s="338"/>
      <c r="U68"/>
      <c r="V68"/>
      <c r="X68" s="557" t="str">
        <f>_xlfn.IFNA(IF(Simulation!$L$7="","non",IF(VLOOKUP(TCFH!$C41,MATIERES!$A$2:$G$421,3,0)="SASKIT",TCFH!$C41,"non")),"non")</f>
        <v>non</v>
      </c>
      <c r="Y68" s="345">
        <f>_xlfn.IFNA(VLOOKUP(X68,TCFH!$C$4:AP$49,VLOOKUP(Simulation!$B$10,'Estimatif Q'!$A$96:$B$113,2,0),0),0)</f>
        <v>0</v>
      </c>
      <c r="Z68" s="345" t="str">
        <f t="shared" si="1"/>
        <v>non</v>
      </c>
    </row>
    <row r="69" spans="6:26" s="345" customFormat="1" x14ac:dyDescent="0.2">
      <c r="F69" s="338"/>
      <c r="J69" s="338"/>
      <c r="K69"/>
      <c r="L69"/>
      <c r="M69" s="338"/>
      <c r="N69" s="338"/>
      <c r="O69" s="338"/>
      <c r="P69" s="338"/>
      <c r="Q69" s="338"/>
      <c r="U69"/>
      <c r="V69"/>
      <c r="X69" s="557" t="str">
        <f>_xlfn.IFNA(IF(Simulation!$L$7="","non",IF(VLOOKUP(TCFH!$C42,MATIERES!$A$2:$G$421,3,0)="SASKIT",TCFH!$C42,"non")),"non")</f>
        <v>non</v>
      </c>
      <c r="Y69" s="345">
        <f>_xlfn.IFNA(VLOOKUP(X69,TCFH!$C$4:AP$49,VLOOKUP(Simulation!$B$10,'Estimatif Q'!$A$96:$B$113,2,0),0),0)</f>
        <v>0</v>
      </c>
      <c r="Z69" s="345" t="str">
        <f t="shared" ref="Z69:Z132" si="3">IF(Y69=0,"non",X69)</f>
        <v>non</v>
      </c>
    </row>
    <row r="70" spans="6:26" s="345" customFormat="1" x14ac:dyDescent="0.2">
      <c r="F70" s="338"/>
      <c r="J70" s="338"/>
      <c r="K70"/>
      <c r="L70"/>
      <c r="M70" s="338"/>
      <c r="N70" s="338"/>
      <c r="O70" s="338"/>
      <c r="P70" s="338"/>
      <c r="Q70" s="338"/>
      <c r="U70"/>
      <c r="V70"/>
      <c r="X70" s="557" t="str">
        <f>_xlfn.IFNA(IF(Simulation!$L$7="","non",IF(VLOOKUP(TCFH!$C43,MATIERES!$A$2:$G$421,3,0)="SASKIT",TCFH!$C43,"non")),"non")</f>
        <v>non</v>
      </c>
      <c r="Y70" s="345">
        <f>_xlfn.IFNA(VLOOKUP(X70,TCFH!$C$4:AP$49,VLOOKUP(Simulation!$B$10,'Estimatif Q'!$A$96:$B$113,2,0),0),0)</f>
        <v>0</v>
      </c>
      <c r="Z70" s="345" t="str">
        <f t="shared" si="3"/>
        <v>non</v>
      </c>
    </row>
    <row r="71" spans="6:26" s="345" customFormat="1" x14ac:dyDescent="0.2">
      <c r="F71" s="338"/>
      <c r="J71" s="338"/>
      <c r="K71"/>
      <c r="L71"/>
      <c r="M71" s="338"/>
      <c r="N71" s="338"/>
      <c r="O71" s="338"/>
      <c r="P71" s="338"/>
      <c r="Q71" s="338"/>
      <c r="U71"/>
      <c r="V71"/>
      <c r="X71" s="557" t="str">
        <f>_xlfn.IFNA(IF(Simulation!$L$7="","non",IF(VLOOKUP(TCFH!$C44,MATIERES!$A$2:$G$421,3,0)="SASKIT",TCFH!$C44,"non")),"non")</f>
        <v>non</v>
      </c>
      <c r="Y71" s="345">
        <f>_xlfn.IFNA(VLOOKUP(X71,TCFH!$C$4:AP$49,VLOOKUP(Simulation!$B$10,'Estimatif Q'!$A$96:$B$113,2,0),0),0)</f>
        <v>0</v>
      </c>
      <c r="Z71" s="345" t="str">
        <f t="shared" si="3"/>
        <v>non</v>
      </c>
    </row>
    <row r="72" spans="6:26" s="345" customFormat="1" x14ac:dyDescent="0.2">
      <c r="F72" s="338"/>
      <c r="J72" s="338"/>
      <c r="K72"/>
      <c r="L72"/>
      <c r="M72" s="338"/>
      <c r="N72" s="338"/>
      <c r="O72" s="338"/>
      <c r="P72" s="338"/>
      <c r="Q72" s="338"/>
      <c r="U72"/>
      <c r="V72"/>
      <c r="X72" s="557" t="str">
        <f>_xlfn.IFNA(IF(Simulation!$L$7="","non",IF(VLOOKUP(TCFH!$C45,MATIERES!$A$2:$G$421,3,0)="SASKIT",TCFH!$C45,"non")),"non")</f>
        <v>non</v>
      </c>
      <c r="Y72" s="345">
        <f>_xlfn.IFNA(VLOOKUP(X72,TCFH!$C$4:AP$49,VLOOKUP(Simulation!$B$10,'Estimatif Q'!$A$96:$B$113,2,0),0),0)</f>
        <v>0</v>
      </c>
      <c r="Z72" s="345" t="str">
        <f t="shared" si="3"/>
        <v>non</v>
      </c>
    </row>
    <row r="73" spans="6:26" s="345" customFormat="1" x14ac:dyDescent="0.2">
      <c r="F73" s="338"/>
      <c r="J73" s="338"/>
      <c r="K73"/>
      <c r="L73"/>
      <c r="M73" s="338"/>
      <c r="N73" s="338"/>
      <c r="O73" s="338"/>
      <c r="P73" s="338"/>
      <c r="Q73" s="338"/>
      <c r="U73"/>
      <c r="V73"/>
      <c r="X73" s="557" t="str">
        <f>_xlfn.IFNA(IF(Simulation!$L$7="","non",IF(VLOOKUP(TCFH!$C46,MATIERES!$A$2:$G$421,3,0)="SASKIT",TCFH!$C46,"non")),"non")</f>
        <v>non</v>
      </c>
      <c r="Y73" s="345">
        <f>_xlfn.IFNA(VLOOKUP(X73,TCFH!$C$4:AP$49,VLOOKUP(Simulation!$B$10,'Estimatif Q'!$A$96:$B$113,2,0),0),0)</f>
        <v>0</v>
      </c>
      <c r="Z73" s="345" t="str">
        <f t="shared" si="3"/>
        <v>non</v>
      </c>
    </row>
    <row r="74" spans="6:26" s="345" customFormat="1" x14ac:dyDescent="0.2">
      <c r="F74" s="338"/>
      <c r="J74" s="338"/>
      <c r="K74"/>
      <c r="L74"/>
      <c r="M74" s="338"/>
      <c r="N74" s="338"/>
      <c r="O74" s="338"/>
      <c r="P74" s="338"/>
      <c r="Q74" s="338"/>
      <c r="U74"/>
      <c r="V74"/>
      <c r="X74" s="557" t="str">
        <f>_xlfn.IFNA(IF(Simulation!$L$7="","non",IF(VLOOKUP(TCFH!$C47,MATIERES!$A$2:$G$421,3,0)="SASKIT",TCFH!$C47,"non")),"non")</f>
        <v>non</v>
      </c>
      <c r="Y74" s="345">
        <f>_xlfn.IFNA(VLOOKUP(X74,TCFH!$C$4:AP$49,VLOOKUP(Simulation!$B$10,'Estimatif Q'!$A$96:$B$113,2,0),0),0)</f>
        <v>0</v>
      </c>
      <c r="Z74" s="345" t="str">
        <f t="shared" si="3"/>
        <v>non</v>
      </c>
    </row>
    <row r="75" spans="6:26" s="345" customFormat="1" x14ac:dyDescent="0.2">
      <c r="F75" s="338"/>
      <c r="J75" s="338"/>
      <c r="K75"/>
      <c r="L75"/>
      <c r="M75" s="338"/>
      <c r="N75" s="338"/>
      <c r="O75" s="338"/>
      <c r="P75" s="338"/>
      <c r="Q75" s="338"/>
      <c r="U75"/>
      <c r="V75"/>
      <c r="X75" s="557" t="str">
        <f>_xlfn.IFNA(IF(Simulation!$L$7="","non",IF(VLOOKUP(TCFH!$C48,MATIERES!$A$2:$G$421,3,0)="SASKIT",TCFH!$C48,"non")),"non")</f>
        <v>non</v>
      </c>
      <c r="Y75" s="345">
        <f>_xlfn.IFNA(VLOOKUP(X75,TCFH!$C$4:AP$49,VLOOKUP(Simulation!$B$10,'Estimatif Q'!$A$96:$B$113,2,0),0),0)</f>
        <v>0</v>
      </c>
      <c r="Z75" s="345" t="str">
        <f t="shared" si="3"/>
        <v>non</v>
      </c>
    </row>
    <row r="76" spans="6:26" s="345" customFormat="1" x14ac:dyDescent="0.2">
      <c r="F76" s="338"/>
      <c r="J76" s="338"/>
      <c r="K76"/>
      <c r="L76"/>
      <c r="M76" s="338"/>
      <c r="N76" s="338"/>
      <c r="O76" s="338"/>
      <c r="P76" s="338"/>
      <c r="Q76" s="338"/>
      <c r="U76"/>
      <c r="V76"/>
      <c r="X76" s="565" t="s">
        <v>1488</v>
      </c>
      <c r="Z76" s="345" t="str">
        <f t="shared" si="3"/>
        <v>non</v>
      </c>
    </row>
    <row r="77" spans="6:26" s="345" customFormat="1" x14ac:dyDescent="0.2">
      <c r="F77" s="338"/>
      <c r="J77" s="338"/>
      <c r="K77"/>
      <c r="L77"/>
      <c r="M77" s="338"/>
      <c r="N77" s="338"/>
      <c r="O77" s="338"/>
      <c r="P77" s="338"/>
      <c r="Q77" s="338"/>
      <c r="U77"/>
      <c r="V77"/>
      <c r="X77" s="564"/>
      <c r="Y77" s="560"/>
      <c r="Z77" s="345" t="str">
        <f t="shared" si="3"/>
        <v>non</v>
      </c>
    </row>
    <row r="78" spans="6:26" s="345" customFormat="1" x14ac:dyDescent="0.2">
      <c r="F78" s="338"/>
      <c r="J78" s="338"/>
      <c r="K78"/>
      <c r="L78"/>
      <c r="M78" s="338"/>
      <c r="N78" s="338"/>
      <c r="O78" s="338"/>
      <c r="P78" s="338"/>
      <c r="Q78" s="338"/>
      <c r="U78"/>
      <c r="V78"/>
      <c r="X78" s="557" t="str">
        <f>_xlfn.IFNA(IF(AND(Simulation!$J$7="",Simulation!$B$13="Aucun"),IF(VLOOKUP('ALIM FV-FH grav'!$C4,MATIERES!$A$2:$G$421,3,0)="SASKIT",'ALIM FV-FH grav'!$C4,"non"),IF(AND(Simulation!$J$7="FVBAC",Simulation!$B$13="Aucun"),IF(VLOOKUP('ALIM BAC Gravitaire'!$C4,MATIERES!$A$2:$G$421,3,0)="SASKIT",'ALIM BAC Gravitaire'!$C4,"non"),IF(AND(Simulation!$J$7="",OR(Simulation!$B$13="Eaux claires",Simulation!$B$13="Eaux brutes")),IF(VLOOKUP('ALIM FV-FH relevage'!$C4,MATIERES!$A$2:$G$421,3,0)="SASKIT",'ALIM FV-FH relevage'!$C4,"non"),IF(AND(Simulation!$J$7="FVBAC",OR(Simulation!$B$13="Eaux claires",Simulation!$B$13="Eaux brutes")),IF(VLOOKUP('ALIM BAC relevage'!$C4,MATIERES!$A$2:$G$421,3,0)="SASKIT",'ALIM BAC relevage'!$C4,"non"))))),"non")</f>
        <v>KIT DE REPARTITION</v>
      </c>
      <c r="Y78" s="561">
        <f>_xlfn.IFNA(IF(AND(Simulation!$J$7="",Simulation!$B$13="Aucun"),VLOOKUP(X78,'ALIM FV-FH grav'!$C$4:$U$35,VLOOKUP(Simulation!$B$10,'Estimatif Q'!$A$96:$B$113,2,0),0),IF(AND(Simulation!$J$7="FVBAC",Simulation!$B$13="Aucun"),VLOOKUP(X78,'ALIM BAC Gravitaire'!$C$4:$K$33,VLOOKUP(Simulation!$B$10,'Estimatif Q'!$A$96:$B$113,2,0),0),IF(AND(Simulation!$J$7="",OR(Simulation!$B$13="Eaux claires",Simulation!$B$13="Eaux brutes")),VLOOKUP(X78,'ALIM FV-FH relevage'!$C$4:$AM$37,VLOOKUP(Simulation!$B$10,'Estimatif Q'!$A$96:$B$113,2,0),0),IF(AND(Simulation!$J$7="FVBAC",OR(Simulation!$B$13="Eaux claires",Simulation!$B$13="Eaux brutes")),VLOOKUP(X78,'ALIM BAC relevage'!$C$4:$AK$34,VLOOKUP(Simulation!$B$10,'Estimatif Q'!$A$96:$B$113,2,0),0))))),"non")</f>
        <v>1</v>
      </c>
      <c r="Z78" s="345" t="str">
        <f t="shared" si="3"/>
        <v>KIT DE REPARTITION</v>
      </c>
    </row>
    <row r="79" spans="6:26" s="345" customFormat="1" x14ac:dyDescent="0.2">
      <c r="F79" s="338"/>
      <c r="J79" s="338"/>
      <c r="K79"/>
      <c r="L79"/>
      <c r="M79" s="338"/>
      <c r="N79" s="338"/>
      <c r="O79" s="338"/>
      <c r="P79" s="338"/>
      <c r="Q79" s="338"/>
      <c r="U79"/>
      <c r="V79"/>
      <c r="X79" s="557" t="str">
        <f>_xlfn.IFNA(IF(AND(Simulation!$J$7="",Simulation!$B$13="Aucun"),IF(VLOOKUP('ALIM FV-FH grav'!$C5,MATIERES!$A$2:$G$421,3,0)="SASKIT",'ALIM FV-FH grav'!$C5,"non"),IF(AND(Simulation!$J$7="FVBAC",Simulation!$B$13="Aucun"),IF(VLOOKUP('ALIM BAC Gravitaire'!$C5,MATIERES!$A$2:$G$421,3,0)="SASKIT",'ALIM BAC Gravitaire'!$C5,"non"),IF(AND(Simulation!$J$7="",OR(Simulation!$B$13="Eaux claires",Simulation!$B$13="Eaux brutes")),IF(VLOOKUP('ALIM FV-FH relevage'!$C5,MATIERES!$A$2:$G$421,3,0)="SASKIT",'ALIM FV-FH relevage'!$C5,"non"),IF(AND(Simulation!$J$7="FVBAC",OR(Simulation!$B$13="Eaux claires",Simulation!$B$13="Eaux brutes")),IF(VLOOKUP('ALIM BAC relevage'!$C5,MATIERES!$A$2:$G$421,3,0)="SASKIT",'ALIM BAC relevage'!$C5,"non"))))),"non")</f>
        <v>non</v>
      </c>
      <c r="Y79" s="561" t="str">
        <f>_xlfn.IFNA(IF(AND(Simulation!$J$7="",Simulation!$B$13="Aucun"),VLOOKUP(X79,'ALIM FV-FH grav'!$C$4:$U$35,VLOOKUP(Simulation!$B$10,'Estimatif Q'!$A$96:$B$113,2,0),0),IF(AND(Simulation!$J$7="FVBAC",Simulation!$B$13="Aucun"),VLOOKUP(X79,'ALIM BAC Gravitaire'!$C$4:$K$33,VLOOKUP(Simulation!$B$10,'Estimatif Q'!$A$96:$B$113,2,0),0),IF(AND(Simulation!$J$7="",OR(Simulation!$B$13="Eaux claires",Simulation!$B$13="Eaux brutes")),VLOOKUP(X79,'ALIM FV-FH relevage'!$C$4:$AM$37,VLOOKUP(Simulation!$B$10,'Estimatif Q'!$A$96:$B$113,2,0),0),IF(AND(Simulation!$J$7="FVBAC",OR(Simulation!$B$13="Eaux claires",Simulation!$B$13="Eaux brutes")),VLOOKUP(X79,'ALIM BAC relevage'!$C$4:$AK$34,VLOOKUP(Simulation!$B$10,'Estimatif Q'!$A$96:$B$113,2,0),0))))),"non")</f>
        <v>non</v>
      </c>
      <c r="Z79" s="345" t="str">
        <f t="shared" si="3"/>
        <v>non</v>
      </c>
    </row>
    <row r="80" spans="6:26" s="345" customFormat="1" x14ac:dyDescent="0.2">
      <c r="F80" s="338"/>
      <c r="J80" s="338"/>
      <c r="K80"/>
      <c r="L80"/>
      <c r="M80" s="338"/>
      <c r="N80" s="338"/>
      <c r="O80" s="338"/>
      <c r="P80" s="338"/>
      <c r="Q80" s="338"/>
      <c r="U80"/>
      <c r="V80"/>
      <c r="X80" s="557" t="str">
        <f>_xlfn.IFNA(IF(AND(Simulation!$J$7="",Simulation!$B$13="Aucun"),IF(VLOOKUP('ALIM FV-FH grav'!$C6,MATIERES!$A$2:$G$421,3,0)="SASKIT",'ALIM FV-FH grav'!$C6,"non"),IF(AND(Simulation!$J$7="FVBAC",Simulation!$B$13="Aucun"),IF(VLOOKUP('ALIM BAC Gravitaire'!$C6,MATIERES!$A$2:$G$421,3,0)="SASKIT",'ALIM BAC Gravitaire'!$C6,"non"),IF(AND(Simulation!$J$7="",OR(Simulation!$B$13="Eaux claires",Simulation!$B$13="Eaux brutes")),IF(VLOOKUP('ALIM FV-FH relevage'!$C6,MATIERES!$A$2:$G$421,3,0)="SASKIT",'ALIM FV-FH relevage'!$C6,"non"),IF(AND(Simulation!$J$7="FVBAC",OR(Simulation!$B$13="Eaux claires",Simulation!$B$13="Eaux brutes")),IF(VLOOKUP('ALIM BAC relevage'!$C6,MATIERES!$A$2:$G$421,3,0)="SASKIT",'ALIM BAC relevage'!$C6,"non"))))),"non")</f>
        <v>non</v>
      </c>
      <c r="Y80" s="561" t="str">
        <f>_xlfn.IFNA(IF(AND(Simulation!$J$7="",Simulation!$B$13="Aucun"),VLOOKUP(X80,'ALIM FV-FH grav'!$C$4:$U$35,VLOOKUP(Simulation!$B$10,'Estimatif Q'!$A$96:$B$113,2,0),0),IF(AND(Simulation!$J$7="FVBAC",Simulation!$B$13="Aucun"),VLOOKUP(X80,'ALIM BAC Gravitaire'!$C$4:$K$33,VLOOKUP(Simulation!$B$10,'Estimatif Q'!$A$96:$B$113,2,0),0),IF(AND(Simulation!$J$7="",OR(Simulation!$B$13="Eaux claires",Simulation!$B$13="Eaux brutes")),VLOOKUP(X80,'ALIM FV-FH relevage'!$C$4:$AM$37,VLOOKUP(Simulation!$B$10,'Estimatif Q'!$A$96:$B$113,2,0),0),IF(AND(Simulation!$J$7="FVBAC",OR(Simulation!$B$13="Eaux claires",Simulation!$B$13="Eaux brutes")),VLOOKUP(X80,'ALIM BAC relevage'!$C$4:$AK$34,VLOOKUP(Simulation!$B$10,'Estimatif Q'!$A$96:$B$113,2,0),0))))),"non")</f>
        <v>non</v>
      </c>
      <c r="Z80" s="345" t="str">
        <f t="shared" si="3"/>
        <v>non</v>
      </c>
    </row>
    <row r="81" spans="1:26" s="345" customFormat="1" x14ac:dyDescent="0.2">
      <c r="F81" s="338"/>
      <c r="J81" s="338"/>
      <c r="K81"/>
      <c r="L81"/>
      <c r="M81" s="338"/>
      <c r="N81" s="338"/>
      <c r="O81" s="338"/>
      <c r="P81" s="338"/>
      <c r="Q81" s="338"/>
      <c r="U81"/>
      <c r="V81"/>
      <c r="X81" s="557" t="str">
        <f>_xlfn.IFNA(IF(AND(Simulation!$J$7="",Simulation!$B$13="Aucun"),IF(VLOOKUP('ALIM FV-FH grav'!$C7,MATIERES!$A$2:$G$421,3,0)="SASKIT",'ALIM FV-FH grav'!$C7,"non"),IF(AND(Simulation!$J$7="FVBAC",Simulation!$B$13="Aucun"),IF(VLOOKUP('ALIM BAC Gravitaire'!$C8,MATIERES!$A$2:$G$421,3,0)="SASKIT",'ALIM BAC Gravitaire'!$C8,"non"),IF(AND(Simulation!$J$7="",OR(Simulation!$B$13="Eaux claires",Simulation!$B$13="Eaux brutes")),IF(VLOOKUP('ALIM FV-FH relevage'!$C7,MATIERES!$A$2:$G$421,3,0)="SASKIT",'ALIM FV-FH relevage'!$C7,"non"),IF(AND(Simulation!$J$7="FVBAC",OR(Simulation!$B$13="Eaux claires",Simulation!$B$13="Eaux brutes")),IF(VLOOKUP('ALIM BAC relevage'!$C7,MATIERES!$A$2:$G$421,3,0)="SASKIT",'ALIM BAC relevage'!$C7,"non"))))),"non")</f>
        <v>non</v>
      </c>
      <c r="Y81" s="561" t="str">
        <f>_xlfn.IFNA(IF(AND(Simulation!$J$7="",Simulation!$B$13="Aucun"),VLOOKUP(X81,'ALIM FV-FH grav'!$C$4:$U$35,VLOOKUP(Simulation!$B$10,'Estimatif Q'!$A$96:$B$113,2,0),0),IF(AND(Simulation!$J$7="FVBAC",Simulation!$B$13="Aucun"),VLOOKUP(X81,'ALIM BAC Gravitaire'!$C$4:$K$33,VLOOKUP(Simulation!$B$10,'Estimatif Q'!$A$96:$B$113,2,0),0),IF(AND(Simulation!$J$7="",OR(Simulation!$B$13="Eaux claires",Simulation!$B$13="Eaux brutes")),VLOOKUP(X81,'ALIM FV-FH relevage'!$C$4:$AM$37,VLOOKUP(Simulation!$B$10,'Estimatif Q'!$A$96:$B$113,2,0),0),IF(AND(Simulation!$J$7="FVBAC",OR(Simulation!$B$13="Eaux claires",Simulation!$B$13="Eaux brutes")),VLOOKUP(X81,'ALIM BAC relevage'!$C$4:$AK$34,VLOOKUP(Simulation!$B$10,'Estimatif Q'!$A$96:$B$113,2,0),0))))),"non")</f>
        <v>non</v>
      </c>
      <c r="Z81" s="345" t="str">
        <f t="shared" si="3"/>
        <v>non</v>
      </c>
    </row>
    <row r="82" spans="1:26" s="345" customFormat="1" x14ac:dyDescent="0.2">
      <c r="F82" s="338"/>
      <c r="J82" s="338"/>
      <c r="K82"/>
      <c r="L82"/>
      <c r="M82" s="338"/>
      <c r="N82" s="338"/>
      <c r="O82" s="338"/>
      <c r="P82" s="338"/>
      <c r="Q82" s="338"/>
      <c r="U82"/>
      <c r="V82"/>
      <c r="X82" s="557" t="str">
        <f>_xlfn.IFNA(IF(AND(Simulation!$J$7="",Simulation!$B$13="Aucun"),IF(VLOOKUP('ALIM FV-FH grav'!$C8,MATIERES!$A$2:$G$421,3,0)="SASKIT",'ALIM FV-FH grav'!$C8,"non"),IF(AND(Simulation!$J$7="FVBAC",Simulation!$B$13="Aucun"),IF(VLOOKUP('ALIM BAC Gravitaire'!$C9,MATIERES!$A$2:$G$421,3,0)="SASKIT",'ALIM BAC Gravitaire'!$C9,"non"),IF(AND(Simulation!$J$7="",OR(Simulation!$B$13="Eaux claires",Simulation!$B$13="Eaux brutes")),IF(VLOOKUP('ALIM FV-FH relevage'!$C8,MATIERES!$A$2:$G$421,3,0)="SASKIT",'ALIM FV-FH relevage'!$C8,"non"),IF(AND(Simulation!$J$7="FVBAC",OR(Simulation!$B$13="Eaux claires",Simulation!$B$13="Eaux brutes")),IF(VLOOKUP('ALIM BAC relevage'!$C9,MATIERES!$A$2:$G$421,3,0)="SASKIT",'ALIM BAC relevage'!$C9,"non"))))),"non")</f>
        <v>non</v>
      </c>
      <c r="Y82" s="561" t="str">
        <f>_xlfn.IFNA(IF(AND(Simulation!$J$7="",Simulation!$B$13="Aucun"),VLOOKUP(X82,'ALIM FV-FH grav'!$C$4:$U$35,VLOOKUP(Simulation!$B$10,'Estimatif Q'!$A$96:$B$113,2,0),0),IF(AND(Simulation!$J$7="FVBAC",Simulation!$B$13="Aucun"),VLOOKUP(X82,'ALIM BAC Gravitaire'!$C$4:$K$33,VLOOKUP(Simulation!$B$10,'Estimatif Q'!$A$96:$B$113,2,0),0),IF(AND(Simulation!$J$7="",OR(Simulation!$B$13="Eaux claires",Simulation!$B$13="Eaux brutes")),VLOOKUP(X82,'ALIM FV-FH relevage'!$C$4:$AM$37,VLOOKUP(Simulation!$B$10,'Estimatif Q'!$A$96:$B$113,2,0),0),IF(AND(Simulation!$J$7="FVBAC",OR(Simulation!$B$13="Eaux claires",Simulation!$B$13="Eaux brutes")),VLOOKUP(X82,'ALIM BAC relevage'!$C$4:$AK$34,VLOOKUP(Simulation!$B$10,'Estimatif Q'!$A$96:$B$113,2,0),0))))),"non")</f>
        <v>non</v>
      </c>
      <c r="Z82" s="345" t="str">
        <f t="shared" si="3"/>
        <v>non</v>
      </c>
    </row>
    <row r="83" spans="1:26" s="345" customFormat="1" x14ac:dyDescent="0.2">
      <c r="F83" s="338"/>
      <c r="J83" s="338"/>
      <c r="K83"/>
      <c r="L83"/>
      <c r="M83" s="338"/>
      <c r="N83" s="338"/>
      <c r="O83" s="338"/>
      <c r="P83" s="338"/>
      <c r="Q83" s="338"/>
      <c r="U83"/>
      <c r="V83"/>
      <c r="X83" s="557" t="str">
        <f>_xlfn.IFNA(IF(AND(Simulation!$J$7="",Simulation!$B$13="Aucun"),IF(VLOOKUP('ALIM FV-FH grav'!$C9,MATIERES!$A$2:$G$421,3,0)="SASKIT",'ALIM FV-FH grav'!$C9,"non"),IF(AND(Simulation!$J$7="FVBAC",Simulation!$B$13="Aucun"),IF(VLOOKUP('ALIM BAC Gravitaire'!$C10,MATIERES!$A$2:$G$421,3,0)="SASKIT",'ALIM BAC Gravitaire'!$C10,"non"),IF(AND(Simulation!$J$7="",OR(Simulation!$B$13="Eaux claires",Simulation!$B$13="Eaux brutes")),IF(VLOOKUP('ALIM FV-FH relevage'!$C9,MATIERES!$A$2:$G$421,3,0)="SASKIT",'ALIM FV-FH relevage'!$C9,"non"),IF(AND(Simulation!$J$7="FVBAC",OR(Simulation!$B$13="Eaux claires",Simulation!$B$13="Eaux brutes")),IF(VLOOKUP('ALIM BAC relevage'!$C10,MATIERES!$A$2:$G$421,3,0)="SASKIT",'ALIM BAC relevage'!$C10,"non"))))),"non")</f>
        <v>non</v>
      </c>
      <c r="Y83" s="561" t="str">
        <f>_xlfn.IFNA(IF(AND(Simulation!$J$7="",Simulation!$B$13="Aucun"),VLOOKUP(X83,'ALIM FV-FH grav'!$C$4:$U$35,VLOOKUP(Simulation!$B$10,'Estimatif Q'!$A$96:$B$113,2,0),0),IF(AND(Simulation!$J$7="FVBAC",Simulation!$B$13="Aucun"),VLOOKUP(X83,'ALIM BAC Gravitaire'!$C$4:$K$33,VLOOKUP(Simulation!$B$10,'Estimatif Q'!$A$96:$B$113,2,0),0),IF(AND(Simulation!$J$7="",OR(Simulation!$B$13="Eaux claires",Simulation!$B$13="Eaux brutes")),VLOOKUP(X83,'ALIM FV-FH relevage'!$C$4:$AM$37,VLOOKUP(Simulation!$B$10,'Estimatif Q'!$A$96:$B$113,2,0),0),IF(AND(Simulation!$J$7="FVBAC",OR(Simulation!$B$13="Eaux claires",Simulation!$B$13="Eaux brutes")),VLOOKUP(X83,'ALIM BAC relevage'!$C$4:$AK$34,VLOOKUP(Simulation!$B$10,'Estimatif Q'!$A$96:$B$113,2,0),0))))),"non")</f>
        <v>non</v>
      </c>
      <c r="Z83" s="345" t="str">
        <f t="shared" si="3"/>
        <v>non</v>
      </c>
    </row>
    <row r="84" spans="1:26" s="345" customFormat="1" x14ac:dyDescent="0.2">
      <c r="F84" s="338"/>
      <c r="J84" s="338"/>
      <c r="K84"/>
      <c r="L84"/>
      <c r="M84" s="338"/>
      <c r="N84" s="338"/>
      <c r="O84" s="338"/>
      <c r="P84" s="338"/>
      <c r="Q84" s="338"/>
      <c r="U84"/>
      <c r="V84"/>
      <c r="X84" s="557" t="str">
        <f>_xlfn.IFNA(IF(AND(Simulation!$J$7="",Simulation!$B$13="Aucun"),IF(VLOOKUP('ALIM FV-FH grav'!$C11,MATIERES!$A$2:$G$421,3,0)="SASKIT",'ALIM FV-FH grav'!$C11,"non"),IF(AND(Simulation!$J$7="FVBAC",Simulation!$B$13="Aucun"),IF(VLOOKUP('ALIM BAC Gravitaire'!#REF!,MATIERES!$A$2:$G$421,3,0)="SASKIT",'ALIM BAC Gravitaire'!#REF!,"non"),IF(AND(Simulation!$J$7="",OR(Simulation!$B$13="Eaux claires",Simulation!$B$13="Eaux brutes")),IF(VLOOKUP('ALIM FV-FH relevage'!$C10,MATIERES!$A$2:$G$421,3,0)="SASKIT",'ALIM FV-FH relevage'!$C10,"non"),IF(AND(Simulation!$J$7="FVBAC",OR(Simulation!$B$13="Eaux claires",Simulation!$B$13="Eaux brutes")),IF(VLOOKUP('ALIM BAC relevage'!$C11,MATIERES!$A$2:$G$421,3,0)="SASKIT",'ALIM BAC relevage'!$C11,"non"))))),"non")</f>
        <v>non</v>
      </c>
      <c r="Y84" s="561" t="str">
        <f>_xlfn.IFNA(IF(AND(Simulation!$J$7="",Simulation!$B$13="Aucun"),VLOOKUP(X84,'ALIM FV-FH grav'!$C$4:$U$35,VLOOKUP(Simulation!$B$10,'Estimatif Q'!$A$96:$B$113,2,0),0),IF(AND(Simulation!$J$7="FVBAC",Simulation!$B$13="Aucun"),VLOOKUP(X84,'ALIM BAC Gravitaire'!$C$4:$K$33,VLOOKUP(Simulation!$B$10,'Estimatif Q'!$A$96:$B$113,2,0),0),IF(AND(Simulation!$J$7="",OR(Simulation!$B$13="Eaux claires",Simulation!$B$13="Eaux brutes")),VLOOKUP(X84,'ALIM FV-FH relevage'!$C$4:$AM$37,VLOOKUP(Simulation!$B$10,'Estimatif Q'!$A$96:$B$113,2,0),0),IF(AND(Simulation!$J$7="FVBAC",OR(Simulation!$B$13="Eaux claires",Simulation!$B$13="Eaux brutes")),VLOOKUP(X84,'ALIM BAC relevage'!$C$4:$AK$34,VLOOKUP(Simulation!$B$10,'Estimatif Q'!$A$96:$B$113,2,0),0))))),"non")</f>
        <v>non</v>
      </c>
      <c r="Z84" s="345" t="str">
        <f t="shared" si="3"/>
        <v>non</v>
      </c>
    </row>
    <row r="85" spans="1:26" s="345" customFormat="1" x14ac:dyDescent="0.2">
      <c r="F85" s="338"/>
      <c r="J85" s="338"/>
      <c r="K85"/>
      <c r="L85"/>
      <c r="M85" s="338"/>
      <c r="N85" s="338"/>
      <c r="O85" s="338"/>
      <c r="P85" s="338"/>
      <c r="Q85" s="338"/>
      <c r="U85"/>
      <c r="V85"/>
      <c r="X85" s="557" t="str">
        <f>_xlfn.IFNA(IF(AND(Simulation!$J$7="",Simulation!$B$13="Aucun"),IF(VLOOKUP('ALIM FV-FH grav'!$C12,MATIERES!$A$2:$G$421,3,0)="SASKIT",'ALIM FV-FH grav'!$C12,"non"),IF(AND(Simulation!$J$7="FVBAC",Simulation!$B$13="Aucun"),IF(VLOOKUP('ALIM BAC Gravitaire'!$C11,MATIERES!$A$2:$G$421,3,0)="SASKIT",'ALIM BAC Gravitaire'!$C11,"non"),IF(AND(Simulation!$J$7="",OR(Simulation!$B$13="Eaux claires",Simulation!$B$13="Eaux brutes")),IF(VLOOKUP('ALIM FV-FH relevage'!$C11,MATIERES!$A$2:$G$421,3,0)="SASKIT",'ALIM FV-FH relevage'!$C11,"non"),IF(AND(Simulation!$J$7="FVBAC",OR(Simulation!$B$13="Eaux claires",Simulation!$B$13="Eaux brutes")),IF(VLOOKUP('ALIM BAC relevage'!$C12,MATIERES!$A$2:$G$421,3,0)="SASKIT",'ALIM BAC relevage'!$C12,"non"))))),"non")</f>
        <v>non</v>
      </c>
      <c r="Y85" s="561" t="str">
        <f>_xlfn.IFNA(IF(AND(Simulation!$J$7="",Simulation!$B$13="Aucun"),VLOOKUP(X85,'ALIM FV-FH grav'!$C$4:$U$35,VLOOKUP(Simulation!$B$10,'Estimatif Q'!$A$96:$B$113,2,0),0),IF(AND(Simulation!$J$7="FVBAC",Simulation!$B$13="Aucun"),VLOOKUP(X85,'ALIM BAC Gravitaire'!$C$4:$K$33,VLOOKUP(Simulation!$B$10,'Estimatif Q'!$A$96:$B$113,2,0),0),IF(AND(Simulation!$J$7="",OR(Simulation!$B$13="Eaux claires",Simulation!$B$13="Eaux brutes")),VLOOKUP(X85,'ALIM FV-FH relevage'!$C$4:$AM$37,VLOOKUP(Simulation!$B$10,'Estimatif Q'!$A$96:$B$113,2,0),0),IF(AND(Simulation!$J$7="FVBAC",OR(Simulation!$B$13="Eaux claires",Simulation!$B$13="Eaux brutes")),VLOOKUP(X85,'ALIM BAC relevage'!$C$4:$AK$34,VLOOKUP(Simulation!$B$10,'Estimatif Q'!$A$96:$B$113,2,0),0))))),"non")</f>
        <v>non</v>
      </c>
      <c r="Z85" s="345" t="str">
        <f t="shared" si="3"/>
        <v>non</v>
      </c>
    </row>
    <row r="86" spans="1:26" s="345" customFormat="1" x14ac:dyDescent="0.2">
      <c r="F86" s="338"/>
      <c r="J86" s="338"/>
      <c r="K86"/>
      <c r="L86"/>
      <c r="M86" s="338"/>
      <c r="N86" s="338"/>
      <c r="O86" s="338"/>
      <c r="P86" s="338"/>
      <c r="Q86" s="338"/>
      <c r="U86"/>
      <c r="V86"/>
      <c r="X86" s="557"/>
      <c r="Y86" s="561"/>
      <c r="Z86" s="345" t="str">
        <f t="shared" si="3"/>
        <v>non</v>
      </c>
    </row>
    <row r="87" spans="1:26" s="345" customFormat="1" x14ac:dyDescent="0.2">
      <c r="F87" s="338"/>
      <c r="J87" s="338"/>
      <c r="K87"/>
      <c r="L87"/>
      <c r="M87" s="338"/>
      <c r="N87" s="338"/>
      <c r="O87" s="338"/>
      <c r="P87" s="338"/>
      <c r="Q87" s="338"/>
      <c r="U87"/>
      <c r="V87"/>
      <c r="X87" s="565" t="s">
        <v>1492</v>
      </c>
      <c r="Y87" s="561"/>
      <c r="Z87" s="345" t="str">
        <f t="shared" si="3"/>
        <v>non</v>
      </c>
    </row>
    <row r="88" spans="1:26" s="345" customFormat="1" x14ac:dyDescent="0.2">
      <c r="F88" s="338"/>
      <c r="J88" s="338"/>
      <c r="K88"/>
      <c r="L88"/>
      <c r="M88" s="338"/>
      <c r="N88" s="338"/>
      <c r="O88" s="338"/>
      <c r="P88" s="338"/>
      <c r="Q88" s="338"/>
      <c r="X88" s="557" t="str">
        <f>_xlfn.IFNA(IF(VLOOKUP(Distribution!$C4,MATIERES!$A$2:$G$421,3,0)="SASKIT",Distribution!$C4,"non"),0)</f>
        <v>KIT FV RELEVAGE VANGUI50</v>
      </c>
      <c r="Y88" s="561">
        <f>_xlfn.IFNA(VLOOKUP(X88,Distribution!$C$4:$U$34,VLOOKUP(Simulation!M$13,'Estimatif Q'!$A$115:$B$123,2,0),0),0)</f>
        <v>0</v>
      </c>
      <c r="Z88" s="345" t="str">
        <f t="shared" si="3"/>
        <v>non</v>
      </c>
    </row>
    <row r="89" spans="1:26" s="345" customFormat="1" x14ac:dyDescent="0.2">
      <c r="F89" s="338"/>
      <c r="J89" s="338"/>
      <c r="K89"/>
      <c r="L89"/>
      <c r="M89" s="338"/>
      <c r="N89" s="338"/>
      <c r="O89" s="338"/>
      <c r="P89" s="338"/>
      <c r="Q89" s="338"/>
      <c r="X89" s="557" t="str">
        <f>_xlfn.IFNA(IF(VLOOKUP(Distribution!$C5,MATIERES!$A$2:$G$421,3,0)="SASKIT",Distribution!$C5,"non"),0)</f>
        <v>KIT FV RELEVAGE VANGUI63</v>
      </c>
      <c r="Y89" s="561">
        <f>_xlfn.IFNA(VLOOKUP(X89,Distribution!$C$4:$U$34,VLOOKUP(Simulation!M$13,'Estimatif Q'!$A$115:$B$123,2,0),0),0)</f>
        <v>0</v>
      </c>
      <c r="Z89" s="345" t="str">
        <f t="shared" si="3"/>
        <v>non</v>
      </c>
    </row>
    <row r="90" spans="1:26" s="345" customFormat="1" x14ac:dyDescent="0.2">
      <c r="F90" s="338"/>
      <c r="J90" s="338"/>
      <c r="K90"/>
      <c r="L90"/>
      <c r="M90" s="338"/>
      <c r="N90" s="338"/>
      <c r="O90" s="338"/>
      <c r="P90" s="338"/>
      <c r="Q90" s="338"/>
      <c r="X90" s="557" t="str">
        <f>_xlfn.IFNA(IF(VLOOKUP(Distribution!$C6,MATIERES!$A$2:$G$421,3,0)="SASKIT",Distribution!$C6,"non"),0)</f>
        <v>KIT RELEVAGE 3 VOIES DIAM 50</v>
      </c>
      <c r="Y90" s="561">
        <f>_xlfn.IFNA(VLOOKUP(X90,Distribution!$C$4:$U$34,VLOOKUP(Simulation!M$13,'Estimatif Q'!$A$115:$B$123,2,0),0),0)</f>
        <v>1</v>
      </c>
      <c r="Z90" s="345" t="str">
        <f t="shared" si="3"/>
        <v>KIT RELEVAGE 3 VOIES DIAM 50</v>
      </c>
    </row>
    <row r="91" spans="1:26" s="345" customFormat="1" x14ac:dyDescent="0.2">
      <c r="F91" s="338"/>
      <c r="J91" s="338"/>
      <c r="K91"/>
      <c r="L91"/>
      <c r="M91" s="338"/>
      <c r="N91" s="338"/>
      <c r="O91" s="338"/>
      <c r="P91" s="338"/>
      <c r="Q91" s="338"/>
      <c r="X91" s="557" t="str">
        <f>_xlfn.IFNA(IF(VLOOKUP(Distribution!$C7,MATIERES!$A$2:$G$421,3,0)="SASKIT",Distribution!$C7,"non"),0)</f>
        <v>KIT RELEVAGE 3 VOIES DIAM 63</v>
      </c>
      <c r="Y91" s="561">
        <f>_xlfn.IFNA(VLOOKUP(X91,Distribution!$C$4:$U$34,VLOOKUP(Simulation!M$13,'Estimatif Q'!$A$115:$B$123,2,0),0),0)</f>
        <v>0</v>
      </c>
      <c r="Z91" s="345" t="str">
        <f t="shared" si="3"/>
        <v>non</v>
      </c>
    </row>
    <row r="92" spans="1:26" s="345" customFormat="1" ht="28.5" x14ac:dyDescent="0.2">
      <c r="F92" s="338"/>
      <c r="J92" s="338"/>
      <c r="K92"/>
      <c r="L92"/>
      <c r="M92" s="338"/>
      <c r="N92" s="338"/>
      <c r="O92" s="338"/>
      <c r="P92" s="338"/>
      <c r="Q92" s="338"/>
      <c r="X92" s="557" t="str">
        <f>_xlfn.IFNA(IF(VLOOKUP(Distribution!$C8,MATIERES!$A$2:$G$421,3,0)="SASKIT",Distribution!$C8,"non"),0)</f>
        <v>KIT RELEVAGE 3 VOIES MOTORISÉE DIAM 50 AVEC HORLOGE</v>
      </c>
      <c r="Y92" s="561">
        <f>_xlfn.IFNA(VLOOKUP(X92,Distribution!$C$4:$U$34,VLOOKUP(Simulation!M$13,'Estimatif Q'!$A$115:$B$123,2,0),0),0)</f>
        <v>0</v>
      </c>
      <c r="Z92" s="345" t="str">
        <f t="shared" si="3"/>
        <v>non</v>
      </c>
    </row>
    <row r="93" spans="1:26" s="345" customFormat="1" ht="28.5" x14ac:dyDescent="0.2">
      <c r="F93" s="338"/>
      <c r="J93" s="338"/>
      <c r="K93"/>
      <c r="L93"/>
      <c r="M93" s="338"/>
      <c r="N93" s="338"/>
      <c r="O93" s="338"/>
      <c r="P93" s="338"/>
      <c r="Q93" s="338"/>
      <c r="X93" s="557" t="str">
        <f>_xlfn.IFNA(IF(VLOOKUP(Distribution!$C9,MATIERES!$A$2:$G$421,3,0)="SASKIT",Distribution!$C9,"non"),0)</f>
        <v>KIT RELEVAGE 3 VOIES MOTORISEE DIAM 63 AVEC HORLOGE</v>
      </c>
      <c r="Y93" s="561">
        <f>_xlfn.IFNA(VLOOKUP(X93,Distribution!$C$4:$U$34,VLOOKUP(Simulation!M$13,'Estimatif Q'!$A$115:$B$123,2,0),0),0)</f>
        <v>0</v>
      </c>
      <c r="Z93" s="345" t="str">
        <f t="shared" si="3"/>
        <v>non</v>
      </c>
    </row>
    <row r="94" spans="1:26" s="345" customFormat="1" x14ac:dyDescent="0.2">
      <c r="F94" s="338"/>
      <c r="J94" s="338"/>
      <c r="K94"/>
      <c r="L94"/>
      <c r="M94" s="338"/>
      <c r="N94" s="338"/>
      <c r="O94" s="338"/>
      <c r="P94" s="338"/>
      <c r="Q94" s="338"/>
      <c r="X94" s="557" t="str">
        <f>_xlfn.IFNA(IF(VLOOKUP(Distribution!$C10,MATIERES!$A$2:$G$421,3,0)="SASKIT",Distribution!$C10,"non"),0)</f>
        <v>KIT GRAVITAIRE PELLE INOX</v>
      </c>
      <c r="Y94" s="561">
        <f>_xlfn.IFNA(VLOOKUP(X94,Distribution!$C$4:$U$34,VLOOKUP(Simulation!M$13,'Estimatif Q'!$A$115:$B$123,2,0),0),0)</f>
        <v>0</v>
      </c>
      <c r="Z94" s="345" t="str">
        <f t="shared" si="3"/>
        <v>non</v>
      </c>
    </row>
    <row r="95" spans="1:26" s="345" customFormat="1" x14ac:dyDescent="0.2">
      <c r="F95" s="338"/>
      <c r="J95" s="338"/>
      <c r="K95"/>
      <c r="L95"/>
      <c r="M95" s="338"/>
      <c r="N95" s="338"/>
      <c r="O95" s="338"/>
      <c r="P95" s="338"/>
      <c r="Q95" s="338"/>
      <c r="X95" s="557" t="str">
        <f>_xlfn.IFNA(IF(VLOOKUP(Distribution!$C11,MATIERES!$A$2:$G$421,3,0)="SASKIT",Distribution!$C11,"non"),0)</f>
        <v>KIT FV GRAVITAIRE  vannes guillotines 110</v>
      </c>
      <c r="Y95" s="561">
        <f>_xlfn.IFNA(VLOOKUP(X95,Distribution!$C$4:$U$34,VLOOKUP(Simulation!M$13,'Estimatif Q'!$A$115:$B$123,2,0),0),0)</f>
        <v>0</v>
      </c>
      <c r="Z95" s="345" t="str">
        <f t="shared" si="3"/>
        <v>non</v>
      </c>
    </row>
    <row r="96" spans="1:26" s="345" customFormat="1" x14ac:dyDescent="0.2">
      <c r="A96" s="562"/>
      <c r="B96" s="563"/>
      <c r="C96" s="563"/>
      <c r="D96" s="563"/>
      <c r="E96" s="563"/>
      <c r="F96" s="1094"/>
      <c r="J96" s="338"/>
      <c r="K96"/>
      <c r="L96"/>
      <c r="M96" s="338"/>
      <c r="N96" s="338"/>
      <c r="O96" s="338"/>
      <c r="P96" s="338"/>
      <c r="Q96" s="338"/>
      <c r="X96" s="557">
        <f>_xlfn.IFNA(IF(VLOOKUP(Distribution!$C13,MATIERES!$A$2:$G$421,3,0)="SASKIT",Distribution!$C13,"non"),0)</f>
        <v>0</v>
      </c>
      <c r="Y96" s="561"/>
      <c r="Z96" s="345" t="str">
        <f t="shared" si="3"/>
        <v>non</v>
      </c>
    </row>
    <row r="97" spans="1:26" s="345" customFormat="1" x14ac:dyDescent="0.2">
      <c r="A97" s="562">
        <v>2</v>
      </c>
      <c r="B97" s="562">
        <v>3</v>
      </c>
      <c r="C97" s="563"/>
      <c r="D97" s="563"/>
      <c r="E97" s="563"/>
      <c r="F97" s="1094"/>
      <c r="J97" s="338"/>
      <c r="K97"/>
      <c r="L97"/>
      <c r="M97" s="338"/>
      <c r="N97" s="338"/>
      <c r="O97" s="338"/>
      <c r="P97" s="338"/>
      <c r="Q97" s="338"/>
      <c r="X97" s="557">
        <f>_xlfn.IFNA(IF(VLOOKUP(Distribution!$C14,MATIERES!$A$2:$G$421,3,0)="SASKIT",Distribution!$C14,"non"),0)</f>
        <v>0</v>
      </c>
      <c r="Y97" s="561"/>
      <c r="Z97" s="345" t="str">
        <f t="shared" si="3"/>
        <v>non</v>
      </c>
    </row>
    <row r="98" spans="1:26" s="345" customFormat="1" x14ac:dyDescent="0.2">
      <c r="A98" s="562">
        <v>3</v>
      </c>
      <c r="B98" s="562">
        <v>5</v>
      </c>
      <c r="C98" s="563"/>
      <c r="D98" s="563"/>
      <c r="E98" s="563"/>
      <c r="F98" s="1094"/>
      <c r="J98" s="338"/>
      <c r="K98"/>
      <c r="L98"/>
      <c r="M98" s="338"/>
      <c r="N98" s="338"/>
      <c r="O98" s="338"/>
      <c r="P98" s="338"/>
      <c r="Q98" s="338"/>
      <c r="X98" s="557">
        <f>_xlfn.IFNA(IF(VLOOKUP(Distribution!$C15,MATIERES!$A$2:$G$421,3,0)="SASKIT",Distribution!$C15,"non"),0)</f>
        <v>0</v>
      </c>
      <c r="Y98" s="561"/>
      <c r="Z98" s="345" t="str">
        <f t="shared" si="3"/>
        <v>non</v>
      </c>
    </row>
    <row r="99" spans="1:26" s="345" customFormat="1" x14ac:dyDescent="0.2">
      <c r="A99" s="562">
        <v>4</v>
      </c>
      <c r="B99" s="562">
        <v>7</v>
      </c>
      <c r="C99" s="563"/>
      <c r="D99" s="563"/>
      <c r="E99" s="563"/>
      <c r="F99" s="1094"/>
      <c r="J99" s="338"/>
      <c r="K99"/>
      <c r="L99"/>
      <c r="M99" s="338"/>
      <c r="N99" s="338"/>
      <c r="O99" s="338"/>
      <c r="P99" s="338"/>
      <c r="Q99" s="338"/>
      <c r="X99" s="557">
        <f>_xlfn.IFNA(IF(VLOOKUP(Distribution!$C16,MATIERES!$A$2:$G$421,3,0)="SASKIT",Distribution!$C16,"non"),0)</f>
        <v>0</v>
      </c>
      <c r="Y99" s="561"/>
      <c r="Z99" s="345" t="str">
        <f t="shared" si="3"/>
        <v>non</v>
      </c>
    </row>
    <row r="100" spans="1:26" s="345" customFormat="1" x14ac:dyDescent="0.2">
      <c r="A100" s="562">
        <v>5</v>
      </c>
      <c r="B100" s="562">
        <v>9</v>
      </c>
      <c r="C100" s="563"/>
      <c r="D100" s="563"/>
      <c r="E100" s="563"/>
      <c r="F100" s="1094"/>
      <c r="J100" s="338"/>
      <c r="K100"/>
      <c r="L100"/>
      <c r="M100" s="338"/>
      <c r="N100" s="338"/>
      <c r="O100" s="338"/>
      <c r="P100" s="338"/>
      <c r="Q100" s="338"/>
      <c r="X100" s="557">
        <f>_xlfn.IFNA(IF(VLOOKUP(Distribution!$C17,MATIERES!$A$2:$G$421,3,0)="SASKIT",Distribution!$C17,"non"),0)</f>
        <v>0</v>
      </c>
      <c r="Y100" s="561"/>
      <c r="Z100" s="345" t="str">
        <f t="shared" si="3"/>
        <v>non</v>
      </c>
    </row>
    <row r="101" spans="1:26" s="345" customFormat="1" x14ac:dyDescent="0.2">
      <c r="A101" s="562">
        <v>6</v>
      </c>
      <c r="B101" s="562">
        <v>11</v>
      </c>
      <c r="C101" s="563"/>
      <c r="D101" s="563"/>
      <c r="E101" s="563"/>
      <c r="F101" s="1094"/>
      <c r="J101" s="338"/>
      <c r="K101"/>
      <c r="L101"/>
      <c r="M101" s="338"/>
      <c r="N101" s="338"/>
      <c r="O101" s="338"/>
      <c r="P101" s="338"/>
      <c r="Q101" s="338"/>
      <c r="X101" s="557">
        <f>_xlfn.IFNA(IF(VLOOKUP(Distribution!$C18,MATIERES!$A$2:$G$421,3,0)="SASKIT",Distribution!$C18,"non"),0)</f>
        <v>0</v>
      </c>
      <c r="Y101" s="561"/>
      <c r="Z101" s="345" t="str">
        <f t="shared" si="3"/>
        <v>non</v>
      </c>
    </row>
    <row r="102" spans="1:26" s="345" customFormat="1" x14ac:dyDescent="0.2">
      <c r="A102" s="562">
        <v>7</v>
      </c>
      <c r="B102" s="562">
        <v>13</v>
      </c>
      <c r="C102" s="563"/>
      <c r="D102" s="563"/>
      <c r="E102" s="563"/>
      <c r="F102" s="1094"/>
      <c r="G102" s="563"/>
      <c r="J102" s="338"/>
      <c r="K102"/>
      <c r="L102"/>
      <c r="M102" s="338"/>
      <c r="N102" s="338"/>
      <c r="O102" s="338"/>
      <c r="P102" s="338"/>
      <c r="Q102" s="338"/>
      <c r="X102" s="565" t="s">
        <v>249</v>
      </c>
      <c r="Y102" s="561"/>
      <c r="Z102" s="345" t="str">
        <f t="shared" si="3"/>
        <v>non</v>
      </c>
    </row>
    <row r="103" spans="1:26" s="345" customFormat="1" x14ac:dyDescent="0.2">
      <c r="A103" s="562">
        <v>8</v>
      </c>
      <c r="B103" s="562">
        <v>15</v>
      </c>
      <c r="C103" s="563"/>
      <c r="D103" s="563"/>
      <c r="E103" s="563"/>
      <c r="F103" s="1094"/>
      <c r="G103" s="563"/>
      <c r="J103" s="338"/>
      <c r="K103"/>
      <c r="L103"/>
      <c r="M103" s="338"/>
      <c r="N103" s="338"/>
      <c r="O103" s="338"/>
      <c r="P103" s="338"/>
      <c r="Q103" s="338"/>
      <c r="X103" s="557" t="str">
        <f>_xlfn.IFNA(IF(VLOOKUP('collecte-exutoire'!$C4,MATIERES!$A$2:$G$421,3,0)="SASKIT",'collecte-exutoire'!$C4,"non"),"non")</f>
        <v>non</v>
      </c>
      <c r="Y103" s="561">
        <f>_xlfn.IFNA(VLOOKUP(X103,'collecte-exutoire'!$C$4:$O$55,13,0),0)</f>
        <v>0</v>
      </c>
      <c r="Z103" s="345" t="str">
        <f t="shared" si="3"/>
        <v>non</v>
      </c>
    </row>
    <row r="104" spans="1:26" s="345" customFormat="1" x14ac:dyDescent="0.2">
      <c r="A104" s="562">
        <v>9</v>
      </c>
      <c r="B104" s="562">
        <v>17</v>
      </c>
      <c r="C104" s="563"/>
      <c r="D104" s="563"/>
      <c r="E104" s="563"/>
      <c r="F104" s="1094"/>
      <c r="G104" s="563"/>
      <c r="J104" s="338"/>
      <c r="K104"/>
      <c r="L104"/>
      <c r="M104" s="338"/>
      <c r="N104" s="338"/>
      <c r="O104" s="338"/>
      <c r="P104" s="338"/>
      <c r="Q104" s="338"/>
      <c r="X104" s="557" t="str">
        <f>_xlfn.IFNA(IF(VLOOKUP('collecte-exutoire'!$C5,MATIERES!$A$2:$G$421,3,0)="SASKIT",'collecte-exutoire'!$C5,"non"),"non")</f>
        <v>non</v>
      </c>
      <c r="Y104" s="561">
        <f>_xlfn.IFNA(VLOOKUP(X104,'collecte-exutoire'!$C$4:$O$55,13,0),0)</f>
        <v>0</v>
      </c>
      <c r="Z104" s="345" t="str">
        <f t="shared" si="3"/>
        <v>non</v>
      </c>
    </row>
    <row r="105" spans="1:26" s="345" customFormat="1" x14ac:dyDescent="0.2">
      <c r="A105" s="562">
        <v>10</v>
      </c>
      <c r="B105" s="562">
        <v>19</v>
      </c>
      <c r="C105" s="563"/>
      <c r="D105" s="563"/>
      <c r="E105" s="563"/>
      <c r="F105" s="1094"/>
      <c r="G105" s="563"/>
      <c r="J105" s="338"/>
      <c r="K105"/>
      <c r="L105"/>
      <c r="M105" s="338"/>
      <c r="N105" s="338"/>
      <c r="O105" s="338"/>
      <c r="P105" s="338"/>
      <c r="Q105" s="338"/>
      <c r="X105" s="557" t="str">
        <f>_xlfn.IFNA(IF(VLOOKUP('collecte-exutoire'!$C6,MATIERES!$A$2:$G$421,3,0)="SASKIT",'collecte-exutoire'!$C6,"non"),"non")</f>
        <v>non</v>
      </c>
      <c r="Y105" s="561">
        <f>_xlfn.IFNA(VLOOKUP(X105,'collecte-exutoire'!$C$4:$O$55,13,0),0)</f>
        <v>0</v>
      </c>
      <c r="Z105" s="345" t="str">
        <f t="shared" si="3"/>
        <v>non</v>
      </c>
    </row>
    <row r="106" spans="1:26" x14ac:dyDescent="0.2">
      <c r="A106" s="562" t="s">
        <v>460</v>
      </c>
      <c r="B106" s="562">
        <v>21</v>
      </c>
      <c r="C106" s="563"/>
      <c r="D106" s="563"/>
      <c r="E106" s="563"/>
      <c r="F106" s="1094"/>
      <c r="G106" s="563"/>
      <c r="I106" s="345"/>
      <c r="J106" s="338"/>
      <c r="M106" s="338"/>
      <c r="N106" s="338"/>
      <c r="O106" s="338"/>
      <c r="P106" s="338"/>
      <c r="Q106" s="338"/>
      <c r="U106" s="345"/>
      <c r="V106" s="345"/>
      <c r="X106" s="557" t="str">
        <f>_xlfn.IFNA(IF(VLOOKUP('collecte-exutoire'!$C7,MATIERES!$A$2:$G$421,3,0)="SASKIT",'collecte-exutoire'!$C7,"non"),"non")</f>
        <v>non</v>
      </c>
      <c r="Y106" s="561">
        <f>_xlfn.IFNA(VLOOKUP(X106,'collecte-exutoire'!$C$4:$O$55,13,0),0)</f>
        <v>0</v>
      </c>
      <c r="Z106" s="345" t="str">
        <f t="shared" si="3"/>
        <v>non</v>
      </c>
    </row>
    <row r="107" spans="1:26" x14ac:dyDescent="0.2">
      <c r="A107" s="562" t="s">
        <v>461</v>
      </c>
      <c r="B107" s="562">
        <v>23</v>
      </c>
      <c r="C107" s="563"/>
      <c r="D107" s="563"/>
      <c r="E107" s="563"/>
      <c r="F107" s="1094"/>
      <c r="G107" s="563"/>
      <c r="H107" s="563"/>
      <c r="I107" s="345"/>
      <c r="J107" s="338"/>
      <c r="M107" s="338"/>
      <c r="N107" s="338"/>
      <c r="O107" s="338"/>
      <c r="P107" s="338"/>
      <c r="Q107" s="338"/>
      <c r="U107" s="345"/>
      <c r="V107" s="345"/>
      <c r="X107" s="557" t="str">
        <f>_xlfn.IFNA(IF(VLOOKUP('collecte-exutoire'!$C8,MATIERES!$A$2:$G$421,3,0)="SASKIT",'collecte-exutoire'!$C8,"non"),"non")</f>
        <v>non</v>
      </c>
      <c r="Y107" s="561">
        <f>_xlfn.IFNA(VLOOKUP(X107,'collecte-exutoire'!$C$4:$O$55,13,0),0)</f>
        <v>0</v>
      </c>
      <c r="Z107" s="345" t="str">
        <f t="shared" si="3"/>
        <v>non</v>
      </c>
    </row>
    <row r="108" spans="1:26" x14ac:dyDescent="0.2">
      <c r="A108" s="562" t="s">
        <v>462</v>
      </c>
      <c r="B108" s="562">
        <v>25</v>
      </c>
      <c r="C108" s="563"/>
      <c r="D108" s="563"/>
      <c r="E108" s="563"/>
      <c r="F108" s="1094"/>
      <c r="G108" s="1394">
        <v>3</v>
      </c>
      <c r="H108" s="1394">
        <v>5</v>
      </c>
      <c r="I108" s="345"/>
      <c r="J108" s="338"/>
      <c r="M108" s="338"/>
      <c r="N108" s="338"/>
      <c r="O108" s="338"/>
      <c r="P108" s="338"/>
      <c r="Q108" s="338"/>
      <c r="S108" s="345"/>
      <c r="T108" s="345"/>
      <c r="X108" s="557" t="str">
        <f>_xlfn.IFNA(IF(VLOOKUP('collecte-exutoire'!$C9,MATIERES!$A$2:$G$421,3,0)="SASKIT",'collecte-exutoire'!$C9,"non"),"non")</f>
        <v>non</v>
      </c>
      <c r="Y108" s="561">
        <f>_xlfn.IFNA(VLOOKUP(X108,'collecte-exutoire'!$C$4:$O$55,13,0),0)</f>
        <v>0</v>
      </c>
      <c r="Z108" s="345" t="str">
        <f t="shared" si="3"/>
        <v>non</v>
      </c>
    </row>
    <row r="109" spans="1:26" x14ac:dyDescent="0.2">
      <c r="A109" s="562" t="s">
        <v>463</v>
      </c>
      <c r="B109" s="562">
        <v>27</v>
      </c>
      <c r="C109" s="563"/>
      <c r="D109" s="563"/>
      <c r="E109" s="563"/>
      <c r="F109" s="1094"/>
      <c r="G109" s="1394">
        <v>5</v>
      </c>
      <c r="H109" s="1394">
        <v>9</v>
      </c>
      <c r="I109" s="345"/>
      <c r="J109" s="338"/>
      <c r="M109" s="338"/>
      <c r="N109" s="338"/>
      <c r="O109" s="338"/>
      <c r="P109" s="338"/>
      <c r="Q109" s="338"/>
      <c r="S109" s="345"/>
      <c r="T109" s="345"/>
      <c r="X109" s="557" t="str">
        <f>_xlfn.IFNA(IF(VLOOKUP('collecte-exutoire'!$C10,MATIERES!$A$2:$G$421,3,0)="SASKIT",'collecte-exutoire'!$C10,"non"),"non")</f>
        <v>non</v>
      </c>
      <c r="Y109" s="561">
        <f>_xlfn.IFNA(VLOOKUP(X109,'collecte-exutoire'!$C$4:$O$55,13,0),0)</f>
        <v>0</v>
      </c>
      <c r="Z109" s="345" t="str">
        <f t="shared" si="3"/>
        <v>non</v>
      </c>
    </row>
    <row r="110" spans="1:26" x14ac:dyDescent="0.2">
      <c r="A110" s="562">
        <v>16</v>
      </c>
      <c r="B110" s="562">
        <v>29</v>
      </c>
      <c r="C110" s="563"/>
      <c r="D110" s="563"/>
      <c r="E110" s="563"/>
      <c r="F110" s="1094"/>
      <c r="G110" s="1394">
        <v>6</v>
      </c>
      <c r="H110" s="1394">
        <v>11</v>
      </c>
      <c r="I110" s="345"/>
      <c r="J110" s="338"/>
      <c r="M110" s="338"/>
      <c r="N110" s="338"/>
      <c r="O110" s="338"/>
      <c r="P110" s="338"/>
      <c r="Q110" s="338"/>
      <c r="S110" s="345"/>
      <c r="T110" s="345"/>
      <c r="X110" s="557" t="str">
        <f>_xlfn.IFNA(IF(VLOOKUP('collecte-exutoire'!$C11,MATIERES!$A$2:$G$421,3,0)="SASKIT",'collecte-exutoire'!$C11,"non"),"non")</f>
        <v>CABLE  1,5</v>
      </c>
      <c r="Y110" s="561">
        <f>_xlfn.IFNA(VLOOKUP(X110,'collecte-exutoire'!$C$4:$O$55,13,0),0)</f>
        <v>0</v>
      </c>
      <c r="Z110" s="345" t="str">
        <f t="shared" si="3"/>
        <v>non</v>
      </c>
    </row>
    <row r="111" spans="1:26" x14ac:dyDescent="0.2">
      <c r="A111" s="562" t="s">
        <v>464</v>
      </c>
      <c r="B111" s="562">
        <v>31</v>
      </c>
      <c r="C111" s="563"/>
      <c r="D111" s="563"/>
      <c r="E111" s="563"/>
      <c r="F111" s="1094"/>
      <c r="G111" s="1394">
        <v>10</v>
      </c>
      <c r="H111" s="1394">
        <v>19</v>
      </c>
      <c r="I111" s="345"/>
      <c r="J111" s="338"/>
      <c r="M111" s="338"/>
      <c r="N111" s="338"/>
      <c r="O111" s="338"/>
      <c r="P111" s="338"/>
      <c r="Q111" s="338"/>
      <c r="S111" s="345"/>
      <c r="T111" s="345"/>
      <c r="X111" s="557" t="str">
        <f>_xlfn.IFNA(IF(VLOOKUP('collecte-exutoire'!$C12,MATIERES!$A$2:$G$421,3,0)="SASKIT",'collecte-exutoire'!$C12,"non"),"non")</f>
        <v>non</v>
      </c>
      <c r="Y111" s="561">
        <f>_xlfn.IFNA(VLOOKUP(X111,'collecte-exutoire'!$C$4:$O$55,13,0),0)</f>
        <v>0</v>
      </c>
      <c r="Z111" s="345" t="str">
        <f t="shared" si="3"/>
        <v>non</v>
      </c>
    </row>
    <row r="112" spans="1:26" x14ac:dyDescent="0.2">
      <c r="A112" s="562" t="s">
        <v>465</v>
      </c>
      <c r="B112" s="562">
        <v>33</v>
      </c>
      <c r="C112" s="563"/>
      <c r="D112" s="563"/>
      <c r="E112" s="563"/>
      <c r="F112" s="1094"/>
      <c r="G112" s="1394" t="s">
        <v>460</v>
      </c>
      <c r="H112" s="1394">
        <v>21</v>
      </c>
      <c r="I112" s="345"/>
      <c r="J112" s="338"/>
      <c r="M112" s="338"/>
      <c r="N112" s="338"/>
      <c r="O112" s="338"/>
      <c r="P112" s="338"/>
      <c r="Q112" s="338"/>
      <c r="S112" s="345"/>
      <c r="T112" s="345"/>
      <c r="X112" s="557" t="str">
        <f>_xlfn.IFNA(IF(VLOOKUP('collecte-exutoire'!$C13,MATIERES!$A$2:$G$421,3,0)="SASKIT",'collecte-exutoire'!$C13,"non"),"non")</f>
        <v>non</v>
      </c>
      <c r="Y112" s="561">
        <f>_xlfn.IFNA(VLOOKUP(X112,'collecte-exutoire'!$C$4:$O$55,13,0),0)</f>
        <v>0</v>
      </c>
      <c r="Z112" s="345" t="str">
        <f t="shared" si="3"/>
        <v>non</v>
      </c>
    </row>
    <row r="113" spans="1:26" x14ac:dyDescent="0.2">
      <c r="A113" s="562" t="s">
        <v>466</v>
      </c>
      <c r="B113" s="562">
        <v>35</v>
      </c>
      <c r="C113" s="563"/>
      <c r="D113" s="563"/>
      <c r="E113" s="563"/>
      <c r="F113" s="1094"/>
      <c r="G113" s="1394" t="s">
        <v>466</v>
      </c>
      <c r="H113" s="1394">
        <v>35</v>
      </c>
      <c r="I113" s="345"/>
      <c r="J113" s="338"/>
      <c r="M113" s="338"/>
      <c r="N113" s="338"/>
      <c r="O113" s="338"/>
      <c r="P113" s="338"/>
      <c r="Q113" s="338"/>
      <c r="S113" s="345"/>
      <c r="T113" s="345"/>
      <c r="X113" s="557" t="str">
        <f>_xlfn.IFNA(IF(VLOOKUP('collecte-exutoire'!$C14,MATIERES!$A$2:$G$421,3,0)="SASKIT",'collecte-exutoire'!$C14,"non"),"non")</f>
        <v>non</v>
      </c>
      <c r="Y113" s="561">
        <f>_xlfn.IFNA(VLOOKUP(X113,'collecte-exutoire'!$C$4:$O$55,13,0),0)</f>
        <v>0</v>
      </c>
      <c r="Z113" s="345" t="str">
        <f t="shared" si="3"/>
        <v>non</v>
      </c>
    </row>
    <row r="114" spans="1:26" x14ac:dyDescent="0.2">
      <c r="A114" s="562" t="s">
        <v>467</v>
      </c>
      <c r="B114" s="562">
        <v>37</v>
      </c>
      <c r="C114" s="563"/>
      <c r="D114" s="563"/>
      <c r="E114" s="563"/>
      <c r="F114" s="1094"/>
      <c r="G114" s="563"/>
      <c r="H114" s="563"/>
      <c r="J114" s="338"/>
      <c r="M114" s="338"/>
      <c r="N114" s="338"/>
      <c r="O114" s="338"/>
      <c r="P114" s="338"/>
      <c r="Q114" s="338"/>
      <c r="S114" s="345"/>
      <c r="T114" s="345"/>
      <c r="X114" s="557" t="str">
        <f>_xlfn.IFNA(IF(VLOOKUP('collecte-exutoire'!$C15,MATIERES!$A$2:$G$421,3,0)="SASKIT",'collecte-exutoire'!$C15,"non"),"non")</f>
        <v>non</v>
      </c>
      <c r="Y114" s="561">
        <f>_xlfn.IFNA(VLOOKUP(X114,'collecte-exutoire'!$C$4:$O$55,13,0),0)</f>
        <v>0</v>
      </c>
      <c r="Z114" s="345" t="str">
        <f t="shared" si="3"/>
        <v>non</v>
      </c>
    </row>
    <row r="115" spans="1:26" x14ac:dyDescent="0.2">
      <c r="A115" s="563"/>
      <c r="B115" s="563"/>
      <c r="C115" s="563"/>
      <c r="D115" s="563"/>
      <c r="E115" s="563"/>
      <c r="F115" s="1094"/>
      <c r="G115" s="563"/>
      <c r="H115" s="563"/>
      <c r="I115" s="345"/>
      <c r="J115" s="338"/>
      <c r="O115" s="345"/>
      <c r="U115" s="345"/>
      <c r="V115" s="345"/>
      <c r="X115" s="557" t="str">
        <f>_xlfn.IFNA(IF(VLOOKUP('collecte-exutoire'!$C16,MATIERES!$A$2:$G$421,3,0)="SASKIT",'collecte-exutoire'!$C16,"non"),"non")</f>
        <v>non</v>
      </c>
      <c r="Y115" s="561">
        <f>_xlfn.IFNA(VLOOKUP(X115,'collecte-exutoire'!$C$4:$O$55,13,0),0)</f>
        <v>0</v>
      </c>
      <c r="Z115" s="345" t="str">
        <f t="shared" si="3"/>
        <v>non</v>
      </c>
    </row>
    <row r="116" spans="1:26" x14ac:dyDescent="0.2">
      <c r="A116" s="562" t="s">
        <v>1332</v>
      </c>
      <c r="B116" s="562">
        <v>3</v>
      </c>
      <c r="C116" s="563"/>
      <c r="D116" s="563"/>
      <c r="E116" s="563"/>
      <c r="F116" s="1094"/>
      <c r="G116" s="563"/>
      <c r="H116" s="563"/>
      <c r="I116" s="345"/>
      <c r="J116" s="338"/>
      <c r="O116" s="345"/>
      <c r="U116" s="345"/>
      <c r="V116" s="345"/>
      <c r="X116" s="557" t="str">
        <f>_xlfn.IFNA(IF(VLOOKUP('collecte-exutoire'!$C17,MATIERES!$A$2:$G$421,3,0)="SASKIT",'collecte-exutoire'!$C17,"non"),"non")</f>
        <v>non</v>
      </c>
      <c r="Y116" s="561">
        <f>_xlfn.IFNA(VLOOKUP(X116,'collecte-exutoire'!$C$4:$O$55,13,0),0)</f>
        <v>0</v>
      </c>
      <c r="Z116" s="345" t="str">
        <f t="shared" si="3"/>
        <v>non</v>
      </c>
    </row>
    <row r="117" spans="1:26" x14ac:dyDescent="0.2">
      <c r="A117" s="562" t="s">
        <v>1333</v>
      </c>
      <c r="B117" s="562">
        <v>5</v>
      </c>
      <c r="C117" s="563"/>
      <c r="D117" s="563"/>
      <c r="E117" s="563"/>
      <c r="F117" s="1094"/>
      <c r="G117" s="563"/>
      <c r="H117" s="563"/>
      <c r="I117" s="345"/>
      <c r="J117" s="338"/>
      <c r="O117" s="345"/>
      <c r="U117" s="345"/>
      <c r="V117" s="345"/>
      <c r="X117" s="557" t="str">
        <f>_xlfn.IFNA(IF(VLOOKUP('collecte-exutoire'!$C18,MATIERES!$A$2:$G$421,3,0)="SASKIT",'collecte-exutoire'!$C18,"non"),"non")</f>
        <v>non</v>
      </c>
      <c r="Y117" s="561">
        <f>_xlfn.IFNA(VLOOKUP(X117,'collecte-exutoire'!$C$4:$O$55,13,0),0)</f>
        <v>0</v>
      </c>
      <c r="Z117" s="345" t="str">
        <f t="shared" si="3"/>
        <v>non</v>
      </c>
    </row>
    <row r="118" spans="1:26" x14ac:dyDescent="0.2">
      <c r="A118" s="562" t="s">
        <v>1334</v>
      </c>
      <c r="B118" s="562">
        <v>7</v>
      </c>
      <c r="D118" s="345"/>
      <c r="E118" s="345"/>
      <c r="F118" s="338"/>
      <c r="H118" s="563"/>
      <c r="I118" s="345"/>
      <c r="J118" s="338"/>
      <c r="O118" s="345"/>
      <c r="U118" s="345"/>
      <c r="V118" s="345"/>
      <c r="X118" s="557" t="str">
        <f>_xlfn.IFNA(IF(VLOOKUP('collecte-exutoire'!$C19,MATIERES!$A$2:$G$421,3,0)="SASKIT",'collecte-exutoire'!$C19,"non"),"non")</f>
        <v>non</v>
      </c>
      <c r="Y118" s="561">
        <f>_xlfn.IFNA(VLOOKUP(X118,'collecte-exutoire'!$C$4:$O$55,13,0),0)</f>
        <v>0</v>
      </c>
      <c r="Z118" s="345" t="str">
        <f t="shared" si="3"/>
        <v>non</v>
      </c>
    </row>
    <row r="119" spans="1:26" x14ac:dyDescent="0.2">
      <c r="A119" s="562" t="s">
        <v>1335</v>
      </c>
      <c r="B119" s="562">
        <v>9</v>
      </c>
      <c r="D119" s="345"/>
      <c r="E119" s="345"/>
      <c r="F119" s="338"/>
      <c r="H119" s="563"/>
      <c r="I119" s="345"/>
      <c r="J119" s="338"/>
      <c r="O119" s="345"/>
      <c r="U119" s="345"/>
      <c r="V119" s="345"/>
      <c r="X119" s="557" t="str">
        <f>_xlfn.IFNA(IF(VLOOKUP('collecte-exutoire'!$C20,MATIERES!$A$2:$G$421,3,0)="SASKIT",'collecte-exutoire'!$C20,"non"),"non")</f>
        <v>non</v>
      </c>
      <c r="Y119" s="561">
        <f>_xlfn.IFNA(VLOOKUP(X119,'collecte-exutoire'!$C$4:$O$55,13,0),0)</f>
        <v>0</v>
      </c>
      <c r="Z119" s="345" t="str">
        <f t="shared" si="3"/>
        <v>non</v>
      </c>
    </row>
    <row r="120" spans="1:26" x14ac:dyDescent="0.2">
      <c r="A120" s="562" t="s">
        <v>1336</v>
      </c>
      <c r="B120" s="562">
        <v>11</v>
      </c>
      <c r="D120" s="345"/>
      <c r="E120" s="345"/>
      <c r="F120" s="338"/>
      <c r="H120" s="563"/>
      <c r="I120" s="345"/>
      <c r="J120" s="338"/>
      <c r="O120" s="345"/>
      <c r="U120" s="345"/>
      <c r="V120" s="345"/>
      <c r="X120" s="557" t="str">
        <f>_xlfn.IFNA(IF(VLOOKUP('collecte-exutoire'!$C21,MATIERES!$A$2:$G$421,3,0)="SASKIT",'collecte-exutoire'!$C21,"non"),"non")</f>
        <v>non</v>
      </c>
      <c r="Y120" s="561">
        <f>_xlfn.IFNA(VLOOKUP(X120,'collecte-exutoire'!$C$4:$O$55,13,0),0)</f>
        <v>0</v>
      </c>
      <c r="Z120" s="345" t="str">
        <f t="shared" si="3"/>
        <v>non</v>
      </c>
    </row>
    <row r="121" spans="1:26" x14ac:dyDescent="0.2">
      <c r="A121" s="562" t="s">
        <v>1337</v>
      </c>
      <c r="B121" s="562">
        <v>13</v>
      </c>
      <c r="D121" s="345"/>
      <c r="E121" s="345"/>
      <c r="F121" s="338"/>
      <c r="H121" s="563"/>
      <c r="I121" s="345"/>
      <c r="J121" s="338"/>
      <c r="O121" s="345"/>
      <c r="U121" s="345"/>
      <c r="V121" s="345"/>
      <c r="X121" s="557" t="str">
        <f>_xlfn.IFNA(IF(VLOOKUP('collecte-exutoire'!$C22,MATIERES!$A$2:$G$421,3,0)="SASKIT",'collecte-exutoire'!$C22,"non"),"non")</f>
        <v>non</v>
      </c>
      <c r="Y121" s="561">
        <f>_xlfn.IFNA(VLOOKUP(X121,'collecte-exutoire'!$C$4:$O$55,13,0),0)</f>
        <v>0</v>
      </c>
      <c r="Z121" s="345" t="str">
        <f t="shared" si="3"/>
        <v>non</v>
      </c>
    </row>
    <row r="122" spans="1:26" x14ac:dyDescent="0.2">
      <c r="A122" s="562" t="s">
        <v>1338</v>
      </c>
      <c r="B122" s="562">
        <v>15</v>
      </c>
      <c r="D122" s="345"/>
      <c r="E122" s="345"/>
      <c r="F122" s="338"/>
      <c r="H122" s="563"/>
      <c r="I122" s="345"/>
      <c r="J122" s="338"/>
      <c r="O122" s="345"/>
      <c r="U122" s="345"/>
      <c r="V122" s="345"/>
      <c r="X122" s="557" t="str">
        <f>_xlfn.IFNA(IF(VLOOKUP('collecte-exutoire'!$C23,MATIERES!$A$2:$G$421,3,0)="SASKIT",'collecte-exutoire'!$C23,"non"),"non")</f>
        <v>non</v>
      </c>
      <c r="Y122" s="561">
        <f>_xlfn.IFNA(VLOOKUP(X122,'collecte-exutoire'!$C$4:$O$55,13,0),0)</f>
        <v>0</v>
      </c>
      <c r="Z122" s="345" t="str">
        <f t="shared" si="3"/>
        <v>non</v>
      </c>
    </row>
    <row r="123" spans="1:26" x14ac:dyDescent="0.2">
      <c r="A123" s="562"/>
      <c r="D123" s="345"/>
      <c r="E123" s="345"/>
      <c r="F123" s="338"/>
      <c r="H123" s="563"/>
      <c r="I123" s="345"/>
      <c r="J123" s="338"/>
      <c r="O123" s="345"/>
      <c r="U123" s="345"/>
      <c r="V123" s="345"/>
      <c r="X123" s="557" t="str">
        <f>_xlfn.IFNA(IF(VLOOKUP('collecte-exutoire'!$C24,MATIERES!$A$2:$G$421,3,0)="SASKIT",'collecte-exutoire'!$C24,"non"),"non")</f>
        <v>non</v>
      </c>
      <c r="Y123" s="561">
        <f>_xlfn.IFNA(VLOOKUP(X123,'collecte-exutoire'!$C$4:$O$55,13,0),0)</f>
        <v>0</v>
      </c>
      <c r="Z123" s="345" t="str">
        <f t="shared" si="3"/>
        <v>non</v>
      </c>
    </row>
    <row r="124" spans="1:26" x14ac:dyDescent="0.2">
      <c r="D124" s="345"/>
      <c r="E124" s="345"/>
      <c r="F124" s="338"/>
      <c r="H124" s="563"/>
      <c r="I124" s="345"/>
      <c r="J124" s="338"/>
      <c r="O124" s="345"/>
      <c r="U124" s="345"/>
      <c r="V124" s="345"/>
      <c r="X124" s="557" t="str">
        <f>_xlfn.IFNA(IF(VLOOKUP('collecte-exutoire'!$C25,MATIERES!$A$2:$G$421,3,0)="SASKIT",'collecte-exutoire'!$C25,"non"),"non")</f>
        <v>non</v>
      </c>
      <c r="Y124" s="561">
        <f>_xlfn.IFNA(VLOOKUP(X124,'collecte-exutoire'!$C$4:$O$55,13,0),0)</f>
        <v>0</v>
      </c>
      <c r="Z124" s="345" t="str">
        <f t="shared" si="3"/>
        <v>non</v>
      </c>
    </row>
    <row r="125" spans="1:26" x14ac:dyDescent="0.2">
      <c r="D125" s="345"/>
      <c r="E125" s="345"/>
      <c r="F125" s="338"/>
      <c r="H125" s="563"/>
      <c r="I125" s="345"/>
      <c r="J125" s="338"/>
      <c r="O125" s="345"/>
      <c r="U125" s="345"/>
      <c r="V125" s="345"/>
      <c r="X125" s="557" t="str">
        <f>_xlfn.IFNA(IF(VLOOKUP('collecte-exutoire'!$C26,MATIERES!$A$2:$G$421,3,0)="SASKIT",'collecte-exutoire'!$C26,"non"),"non")</f>
        <v>non</v>
      </c>
      <c r="Y125" s="561">
        <f>_xlfn.IFNA(VLOOKUP(X125,'collecte-exutoire'!$C$4:$O$55,13,0),0)</f>
        <v>0</v>
      </c>
      <c r="Z125" s="345" t="str">
        <f t="shared" si="3"/>
        <v>non</v>
      </c>
    </row>
    <row r="126" spans="1:26" x14ac:dyDescent="0.2">
      <c r="D126" s="345"/>
      <c r="E126" s="345"/>
      <c r="F126" s="338"/>
      <c r="H126" s="563"/>
      <c r="I126" s="345"/>
      <c r="J126" s="338"/>
      <c r="O126" s="345"/>
      <c r="U126" s="345"/>
      <c r="V126" s="345"/>
      <c r="X126" s="557" t="str">
        <f>_xlfn.IFNA(IF(VLOOKUP('collecte-exutoire'!$C27,MATIERES!$A$2:$G$421,3,0)="SASKIT",'collecte-exutoire'!$C27,"non"),"non")</f>
        <v>non</v>
      </c>
      <c r="Y126" s="561">
        <f>_xlfn.IFNA(VLOOKUP(X126,'collecte-exutoire'!$C$4:$O$55,13,0),0)</f>
        <v>0</v>
      </c>
      <c r="Z126" s="345" t="str">
        <f t="shared" si="3"/>
        <v>non</v>
      </c>
    </row>
    <row r="127" spans="1:26" x14ac:dyDescent="0.2">
      <c r="D127" s="345"/>
      <c r="E127" s="345"/>
      <c r="F127" s="338"/>
      <c r="H127" s="563"/>
      <c r="I127" s="345"/>
      <c r="J127" s="338"/>
      <c r="O127" s="345"/>
      <c r="U127" s="345"/>
      <c r="V127" s="345"/>
      <c r="X127" s="557" t="str">
        <f>_xlfn.IFNA(IF(VLOOKUP('collecte-exutoire'!$C28,MATIERES!$A$2:$G$421,3,0)="SASKIT",'collecte-exutoire'!$C28,"non"),"non")</f>
        <v>non</v>
      </c>
      <c r="Y127" s="561">
        <f>_xlfn.IFNA(VLOOKUP(X127,'collecte-exutoire'!$C$4:$O$55,13,0),0)</f>
        <v>0</v>
      </c>
      <c r="Z127" s="345" t="str">
        <f t="shared" si="3"/>
        <v>non</v>
      </c>
    </row>
    <row r="128" spans="1:26" x14ac:dyDescent="0.2">
      <c r="D128" s="345"/>
      <c r="E128" s="345"/>
      <c r="F128" s="338"/>
      <c r="H128" s="563"/>
      <c r="I128" s="345"/>
      <c r="J128" s="338"/>
      <c r="O128" s="345"/>
      <c r="U128" s="345"/>
      <c r="V128" s="345"/>
      <c r="X128" s="557" t="str">
        <f>_xlfn.IFNA(IF(VLOOKUP('collecte-exutoire'!$C29,MATIERES!$A$2:$G$421,3,0)="SASKIT",'collecte-exutoire'!$C29,"non"),"non")</f>
        <v>non</v>
      </c>
      <c r="Y128" s="561">
        <f>_xlfn.IFNA(VLOOKUP(X128,'collecte-exutoire'!$C$4:$O$55,13,0),0)</f>
        <v>0</v>
      </c>
      <c r="Z128" s="345" t="str">
        <f t="shared" si="3"/>
        <v>non</v>
      </c>
    </row>
    <row r="129" spans="4:26" x14ac:dyDescent="0.2">
      <c r="D129" s="345"/>
      <c r="E129" s="345"/>
      <c r="F129" s="338"/>
      <c r="I129" s="345"/>
      <c r="J129" s="338"/>
      <c r="O129" s="345"/>
      <c r="U129" s="345"/>
      <c r="V129" s="345"/>
      <c r="X129" s="557" t="str">
        <f>_xlfn.IFNA(IF(VLOOKUP('collecte-exutoire'!$C30,MATIERES!$A$2:$G$421,3,0)="SASKIT",'collecte-exutoire'!$C30,"non"),"non")</f>
        <v>non</v>
      </c>
      <c r="Y129" s="561">
        <f>_xlfn.IFNA(VLOOKUP(X129,'collecte-exutoire'!$C$4:$O$55,13,0),0)</f>
        <v>0</v>
      </c>
      <c r="Z129" s="345" t="str">
        <f t="shared" si="3"/>
        <v>non</v>
      </c>
    </row>
    <row r="130" spans="4:26" x14ac:dyDescent="0.2">
      <c r="D130" s="345"/>
      <c r="E130" s="345"/>
      <c r="F130" s="338"/>
      <c r="I130" s="345"/>
      <c r="J130" s="338"/>
      <c r="O130" s="345"/>
      <c r="U130" s="345"/>
      <c r="V130" s="345"/>
      <c r="X130" s="557" t="str">
        <f>_xlfn.IFNA(IF(VLOOKUP('collecte-exutoire'!$C31,MATIERES!$A$2:$G$421,3,0)="SASKIT",'collecte-exutoire'!$C31,"non"),"non")</f>
        <v>non</v>
      </c>
      <c r="Y130" s="561">
        <f>_xlfn.IFNA(VLOOKUP(X130,'collecte-exutoire'!$C$4:$O$55,13,0),0)</f>
        <v>0</v>
      </c>
      <c r="Z130" s="345" t="str">
        <f t="shared" si="3"/>
        <v>non</v>
      </c>
    </row>
    <row r="131" spans="4:26" x14ac:dyDescent="0.2">
      <c r="D131" s="345"/>
      <c r="E131" s="345"/>
      <c r="F131" s="338"/>
      <c r="I131" s="345"/>
      <c r="J131" s="338"/>
      <c r="O131" s="345"/>
      <c r="U131" s="345"/>
      <c r="V131" s="345"/>
      <c r="X131" s="557" t="str">
        <f>_xlfn.IFNA(IF(VLOOKUP('collecte-exutoire'!$C32,MATIERES!$A$2:$G$421,3,0)="SASKIT",'collecte-exutoire'!$C32,"non"),"non")</f>
        <v>NSPR-1500-PA</v>
      </c>
      <c r="Y131" s="561">
        <f>_xlfn.IFNA(VLOOKUP(X131,'collecte-exutoire'!$C$4:$O$55,13,0),0)</f>
        <v>1</v>
      </c>
      <c r="Z131" s="345" t="str">
        <f t="shared" si="3"/>
        <v>NSPR-1500-PA</v>
      </c>
    </row>
    <row r="132" spans="4:26" x14ac:dyDescent="0.2">
      <c r="D132" s="345"/>
      <c r="E132" s="345"/>
      <c r="F132" s="338"/>
      <c r="I132" s="345"/>
      <c r="J132" s="338"/>
      <c r="O132" s="345"/>
      <c r="U132" s="345"/>
      <c r="V132" s="345"/>
      <c r="X132" s="557" t="str">
        <f>_xlfn.IFNA(IF(VLOOKUP('collecte-exutoire'!$C33,MATIERES!$A$2:$G$421,3,0)="SASKIT",'collecte-exutoire'!$C33,"non"),"non")</f>
        <v>ECSPR-1200</v>
      </c>
      <c r="Y132" s="561">
        <f>_xlfn.IFNA(VLOOKUP(X132,'collecte-exutoire'!$C$4:$O$55,13,0),0)</f>
        <v>0</v>
      </c>
      <c r="Z132" s="345" t="str">
        <f t="shared" si="3"/>
        <v>non</v>
      </c>
    </row>
    <row r="133" spans="4:26" x14ac:dyDescent="0.2">
      <c r="D133" s="345"/>
      <c r="E133" s="345"/>
      <c r="F133" s="338"/>
      <c r="I133" s="345"/>
      <c r="J133" s="338"/>
      <c r="M133" s="345"/>
      <c r="N133" s="345"/>
      <c r="O133" s="345"/>
      <c r="P133" s="345"/>
      <c r="Q133" s="345"/>
      <c r="U133" s="345"/>
      <c r="V133" s="345"/>
      <c r="X133" s="557" t="str">
        <f>_xlfn.IFNA(IF(VLOOKUP('collecte-exutoire'!$C34,MATIERES!$A$2:$G$421,3,0)="SASKIT",'collecte-exutoire'!$C34,"non"),"non")</f>
        <v>BROYEUR AQUATIRIS</v>
      </c>
      <c r="Y133" s="561">
        <f>_xlfn.IFNA(VLOOKUP(X133,'collecte-exutoire'!$C$4:$O$55,13,0),0)</f>
        <v>0</v>
      </c>
      <c r="Z133" s="345" t="str">
        <f t="shared" ref="Z133:Z196" si="4">IF(Y133=0,"non",X133)</f>
        <v>non</v>
      </c>
    </row>
    <row r="134" spans="4:26" s="345" customFormat="1" x14ac:dyDescent="0.2">
      <c r="F134" s="338"/>
      <c r="J134" s="338"/>
      <c r="K134"/>
      <c r="L134"/>
      <c r="X134" s="557" t="str">
        <f>_xlfn.IFNA(IF(VLOOKUP('collecte-exutoire'!$C35,MATIERES!$A$2:$G$421,3,0)="SASKIT",'collecte-exutoire'!$C35,"non"),"non")</f>
        <v>non</v>
      </c>
      <c r="Y134" s="561">
        <f>_xlfn.IFNA(VLOOKUP(X134,'collecte-exutoire'!$C$4:$O$55,13,0),0)</f>
        <v>0</v>
      </c>
      <c r="Z134" s="345" t="str">
        <f t="shared" si="4"/>
        <v>non</v>
      </c>
    </row>
    <row r="135" spans="4:26" s="345" customFormat="1" x14ac:dyDescent="0.2">
      <c r="F135" s="338"/>
      <c r="J135" s="338"/>
      <c r="K135"/>
      <c r="L135"/>
      <c r="X135" s="557" t="str">
        <f>_xlfn.IFNA(IF(VLOOKUP('collecte-exutoire'!$C36,MATIERES!$A$2:$G$421,3,0)="SASKIT",'collecte-exutoire'!$C36,"non"),"non")</f>
        <v>BASCULEUR ROTATIF INOX NAVE 26 L</v>
      </c>
      <c r="Y135" s="561">
        <f>_xlfn.IFNA(VLOOKUP(X135,'collecte-exutoire'!$C$4:$O$55,13,0),0)</f>
        <v>0</v>
      </c>
      <c r="Z135" s="345" t="str">
        <f t="shared" si="4"/>
        <v>non</v>
      </c>
    </row>
    <row r="136" spans="4:26" s="345" customFormat="1" x14ac:dyDescent="0.2">
      <c r="F136" s="338"/>
      <c r="J136" s="338"/>
      <c r="K136"/>
      <c r="L136"/>
      <c r="X136" s="557" t="str">
        <f>_xlfn.IFNA(IF(VLOOKUP('collecte-exutoire'!$C37,MATIERES!$A$2:$G$421,3,0)="SASKIT",'collecte-exutoire'!$C37,"non"),"non")</f>
        <v>BASCULEUR ROTATIF INOX NAVE 39 L</v>
      </c>
      <c r="Y136" s="561">
        <f>_xlfn.IFNA(VLOOKUP(X136,'collecte-exutoire'!$C$4:$O$55,13,0),0)</f>
        <v>0</v>
      </c>
      <c r="Z136" s="345" t="str">
        <f t="shared" si="4"/>
        <v>non</v>
      </c>
    </row>
    <row r="137" spans="4:26" s="345" customFormat="1" x14ac:dyDescent="0.2">
      <c r="F137" s="338"/>
      <c r="J137" s="338"/>
      <c r="K137"/>
      <c r="L137"/>
      <c r="X137" s="557" t="str">
        <f>_xlfn.IFNA(IF(VLOOKUP('collecte-exutoire'!$C38,MATIERES!$A$2:$G$421,3,0)="SASKIT",'collecte-exutoire'!$C38,"non"),"non")</f>
        <v>BASCULEUR ROTATIF INOX NAVE 80 L</v>
      </c>
      <c r="Y137" s="561">
        <f>_xlfn.IFNA(VLOOKUP(X137,'collecte-exutoire'!$C$4:$O$55,13,0),0)</f>
        <v>0</v>
      </c>
      <c r="Z137" s="345" t="str">
        <f t="shared" si="4"/>
        <v>non</v>
      </c>
    </row>
    <row r="138" spans="4:26" s="345" customFormat="1" x14ac:dyDescent="0.2">
      <c r="F138" s="338"/>
      <c r="J138" s="338"/>
      <c r="K138"/>
      <c r="L138"/>
      <c r="X138" s="557" t="str">
        <f>_xlfn.IFNA(IF(VLOOKUP('collecte-exutoire'!$C39,MATIERES!$A$2:$G$421,3,0)="SASKIT",'collecte-exutoire'!$C39,"non"),"non")</f>
        <v>CHASSE INEAUTECH 100L</v>
      </c>
      <c r="Y138" s="561">
        <f>_xlfn.IFNA(VLOOKUP(X138,'collecte-exutoire'!$C$4:$O$55,13,0),0)</f>
        <v>0</v>
      </c>
      <c r="Z138" s="345" t="str">
        <f t="shared" si="4"/>
        <v>non</v>
      </c>
    </row>
    <row r="139" spans="4:26" s="345" customFormat="1" x14ac:dyDescent="0.2">
      <c r="F139" s="338"/>
      <c r="J139" s="338"/>
      <c r="K139"/>
      <c r="L139"/>
      <c r="X139" s="557" t="str">
        <f>_xlfn.IFNA(IF(VLOOKUP('collecte-exutoire'!$C40,MATIERES!$A$2:$G$421,3,0)="SASKIT",'collecte-exutoire'!$C40,"non"),"non")</f>
        <v>CHASSE AQUATIRIS 30 L</v>
      </c>
      <c r="Y139" s="561">
        <f>_xlfn.IFNA(VLOOKUP(X139,'collecte-exutoire'!$C$4:$O$55,13,0),0)</f>
        <v>0</v>
      </c>
      <c r="Z139" s="345" t="str">
        <f t="shared" si="4"/>
        <v>non</v>
      </c>
    </row>
    <row r="140" spans="4:26" s="345" customFormat="1" x14ac:dyDescent="0.2">
      <c r="F140" s="338"/>
      <c r="J140" s="338"/>
      <c r="K140"/>
      <c r="L140"/>
      <c r="X140" s="557" t="str">
        <f>_xlfn.IFNA(IF(VLOOKUP('collecte-exutoire'!$C41,MATIERES!$A$2:$G$421,3,0)="SASKIT",'collecte-exutoire'!$C41,"non"),"non")</f>
        <v>non</v>
      </c>
      <c r="Y140" s="561">
        <f>_xlfn.IFNA(VLOOKUP(X140,'collecte-exutoire'!$C$4:$O$55,13,0),0)</f>
        <v>0</v>
      </c>
      <c r="Z140" s="345" t="str">
        <f t="shared" si="4"/>
        <v>non</v>
      </c>
    </row>
    <row r="141" spans="4:26" s="345" customFormat="1" x14ac:dyDescent="0.2">
      <c r="F141" s="338"/>
      <c r="J141" s="338"/>
      <c r="K141"/>
      <c r="L141"/>
      <c r="X141" s="557" t="str">
        <f>_xlfn.IFNA(IF(VLOOKUP('collecte-exutoire'!$C42,MATIERES!$A$2:$G$421,3,0)="SASKIT",'collecte-exutoire'!$C42,"non"),"non")</f>
        <v>non</v>
      </c>
      <c r="Y141" s="561">
        <f>_xlfn.IFNA(VLOOKUP(X141,'collecte-exutoire'!$C$4:$O$55,13,0),0)</f>
        <v>0</v>
      </c>
      <c r="Z141" s="345" t="str">
        <f t="shared" si="4"/>
        <v>non</v>
      </c>
    </row>
    <row r="142" spans="4:26" s="345" customFormat="1" x14ac:dyDescent="0.2">
      <c r="F142" s="338"/>
      <c r="J142" s="338"/>
      <c r="K142"/>
      <c r="L142"/>
      <c r="M142"/>
      <c r="N142"/>
      <c r="P142"/>
      <c r="Q142"/>
      <c r="X142" s="557" t="str">
        <f>_xlfn.IFNA(IF(VLOOKUP('collecte-exutoire'!$C43,MATIERES!$A$2:$G$421,3,0)="SASKIT",'collecte-exutoire'!$C43,"non"),"non")</f>
        <v>non</v>
      </c>
      <c r="Y142" s="561">
        <f>_xlfn.IFNA(VLOOKUP(X142,'collecte-exutoire'!$C$4:$O$55,13,0),0)</f>
        <v>0</v>
      </c>
      <c r="Z142" s="345" t="str">
        <f t="shared" si="4"/>
        <v>non</v>
      </c>
    </row>
    <row r="143" spans="4:26" x14ac:dyDescent="0.2">
      <c r="D143" s="345"/>
      <c r="E143" s="345"/>
      <c r="F143" s="338"/>
      <c r="I143" s="345"/>
      <c r="J143" s="338"/>
      <c r="O143" s="345"/>
      <c r="U143" s="345"/>
      <c r="V143" s="345"/>
      <c r="X143" s="557" t="str">
        <f>_xlfn.IFNA(IF(VLOOKUP('collecte-exutoire'!$C44,MATIERES!$A$2:$G$421,3,0)="SASKIT",'collecte-exutoire'!$C44,"non"),"non")</f>
        <v>non</v>
      </c>
      <c r="Y143" s="561">
        <f>_xlfn.IFNA(VLOOKUP(X143,'collecte-exutoire'!$C$4:$O$55,13,0),0)</f>
        <v>0</v>
      </c>
      <c r="Z143" s="345" t="str">
        <f t="shared" si="4"/>
        <v>non</v>
      </c>
    </row>
    <row r="144" spans="4:26" x14ac:dyDescent="0.2">
      <c r="D144" s="345"/>
      <c r="E144" s="345"/>
      <c r="F144" s="338"/>
      <c r="I144" s="345"/>
      <c r="J144" s="338"/>
      <c r="O144" s="345"/>
      <c r="U144" s="345"/>
      <c r="V144" s="345"/>
      <c r="X144" s="557" t="str">
        <f>_xlfn.IFNA(IF(VLOOKUP('collecte-exutoire'!$C41,MATIERES!$A$2:$G$421,3,0)="SASKIT",'collecte-exutoire'!$C41,"non"),"non")</f>
        <v>non</v>
      </c>
      <c r="Y144" s="561">
        <f>_xlfn.IFNA(VLOOKUP(X144,'collecte-exutoire'!$C$4:$O$55,13,0),0)</f>
        <v>0</v>
      </c>
      <c r="Z144" s="345" t="str">
        <f t="shared" si="4"/>
        <v>non</v>
      </c>
    </row>
    <row r="145" spans="4:26" x14ac:dyDescent="0.2">
      <c r="D145" s="345"/>
      <c r="E145" s="345"/>
      <c r="F145" s="338"/>
      <c r="I145" s="345"/>
      <c r="J145" s="338"/>
      <c r="O145" s="345"/>
      <c r="U145" s="345"/>
      <c r="V145" s="345"/>
      <c r="X145" s="557" t="str">
        <f>_xlfn.IFNA(IF(VLOOKUP('collecte-exutoire'!$C42,MATIERES!$A$2:$G$421,3,0)="SASKIT",'collecte-exutoire'!$C42,"non"),"non")</f>
        <v>non</v>
      </c>
      <c r="Y145" s="561">
        <f>_xlfn.IFNA(VLOOKUP(X145,'collecte-exutoire'!$C$4:$O$55,13,0),0)</f>
        <v>0</v>
      </c>
      <c r="Z145" s="345" t="str">
        <f t="shared" si="4"/>
        <v>non</v>
      </c>
    </row>
    <row r="146" spans="4:26" x14ac:dyDescent="0.2">
      <c r="D146" s="345"/>
      <c r="E146" s="345"/>
      <c r="F146" s="338"/>
      <c r="I146" s="345"/>
      <c r="J146" s="338"/>
      <c r="O146" s="345"/>
      <c r="U146" s="345"/>
      <c r="V146" s="345"/>
      <c r="X146" s="557" t="str">
        <f>_xlfn.IFNA(IF(VLOOKUP('collecte-exutoire'!$C43,MATIERES!$A$2:$G$421,3,0)="SASKIT",'collecte-exutoire'!$C43,"non"),"non")</f>
        <v>non</v>
      </c>
      <c r="Y146" s="561">
        <f>_xlfn.IFNA(VLOOKUP(X146,'collecte-exutoire'!$C$4:$O$55,13,0),0)</f>
        <v>0</v>
      </c>
      <c r="Z146" s="345" t="str">
        <f t="shared" si="4"/>
        <v>non</v>
      </c>
    </row>
    <row r="147" spans="4:26" x14ac:dyDescent="0.2">
      <c r="D147" s="345"/>
      <c r="E147" s="345"/>
      <c r="F147" s="338"/>
      <c r="I147" s="345"/>
      <c r="J147" s="338"/>
      <c r="O147" s="345"/>
      <c r="U147" s="345"/>
      <c r="V147" s="345"/>
      <c r="X147" s="557" t="str">
        <f>_xlfn.IFNA(IF(VLOOKUP('collecte-exutoire'!$C44,MATIERES!$A$2:$G$421,3,0)="SASKIT",'collecte-exutoire'!$C44,"non"),"non")</f>
        <v>non</v>
      </c>
      <c r="Y147" s="561">
        <f>_xlfn.IFNA(VLOOKUP(X147,'collecte-exutoire'!$C$4:$O$55,13,0),0)</f>
        <v>0</v>
      </c>
      <c r="Z147" s="345" t="str">
        <f t="shared" si="4"/>
        <v>non</v>
      </c>
    </row>
    <row r="148" spans="4:26" x14ac:dyDescent="0.2">
      <c r="D148" s="345"/>
      <c r="E148" s="345"/>
      <c r="F148" s="338"/>
      <c r="I148" s="345"/>
      <c r="J148" s="338"/>
      <c r="O148" s="345"/>
      <c r="U148" s="345"/>
      <c r="V148" s="345"/>
      <c r="X148" s="557" t="str">
        <f>_xlfn.IFNA(IF(VLOOKUP('collecte-exutoire'!$C45,MATIERES!$A$2:$G$421,3,0)="SASKIT",'collecte-exutoire'!$C45,"non"),"non")</f>
        <v>non</v>
      </c>
      <c r="Y148" s="561">
        <f>_xlfn.IFNA(VLOOKUP(X148,'collecte-exutoire'!$C$4:$O$55,13,0),0)</f>
        <v>0</v>
      </c>
      <c r="Z148" s="345" t="str">
        <f t="shared" si="4"/>
        <v>non</v>
      </c>
    </row>
    <row r="149" spans="4:26" x14ac:dyDescent="0.2">
      <c r="D149" s="345"/>
      <c r="E149" s="345"/>
      <c r="F149" s="338"/>
      <c r="I149" s="345"/>
      <c r="J149" s="338"/>
      <c r="O149" s="345"/>
      <c r="U149" s="345"/>
      <c r="V149" s="345"/>
      <c r="X149" s="557" t="str">
        <f>_xlfn.IFNA(IF(VLOOKUP('collecte-exutoire'!$C46,MATIERES!$A$2:$G$421,3,0)="SASKIT",'collecte-exutoire'!$C46,"non"),"non")</f>
        <v>non</v>
      </c>
      <c r="Y149" s="561">
        <f>_xlfn.IFNA(VLOOKUP(X149,'collecte-exutoire'!$C$4:$O$55,13,0),0)</f>
        <v>0</v>
      </c>
      <c r="Z149" s="345" t="str">
        <f t="shared" si="4"/>
        <v>non</v>
      </c>
    </row>
    <row r="150" spans="4:26" ht="14.85" customHeight="1" x14ac:dyDescent="0.2">
      <c r="D150" s="345"/>
      <c r="E150" s="345"/>
      <c r="F150" s="338"/>
      <c r="I150" s="345"/>
      <c r="J150" s="338"/>
      <c r="O150" s="345"/>
      <c r="U150" s="345"/>
      <c r="V150" s="345"/>
      <c r="X150" s="557" t="str">
        <f>_xlfn.IFNA(IF(VLOOKUP('collecte-exutoire'!$C47,MATIERES!$A$2:$G$421,3,0)="SASKIT",'collecte-exutoire'!$C47,"non"),"non")</f>
        <v>non</v>
      </c>
      <c r="Y150" s="561">
        <f>_xlfn.IFNA(VLOOKUP(X150,'collecte-exutoire'!$C$4:$O$55,13,0),0)</f>
        <v>0</v>
      </c>
      <c r="Z150" s="345" t="str">
        <f t="shared" si="4"/>
        <v>non</v>
      </c>
    </row>
    <row r="151" spans="4:26" x14ac:dyDescent="0.2">
      <c r="D151" s="345"/>
      <c r="E151" s="345"/>
      <c r="F151" s="338"/>
      <c r="I151" s="345"/>
      <c r="J151" s="338"/>
      <c r="O151" s="345"/>
      <c r="U151" s="345"/>
      <c r="V151" s="345"/>
      <c r="X151" s="557" t="str">
        <f>_xlfn.IFNA(IF(VLOOKUP('collecte-exutoire'!$C48,MATIERES!$A$2:$G$421,3,0)="SASKIT",'collecte-exutoire'!$C48,"non"),"non")</f>
        <v>non</v>
      </c>
      <c r="Y151" s="561">
        <f>_xlfn.IFNA(VLOOKUP(X151,'collecte-exutoire'!$C$4:$O$55,13,0),0)</f>
        <v>0</v>
      </c>
      <c r="Z151" s="345" t="str">
        <f t="shared" si="4"/>
        <v>non</v>
      </c>
    </row>
    <row r="152" spans="4:26" x14ac:dyDescent="0.2">
      <c r="D152" s="345"/>
      <c r="E152" s="345"/>
      <c r="F152" s="338"/>
      <c r="I152" s="345"/>
      <c r="J152" s="338"/>
      <c r="O152" s="345"/>
      <c r="U152" s="345"/>
      <c r="V152" s="345"/>
      <c r="X152" s="565" t="s">
        <v>1495</v>
      </c>
      <c r="Y152" s="561">
        <f>_xlfn.IFNA(VLOOKUP(X152,'collecte-exutoire'!$C$4:$O$55,13,0),0)</f>
        <v>0</v>
      </c>
      <c r="Z152" s="345" t="str">
        <f t="shared" si="4"/>
        <v>non</v>
      </c>
    </row>
    <row r="153" spans="4:26" x14ac:dyDescent="0.2">
      <c r="D153" s="345"/>
      <c r="E153" s="345"/>
      <c r="F153" s="338"/>
      <c r="I153" s="345"/>
      <c r="J153" s="338"/>
      <c r="O153" s="345"/>
      <c r="U153" s="345"/>
      <c r="V153" s="345"/>
      <c r="X153" s="557" t="str">
        <f>_xlfn.IFNA(IF(Simulation!$J$20="","non",IF(VLOOKUP('PS1'!$C4,MATIERES!$A$2:$G$448,3,0)="SASKIT",'PS1'!$C4,"non")),"non")</f>
        <v>KIT CAILLEBOTIS FV GEOMEMBRANE 3EH3*2</v>
      </c>
      <c r="Y153" s="561">
        <f>_xlfn.IFNA(VLOOKUP(X153,'PS1'!$C$4:AM$36,VLOOKUP(Simulation!$B$10,'Estimatif Q'!$A$96:$B$113,2,0),0),0)</f>
        <v>0</v>
      </c>
      <c r="Z153" s="345" t="str">
        <f t="shared" si="4"/>
        <v>non</v>
      </c>
    </row>
    <row r="154" spans="4:26" x14ac:dyDescent="0.2">
      <c r="D154" s="345"/>
      <c r="E154" s="345"/>
      <c r="F154" s="338"/>
      <c r="I154" s="345"/>
      <c r="J154" s="338"/>
      <c r="O154" s="345"/>
      <c r="U154" s="345"/>
      <c r="V154" s="345"/>
      <c r="X154" s="557" t="str">
        <f>_xlfn.IFNA(IF(Simulation!$J$20="","non",IF(VLOOKUP('PS1'!$C5,MATIERES!$A$2:$G$448,3,0)="SASKIT",'PS1'!$C5,"non")),"non")</f>
        <v>KIT CAILLEBOTIS FV GEOMEMBRANE 4EH4*2</v>
      </c>
      <c r="Y154" s="561">
        <f>_xlfn.IFNA(VLOOKUP(X154,'PS1'!$C$4:AM$36,VLOOKUP(Simulation!$B$10,'Estimatif Q'!$A$96:$B$113,2,0),0),0)</f>
        <v>0</v>
      </c>
      <c r="Z154" s="345" t="str">
        <f t="shared" si="4"/>
        <v>non</v>
      </c>
    </row>
    <row r="155" spans="4:26" x14ac:dyDescent="0.2">
      <c r="D155" s="345"/>
      <c r="E155" s="345"/>
      <c r="F155" s="338"/>
      <c r="I155" s="345"/>
      <c r="J155" s="338"/>
      <c r="O155" s="345"/>
      <c r="U155" s="345"/>
      <c r="V155" s="345"/>
      <c r="X155" s="557" t="str">
        <f>_xlfn.IFNA(IF(Simulation!$J$20="","non",IF(VLOOKUP('PS1'!$C6,MATIERES!$A$2:$G$448,3,0)="SASKIT",'PS1'!$C6,"non")),"non")</f>
        <v>KIT CAILLEBOTIS FV GEOMEMBRANE 5EH4*2,5</v>
      </c>
      <c r="Y155" s="561">
        <f>_xlfn.IFNA(VLOOKUP(X155,'PS1'!$C$4:AM$36,VLOOKUP(Simulation!$B$10,'Estimatif Q'!$A$96:$B$113,2,0),0),0)</f>
        <v>1</v>
      </c>
      <c r="Z155" s="345" t="str">
        <f t="shared" si="4"/>
        <v>KIT CAILLEBOTIS FV GEOMEMBRANE 5EH4*2,5</v>
      </c>
    </row>
    <row r="156" spans="4:26" x14ac:dyDescent="0.2">
      <c r="D156" s="345"/>
      <c r="E156" s="345"/>
      <c r="F156" s="338"/>
      <c r="I156" s="345"/>
      <c r="J156" s="338"/>
      <c r="O156" s="345"/>
      <c r="U156" s="345"/>
      <c r="V156" s="345"/>
      <c r="X156" s="557" t="str">
        <f>_xlfn.IFNA(IF(Simulation!$J$20="","non",IF(VLOOKUP('PS1'!$C7,MATIERES!$A$2:$G$448,3,0)="SASKIT",'PS1'!$C7,"non")),"non")</f>
        <v>KIT CAILLEBOTIS FV GEOMEMBRANE 6EH4*3</v>
      </c>
      <c r="Y156" s="561">
        <f>_xlfn.IFNA(VLOOKUP(X156,'PS1'!$C$4:AM$36,VLOOKUP(Simulation!$B$10,'Estimatif Q'!$A$96:$B$113,2,0),0),0)</f>
        <v>0</v>
      </c>
      <c r="Z156" s="345" t="str">
        <f t="shared" si="4"/>
        <v>non</v>
      </c>
    </row>
    <row r="157" spans="4:26" x14ac:dyDescent="0.2">
      <c r="D157" s="345"/>
      <c r="E157" s="345"/>
      <c r="F157" s="338"/>
      <c r="I157" s="345"/>
      <c r="J157" s="338"/>
      <c r="O157" s="345"/>
      <c r="U157" s="345"/>
      <c r="V157" s="345"/>
      <c r="X157" s="557" t="str">
        <f>_xlfn.IFNA(IF(Simulation!$J$20="","non",IF(VLOOKUP('PS1'!$C8,MATIERES!$A$2:$G$448,3,0)="SASKIT",'PS1'!$C8,"non")),"non")</f>
        <v>KIT CAILLEBOTIS FV GEOMEMBRANE 6EH6*2</v>
      </c>
      <c r="Y157" s="561">
        <f>_xlfn.IFNA(VLOOKUP(X157,'PS1'!$C$4:AM$36,VLOOKUP(Simulation!$B$10,'Estimatif Q'!$A$96:$B$113,2,0),0),0)</f>
        <v>0</v>
      </c>
      <c r="Z157" s="345" t="str">
        <f t="shared" si="4"/>
        <v>non</v>
      </c>
    </row>
    <row r="158" spans="4:26" x14ac:dyDescent="0.2">
      <c r="D158" s="345"/>
      <c r="E158" s="345"/>
      <c r="F158" s="338"/>
      <c r="I158" s="345"/>
      <c r="J158" s="338"/>
      <c r="O158" s="345"/>
      <c r="U158" s="345"/>
      <c r="V158" s="345"/>
      <c r="X158" s="557" t="str">
        <f>_xlfn.IFNA(IF(Simulation!$J$20="","non",IF(VLOOKUP('PS1'!$C9,MATIERES!$A$2:$G$448,3,0)="SASKIT",'PS1'!$C9,"non")),"non")</f>
        <v>KIT CAILLEBOTIS FV GEOMEMBRANE 7EH4*3,5</v>
      </c>
      <c r="Y158" s="561">
        <f>_xlfn.IFNA(VLOOKUP(X158,'PS1'!$C$4:AM$36,VLOOKUP(Simulation!$B$10,'Estimatif Q'!$A$96:$B$113,2,0),0),0)</f>
        <v>0</v>
      </c>
      <c r="Z158" s="345" t="str">
        <f t="shared" si="4"/>
        <v>non</v>
      </c>
    </row>
    <row r="159" spans="4:26" x14ac:dyDescent="0.2">
      <c r="D159" s="345"/>
      <c r="E159" s="345"/>
      <c r="F159" s="338"/>
      <c r="I159" s="345"/>
      <c r="J159" s="338"/>
      <c r="O159" s="345"/>
      <c r="U159" s="345"/>
      <c r="V159" s="345"/>
      <c r="X159" s="557" t="str">
        <f>_xlfn.IFNA(IF(Simulation!$J$20="","non",IF(VLOOKUP('PS1'!$C10,MATIERES!$A$2:$G$448,3,0)="SASKIT",'PS1'!$C10,"non")),"non")</f>
        <v>KIT CAILLEBOTIS FV GEOMEMBRANE 8EH4*4</v>
      </c>
      <c r="Y159" s="561">
        <f>_xlfn.IFNA(VLOOKUP(X159,'PS1'!$C$4:AM$36,VLOOKUP(Simulation!$B$10,'Estimatif Q'!$A$96:$B$113,2,0),0),0)</f>
        <v>0</v>
      </c>
      <c r="Z159" s="345" t="str">
        <f t="shared" si="4"/>
        <v>non</v>
      </c>
    </row>
    <row r="160" spans="4:26" x14ac:dyDescent="0.2">
      <c r="D160" s="345"/>
      <c r="E160" s="345"/>
      <c r="F160" s="338"/>
      <c r="I160" s="345"/>
      <c r="J160" s="338"/>
      <c r="O160" s="345"/>
      <c r="U160" s="345"/>
      <c r="V160" s="345"/>
      <c r="X160" s="557" t="str">
        <f>_xlfn.IFNA(IF(Simulation!$J$20="","non",IF(VLOOKUP('PS1'!$C11,MATIERES!$A$2:$G$448,3,0)="SASKIT",'PS1'!$C11,"non")),"non")</f>
        <v>KIT CAILLEBOTIS FV GEOMEMBRANE 9EH4*4,5</v>
      </c>
      <c r="Y160" s="561">
        <f>_xlfn.IFNA(VLOOKUP(X160,'PS1'!$C$4:AM$36,VLOOKUP(Simulation!$B$10,'Estimatif Q'!$A$96:$B$113,2,0),0),0)</f>
        <v>0</v>
      </c>
      <c r="Z160" s="345" t="str">
        <f t="shared" si="4"/>
        <v>non</v>
      </c>
    </row>
    <row r="161" spans="4:26" x14ac:dyDescent="0.2">
      <c r="D161" s="345"/>
      <c r="E161" s="345"/>
      <c r="F161" s="338"/>
      <c r="I161" s="345"/>
      <c r="J161" s="338"/>
      <c r="O161" s="345"/>
      <c r="U161" s="345"/>
      <c r="V161" s="345"/>
      <c r="X161" s="557" t="str">
        <f>_xlfn.IFNA(IF(Simulation!$J$20="","non",IF(VLOOKUP('PS1'!$C12,MATIERES!$A$2:$G$448,3,0)="SASKIT",'PS1'!$C12,"non")),"non")</f>
        <v>KIT CAILLEBOTIS FV GEOMEMBRANE 10EH4*5</v>
      </c>
      <c r="Y161" s="561">
        <f>_xlfn.IFNA(VLOOKUP(X161,'PS1'!$C$4:AM$36,VLOOKUP(Simulation!$B$10,'Estimatif Q'!$A$96:$B$113,2,0),0),0)</f>
        <v>0</v>
      </c>
      <c r="Z161" s="345" t="str">
        <f t="shared" si="4"/>
        <v>non</v>
      </c>
    </row>
    <row r="162" spans="4:26" x14ac:dyDescent="0.2">
      <c r="D162" s="345"/>
      <c r="E162" s="345"/>
      <c r="F162" s="338"/>
      <c r="I162" s="345"/>
      <c r="J162" s="338"/>
      <c r="O162" s="345"/>
      <c r="U162" s="345"/>
      <c r="V162" s="345"/>
      <c r="X162" s="557" t="str">
        <f>_xlfn.IFNA(IF(Simulation!$J$20="","non",IF(VLOOKUP('PS1'!$C13,MATIERES!$A$2:$G$448,3,0)="SASKIT",'PS1'!$C13,"non")),"non")</f>
        <v>KIT CAILLEBOTIS FV GEOMEMBRANE 12EH4*6</v>
      </c>
      <c r="Y162" s="561">
        <f>_xlfn.IFNA(VLOOKUP(X162,'PS1'!$C$4:AM$36,VLOOKUP(Simulation!$B$10,'Estimatif Q'!$A$96:$B$113,2,0),0),0)</f>
        <v>0</v>
      </c>
      <c r="Z162" s="345" t="str">
        <f t="shared" si="4"/>
        <v>non</v>
      </c>
    </row>
    <row r="163" spans="4:26" x14ac:dyDescent="0.2">
      <c r="D163" s="345"/>
      <c r="E163" s="345"/>
      <c r="F163" s="338"/>
      <c r="I163" s="345"/>
      <c r="J163" s="338"/>
      <c r="O163" s="345"/>
      <c r="U163" s="345"/>
      <c r="V163" s="345"/>
      <c r="X163" s="557" t="str">
        <f>_xlfn.IFNA(IF(Simulation!$J$20="","non",IF(VLOOKUP('PS1'!$C14,MATIERES!$A$2:$G$448,3,0)="SASKIT",'PS1'!$C14,"non")),"non")</f>
        <v>KIT CAILLEBOTIS FV GEOMEMBRANE 14EH4*7</v>
      </c>
      <c r="Y163" s="561">
        <f>_xlfn.IFNA(VLOOKUP(X163,'PS1'!$C$4:AM$36,VLOOKUP(Simulation!$B$10,'Estimatif Q'!$A$96:$B$113,2,0),0),0)</f>
        <v>0</v>
      </c>
      <c r="Z163" s="345" t="str">
        <f t="shared" si="4"/>
        <v>non</v>
      </c>
    </row>
    <row r="164" spans="4:26" x14ac:dyDescent="0.2">
      <c r="D164" s="345"/>
      <c r="E164" s="345"/>
      <c r="F164" s="338"/>
      <c r="I164" s="345"/>
      <c r="J164" s="338"/>
      <c r="O164" s="345"/>
      <c r="U164" s="345"/>
      <c r="V164" s="345"/>
      <c r="X164" s="557" t="str">
        <f>_xlfn.IFNA(IF(Simulation!$J$20="","non",IF(VLOOKUP('PS1'!$C15,MATIERES!$A$2:$G$448,3,0)="SASKIT",'PS1'!$C15,"non")),"non")</f>
        <v>KIT CAILLEBOTIS FV GEOMEMBRANE 16EH4*8</v>
      </c>
      <c r="Y164" s="561">
        <f>_xlfn.IFNA(VLOOKUP(X164,'PS1'!$C$4:AM$36,VLOOKUP(Simulation!$B$10,'Estimatif Q'!$A$96:$B$113,2,0),0),0)</f>
        <v>0</v>
      </c>
      <c r="Z164" s="345" t="str">
        <f t="shared" si="4"/>
        <v>non</v>
      </c>
    </row>
    <row r="165" spans="4:26" x14ac:dyDescent="0.2">
      <c r="D165" s="345"/>
      <c r="E165" s="345"/>
      <c r="F165" s="338"/>
      <c r="I165" s="345"/>
      <c r="J165" s="338"/>
      <c r="O165" s="345"/>
      <c r="U165" s="345"/>
      <c r="V165" s="345"/>
      <c r="X165" s="557" t="str">
        <f>_xlfn.IFNA(IF(Simulation!$J$20="","non",IF(VLOOKUP('PS1'!$C16,MATIERES!$A$2:$G$448,3,0)="SASKIT",'PS1'!$C16,"non")),"non")</f>
        <v>KIT CAILLEBOTIS FV GEOMEMBRANE 18EH4,5*8</v>
      </c>
      <c r="Y165" s="561">
        <f>_xlfn.IFNA(VLOOKUP(X165,'PS1'!$C$4:AM$36,VLOOKUP(Simulation!$B$10,'Estimatif Q'!$A$96:$B$113,2,0),0),0)</f>
        <v>0</v>
      </c>
      <c r="Z165" s="345" t="str">
        <f t="shared" si="4"/>
        <v>non</v>
      </c>
    </row>
    <row r="166" spans="4:26" x14ac:dyDescent="0.2">
      <c r="D166" s="345"/>
      <c r="E166" s="345"/>
      <c r="F166" s="338"/>
      <c r="I166" s="345"/>
      <c r="J166" s="338"/>
      <c r="O166" s="345"/>
      <c r="U166" s="345"/>
      <c r="V166" s="345"/>
      <c r="X166" s="557" t="str">
        <f>_xlfn.IFNA(IF(Simulation!$J$20="","non",IF(VLOOKUP('PS1'!$C17,MATIERES!$A$2:$G$448,3,0)="SASKIT",'PS1'!$C17,"non")),"non")</f>
        <v>KIT CAILLEBOTIS FV GEOMEMBRANE 20EH8*5</v>
      </c>
      <c r="Y166" s="561">
        <f>_xlfn.IFNA(VLOOKUP(X166,'PS1'!$C$4:AM$36,VLOOKUP(Simulation!$B$10,'Estimatif Q'!$A$96:$B$113,2,0),0),0)</f>
        <v>0</v>
      </c>
      <c r="Z166" s="345" t="str">
        <f t="shared" si="4"/>
        <v>non</v>
      </c>
    </row>
    <row r="167" spans="4:26" x14ac:dyDescent="0.2">
      <c r="D167" s="345"/>
      <c r="E167" s="345"/>
      <c r="F167" s="338"/>
      <c r="I167" s="345"/>
      <c r="J167" s="338"/>
      <c r="O167" s="345"/>
      <c r="U167" s="345"/>
      <c r="V167" s="345"/>
      <c r="X167" s="557"/>
      <c r="Y167" s="561"/>
      <c r="Z167" s="345" t="str">
        <f t="shared" si="4"/>
        <v>non</v>
      </c>
    </row>
    <row r="168" spans="4:26" x14ac:dyDescent="0.2">
      <c r="D168" s="345"/>
      <c r="E168" s="345"/>
      <c r="F168" s="338"/>
      <c r="I168" s="345"/>
      <c r="J168" s="338"/>
      <c r="O168" s="345"/>
      <c r="U168" s="345"/>
      <c r="V168" s="345"/>
      <c r="X168" s="557"/>
      <c r="Y168" s="561"/>
      <c r="Z168" s="345" t="str">
        <f t="shared" si="4"/>
        <v>non</v>
      </c>
    </row>
    <row r="169" spans="4:26" x14ac:dyDescent="0.2">
      <c r="D169" s="345"/>
      <c r="E169" s="345"/>
      <c r="F169" s="338"/>
      <c r="I169" s="345"/>
      <c r="J169" s="338"/>
      <c r="O169" s="345"/>
      <c r="U169" s="345"/>
      <c r="V169" s="345"/>
      <c r="X169" s="557"/>
      <c r="Y169" s="561"/>
      <c r="Z169" s="345" t="str">
        <f t="shared" si="4"/>
        <v>non</v>
      </c>
    </row>
    <row r="170" spans="4:26" x14ac:dyDescent="0.2">
      <c r="D170" s="345"/>
      <c r="E170" s="345"/>
      <c r="F170" s="338"/>
      <c r="I170" s="345"/>
      <c r="J170" s="338"/>
      <c r="O170" s="345"/>
      <c r="U170" s="345"/>
      <c r="V170" s="345"/>
      <c r="X170" s="565" t="s">
        <v>1495</v>
      </c>
      <c r="Y170" s="561">
        <f>_xlfn.IFNA(VLOOKUP(X170,'collecte-exutoire'!$C$4:$O$55,13,0),0)</f>
        <v>0</v>
      </c>
      <c r="Z170" s="345" t="str">
        <f t="shared" si="4"/>
        <v>non</v>
      </c>
    </row>
    <row r="171" spans="4:26" x14ac:dyDescent="0.2">
      <c r="D171" s="345"/>
      <c r="E171" s="345"/>
      <c r="F171" s="338"/>
      <c r="I171" s="345"/>
      <c r="J171" s="338"/>
      <c r="O171" s="345"/>
      <c r="U171" s="345"/>
      <c r="V171" s="345"/>
      <c r="X171" s="557" t="str">
        <f>_xlfn.IFNA(IF(Simulation!$J$20="","non",IF(VLOOKUP('PS1'!$C20,MATIERES!$A$2:$G$448,3,0)="SASKIT",'PS1'!$C20,"non")),"non")</f>
        <v>non</v>
      </c>
      <c r="Y171" s="561">
        <f>_xlfn.IFNA(VLOOKUP(X171,'PS1'!$C$4:AM$36,VLOOKUP(Simulation!$B$10,'Estimatif Q'!$A$96:$B$113,2,0),0),0)</f>
        <v>0</v>
      </c>
      <c r="Z171" s="345" t="str">
        <f t="shared" si="4"/>
        <v>non</v>
      </c>
    </row>
    <row r="172" spans="4:26" x14ac:dyDescent="0.2">
      <c r="Z172" s="345" t="str">
        <f t="shared" si="4"/>
        <v>non</v>
      </c>
    </row>
    <row r="173" spans="4:26" x14ac:dyDescent="0.2">
      <c r="Z173" s="345" t="str">
        <f t="shared" si="4"/>
        <v>non</v>
      </c>
    </row>
    <row r="174" spans="4:26" x14ac:dyDescent="0.2">
      <c r="Z174" s="345" t="str">
        <f t="shared" si="4"/>
        <v>non</v>
      </c>
    </row>
    <row r="175" spans="4:26" x14ac:dyDescent="0.2">
      <c r="Z175" s="345" t="str">
        <f t="shared" si="4"/>
        <v>non</v>
      </c>
    </row>
    <row r="176" spans="4:26" x14ac:dyDescent="0.2">
      <c r="Z176" s="345" t="str">
        <f t="shared" si="4"/>
        <v>non</v>
      </c>
    </row>
    <row r="177" spans="26:26" x14ac:dyDescent="0.2">
      <c r="Z177" s="345" t="str">
        <f t="shared" si="4"/>
        <v>non</v>
      </c>
    </row>
    <row r="178" spans="26:26" x14ac:dyDescent="0.2">
      <c r="Z178" s="345" t="str">
        <f t="shared" si="4"/>
        <v>non</v>
      </c>
    </row>
    <row r="179" spans="26:26" x14ac:dyDescent="0.2">
      <c r="Z179" s="345" t="str">
        <f t="shared" si="4"/>
        <v>non</v>
      </c>
    </row>
    <row r="180" spans="26:26" x14ac:dyDescent="0.2">
      <c r="Z180" s="345" t="str">
        <f t="shared" si="4"/>
        <v>non</v>
      </c>
    </row>
    <row r="181" spans="26:26" x14ac:dyDescent="0.2">
      <c r="Z181" s="345" t="str">
        <f t="shared" si="4"/>
        <v>non</v>
      </c>
    </row>
    <row r="182" spans="26:26" x14ac:dyDescent="0.2">
      <c r="Z182" s="345" t="str">
        <f t="shared" si="4"/>
        <v>non</v>
      </c>
    </row>
    <row r="183" spans="26:26" x14ac:dyDescent="0.2">
      <c r="Z183" s="345" t="str">
        <f t="shared" si="4"/>
        <v>non</v>
      </c>
    </row>
    <row r="184" spans="26:26" x14ac:dyDescent="0.2">
      <c r="Z184" s="345" t="str">
        <f t="shared" si="4"/>
        <v>non</v>
      </c>
    </row>
    <row r="185" spans="26:26" x14ac:dyDescent="0.2">
      <c r="Z185" s="345" t="str">
        <f t="shared" si="4"/>
        <v>non</v>
      </c>
    </row>
    <row r="186" spans="26:26" x14ac:dyDescent="0.2">
      <c r="Z186" s="345" t="str">
        <f t="shared" si="4"/>
        <v>non</v>
      </c>
    </row>
    <row r="187" spans="26:26" x14ac:dyDescent="0.2">
      <c r="Z187" s="345" t="str">
        <f t="shared" si="4"/>
        <v>non</v>
      </c>
    </row>
    <row r="188" spans="26:26" x14ac:dyDescent="0.2">
      <c r="Z188" s="345" t="str">
        <f t="shared" si="4"/>
        <v>non</v>
      </c>
    </row>
    <row r="189" spans="26:26" x14ac:dyDescent="0.2">
      <c r="Z189" s="345" t="str">
        <f t="shared" si="4"/>
        <v>non</v>
      </c>
    </row>
    <row r="190" spans="26:26" x14ac:dyDescent="0.2">
      <c r="Z190" s="345" t="str">
        <f t="shared" si="4"/>
        <v>non</v>
      </c>
    </row>
    <row r="191" spans="26:26" x14ac:dyDescent="0.2">
      <c r="Z191" s="345" t="str">
        <f t="shared" si="4"/>
        <v>non</v>
      </c>
    </row>
    <row r="192" spans="26:26" x14ac:dyDescent="0.2">
      <c r="Z192" s="345" t="str">
        <f t="shared" si="4"/>
        <v>non</v>
      </c>
    </row>
    <row r="193" spans="26:26" x14ac:dyDescent="0.2">
      <c r="Z193" s="345" t="str">
        <f t="shared" si="4"/>
        <v>non</v>
      </c>
    </row>
    <row r="194" spans="26:26" x14ac:dyDescent="0.2">
      <c r="Z194" s="345" t="str">
        <f t="shared" si="4"/>
        <v>non</v>
      </c>
    </row>
    <row r="195" spans="26:26" x14ac:dyDescent="0.2">
      <c r="Z195" s="345" t="str">
        <f t="shared" si="4"/>
        <v>non</v>
      </c>
    </row>
    <row r="196" spans="26:26" x14ac:dyDescent="0.2">
      <c r="Z196" s="345" t="str">
        <f t="shared" si="4"/>
        <v>non</v>
      </c>
    </row>
    <row r="197" spans="26:26" x14ac:dyDescent="0.2">
      <c r="Z197" s="345" t="str">
        <f t="shared" ref="Z197:Z260" si="5">IF(Y197=0,"non",X197)</f>
        <v>non</v>
      </c>
    </row>
    <row r="198" spans="26:26" x14ac:dyDescent="0.2">
      <c r="Z198" s="345" t="str">
        <f t="shared" si="5"/>
        <v>non</v>
      </c>
    </row>
    <row r="199" spans="26:26" x14ac:dyDescent="0.2">
      <c r="Z199" s="345" t="str">
        <f t="shared" si="5"/>
        <v>non</v>
      </c>
    </row>
    <row r="200" spans="26:26" x14ac:dyDescent="0.2">
      <c r="Z200" s="345" t="str">
        <f t="shared" si="5"/>
        <v>non</v>
      </c>
    </row>
    <row r="201" spans="26:26" x14ac:dyDescent="0.2">
      <c r="Z201" s="345" t="str">
        <f t="shared" si="5"/>
        <v>non</v>
      </c>
    </row>
    <row r="202" spans="26:26" x14ac:dyDescent="0.2">
      <c r="Z202" s="345" t="str">
        <f t="shared" si="5"/>
        <v>non</v>
      </c>
    </row>
    <row r="203" spans="26:26" x14ac:dyDescent="0.2">
      <c r="Z203" s="345" t="str">
        <f t="shared" si="5"/>
        <v>non</v>
      </c>
    </row>
    <row r="204" spans="26:26" x14ac:dyDescent="0.2">
      <c r="Z204" s="345" t="str">
        <f t="shared" si="5"/>
        <v>non</v>
      </c>
    </row>
    <row r="205" spans="26:26" x14ac:dyDescent="0.2">
      <c r="Z205" s="345" t="str">
        <f t="shared" si="5"/>
        <v>non</v>
      </c>
    </row>
    <row r="206" spans="26:26" x14ac:dyDescent="0.2">
      <c r="Z206" s="345" t="str">
        <f t="shared" si="5"/>
        <v>non</v>
      </c>
    </row>
    <row r="207" spans="26:26" x14ac:dyDescent="0.2">
      <c r="Z207" s="345" t="str">
        <f t="shared" si="5"/>
        <v>non</v>
      </c>
    </row>
    <row r="208" spans="26:26" x14ac:dyDescent="0.2">
      <c r="Z208" s="345" t="str">
        <f t="shared" si="5"/>
        <v>non</v>
      </c>
    </row>
    <row r="209" spans="26:26" x14ac:dyDescent="0.2">
      <c r="Z209" s="345" t="str">
        <f t="shared" si="5"/>
        <v>non</v>
      </c>
    </row>
    <row r="210" spans="26:26" x14ac:dyDescent="0.2">
      <c r="Z210" s="345" t="str">
        <f t="shared" si="5"/>
        <v>non</v>
      </c>
    </row>
    <row r="211" spans="26:26" x14ac:dyDescent="0.2">
      <c r="Z211" s="345" t="str">
        <f t="shared" si="5"/>
        <v>non</v>
      </c>
    </row>
    <row r="212" spans="26:26" x14ac:dyDescent="0.2">
      <c r="Z212" s="345" t="str">
        <f t="shared" si="5"/>
        <v>non</v>
      </c>
    </row>
    <row r="213" spans="26:26" x14ac:dyDescent="0.2">
      <c r="Z213" s="345" t="str">
        <f t="shared" si="5"/>
        <v>non</v>
      </c>
    </row>
    <row r="214" spans="26:26" x14ac:dyDescent="0.2">
      <c r="Z214" s="345" t="str">
        <f t="shared" si="5"/>
        <v>non</v>
      </c>
    </row>
    <row r="215" spans="26:26" x14ac:dyDescent="0.2">
      <c r="Z215" s="345" t="str">
        <f t="shared" si="5"/>
        <v>non</v>
      </c>
    </row>
    <row r="216" spans="26:26" x14ac:dyDescent="0.2">
      <c r="Z216" s="345" t="str">
        <f t="shared" si="5"/>
        <v>non</v>
      </c>
    </row>
    <row r="217" spans="26:26" x14ac:dyDescent="0.2">
      <c r="Z217" s="345" t="str">
        <f t="shared" si="5"/>
        <v>non</v>
      </c>
    </row>
    <row r="218" spans="26:26" x14ac:dyDescent="0.2">
      <c r="Z218" s="345" t="str">
        <f t="shared" si="5"/>
        <v>non</v>
      </c>
    </row>
    <row r="219" spans="26:26" x14ac:dyDescent="0.2">
      <c r="Z219" s="345" t="str">
        <f t="shared" si="5"/>
        <v>non</v>
      </c>
    </row>
    <row r="220" spans="26:26" x14ac:dyDescent="0.2">
      <c r="Z220" s="345" t="str">
        <f t="shared" si="5"/>
        <v>non</v>
      </c>
    </row>
    <row r="221" spans="26:26" x14ac:dyDescent="0.2">
      <c r="Z221" s="345" t="str">
        <f t="shared" si="5"/>
        <v>non</v>
      </c>
    </row>
    <row r="222" spans="26:26" x14ac:dyDescent="0.2">
      <c r="Z222" s="345" t="str">
        <f t="shared" si="5"/>
        <v>non</v>
      </c>
    </row>
    <row r="223" spans="26:26" x14ac:dyDescent="0.2">
      <c r="Z223" s="345" t="str">
        <f t="shared" si="5"/>
        <v>non</v>
      </c>
    </row>
    <row r="224" spans="26:26" x14ac:dyDescent="0.2">
      <c r="Z224" s="345" t="str">
        <f t="shared" si="5"/>
        <v>non</v>
      </c>
    </row>
    <row r="225" spans="26:26" x14ac:dyDescent="0.2">
      <c r="Z225" s="345" t="str">
        <f t="shared" si="5"/>
        <v>non</v>
      </c>
    </row>
    <row r="226" spans="26:26" x14ac:dyDescent="0.2">
      <c r="Z226" s="345" t="str">
        <f t="shared" si="5"/>
        <v>non</v>
      </c>
    </row>
    <row r="227" spans="26:26" x14ac:dyDescent="0.2">
      <c r="Z227" s="345" t="str">
        <f t="shared" si="5"/>
        <v>non</v>
      </c>
    </row>
    <row r="228" spans="26:26" x14ac:dyDescent="0.2">
      <c r="Z228" s="345" t="str">
        <f t="shared" si="5"/>
        <v>non</v>
      </c>
    </row>
    <row r="229" spans="26:26" x14ac:dyDescent="0.2">
      <c r="Z229" s="345" t="str">
        <f t="shared" si="5"/>
        <v>non</v>
      </c>
    </row>
    <row r="230" spans="26:26" x14ac:dyDescent="0.2">
      <c r="Z230" s="345" t="str">
        <f t="shared" si="5"/>
        <v>non</v>
      </c>
    </row>
    <row r="231" spans="26:26" x14ac:dyDescent="0.2">
      <c r="Z231" s="345" t="str">
        <f t="shared" si="5"/>
        <v>non</v>
      </c>
    </row>
    <row r="232" spans="26:26" x14ac:dyDescent="0.2">
      <c r="Z232" s="345" t="str">
        <f t="shared" si="5"/>
        <v>non</v>
      </c>
    </row>
    <row r="233" spans="26:26" x14ac:dyDescent="0.2">
      <c r="Z233" s="345" t="str">
        <f t="shared" si="5"/>
        <v>non</v>
      </c>
    </row>
    <row r="234" spans="26:26" x14ac:dyDescent="0.2">
      <c r="Z234" s="345" t="str">
        <f t="shared" si="5"/>
        <v>non</v>
      </c>
    </row>
    <row r="235" spans="26:26" x14ac:dyDescent="0.2">
      <c r="Z235" s="345" t="str">
        <f t="shared" si="5"/>
        <v>non</v>
      </c>
    </row>
    <row r="236" spans="26:26" x14ac:dyDescent="0.2">
      <c r="Z236" s="345" t="str">
        <f t="shared" si="5"/>
        <v>non</v>
      </c>
    </row>
    <row r="237" spans="26:26" x14ac:dyDescent="0.2">
      <c r="Z237" s="345" t="str">
        <f t="shared" si="5"/>
        <v>non</v>
      </c>
    </row>
    <row r="238" spans="26:26" x14ac:dyDescent="0.2">
      <c r="Z238" s="345" t="str">
        <f t="shared" si="5"/>
        <v>non</v>
      </c>
    </row>
    <row r="239" spans="26:26" x14ac:dyDescent="0.2">
      <c r="Z239" s="345" t="str">
        <f t="shared" si="5"/>
        <v>non</v>
      </c>
    </row>
    <row r="240" spans="26:26" x14ac:dyDescent="0.2">
      <c r="Z240" s="345" t="str">
        <f t="shared" si="5"/>
        <v>non</v>
      </c>
    </row>
    <row r="241" spans="26:26" x14ac:dyDescent="0.2">
      <c r="Z241" s="345" t="str">
        <f t="shared" si="5"/>
        <v>non</v>
      </c>
    </row>
    <row r="242" spans="26:26" x14ac:dyDescent="0.2">
      <c r="Z242" s="345" t="str">
        <f t="shared" si="5"/>
        <v>non</v>
      </c>
    </row>
    <row r="243" spans="26:26" x14ac:dyDescent="0.2">
      <c r="Z243" s="345" t="str">
        <f t="shared" si="5"/>
        <v>non</v>
      </c>
    </row>
    <row r="244" spans="26:26" x14ac:dyDescent="0.2">
      <c r="Z244" s="345" t="str">
        <f t="shared" si="5"/>
        <v>non</v>
      </c>
    </row>
    <row r="245" spans="26:26" x14ac:dyDescent="0.2">
      <c r="Z245" s="345" t="str">
        <f t="shared" si="5"/>
        <v>non</v>
      </c>
    </row>
    <row r="246" spans="26:26" x14ac:dyDescent="0.2">
      <c r="Z246" s="345" t="str">
        <f t="shared" si="5"/>
        <v>non</v>
      </c>
    </row>
    <row r="247" spans="26:26" x14ac:dyDescent="0.2">
      <c r="Z247" s="345" t="str">
        <f t="shared" si="5"/>
        <v>non</v>
      </c>
    </row>
    <row r="248" spans="26:26" x14ac:dyDescent="0.2">
      <c r="Z248" s="345" t="str">
        <f t="shared" si="5"/>
        <v>non</v>
      </c>
    </row>
    <row r="249" spans="26:26" x14ac:dyDescent="0.2">
      <c r="Z249" s="345" t="str">
        <f t="shared" si="5"/>
        <v>non</v>
      </c>
    </row>
    <row r="250" spans="26:26" x14ac:dyDescent="0.2">
      <c r="Z250" s="345" t="str">
        <f t="shared" si="5"/>
        <v>non</v>
      </c>
    </row>
    <row r="251" spans="26:26" x14ac:dyDescent="0.2">
      <c r="Z251" s="345" t="str">
        <f t="shared" si="5"/>
        <v>non</v>
      </c>
    </row>
    <row r="252" spans="26:26" x14ac:dyDescent="0.2">
      <c r="Z252" s="345" t="str">
        <f t="shared" si="5"/>
        <v>non</v>
      </c>
    </row>
    <row r="253" spans="26:26" x14ac:dyDescent="0.2">
      <c r="Z253" s="345" t="str">
        <f t="shared" si="5"/>
        <v>non</v>
      </c>
    </row>
    <row r="254" spans="26:26" x14ac:dyDescent="0.2">
      <c r="Z254" s="345" t="str">
        <f t="shared" si="5"/>
        <v>non</v>
      </c>
    </row>
    <row r="255" spans="26:26" x14ac:dyDescent="0.2">
      <c r="Z255" s="345" t="str">
        <f t="shared" si="5"/>
        <v>non</v>
      </c>
    </row>
    <row r="256" spans="26:26" x14ac:dyDescent="0.2">
      <c r="Z256" s="345" t="str">
        <f t="shared" si="5"/>
        <v>non</v>
      </c>
    </row>
    <row r="257" spans="26:26" x14ac:dyDescent="0.2">
      <c r="Z257" s="345" t="str">
        <f t="shared" si="5"/>
        <v>non</v>
      </c>
    </row>
    <row r="258" spans="26:26" x14ac:dyDescent="0.2">
      <c r="Z258" s="345" t="str">
        <f t="shared" si="5"/>
        <v>non</v>
      </c>
    </row>
    <row r="259" spans="26:26" x14ac:dyDescent="0.2">
      <c r="Z259" s="345" t="str">
        <f t="shared" si="5"/>
        <v>non</v>
      </c>
    </row>
    <row r="260" spans="26:26" x14ac:dyDescent="0.2">
      <c r="Z260" s="345" t="str">
        <f t="shared" si="5"/>
        <v>non</v>
      </c>
    </row>
    <row r="261" spans="26:26" x14ac:dyDescent="0.2">
      <c r="Z261" s="345" t="str">
        <f t="shared" ref="Z261:Z283" si="6">IF(Y261=0,"non",X261)</f>
        <v>non</v>
      </c>
    </row>
    <row r="262" spans="26:26" x14ac:dyDescent="0.2">
      <c r="Z262" s="345" t="str">
        <f t="shared" si="6"/>
        <v>non</v>
      </c>
    </row>
    <row r="263" spans="26:26" x14ac:dyDescent="0.2">
      <c r="Z263" s="345" t="str">
        <f t="shared" si="6"/>
        <v>non</v>
      </c>
    </row>
    <row r="264" spans="26:26" x14ac:dyDescent="0.2">
      <c r="Z264" s="345" t="str">
        <f t="shared" si="6"/>
        <v>non</v>
      </c>
    </row>
    <row r="265" spans="26:26" x14ac:dyDescent="0.2">
      <c r="Z265" s="345" t="str">
        <f t="shared" si="6"/>
        <v>non</v>
      </c>
    </row>
    <row r="266" spans="26:26" x14ac:dyDescent="0.2">
      <c r="Z266" s="345" t="str">
        <f t="shared" si="6"/>
        <v>non</v>
      </c>
    </row>
    <row r="267" spans="26:26" x14ac:dyDescent="0.2">
      <c r="Z267" s="345" t="str">
        <f t="shared" si="6"/>
        <v>non</v>
      </c>
    </row>
    <row r="268" spans="26:26" x14ac:dyDescent="0.2">
      <c r="Z268" s="345" t="str">
        <f t="shared" si="6"/>
        <v>non</v>
      </c>
    </row>
    <row r="269" spans="26:26" x14ac:dyDescent="0.2">
      <c r="Z269" s="345" t="str">
        <f t="shared" si="6"/>
        <v>non</v>
      </c>
    </row>
    <row r="270" spans="26:26" x14ac:dyDescent="0.2">
      <c r="Z270" s="345" t="str">
        <f t="shared" si="6"/>
        <v>non</v>
      </c>
    </row>
    <row r="271" spans="26:26" x14ac:dyDescent="0.2">
      <c r="Z271" s="345" t="str">
        <f t="shared" si="6"/>
        <v>non</v>
      </c>
    </row>
    <row r="272" spans="26:26" x14ac:dyDescent="0.2">
      <c r="Z272" s="345" t="str">
        <f t="shared" si="6"/>
        <v>non</v>
      </c>
    </row>
    <row r="273" spans="26:26" x14ac:dyDescent="0.2">
      <c r="Z273" s="345" t="str">
        <f t="shared" si="6"/>
        <v>non</v>
      </c>
    </row>
    <row r="274" spans="26:26" x14ac:dyDescent="0.2">
      <c r="Z274" s="345" t="str">
        <f t="shared" si="6"/>
        <v>non</v>
      </c>
    </row>
    <row r="275" spans="26:26" x14ac:dyDescent="0.2">
      <c r="Z275" s="345" t="str">
        <f t="shared" si="6"/>
        <v>non</v>
      </c>
    </row>
    <row r="276" spans="26:26" x14ac:dyDescent="0.2">
      <c r="Z276" s="345" t="str">
        <f t="shared" si="6"/>
        <v>non</v>
      </c>
    </row>
    <row r="277" spans="26:26" x14ac:dyDescent="0.2">
      <c r="Z277" s="345" t="str">
        <f t="shared" si="6"/>
        <v>non</v>
      </c>
    </row>
    <row r="278" spans="26:26" x14ac:dyDescent="0.2">
      <c r="Z278" s="345" t="str">
        <f t="shared" si="6"/>
        <v>non</v>
      </c>
    </row>
    <row r="279" spans="26:26" x14ac:dyDescent="0.2">
      <c r="Z279" s="345" t="str">
        <f t="shared" si="6"/>
        <v>non</v>
      </c>
    </row>
    <row r="280" spans="26:26" x14ac:dyDescent="0.2">
      <c r="Z280" s="345" t="str">
        <f t="shared" si="6"/>
        <v>non</v>
      </c>
    </row>
    <row r="281" spans="26:26" x14ac:dyDescent="0.2">
      <c r="Z281" s="345" t="str">
        <f t="shared" si="6"/>
        <v>non</v>
      </c>
    </row>
    <row r="282" spans="26:26" x14ac:dyDescent="0.2">
      <c r="Z282" s="345" t="str">
        <f t="shared" si="6"/>
        <v>non</v>
      </c>
    </row>
    <row r="283" spans="26:26" x14ac:dyDescent="0.2">
      <c r="Z283" s="345" t="str">
        <f t="shared" si="6"/>
        <v>non</v>
      </c>
    </row>
  </sheetData>
  <mergeCells count="7">
    <mergeCell ref="K1:Q1"/>
    <mergeCell ref="X2:Y2"/>
    <mergeCell ref="H18:H19"/>
    <mergeCell ref="A27:A28"/>
    <mergeCell ref="A26:C26"/>
    <mergeCell ref="G18:G19"/>
    <mergeCell ref="A3:G3"/>
  </mergeCells>
  <dataValidations xWindow="433" yWindow="507" count="1">
    <dataValidation allowBlank="1" showInputMessage="1" showErrorMessage="1" promptTitle="MATIERES" prompt="choisir le produit" sqref="B5:F5" xr:uid="{00000000-0002-0000-2700-000000000000}"/>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Feuil40">
    <pageSetUpPr fitToPage="1"/>
  </sheetPr>
  <dimension ref="A1:BG105"/>
  <sheetViews>
    <sheetView zoomScale="95" zoomScaleNormal="95" workbookViewId="0">
      <pane xSplit="3" ySplit="4" topLeftCell="M79" activePane="bottomRight" state="frozen"/>
      <selection activeCell="K17" sqref="K17:O42"/>
      <selection pane="topRight" activeCell="K17" sqref="K17:O42"/>
      <selection pane="bottomLeft" activeCell="K17" sqref="K17:O42"/>
      <selection pane="bottomRight" activeCell="T12" sqref="T12"/>
    </sheetView>
  </sheetViews>
  <sheetFormatPr baseColWidth="10" defaultColWidth="11" defaultRowHeight="14.25" x14ac:dyDescent="0.2"/>
  <cols>
    <col min="1" max="2" width="12.625" customWidth="1"/>
    <col min="3" max="3" width="1.625" customWidth="1"/>
    <col min="4" max="4" width="9.625" customWidth="1"/>
    <col min="5" max="6" width="10.625" customWidth="1"/>
    <col min="7" max="7" width="11" customWidth="1"/>
    <col min="8" max="8" width="11.125" customWidth="1"/>
    <col min="9" max="9" width="10.625" customWidth="1"/>
    <col min="10" max="10" width="11.5" customWidth="1"/>
    <col min="11" max="11" width="11.625" customWidth="1"/>
    <col min="12" max="12" width="10.625" customWidth="1"/>
    <col min="13" max="13" width="9.125" customWidth="1"/>
    <col min="14" max="14" width="2.125" customWidth="1"/>
    <col min="15" max="15" width="13.125" customWidth="1"/>
    <col min="16" max="16" width="15.125" customWidth="1"/>
    <col min="17" max="17" width="1.625" customWidth="1"/>
    <col min="18" max="18" width="1.5" customWidth="1"/>
    <col min="19" max="19" width="13.125" customWidth="1"/>
    <col min="20" max="20" width="15" customWidth="1"/>
    <col min="21" max="21" width="15" bestFit="1" customWidth="1"/>
    <col min="22" max="22" width="12.625" customWidth="1"/>
    <col min="23" max="23" width="12.125" customWidth="1"/>
    <col min="24" max="24" width="11.125" customWidth="1"/>
    <col min="25" max="25" width="8.625" customWidth="1"/>
    <col min="26" max="26" width="6.625" customWidth="1"/>
    <col min="27" max="27" width="66.125" customWidth="1"/>
    <col min="28" max="28" width="7.125" bestFit="1" customWidth="1"/>
    <col min="29" max="29" width="7.125" customWidth="1"/>
    <col min="30" max="30" width="9.125" customWidth="1"/>
    <col min="31" max="31" width="1.625" customWidth="1"/>
    <col min="32" max="32" width="14.125" bestFit="1" customWidth="1"/>
    <col min="33" max="38" width="10.625" customWidth="1"/>
    <col min="48" max="48" width="0.875" customWidth="1"/>
    <col min="50" max="55" width="10.625" customWidth="1"/>
    <col min="56" max="56" width="49.375" customWidth="1"/>
    <col min="57" max="57" width="17" customWidth="1"/>
    <col min="58" max="58" width="15.375" bestFit="1" customWidth="1"/>
    <col min="59" max="59" width="12.625" bestFit="1" customWidth="1"/>
  </cols>
  <sheetData>
    <row r="1" spans="1:59" ht="15" customHeight="1" x14ac:dyDescent="0.2">
      <c r="A1" s="647"/>
      <c r="B1" s="648"/>
      <c r="C1" s="649"/>
      <c r="D1" s="647"/>
      <c r="E1" s="647"/>
      <c r="F1" s="650"/>
      <c r="G1" s="647"/>
      <c r="H1" s="647"/>
      <c r="I1" s="650"/>
      <c r="J1" s="647"/>
      <c r="K1" s="647"/>
      <c r="L1" s="647"/>
      <c r="M1" s="647"/>
      <c r="N1" s="651"/>
      <c r="O1" s="647"/>
      <c r="P1" s="647"/>
      <c r="Q1" s="647"/>
      <c r="R1" s="652"/>
      <c r="S1" s="647"/>
      <c r="T1" s="653"/>
      <c r="U1" s="654"/>
      <c r="V1" s="654"/>
      <c r="W1" s="654"/>
      <c r="X1" s="654"/>
      <c r="Y1" s="647"/>
      <c r="Z1" s="655"/>
      <c r="AA1" s="656"/>
      <c r="AB1" s="657"/>
      <c r="AC1" s="658"/>
      <c r="AD1" s="658"/>
      <c r="AE1" s="658"/>
      <c r="AF1" s="658"/>
      <c r="AG1" s="658"/>
      <c r="AH1" s="658"/>
      <c r="AI1" s="658"/>
      <c r="AJ1" s="658"/>
      <c r="AK1" s="659"/>
      <c r="AL1" s="659"/>
      <c r="AM1" s="660"/>
      <c r="AN1" s="660"/>
      <c r="AO1" s="660"/>
      <c r="AP1" s="660"/>
      <c r="AQ1" s="660"/>
      <c r="AR1" s="660"/>
      <c r="AS1" s="660"/>
      <c r="AT1" s="660"/>
      <c r="AU1" s="672"/>
      <c r="AV1" s="672"/>
      <c r="AW1" s="672"/>
      <c r="AX1" s="658"/>
      <c r="AY1" s="658"/>
      <c r="AZ1" s="658"/>
      <c r="BA1" s="658"/>
      <c r="BB1" s="658"/>
      <c r="BC1" s="658"/>
      <c r="BD1" s="658"/>
      <c r="BE1" s="658"/>
      <c r="BF1" s="658"/>
      <c r="BG1" s="658"/>
    </row>
    <row r="2" spans="1:59" ht="14.1" customHeight="1" x14ac:dyDescent="0.2">
      <c r="A2" s="661"/>
      <c r="B2" s="662"/>
      <c r="C2" s="663"/>
      <c r="D2" s="1492" t="s">
        <v>1562</v>
      </c>
      <c r="E2" s="1492"/>
      <c r="F2" s="1492"/>
      <c r="G2" s="1492"/>
      <c r="H2" s="1492"/>
      <c r="I2" s="1492"/>
      <c r="J2" s="1492"/>
      <c r="K2" s="1492"/>
      <c r="L2" s="1492"/>
      <c r="M2" s="1492"/>
      <c r="N2" s="1492"/>
      <c r="O2" s="1492"/>
      <c r="P2" s="1492"/>
      <c r="Q2" s="664"/>
      <c r="R2" s="665"/>
      <c r="S2" s="666"/>
      <c r="T2" s="1482" t="s">
        <v>622</v>
      </c>
      <c r="U2" s="1484" t="s">
        <v>9</v>
      </c>
      <c r="V2" s="1486" t="s">
        <v>458</v>
      </c>
      <c r="W2" s="1475" t="s">
        <v>459</v>
      </c>
      <c r="X2" s="1477" t="s">
        <v>5</v>
      </c>
      <c r="Y2" s="647"/>
      <c r="Z2" s="655"/>
      <c r="AA2" s="1459" t="s">
        <v>1428</v>
      </c>
      <c r="AB2" s="657"/>
      <c r="AC2" s="657"/>
      <c r="AD2" s="667"/>
      <c r="AE2" s="657"/>
      <c r="AF2" s="657"/>
      <c r="AG2" s="657"/>
      <c r="AH2" s="657"/>
      <c r="AI2" s="657"/>
      <c r="AJ2" s="657"/>
      <c r="AK2" s="654"/>
      <c r="AL2" s="654"/>
      <c r="AM2" s="668"/>
      <c r="AN2" s="668"/>
      <c r="AO2" s="668"/>
      <c r="AP2" s="668"/>
      <c r="AQ2" s="668"/>
      <c r="AR2" s="668"/>
      <c r="AS2" s="668"/>
      <c r="AT2" s="668"/>
      <c r="AU2" s="684"/>
      <c r="AV2" s="684"/>
      <c r="AW2" s="684"/>
      <c r="AX2" s="1457" t="s">
        <v>179</v>
      </c>
      <c r="AY2" s="1457"/>
      <c r="AZ2" s="1457"/>
      <c r="BA2" s="1446" t="s">
        <v>631</v>
      </c>
      <c r="BB2" s="654"/>
      <c r="BC2" s="654"/>
      <c r="BD2" s="654"/>
      <c r="BE2" s="1457" t="s">
        <v>1572</v>
      </c>
      <c r="BF2" s="1457"/>
      <c r="BG2" s="1457"/>
    </row>
    <row r="3" spans="1:59" ht="26.1" customHeight="1" x14ac:dyDescent="0.2">
      <c r="A3" s="661"/>
      <c r="B3" s="662"/>
      <c r="C3" s="663"/>
      <c r="D3" s="1492"/>
      <c r="E3" s="1492"/>
      <c r="F3" s="1492"/>
      <c r="G3" s="1492"/>
      <c r="H3" s="1492"/>
      <c r="I3" s="1492"/>
      <c r="J3" s="1492"/>
      <c r="K3" s="1492"/>
      <c r="L3" s="1492"/>
      <c r="M3" s="1492"/>
      <c r="N3" s="1492"/>
      <c r="O3" s="1492"/>
      <c r="P3" s="1492"/>
      <c r="Q3" s="669"/>
      <c r="R3" s="670"/>
      <c r="S3" s="669"/>
      <c r="T3" s="1483"/>
      <c r="U3" s="1485"/>
      <c r="V3" s="1487"/>
      <c r="W3" s="1476"/>
      <c r="X3" s="1478"/>
      <c r="Y3" s="651"/>
      <c r="Z3" s="671"/>
      <c r="AA3" s="1460"/>
      <c r="AB3" s="672"/>
      <c r="AC3" s="672"/>
      <c r="AD3" s="673"/>
      <c r="AE3" s="672"/>
      <c r="AF3" s="658"/>
      <c r="AG3" s="658"/>
      <c r="AH3" s="658"/>
      <c r="AI3" s="658"/>
      <c r="AJ3" s="658"/>
      <c r="AK3" s="658"/>
      <c r="AL3" s="658"/>
      <c r="AM3" s="672"/>
      <c r="AN3" s="672"/>
      <c r="AO3" s="672"/>
      <c r="AP3" s="672"/>
      <c r="AQ3" s="672"/>
      <c r="AR3" s="672"/>
      <c r="AS3" s="672"/>
      <c r="AT3" s="672"/>
      <c r="AU3" s="672"/>
      <c r="AV3" s="672"/>
      <c r="AW3" s="672"/>
      <c r="AX3" s="1458"/>
      <c r="AY3" s="1458"/>
      <c r="AZ3" s="1458"/>
      <c r="BA3" s="1446"/>
      <c r="BB3" s="658"/>
      <c r="BC3" s="658"/>
      <c r="BD3" s="658"/>
      <c r="BE3" s="1457"/>
      <c r="BF3" s="1457"/>
      <c r="BG3" s="1457"/>
    </row>
    <row r="4" spans="1:59" ht="16.350000000000001" customHeight="1" thickBot="1" x14ac:dyDescent="0.25">
      <c r="A4" s="674"/>
      <c r="B4" s="675"/>
      <c r="C4" s="676"/>
      <c r="D4" s="676"/>
      <c r="E4" s="677"/>
      <c r="F4" s="677"/>
      <c r="G4" s="677"/>
      <c r="H4" s="677"/>
      <c r="I4" s="677"/>
      <c r="J4" s="677"/>
      <c r="K4" s="1417" t="s">
        <v>1689</v>
      </c>
      <c r="L4" s="677"/>
      <c r="M4" s="677"/>
      <c r="N4" s="676"/>
      <c r="O4" s="676"/>
      <c r="P4" s="676"/>
      <c r="Q4" s="669"/>
      <c r="R4" s="670"/>
      <c r="S4" s="669"/>
      <c r="T4" s="678">
        <f>T86</f>
        <v>11784.090286292503</v>
      </c>
      <c r="U4" s="679"/>
      <c r="V4" s="680"/>
      <c r="W4" s="681"/>
      <c r="X4" s="682"/>
      <c r="Y4" s="651"/>
      <c r="Z4" s="671"/>
      <c r="AA4" s="683"/>
      <c r="AB4" s="684"/>
      <c r="AC4" s="672"/>
      <c r="AD4" s="673"/>
      <c r="AE4" s="672"/>
      <c r="AF4" s="658"/>
      <c r="AG4" s="658"/>
      <c r="AH4" s="658"/>
      <c r="AI4" s="658"/>
      <c r="AJ4" s="658"/>
      <c r="AK4" s="658"/>
      <c r="AL4" s="658"/>
      <c r="AM4" s="672"/>
      <c r="AN4" s="672"/>
      <c r="AO4" s="672"/>
      <c r="AP4" s="672"/>
      <c r="AQ4" s="672"/>
      <c r="AR4" s="672"/>
      <c r="AS4" s="672"/>
      <c r="AT4" s="672"/>
      <c r="AU4" s="672"/>
      <c r="AV4" s="672"/>
      <c r="AW4" s="672"/>
      <c r="AX4" s="672"/>
      <c r="AY4" s="672"/>
      <c r="AZ4" s="672"/>
      <c r="BA4" s="672"/>
      <c r="BB4" s="1468" t="s">
        <v>1415</v>
      </c>
      <c r="BC4" s="1469"/>
      <c r="BD4" s="1469"/>
      <c r="BE4" s="658"/>
      <c r="BF4" s="658"/>
      <c r="BG4" s="658"/>
    </row>
    <row r="5" spans="1:59" ht="24" customHeight="1" thickTop="1" thickBot="1" x14ac:dyDescent="0.25">
      <c r="A5" s="685" t="s">
        <v>1421</v>
      </c>
      <c r="B5" s="686">
        <v>10</v>
      </c>
      <c r="C5" s="674"/>
      <c r="D5" s="1148" t="s">
        <v>1689</v>
      </c>
      <c r="E5" s="676"/>
      <c r="F5" s="687"/>
      <c r="G5" s="676"/>
      <c r="H5" s="1148" t="s">
        <v>1689</v>
      </c>
      <c r="I5" s="1479" t="s">
        <v>1384</v>
      </c>
      <c r="J5" s="1480"/>
      <c r="K5" s="1480"/>
      <c r="L5" s="1480"/>
      <c r="M5" s="1481"/>
      <c r="N5" s="676"/>
      <c r="O5" s="676"/>
      <c r="P5" s="676"/>
      <c r="Q5" s="664"/>
      <c r="R5" s="670"/>
      <c r="S5" s="664"/>
      <c r="T5" s="688"/>
      <c r="U5" s="679"/>
      <c r="V5" s="680"/>
      <c r="W5" s="681"/>
      <c r="X5" s="682"/>
      <c r="Y5" s="676"/>
      <c r="Z5" s="655"/>
      <c r="AA5" s="656"/>
      <c r="AB5" s="657"/>
      <c r="AC5" s="658"/>
      <c r="AD5" s="673"/>
      <c r="AE5" s="658"/>
      <c r="AF5" s="689"/>
      <c r="AG5" s="689"/>
      <c r="AH5" s="689"/>
      <c r="AI5" s="689"/>
      <c r="AJ5" s="689"/>
      <c r="AK5" s="690"/>
      <c r="AL5" s="690"/>
      <c r="AM5" s="660"/>
      <c r="AN5" s="660"/>
      <c r="AO5" s="660"/>
      <c r="AP5" s="660"/>
      <c r="AQ5" s="660"/>
      <c r="AR5" s="660"/>
      <c r="AS5" s="660"/>
      <c r="AT5" s="660"/>
      <c r="AU5" s="672"/>
      <c r="AV5" s="672"/>
      <c r="AW5" s="672"/>
      <c r="AX5" s="691" t="s">
        <v>180</v>
      </c>
      <c r="AY5" s="692" t="s">
        <v>39</v>
      </c>
      <c r="AZ5" s="693">
        <f>T85</f>
        <v>10712.809351175001</v>
      </c>
      <c r="BA5" s="694"/>
      <c r="BB5" s="1467"/>
      <c r="BC5" s="1466"/>
      <c r="BD5" s="1466"/>
      <c r="BE5" s="695"/>
      <c r="BF5" s="696" t="s">
        <v>1579</v>
      </c>
      <c r="BG5" s="696" t="s">
        <v>1580</v>
      </c>
    </row>
    <row r="6" spans="1:59" ht="30" customHeight="1" thickTop="1" x14ac:dyDescent="0.2">
      <c r="A6" s="685" t="s">
        <v>1383</v>
      </c>
      <c r="B6" s="697">
        <v>20</v>
      </c>
      <c r="C6" s="698"/>
      <c r="D6" s="647"/>
      <c r="E6" s="647"/>
      <c r="F6" s="1493" t="s">
        <v>1280</v>
      </c>
      <c r="G6" s="1493"/>
      <c r="H6" s="699"/>
      <c r="I6" s="1447" t="s">
        <v>1385</v>
      </c>
      <c r="J6" s="1448"/>
      <c r="K6" s="1448"/>
      <c r="L6" s="1448"/>
      <c r="M6" s="1449"/>
      <c r="N6" s="651"/>
      <c r="O6" s="1349" t="s">
        <v>1699</v>
      </c>
      <c r="P6" s="1350"/>
      <c r="Q6" s="647"/>
      <c r="R6" s="700"/>
      <c r="S6" s="701" t="s">
        <v>1392</v>
      </c>
      <c r="T6" s="702">
        <f>IF(G16&lt;10,175,IF(G16&lt;14,200,IF(G16&lt;22,250,IF(G16&lt;42,280,IF(G16&lt;62,300,"")))))</f>
        <v>200</v>
      </c>
      <c r="U6" s="1462" t="s">
        <v>1777</v>
      </c>
      <c r="V6" s="703"/>
      <c r="W6" s="703"/>
      <c r="X6" s="703"/>
      <c r="Y6" s="676"/>
      <c r="Z6" s="655"/>
      <c r="AA6" s="656"/>
      <c r="AB6" s="657"/>
      <c r="AC6" s="658"/>
      <c r="AD6" s="673"/>
      <c r="AE6" s="658"/>
      <c r="AF6" s="658"/>
      <c r="AG6" s="658"/>
      <c r="AH6" s="658"/>
      <c r="AI6" s="658"/>
      <c r="AJ6" s="658"/>
      <c r="AK6" s="659"/>
      <c r="AL6" s="659"/>
      <c r="AM6" s="660"/>
      <c r="AN6" s="660"/>
      <c r="AO6" s="660"/>
      <c r="AP6" s="660"/>
      <c r="AQ6" s="660"/>
      <c r="AR6" s="660"/>
      <c r="AS6" s="660"/>
      <c r="AT6" s="660"/>
      <c r="AU6" s="672"/>
      <c r="AV6" s="672"/>
      <c r="AW6" s="1387"/>
      <c r="AX6" s="691" t="s">
        <v>240</v>
      </c>
      <c r="AY6" s="692" t="s">
        <v>39</v>
      </c>
      <c r="AZ6" s="693">
        <f>'Estimatif Q'!B27</f>
        <v>1880.79</v>
      </c>
      <c r="BA6" s="704">
        <f>AZ6/$AZ$5</f>
        <v>0.17556459172809896</v>
      </c>
      <c r="BB6" s="1467" t="s">
        <v>1416</v>
      </c>
      <c r="BC6" s="1466"/>
      <c r="BD6" s="1466"/>
      <c r="BE6" s="705" t="s">
        <v>144</v>
      </c>
      <c r="BF6" s="1146">
        <f>AZ22/P8+AZ23/P9+AZ24/P10</f>
        <v>60.193752777777775</v>
      </c>
      <c r="BG6" s="706">
        <f>BF6/8</f>
        <v>7.5242190972222218</v>
      </c>
    </row>
    <row r="7" spans="1:59" ht="27" customHeight="1" thickBot="1" x14ac:dyDescent="0.25">
      <c r="A7" s="707" t="s">
        <v>1388</v>
      </c>
      <c r="B7" s="1494"/>
      <c r="C7" s="1494"/>
      <c r="D7" s="708"/>
      <c r="E7" s="699"/>
      <c r="F7" s="709"/>
      <c r="G7" s="710"/>
      <c r="H7" s="711"/>
      <c r="I7" s="712" t="s">
        <v>620</v>
      </c>
      <c r="J7" s="713"/>
      <c r="K7" s="714" t="s">
        <v>439</v>
      </c>
      <c r="L7" s="715"/>
      <c r="M7" s="716"/>
      <c r="N7" s="651"/>
      <c r="O7" s="1351"/>
      <c r="P7" s="1352"/>
      <c r="Q7" s="647"/>
      <c r="R7" s="700"/>
      <c r="S7" s="717" t="s">
        <v>1393</v>
      </c>
      <c r="T7" s="718">
        <f>IF(G16&lt;10,175,IF(G16&lt;14,200,IF(G16&lt;22,250,IF(G16&lt;41,280,IF(G16&lt;62,300,"")))))</f>
        <v>200</v>
      </c>
      <c r="U7" s="1463"/>
      <c r="V7" s="703"/>
      <c r="W7" s="703"/>
      <c r="X7" s="703"/>
      <c r="Y7" s="676"/>
      <c r="Z7" s="655"/>
      <c r="AA7" s="656"/>
      <c r="AB7" s="657"/>
      <c r="AC7" s="658"/>
      <c r="AD7" s="673"/>
      <c r="AE7" s="658"/>
      <c r="AF7" s="658"/>
      <c r="AG7" s="658"/>
      <c r="AH7" s="658"/>
      <c r="AI7" s="658"/>
      <c r="AJ7" s="658"/>
      <c r="AK7" s="659"/>
      <c r="AL7" s="659"/>
      <c r="AM7" s="660"/>
      <c r="AN7" s="660"/>
      <c r="AO7" s="660"/>
      <c r="AP7" s="660"/>
      <c r="AQ7" s="660"/>
      <c r="AR7" s="660"/>
      <c r="AS7" s="660"/>
      <c r="AT7" s="660"/>
      <c r="AU7" s="672"/>
      <c r="AV7" s="672"/>
      <c r="AW7" s="672"/>
      <c r="AX7" s="691" t="s">
        <v>1518</v>
      </c>
      <c r="AY7" s="692" t="s">
        <v>39</v>
      </c>
      <c r="AZ7" s="693">
        <f>T9</f>
        <v>750</v>
      </c>
      <c r="BA7" s="704">
        <f>AZ7/$AZ$5</f>
        <v>7.0009646901607422E-2</v>
      </c>
      <c r="BB7" s="1467" t="s">
        <v>1416</v>
      </c>
      <c r="BC7" s="1466"/>
      <c r="BD7" s="1466"/>
      <c r="BE7" s="691" t="s">
        <v>1576</v>
      </c>
      <c r="BF7" s="719">
        <f>AZ22/P8</f>
        <v>14.795266666666667</v>
      </c>
      <c r="BG7" s="720">
        <f>BF7/8</f>
        <v>1.8494083333333333</v>
      </c>
    </row>
    <row r="8" spans="1:59" ht="26.1" customHeight="1" thickTop="1" x14ac:dyDescent="0.2">
      <c r="A8" s="722"/>
      <c r="B8" s="723" t="s">
        <v>621</v>
      </c>
      <c r="C8" s="724">
        <v>20</v>
      </c>
      <c r="D8" s="674"/>
      <c r="E8" s="674"/>
      <c r="F8" s="709"/>
      <c r="G8" s="710"/>
      <c r="H8" s="725"/>
      <c r="I8" s="712" t="s">
        <v>625</v>
      </c>
      <c r="J8" s="726"/>
      <c r="K8" s="727" t="s">
        <v>544</v>
      </c>
      <c r="L8" s="728" t="str">
        <f>IF(M7="E","FH9",IF(AND((M7="HS"),(K8="FV1")),"FH1",IF(AND((M7="HS"),(K8="FV2")),"FH2",IF(AND((M7="HS"),(K8="FV3")),"FH3",IF(AND((M7="HS"),(K8="FV4")),"FH4",IF(AND((M7="HS"),(K8="FV5")),"FH5",IF(AND((M7="HS"),(K8="FV6")),"FH6",IF(AND((M7="HS"),(K8="FV7")),"FH9",IF(AND((M7="HS"),(K8="FV8")),"FH8",IF(AND((M7="HS"),(K8="FV9")),"FH9","Formule"))))))))))</f>
        <v>Formule</v>
      </c>
      <c r="M8" s="729"/>
      <c r="N8" s="651"/>
      <c r="O8" s="1139" t="s">
        <v>1700</v>
      </c>
      <c r="P8" s="1137">
        <v>45</v>
      </c>
      <c r="Q8" s="647"/>
      <c r="R8" s="700"/>
      <c r="S8" s="717" t="s">
        <v>1394</v>
      </c>
      <c r="T8" s="718">
        <v>350</v>
      </c>
      <c r="U8" s="1463"/>
      <c r="V8" s="703"/>
      <c r="W8" s="703"/>
      <c r="X8" s="703"/>
      <c r="Y8" s="676"/>
      <c r="Z8" s="655"/>
      <c r="AA8" s="656"/>
      <c r="AB8" s="657"/>
      <c r="AC8" s="658"/>
      <c r="AD8" s="673"/>
      <c r="AE8" s="673"/>
      <c r="AF8" s="658"/>
      <c r="AG8" s="658"/>
      <c r="AH8" s="658"/>
      <c r="AI8" s="658"/>
      <c r="AJ8" s="658"/>
      <c r="AK8" s="659"/>
      <c r="AL8" s="659"/>
      <c r="AM8" s="660"/>
      <c r="AN8" s="660"/>
      <c r="AO8" s="660"/>
      <c r="AP8" s="660"/>
      <c r="AQ8" s="660"/>
      <c r="AR8" s="660"/>
      <c r="AS8" s="660"/>
      <c r="AT8" s="660"/>
      <c r="AU8" s="672"/>
      <c r="AV8" s="672"/>
      <c r="AW8" s="672"/>
      <c r="AX8" s="1382" t="s">
        <v>1800</v>
      </c>
      <c r="AY8" s="1383" t="s">
        <v>39</v>
      </c>
      <c r="AZ8" s="693">
        <f>AZ18</f>
        <v>3086.9378860000006</v>
      </c>
      <c r="BA8" s="704">
        <f>AZ8/$AZ$5</f>
        <v>0.28815390854140605</v>
      </c>
      <c r="BB8" s="730"/>
      <c r="BC8" s="731"/>
      <c r="BD8" s="731"/>
      <c r="BE8" s="691" t="s">
        <v>1577</v>
      </c>
      <c r="BF8" s="719">
        <f>AZ23/P9</f>
        <v>30.211611111111111</v>
      </c>
      <c r="BG8" s="720">
        <f>BF8/8</f>
        <v>3.7764513888888889</v>
      </c>
    </row>
    <row r="9" spans="1:59" ht="24.6" customHeight="1" thickBot="1" x14ac:dyDescent="0.25">
      <c r="A9" s="732" t="s">
        <v>10</v>
      </c>
      <c r="B9" s="733">
        <f>IF(B11=1,10,IF(B11=2,20,""))</f>
        <v>10</v>
      </c>
      <c r="C9" s="734"/>
      <c r="D9" s="674"/>
      <c r="E9" s="674"/>
      <c r="F9" s="709" t="s">
        <v>210</v>
      </c>
      <c r="G9" s="710">
        <f>IF(K7="",HLOOKUP($B$10,'Outils de calculs'!$B$24:$AM$69,20,0),HLOOKUP($B$10,'Outils de calculs'!$B$24:$AM$69,8,0))</f>
        <v>2.5</v>
      </c>
      <c r="H9" s="735"/>
      <c r="I9" s="736" t="s">
        <v>626</v>
      </c>
      <c r="J9" s="737"/>
      <c r="K9" s="737"/>
      <c r="L9" s="738"/>
      <c r="M9" s="739"/>
      <c r="N9" s="651"/>
      <c r="O9" s="1139" t="s">
        <v>1701</v>
      </c>
      <c r="P9" s="1137">
        <v>45</v>
      </c>
      <c r="Q9" s="647"/>
      <c r="R9" s="700"/>
      <c r="S9" s="740" t="s">
        <v>1395</v>
      </c>
      <c r="T9" s="741">
        <f>T6+T7+T8</f>
        <v>750</v>
      </c>
      <c r="U9" s="1464"/>
      <c r="V9" s="703"/>
      <c r="W9" s="703"/>
      <c r="X9" s="703"/>
      <c r="Y9" s="676"/>
      <c r="Z9" s="655"/>
      <c r="AA9" s="656"/>
      <c r="AB9" s="657"/>
      <c r="AC9" s="658"/>
      <c r="AD9" s="673"/>
      <c r="AE9" s="673"/>
      <c r="AF9" s="658"/>
      <c r="AG9" s="658"/>
      <c r="AH9" s="658"/>
      <c r="AI9" s="658"/>
      <c r="AJ9" s="658"/>
      <c r="AK9" s="659"/>
      <c r="AL9" s="659"/>
      <c r="AM9" s="660"/>
      <c r="AN9" s="660"/>
      <c r="AO9" s="660"/>
      <c r="AP9" s="660"/>
      <c r="AQ9" s="660"/>
      <c r="AR9" s="660"/>
      <c r="AS9" s="660"/>
      <c r="AT9" s="660"/>
      <c r="AU9" s="672"/>
      <c r="AV9" s="672"/>
      <c r="AW9" s="672"/>
      <c r="AX9" s="1382" t="s">
        <v>1797</v>
      </c>
      <c r="AY9" s="1383" t="s">
        <v>39</v>
      </c>
      <c r="AZ9" s="693">
        <f>AZ25</f>
        <v>3240.2595000000001</v>
      </c>
      <c r="BA9" s="704">
        <f>AZ9/$AZ$5</f>
        <v>0.30246589795277207</v>
      </c>
      <c r="BB9" s="1467" t="s">
        <v>1416</v>
      </c>
      <c r="BC9" s="1466"/>
      <c r="BD9" s="1466"/>
      <c r="BE9" s="691" t="s">
        <v>1578</v>
      </c>
      <c r="BF9" s="719">
        <f>AZ24/P10</f>
        <v>15.186875000000001</v>
      </c>
      <c r="BG9" s="720">
        <f>BF9/8</f>
        <v>1.8983593750000001</v>
      </c>
    </row>
    <row r="10" spans="1:59" ht="25.35" customHeight="1" thickTop="1" x14ac:dyDescent="0.2">
      <c r="A10" s="743" t="s">
        <v>623</v>
      </c>
      <c r="B10" s="744">
        <f>IF(A11=1,2,IF(A11=2,3,IF(A11=3,4,IF(A11=4,5,IF(A11=5,6,IF(A11=6,7,IF(A11=7,8,IF(A11=8,9,IF(A11=9,10,IF(A11=10,"12a",IF(A11=11,"12b",IF(A11=12,14,IF(A11=13,"14a",IF(A11=14,"14b",IF(A11=15,16,IF(A11=16,"18a",IF(A11=17,"18b",IF(A11=18,"20a",IF(A11=19,"20b","")))))))))))))))))))</f>
        <v>5</v>
      </c>
      <c r="C10" s="734"/>
      <c r="D10" s="699"/>
      <c r="E10" s="699"/>
      <c r="F10" s="709" t="s">
        <v>211</v>
      </c>
      <c r="G10" s="710">
        <f>IF(K7="",HLOOKUP($B$10,'Outils de calculs'!$B$24:$AM$69,20,0),HLOOKUP($B$10,'Outils de calculs'!$B$24:$AM$69,9,0))</f>
        <v>4</v>
      </c>
      <c r="H10" s="745"/>
      <c r="I10" s="736" t="s">
        <v>487</v>
      </c>
      <c r="J10" s="746"/>
      <c r="K10" s="747"/>
      <c r="L10" s="748"/>
      <c r="M10" s="749"/>
      <c r="N10" s="651"/>
      <c r="O10" s="1136" t="s">
        <v>238</v>
      </c>
      <c r="P10" s="1137">
        <v>80</v>
      </c>
      <c r="Q10" s="647"/>
      <c r="R10" s="700"/>
      <c r="S10" s="676"/>
      <c r="T10" s="750"/>
      <c r="U10" s="676"/>
      <c r="V10" s="676"/>
      <c r="W10" s="676"/>
      <c r="X10" s="676"/>
      <c r="Y10" s="676"/>
      <c r="Z10" s="655"/>
      <c r="AA10" s="656"/>
      <c r="AB10" s="657"/>
      <c r="AC10" s="658"/>
      <c r="AD10" s="673"/>
      <c r="AE10" s="673"/>
      <c r="AF10" s="658"/>
      <c r="AG10" s="658"/>
      <c r="AH10" s="658"/>
      <c r="AI10" s="658"/>
      <c r="AJ10" s="658"/>
      <c r="AK10" s="659"/>
      <c r="AL10" s="659"/>
      <c r="AM10" s="660"/>
      <c r="AN10" s="660"/>
      <c r="AO10" s="660"/>
      <c r="AP10" s="660"/>
      <c r="AQ10" s="660"/>
      <c r="AR10" s="660"/>
      <c r="AS10" s="660"/>
      <c r="AT10" s="660"/>
      <c r="AU10" s="672"/>
      <c r="AV10" s="672"/>
      <c r="AW10" s="672"/>
      <c r="AX10" s="1453" t="s">
        <v>1417</v>
      </c>
      <c r="AY10" s="1454"/>
      <c r="AZ10" s="742">
        <f>SUM(AZ6:AZ8)</f>
        <v>5717.7278860000006</v>
      </c>
      <c r="BA10" s="704">
        <f t="shared" ref="BA10:BA11" si="0">AZ10/$AZ$5</f>
        <v>0.53372814717111239</v>
      </c>
      <c r="BB10" s="730"/>
      <c r="BC10" s="731"/>
      <c r="BD10" s="751"/>
      <c r="BE10" s="695"/>
      <c r="BF10" s="752" t="s">
        <v>39</v>
      </c>
      <c r="BG10" s="753"/>
    </row>
    <row r="11" spans="1:59" ht="29.85" customHeight="1" thickBot="1" x14ac:dyDescent="0.25">
      <c r="A11" s="755">
        <v>4</v>
      </c>
      <c r="B11" s="756">
        <v>1</v>
      </c>
      <c r="C11" s="734"/>
      <c r="D11" s="711"/>
      <c r="E11" s="711"/>
      <c r="F11" s="709" t="s">
        <v>1286</v>
      </c>
      <c r="G11" s="710">
        <f>IFERROR(IF(K7="",HLOOKUP($B$10,'Outils de calculs'!$B$24:$AM$69,6,0),HLOOKUP($B$10,'Outils de calculs'!$B$24:$AM$69,3,0)),"")</f>
        <v>13</v>
      </c>
      <c r="H11" s="757"/>
      <c r="I11" s="736" t="s">
        <v>590</v>
      </c>
      <c r="J11" s="1455" t="s">
        <v>596</v>
      </c>
      <c r="K11" s="1456"/>
      <c r="L11" s="748"/>
      <c r="M11" s="749"/>
      <c r="N11" s="651"/>
      <c r="O11" s="1140" t="s">
        <v>1702</v>
      </c>
      <c r="P11" s="1138">
        <v>0.3</v>
      </c>
      <c r="Q11" s="647"/>
      <c r="R11" s="700"/>
      <c r="S11" s="676"/>
      <c r="T11" s="750"/>
      <c r="U11" s="676"/>
      <c r="V11" s="676"/>
      <c r="W11" s="676"/>
      <c r="X11" s="676"/>
      <c r="Y11" s="676"/>
      <c r="Z11" s="655"/>
      <c r="AA11" s="656"/>
      <c r="AB11" s="657"/>
      <c r="AC11" s="658"/>
      <c r="AD11" s="673"/>
      <c r="AE11" s="673"/>
      <c r="AF11" s="658"/>
      <c r="AG11" s="658"/>
      <c r="AH11" s="658"/>
      <c r="AI11" s="658"/>
      <c r="AJ11" s="658"/>
      <c r="AK11" s="659"/>
      <c r="AL11" s="659"/>
      <c r="AM11" s="660"/>
      <c r="AN11" s="660"/>
      <c r="AO11" s="660"/>
      <c r="AP11" s="660"/>
      <c r="AQ11" s="660"/>
      <c r="AR11" s="660"/>
      <c r="AS11" s="660"/>
      <c r="AT11" s="660"/>
      <c r="AU11" s="672"/>
      <c r="AV11" s="672"/>
      <c r="AW11" s="1398"/>
      <c r="AX11" s="1453" t="s">
        <v>1418</v>
      </c>
      <c r="AY11" s="1454"/>
      <c r="AZ11" s="742">
        <f>AZ9*0.6</f>
        <v>1944.1557</v>
      </c>
      <c r="BA11" s="704">
        <f t="shared" si="0"/>
        <v>0.18147953877166323</v>
      </c>
      <c r="BB11" s="730"/>
      <c r="BC11" s="731"/>
      <c r="BD11" s="751"/>
      <c r="BE11" s="695" t="s">
        <v>634</v>
      </c>
      <c r="BF11" s="752"/>
      <c r="BG11" s="753"/>
    </row>
    <row r="12" spans="1:59" ht="26.1" customHeight="1" x14ac:dyDescent="0.2">
      <c r="A12" s="758"/>
      <c r="B12" s="759">
        <v>1</v>
      </c>
      <c r="C12" s="734"/>
      <c r="D12" s="1490"/>
      <c r="E12" s="1491"/>
      <c r="F12" s="709" t="s">
        <v>226</v>
      </c>
      <c r="G12" s="710" t="str">
        <f>IF(L8="Formule","",HLOOKUP($B$10,'Outils de calculs'!$B$24:$AM$69,11,0))</f>
        <v/>
      </c>
      <c r="H12" s="711"/>
      <c r="I12" s="736" t="s">
        <v>599</v>
      </c>
      <c r="J12" s="1455" t="s">
        <v>514</v>
      </c>
      <c r="K12" s="1456"/>
      <c r="L12" s="748"/>
      <c r="M12" s="760"/>
      <c r="N12" s="676"/>
      <c r="O12" s="711"/>
      <c r="P12" s="711"/>
      <c r="Q12" s="647"/>
      <c r="R12" s="700"/>
      <c r="S12" s="676"/>
      <c r="T12" s="750"/>
      <c r="U12" s="676"/>
      <c r="V12" s="676"/>
      <c r="W12" s="676"/>
      <c r="X12" s="676"/>
      <c r="Y12" s="676"/>
      <c r="Z12" s="655"/>
      <c r="AA12" s="656"/>
      <c r="AB12" s="657"/>
      <c r="AC12" s="658"/>
      <c r="AD12" s="673"/>
      <c r="AE12" s="673"/>
      <c r="AF12" s="658"/>
      <c r="AG12" s="658"/>
      <c r="AH12" s="658"/>
      <c r="AI12" s="658"/>
      <c r="AJ12" s="658"/>
      <c r="AK12" s="659"/>
      <c r="AL12" s="659"/>
      <c r="AM12" s="660"/>
      <c r="AN12" s="660"/>
      <c r="AO12" s="660"/>
      <c r="AP12" s="660"/>
      <c r="AQ12" s="660"/>
      <c r="AR12" s="660"/>
      <c r="AS12" s="660"/>
      <c r="AT12" s="660"/>
      <c r="AU12" s="672"/>
      <c r="AV12" s="672"/>
      <c r="AW12" s="672"/>
      <c r="AX12" s="1453" t="s">
        <v>184</v>
      </c>
      <c r="AY12" s="1454"/>
      <c r="AZ12" s="761">
        <f>AZ5-AZ10</f>
        <v>4995.0814651750006</v>
      </c>
      <c r="BA12" s="721">
        <f>AZ12/$AZ$5</f>
        <v>0.46627185282888756</v>
      </c>
      <c r="BB12" s="1465" t="s">
        <v>1415</v>
      </c>
      <c r="BC12" s="1466"/>
      <c r="BD12" s="1466"/>
      <c r="BE12" s="695" t="s">
        <v>204</v>
      </c>
      <c r="BF12" s="752"/>
      <c r="BG12" s="753"/>
    </row>
    <row r="13" spans="1:59" ht="25.35" customHeight="1" x14ac:dyDescent="0.2">
      <c r="A13" s="762" t="s">
        <v>1345</v>
      </c>
      <c r="B13" s="763" t="str">
        <f>IF(B12=1,"Eaux brutes",IF(B12=2,"Eaux claires",IF(B12=3,"Aucun","")))</f>
        <v>Eaux brutes</v>
      </c>
      <c r="C13" s="734"/>
      <c r="D13" s="1490"/>
      <c r="E13" s="1491"/>
      <c r="F13" s="709" t="s">
        <v>213</v>
      </c>
      <c r="G13" s="710" t="str">
        <f>IF(L8="Formule","",HLOOKUP($B$10,'Outils de calculs'!$B$24:$AM$69,10,0))</f>
        <v/>
      </c>
      <c r="H13" s="711"/>
      <c r="I13" s="764" t="s">
        <v>627</v>
      </c>
      <c r="J13" s="765" t="s">
        <v>1837</v>
      </c>
      <c r="K13" s="765"/>
      <c r="L13" s="1109" t="s">
        <v>1836</v>
      </c>
      <c r="M13" s="766" t="str">
        <f>IF(AND(J13="RD1",L13="DN50"),"D1",IF(AND(J13="RD1",L13="DN63"),"D2",IF(AND(J13="RD2",L13="DN50"),"D3",IF(AND(J13="RD2",L13="DN63"),"D4",IF(AND(J13="RD3",L13="DN50"),"D5",IF(AND(J13="RD3",L13="DN63"),"D6",IF(J13="RD4","D9",IF(J13="RD6","D7",IF(J13="RD8","D8","Formule")))))))))</f>
        <v>D3</v>
      </c>
      <c r="N13" s="676"/>
      <c r="O13" s="711"/>
      <c r="P13" s="711"/>
      <c r="Q13" s="647"/>
      <c r="R13" s="700"/>
      <c r="S13" s="676"/>
      <c r="T13" s="750"/>
      <c r="U13" s="676"/>
      <c r="V13" s="676"/>
      <c r="W13" s="676"/>
      <c r="X13" s="676"/>
      <c r="Y13" s="676"/>
      <c r="Z13" s="655"/>
      <c r="AA13" s="656"/>
      <c r="AB13" s="657"/>
      <c r="AC13" s="658"/>
      <c r="AD13" s="673"/>
      <c r="AE13" s="673"/>
      <c r="AF13" s="658"/>
      <c r="AG13" s="658"/>
      <c r="AH13" s="658"/>
      <c r="AI13" s="658"/>
      <c r="AJ13" s="658"/>
      <c r="AK13" s="659"/>
      <c r="AL13" s="659"/>
      <c r="AM13" s="660"/>
      <c r="AN13" s="660"/>
      <c r="AO13" s="660"/>
      <c r="AP13" s="660"/>
      <c r="AQ13" s="660"/>
      <c r="AR13" s="660"/>
      <c r="AS13" s="660"/>
      <c r="AT13" s="660"/>
      <c r="AU13" s="672"/>
      <c r="AV13" s="672"/>
      <c r="AW13" s="672"/>
      <c r="AX13" s="1453" t="s">
        <v>1419</v>
      </c>
      <c r="AY13" s="1454"/>
      <c r="AZ13" s="742">
        <f>AZ12-AZ11</f>
        <v>3050.9257651750004</v>
      </c>
      <c r="BA13" s="704">
        <f>AZ13/$AZ$5</f>
        <v>0.28479231405722433</v>
      </c>
      <c r="BB13" s="1467" t="s">
        <v>1420</v>
      </c>
      <c r="BC13" s="1466"/>
      <c r="BD13" s="1466"/>
      <c r="BE13" s="658"/>
      <c r="BF13" s="658"/>
      <c r="BG13" s="658"/>
    </row>
    <row r="14" spans="1:59" ht="25.35" customHeight="1" x14ac:dyDescent="0.2">
      <c r="A14" s="767" t="s">
        <v>1454</v>
      </c>
      <c r="B14" s="768"/>
      <c r="C14" s="734"/>
      <c r="D14" s="1490"/>
      <c r="E14" s="1491"/>
      <c r="F14" s="769" t="s">
        <v>1276</v>
      </c>
      <c r="G14" s="710" t="str">
        <f>IF(L8="Formule","",HLOOKUP($B$10,'Outils de calculs'!$B$24:$AM$69,4,0))</f>
        <v/>
      </c>
      <c r="H14" s="676"/>
      <c r="I14" s="770" t="s">
        <v>1198</v>
      </c>
      <c r="J14" s="771"/>
      <c r="K14" s="676"/>
      <c r="L14" s="745"/>
      <c r="M14" s="772"/>
      <c r="N14" s="676"/>
      <c r="O14" s="711"/>
      <c r="P14" s="711"/>
      <c r="Q14" s="647"/>
      <c r="R14" s="700"/>
      <c r="S14" s="676"/>
      <c r="T14" s="750"/>
      <c r="U14" s="676"/>
      <c r="V14" s="676"/>
      <c r="W14" s="676"/>
      <c r="X14" s="676"/>
      <c r="Y14" s="676"/>
      <c r="Z14" s="655"/>
      <c r="AA14" s="656"/>
      <c r="AB14" s="657"/>
      <c r="AC14" s="658"/>
      <c r="AD14" s="673"/>
      <c r="AE14" s="673"/>
      <c r="AF14" s="658"/>
      <c r="AG14" s="658"/>
      <c r="AH14" s="658"/>
      <c r="AI14" s="658"/>
      <c r="AJ14" s="658"/>
      <c r="AK14" s="659"/>
      <c r="AL14" s="659"/>
      <c r="AM14" s="660"/>
      <c r="AN14" s="660"/>
      <c r="AO14" s="660"/>
      <c r="AP14" s="660"/>
      <c r="AQ14" s="660"/>
      <c r="AR14" s="660"/>
      <c r="AS14" s="660"/>
      <c r="AT14" s="660"/>
      <c r="AU14" s="672"/>
      <c r="AV14" s="672"/>
      <c r="AW14" s="672"/>
      <c r="AX14" s="773"/>
      <c r="AY14" s="752"/>
      <c r="AZ14" s="753"/>
      <c r="BA14" s="754"/>
      <c r="BB14" s="1372"/>
      <c r="BC14" s="1371"/>
      <c r="BD14" s="1373"/>
      <c r="BE14" s="658"/>
      <c r="BF14" s="658"/>
      <c r="BG14" s="658"/>
    </row>
    <row r="15" spans="1:59" ht="25.35" customHeight="1" x14ac:dyDescent="0.2">
      <c r="A15" s="767" t="s">
        <v>976</v>
      </c>
      <c r="B15" s="768"/>
      <c r="C15" s="734"/>
      <c r="D15" s="774"/>
      <c r="E15" s="775"/>
      <c r="F15" s="769"/>
      <c r="G15" s="710"/>
      <c r="H15" s="647"/>
      <c r="I15" s="770" t="s">
        <v>509</v>
      </c>
      <c r="J15" s="771" t="s">
        <v>564</v>
      </c>
      <c r="K15" s="771"/>
      <c r="L15" s="765"/>
      <c r="M15" s="776"/>
      <c r="N15" s="735"/>
      <c r="O15" s="676"/>
      <c r="P15" s="676"/>
      <c r="Q15" s="711"/>
      <c r="R15" s="652"/>
      <c r="S15" s="647"/>
      <c r="T15" s="750"/>
      <c r="U15" s="676"/>
      <c r="V15" s="777" t="s">
        <v>1459</v>
      </c>
      <c r="W15" s="676"/>
      <c r="X15" s="676"/>
      <c r="Y15" s="676"/>
      <c r="Z15" s="655"/>
      <c r="AA15" s="656"/>
      <c r="AB15" s="657"/>
      <c r="AC15" s="658"/>
      <c r="AD15" s="673"/>
      <c r="AE15" s="673"/>
      <c r="AF15" s="658"/>
      <c r="AG15" s="658"/>
      <c r="AH15" s="658"/>
      <c r="AI15" s="658"/>
      <c r="AJ15" s="658"/>
      <c r="AK15" s="659"/>
      <c r="AL15" s="659"/>
      <c r="AM15" s="660"/>
      <c r="AN15" s="660"/>
      <c r="AO15" s="660"/>
      <c r="AP15" s="660"/>
      <c r="AQ15" s="660"/>
      <c r="AR15" s="660"/>
      <c r="AS15" s="660"/>
      <c r="AT15" s="660"/>
      <c r="AU15" s="672"/>
      <c r="AV15" s="672"/>
      <c r="AW15" s="672"/>
      <c r="AX15" s="1444" t="s">
        <v>1078</v>
      </c>
      <c r="AY15" s="1444"/>
      <c r="AZ15" s="1444"/>
      <c r="BA15" s="1445"/>
      <c r="BB15" s="1372"/>
      <c r="BC15" s="1371"/>
      <c r="BD15" s="1373"/>
      <c r="BE15" s="658"/>
      <c r="BF15" s="658"/>
      <c r="BG15" s="658"/>
    </row>
    <row r="16" spans="1:59" ht="25.35" customHeight="1" x14ac:dyDescent="0.2">
      <c r="A16" s="767" t="s">
        <v>1453</v>
      </c>
      <c r="B16" s="768"/>
      <c r="C16" s="734"/>
      <c r="D16" s="774"/>
      <c r="E16" s="775"/>
      <c r="F16" s="769" t="s">
        <v>1278</v>
      </c>
      <c r="G16" s="710">
        <f>IFERROR(HLOOKUP($B$10,'Outils de calculs'!$B$24:$AM$69,2,0),"")</f>
        <v>10</v>
      </c>
      <c r="H16" s="647"/>
      <c r="I16" s="770" t="s">
        <v>570</v>
      </c>
      <c r="J16" s="771" t="s">
        <v>1827</v>
      </c>
      <c r="K16" s="778"/>
      <c r="L16" s="778"/>
      <c r="M16" s="779"/>
      <c r="N16" s="745"/>
      <c r="O16" s="676"/>
      <c r="P16" s="676"/>
      <c r="Q16" s="711"/>
      <c r="R16" s="652"/>
      <c r="S16" s="1087" t="s">
        <v>1667</v>
      </c>
      <c r="T16" s="781">
        <f>SUM(U16:X16)</f>
        <v>0</v>
      </c>
      <c r="U16" s="782"/>
      <c r="V16" s="783"/>
      <c r="W16" s="784">
        <f>P9*A12/2</f>
        <v>0</v>
      </c>
      <c r="X16" s="785">
        <f>B14*P8</f>
        <v>0</v>
      </c>
      <c r="Y16" s="676"/>
      <c r="Z16" s="655"/>
      <c r="AA16" s="796" t="str">
        <f>IF(T16=0,"","Préparation du chantier (piquetage, niveaux)")</f>
        <v/>
      </c>
      <c r="AB16" s="657"/>
      <c r="AC16" s="658"/>
      <c r="AD16" s="673"/>
      <c r="AE16" s="673"/>
      <c r="AF16" s="781">
        <v>0</v>
      </c>
      <c r="AG16" s="782"/>
      <c r="AH16" s="783"/>
      <c r="AI16" s="784">
        <v>0</v>
      </c>
      <c r="AJ16" s="785">
        <v>0</v>
      </c>
      <c r="AK16" s="659"/>
      <c r="AL16" s="659"/>
      <c r="AM16" s="660"/>
      <c r="AN16" s="660"/>
      <c r="AO16" s="660"/>
      <c r="AP16" s="660"/>
      <c r="AQ16" s="660"/>
      <c r="AR16" s="660"/>
      <c r="AS16" s="660"/>
      <c r="AT16" s="660"/>
      <c r="AU16" s="672"/>
      <c r="AV16" s="672"/>
      <c r="AW16" s="672"/>
      <c r="AX16" s="1470" t="s">
        <v>1803</v>
      </c>
      <c r="AY16" s="1471"/>
      <c r="AZ16" s="761">
        <f>U85-AZ7</f>
        <v>6458.0462518000013</v>
      </c>
      <c r="BA16" s="721">
        <f>AZ16/$AZ$5</f>
        <v>0.60283405035035653</v>
      </c>
      <c r="BB16" s="1467" t="s">
        <v>1416</v>
      </c>
      <c r="BC16" s="1466"/>
      <c r="BD16" s="1466"/>
      <c r="BE16" s="658"/>
      <c r="BF16" s="658"/>
      <c r="BG16" s="658"/>
    </row>
    <row r="17" spans="1:59" ht="25.35" customHeight="1" x14ac:dyDescent="0.2">
      <c r="A17" s="786" t="s">
        <v>1456</v>
      </c>
      <c r="B17" s="787"/>
      <c r="C17" s="734"/>
      <c r="D17" s="745"/>
      <c r="E17" s="711"/>
      <c r="F17" s="769" t="s">
        <v>1277</v>
      </c>
      <c r="G17" s="788" t="str">
        <f>IFERROR(G12*G13,"")</f>
        <v/>
      </c>
      <c r="H17" s="647"/>
      <c r="I17" s="789" t="s">
        <v>1283</v>
      </c>
      <c r="J17" s="790">
        <f>IF(J18=0.45,0.5,IF(J18=0.9,2,0))</f>
        <v>0</v>
      </c>
      <c r="K17" s="778"/>
      <c r="L17" s="778"/>
      <c r="M17" s="779"/>
      <c r="N17" s="745"/>
      <c r="O17" s="676"/>
      <c r="P17" s="676"/>
      <c r="Q17" s="711"/>
      <c r="R17" s="652"/>
      <c r="S17" s="780" t="s">
        <v>1666</v>
      </c>
      <c r="T17" s="781">
        <f>SUM(U17:X17)</f>
        <v>338.589859375</v>
      </c>
      <c r="U17" s="782"/>
      <c r="V17" s="783"/>
      <c r="W17" s="784">
        <f>P9*BG6</f>
        <v>338.589859375</v>
      </c>
      <c r="X17" s="785"/>
      <c r="Y17" s="647"/>
      <c r="Z17" s="655"/>
      <c r="AA17" s="1105" t="s">
        <v>1686</v>
      </c>
      <c r="AB17" s="657"/>
      <c r="AC17" s="658"/>
      <c r="AD17" s="673"/>
      <c r="AE17" s="673"/>
      <c r="AF17" s="781">
        <v>363.64132421875001</v>
      </c>
      <c r="AG17" s="782"/>
      <c r="AH17" s="783"/>
      <c r="AI17" s="784">
        <v>363.64132421875001</v>
      </c>
      <c r="AJ17" s="785"/>
      <c r="AK17" s="659"/>
      <c r="AL17" s="659"/>
      <c r="AM17" s="660"/>
      <c r="AN17" s="660"/>
      <c r="AO17" s="660"/>
      <c r="AP17" s="660"/>
      <c r="AQ17" s="660"/>
      <c r="AR17" s="660"/>
      <c r="AS17" s="660"/>
      <c r="AT17" s="660"/>
      <c r="AU17" s="672"/>
      <c r="AV17" s="672"/>
      <c r="AW17" s="672"/>
      <c r="AX17" s="1472" t="s">
        <v>1801</v>
      </c>
      <c r="AY17" s="1386" t="s">
        <v>1799</v>
      </c>
      <c r="AZ17" s="742">
        <f>AZ6</f>
        <v>1880.79</v>
      </c>
      <c r="BA17" s="704">
        <f>AZ17/AZ16</f>
        <v>0.29123204242703926</v>
      </c>
      <c r="BB17" s="1465" t="s">
        <v>1732</v>
      </c>
      <c r="BC17" s="1466"/>
      <c r="BD17" s="1466"/>
      <c r="BE17" s="658"/>
      <c r="BF17" s="658"/>
      <c r="BG17" s="658"/>
    </row>
    <row r="18" spans="1:59" ht="25.35" customHeight="1" x14ac:dyDescent="0.2">
      <c r="A18" s="786" t="s">
        <v>1457</v>
      </c>
      <c r="B18" s="787"/>
      <c r="C18" s="793"/>
      <c r="D18" s="676"/>
      <c r="E18" s="676"/>
      <c r="F18" s="769" t="s">
        <v>1279</v>
      </c>
      <c r="G18" s="710">
        <f>IFERROR(G11+G14,IFERROR(G11,""))</f>
        <v>13</v>
      </c>
      <c r="H18" s="668"/>
      <c r="I18" s="789" t="s">
        <v>1281</v>
      </c>
      <c r="J18" s="790" t="str">
        <f>IF(K9="",IF(K8="FV3",0.9,IF(K8="FV4",0.9,IF(J8="FVB3",0.9,IF(K8="FV5",0.45,IF(K8="FV6",0.45,IF(J8="FVB2",0.45,"Formule")))))),0.45)</f>
        <v>Formule</v>
      </c>
      <c r="K18" s="794"/>
      <c r="L18" s="794"/>
      <c r="M18" s="772"/>
      <c r="N18" s="676"/>
      <c r="O18" s="676"/>
      <c r="P18" s="676"/>
      <c r="Q18" s="664"/>
      <c r="R18" s="670"/>
      <c r="S18" s="780" t="s">
        <v>1458</v>
      </c>
      <c r="T18" s="781">
        <f>SUM(U18:X18)</f>
        <v>0</v>
      </c>
      <c r="U18" s="782"/>
      <c r="V18" s="783"/>
      <c r="W18" s="784"/>
      <c r="X18" s="785">
        <f>B16*P10</f>
        <v>0</v>
      </c>
      <c r="Y18" s="795"/>
      <c r="Z18" s="671"/>
      <c r="AA18" s="796" t="str">
        <f>IF(T18=0,"","Abbatage des arbres de la zone d'assainissement")</f>
        <v/>
      </c>
      <c r="AB18" s="684"/>
      <c r="AC18" s="672"/>
      <c r="AD18" s="673"/>
      <c r="AE18" s="797"/>
      <c r="AF18" s="781">
        <v>0</v>
      </c>
      <c r="AG18" s="782"/>
      <c r="AH18" s="783"/>
      <c r="AI18" s="784"/>
      <c r="AJ18" s="785">
        <v>0</v>
      </c>
      <c r="AK18" s="690"/>
      <c r="AL18" s="690"/>
      <c r="AM18" s="660"/>
      <c r="AN18" s="660"/>
      <c r="AO18" s="660"/>
      <c r="AP18" s="660"/>
      <c r="AQ18" s="660"/>
      <c r="AR18" s="660"/>
      <c r="AS18" s="660"/>
      <c r="AT18" s="660"/>
      <c r="AU18" s="672"/>
      <c r="AV18" s="672"/>
      <c r="AW18" s="672"/>
      <c r="AX18" s="1473"/>
      <c r="AY18" s="1383" t="s">
        <v>1802</v>
      </c>
      <c r="AZ18" s="761">
        <f>AZ16-AZ19-AZ17</f>
        <v>3086.9378860000006</v>
      </c>
      <c r="BA18" s="721">
        <f>AZ18/$AZ$5</f>
        <v>0.28815390854140605</v>
      </c>
      <c r="BB18" s="1467" t="s">
        <v>1416</v>
      </c>
      <c r="BC18" s="1466"/>
      <c r="BD18" s="1466"/>
      <c r="BE18" s="658"/>
      <c r="BF18" s="658"/>
      <c r="BG18" s="658"/>
    </row>
    <row r="19" spans="1:59" ht="22.5" x14ac:dyDescent="0.2">
      <c r="A19" s="799" t="s">
        <v>1455</v>
      </c>
      <c r="B19" s="800">
        <f>IF(B20=1,1,IF(B20=2,1.25,IF(B20=3,1.5,IF(B20=4,1.75,IF(B20=5,2,1)))))</f>
        <v>1</v>
      </c>
      <c r="C19" s="801"/>
      <c r="D19" s="745"/>
      <c r="E19" s="711"/>
      <c r="F19" s="650"/>
      <c r="G19" s="711"/>
      <c r="H19" s="711"/>
      <c r="I19" s="789" t="s">
        <v>1287</v>
      </c>
      <c r="J19" s="790"/>
      <c r="K19" s="802"/>
      <c r="L19" s="711"/>
      <c r="M19" s="779"/>
      <c r="N19" s="745"/>
      <c r="O19" s="664"/>
      <c r="P19" s="664"/>
      <c r="Q19" s="711"/>
      <c r="R19" s="652"/>
      <c r="S19" s="780" t="s">
        <v>400</v>
      </c>
      <c r="T19" s="781">
        <f>SUM(U19:X19)</f>
        <v>0</v>
      </c>
      <c r="U19" s="782"/>
      <c r="V19" s="783"/>
      <c r="W19" s="784"/>
      <c r="X19" s="785">
        <f>B14*0.2*P10+B15*0.025*P10</f>
        <v>0</v>
      </c>
      <c r="Y19" s="795"/>
      <c r="Z19" s="655"/>
      <c r="AA19" s="796" t="str">
        <f>IF(T19=0,"","Déssouchage")</f>
        <v/>
      </c>
      <c r="AB19" s="1081" t="s">
        <v>1586</v>
      </c>
      <c r="AC19" s="803"/>
      <c r="AD19" s="804"/>
      <c r="AE19" s="804"/>
      <c r="AF19" s="781">
        <v>0</v>
      </c>
      <c r="AG19" s="782"/>
      <c r="AH19" s="783"/>
      <c r="AI19" s="784"/>
      <c r="AJ19" s="785">
        <v>0</v>
      </c>
      <c r="AK19" s="659"/>
      <c r="AL19" s="659"/>
      <c r="AM19" s="660"/>
      <c r="AN19" s="660"/>
      <c r="AO19" s="660"/>
      <c r="AP19" s="660"/>
      <c r="AQ19" s="660"/>
      <c r="AR19" s="660"/>
      <c r="AS19" s="660"/>
      <c r="AT19" s="660"/>
      <c r="AU19" s="672"/>
      <c r="AV19" s="672"/>
      <c r="AW19" s="672"/>
      <c r="AX19" s="1474"/>
      <c r="AY19" s="1218" t="s">
        <v>8</v>
      </c>
      <c r="AZ19" s="742">
        <f>(AZ16)-(AZ16)/(1+P11)</f>
        <v>1490.3183658000007</v>
      </c>
      <c r="BA19" s="704">
        <f>AZ19/$AZ$5</f>
        <v>0.13911555008085155</v>
      </c>
      <c r="BB19" s="1467" t="s">
        <v>1416</v>
      </c>
      <c r="BC19" s="1466"/>
      <c r="BD19" s="1466"/>
      <c r="BE19" s="689"/>
      <c r="BF19" s="689"/>
      <c r="BG19" s="689"/>
    </row>
    <row r="20" spans="1:59" ht="25.35" customHeight="1" thickBot="1" x14ac:dyDescent="0.25">
      <c r="A20" s="805"/>
      <c r="B20" s="806">
        <v>1</v>
      </c>
      <c r="C20" s="807"/>
      <c r="D20" s="808"/>
      <c r="E20" s="808"/>
      <c r="F20" s="809"/>
      <c r="G20" s="808"/>
      <c r="H20" s="808"/>
      <c r="I20" s="810" t="s">
        <v>670</v>
      </c>
      <c r="J20" s="1133" t="s">
        <v>1166</v>
      </c>
      <c r="K20" s="811"/>
      <c r="L20" s="812"/>
      <c r="M20" s="813"/>
      <c r="N20" s="814"/>
      <c r="O20" s="1141"/>
      <c r="P20" s="1141"/>
      <c r="Q20" s="814"/>
      <c r="R20" s="815"/>
      <c r="S20" s="780" t="s">
        <v>1474</v>
      </c>
      <c r="T20" s="781">
        <f>SUM(U20:X20)</f>
        <v>0</v>
      </c>
      <c r="U20" s="782"/>
      <c r="V20" s="783"/>
      <c r="W20" s="784"/>
      <c r="X20" s="816">
        <f>B17*0.35*P10</f>
        <v>0</v>
      </c>
      <c r="Y20" s="795"/>
      <c r="Z20" s="655"/>
      <c r="AA20" s="796" t="str">
        <f>IF(AB20=0,"","Terrassement supplémentaire")</f>
        <v/>
      </c>
      <c r="AB20" s="817">
        <f>B17</f>
        <v>0</v>
      </c>
      <c r="AC20" s="817" t="s">
        <v>1585</v>
      </c>
      <c r="AD20" s="818"/>
      <c r="AE20" s="818"/>
      <c r="AF20" s="781">
        <v>0</v>
      </c>
      <c r="AG20" s="782"/>
      <c r="AH20" s="783"/>
      <c r="AI20" s="784"/>
      <c r="AJ20" s="816">
        <v>0</v>
      </c>
      <c r="AK20" s="819"/>
      <c r="AL20" s="819"/>
      <c r="AM20" s="820"/>
      <c r="AN20" s="820"/>
      <c r="AO20" s="820"/>
      <c r="AP20" s="820"/>
      <c r="AQ20" s="820"/>
      <c r="AR20" s="820"/>
      <c r="AS20" s="820"/>
      <c r="AT20" s="820"/>
      <c r="AU20" s="672"/>
      <c r="AV20" s="672"/>
      <c r="AW20" s="672"/>
      <c r="AX20" s="1384"/>
      <c r="AY20" s="1385"/>
      <c r="AZ20" s="753"/>
      <c r="BA20" s="754"/>
      <c r="BB20" s="1372"/>
      <c r="BC20" s="1371"/>
      <c r="BD20" s="1373"/>
      <c r="BE20" s="658"/>
      <c r="BF20" s="658"/>
      <c r="BG20" s="658"/>
    </row>
    <row r="21" spans="1:59" ht="25.35" customHeight="1" thickTop="1" x14ac:dyDescent="0.2">
      <c r="A21" s="814"/>
      <c r="B21" s="1142"/>
      <c r="C21" s="1143"/>
      <c r="D21" s="814"/>
      <c r="E21" s="814"/>
      <c r="F21" s="1144"/>
      <c r="G21" s="814"/>
      <c r="H21" s="814"/>
      <c r="I21" s="1145"/>
      <c r="J21" s="745"/>
      <c r="K21" s="1143"/>
      <c r="L21" s="814"/>
      <c r="M21" s="814"/>
      <c r="N21" s="814"/>
      <c r="O21" s="1141"/>
      <c r="P21" s="1141"/>
      <c r="Q21" s="814"/>
      <c r="R21" s="815"/>
      <c r="S21" s="780" t="s">
        <v>1668</v>
      </c>
      <c r="T21" s="781">
        <v>200</v>
      </c>
      <c r="U21" s="782"/>
      <c r="V21" s="783"/>
      <c r="W21" s="784">
        <v>50</v>
      </c>
      <c r="X21" s="816">
        <v>150</v>
      </c>
      <c r="Y21" s="795"/>
      <c r="Z21" s="655"/>
      <c r="AA21" s="796" t="str">
        <f>IF(T21=0,"","Préparation du terrain et remise en place des terres (l'engazonnement des zones terrassées doit faire l'objet d'un devis annexe)")</f>
        <v>Préparation du terrain et remise en place des terres (l'engazonnement des zones terrassées doit faire l'objet d'un devis annexe)</v>
      </c>
      <c r="AB21" s="657"/>
      <c r="AC21" s="658"/>
      <c r="AD21" s="818"/>
      <c r="AE21" s="818"/>
      <c r="AF21" s="781">
        <v>200</v>
      </c>
      <c r="AG21" s="782"/>
      <c r="AH21" s="783"/>
      <c r="AI21" s="784">
        <v>50</v>
      </c>
      <c r="AJ21" s="816">
        <v>150</v>
      </c>
      <c r="AK21" s="819"/>
      <c r="AL21" s="819"/>
      <c r="AM21" s="820"/>
      <c r="AN21" s="820"/>
      <c r="AO21" s="820"/>
      <c r="AP21" s="820"/>
      <c r="AQ21" s="820"/>
      <c r="AR21" s="820"/>
      <c r="AS21" s="820"/>
      <c r="AT21" s="820"/>
      <c r="AU21" s="672"/>
      <c r="AV21" s="672"/>
      <c r="AW21" s="672"/>
      <c r="AX21" s="1444" t="s">
        <v>1798</v>
      </c>
      <c r="AY21" s="1444"/>
      <c r="AZ21" s="1444"/>
      <c r="BA21" s="1445"/>
      <c r="BB21" s="1372"/>
      <c r="BC21" s="1371"/>
      <c r="BD21" s="1371"/>
      <c r="BE21" s="658"/>
      <c r="BF21" s="658"/>
      <c r="BG21" s="658"/>
    </row>
    <row r="22" spans="1:59" ht="25.35" customHeight="1" x14ac:dyDescent="0.2">
      <c r="A22" s="821"/>
      <c r="B22" s="822"/>
      <c r="C22" s="823"/>
      <c r="D22" s="745"/>
      <c r="E22" s="745"/>
      <c r="F22" s="824"/>
      <c r="G22" s="745"/>
      <c r="H22" s="745"/>
      <c r="I22" s="824"/>
      <c r="J22" s="684"/>
      <c r="K22" s="745"/>
      <c r="L22" s="745"/>
      <c r="M22" s="745"/>
      <c r="N22" s="745"/>
      <c r="O22" s="745"/>
      <c r="P22" s="745"/>
      <c r="Q22" s="651"/>
      <c r="R22" s="652"/>
      <c r="S22" s="780" t="s">
        <v>1455</v>
      </c>
      <c r="T22" s="781">
        <f>SUM(U22:X22)</f>
        <v>0</v>
      </c>
      <c r="U22" s="782"/>
      <c r="V22" s="783"/>
      <c r="W22" s="784"/>
      <c r="X22" s="816">
        <f>IFERROR((B19-1)*(X38+X47+X55+X25+X60+X65+X72+X79+X83+X19+X20+X21+X18),"")</f>
        <v>0</v>
      </c>
      <c r="Y22" s="795"/>
      <c r="Z22" s="655"/>
      <c r="AA22" s="796" t="str">
        <f>IF(T22=0,"","Coefficient d'accessibilité (passages étroits, terrains rocheux et/ou pentu, accès livraison difficile")</f>
        <v/>
      </c>
      <c r="AB22" s="825"/>
      <c r="AC22" s="826"/>
      <c r="AD22" s="826"/>
      <c r="AE22" s="658"/>
      <c r="AF22" s="781">
        <v>364.6875</v>
      </c>
      <c r="AG22" s="782"/>
      <c r="AH22" s="783"/>
      <c r="AI22" s="784"/>
      <c r="AJ22" s="816">
        <v>364.6875</v>
      </c>
      <c r="AK22" s="658"/>
      <c r="AL22" s="658"/>
      <c r="AM22" s="672"/>
      <c r="AN22" s="672"/>
      <c r="AO22" s="672"/>
      <c r="AP22" s="672"/>
      <c r="AQ22" s="672"/>
      <c r="AR22" s="672"/>
      <c r="AS22" s="672"/>
      <c r="AT22" s="672"/>
      <c r="AU22" s="672"/>
      <c r="AV22" s="672"/>
      <c r="AW22" s="672"/>
      <c r="AX22" s="1108" t="s">
        <v>632</v>
      </c>
      <c r="AY22" s="792" t="s">
        <v>445</v>
      </c>
      <c r="AZ22" s="742">
        <f>V85</f>
        <v>665.78700000000003</v>
      </c>
      <c r="BA22" s="704">
        <f>AZ22/$AZ$5</f>
        <v>6.2148683708907346E-2</v>
      </c>
      <c r="BB22" s="1372" t="s">
        <v>1416</v>
      </c>
      <c r="BC22" s="1371"/>
      <c r="BD22" s="1371"/>
      <c r="BE22" s="658"/>
      <c r="BF22" s="658"/>
      <c r="BG22" s="658"/>
    </row>
    <row r="23" spans="1:59" ht="33.6" customHeight="1" x14ac:dyDescent="0.2">
      <c r="A23" s="1498" t="s">
        <v>1633</v>
      </c>
      <c r="B23" s="827"/>
      <c r="C23" s="828"/>
      <c r="D23" s="690"/>
      <c r="E23" s="690"/>
      <c r="F23" s="829"/>
      <c r="G23" s="690"/>
      <c r="H23" s="690"/>
      <c r="I23" s="829"/>
      <c r="J23" s="690"/>
      <c r="K23" s="690"/>
      <c r="L23" s="690"/>
      <c r="M23" s="690"/>
      <c r="N23" s="689"/>
      <c r="O23" s="690"/>
      <c r="P23" s="690"/>
      <c r="Q23" s="711"/>
      <c r="R23" s="652"/>
      <c r="S23" s="830" t="s">
        <v>144</v>
      </c>
      <c r="T23" s="831">
        <f>SUM(U23:X23)</f>
        <v>538.58985937500006</v>
      </c>
      <c r="U23" s="832">
        <f>SUM(U16:U22)</f>
        <v>0</v>
      </c>
      <c r="V23" s="833">
        <f>SUM(V18:V22)</f>
        <v>0</v>
      </c>
      <c r="W23" s="834">
        <f>SUM(W16:W22)</f>
        <v>388.589859375</v>
      </c>
      <c r="X23" s="835">
        <f>SUM(X18:X22)</f>
        <v>150</v>
      </c>
      <c r="Y23" s="795"/>
      <c r="Z23" s="836"/>
      <c r="AA23" s="1082" t="s">
        <v>1673</v>
      </c>
      <c r="AB23" s="838"/>
      <c r="AC23" s="838"/>
      <c r="AD23" s="838"/>
      <c r="AE23" s="804"/>
      <c r="AF23" s="831">
        <v>928.32882421875001</v>
      </c>
      <c r="AG23" s="832">
        <v>0</v>
      </c>
      <c r="AH23" s="833">
        <v>0</v>
      </c>
      <c r="AI23" s="834">
        <v>413.64132421875001</v>
      </c>
      <c r="AJ23" s="835">
        <v>514.6875</v>
      </c>
      <c r="AK23" s="659"/>
      <c r="AL23" s="659"/>
      <c r="AM23" s="660"/>
      <c r="AN23" s="660"/>
      <c r="AO23" s="660"/>
      <c r="AP23" s="660"/>
      <c r="AQ23" s="660"/>
      <c r="AR23" s="660"/>
      <c r="AS23" s="660"/>
      <c r="AT23" s="660"/>
      <c r="AU23" s="672"/>
      <c r="AV23" s="672"/>
      <c r="AW23" s="672"/>
      <c r="AX23" s="1108" t="s">
        <v>633</v>
      </c>
      <c r="AY23" s="792" t="s">
        <v>445</v>
      </c>
      <c r="AZ23" s="742">
        <f>W85</f>
        <v>1359.5225</v>
      </c>
      <c r="BA23" s="721">
        <f>AZ23/$AZ$5</f>
        <v>0.12690625357305413</v>
      </c>
      <c r="BB23" s="1372" t="s">
        <v>1416</v>
      </c>
      <c r="BC23" s="1371"/>
      <c r="BD23" s="1371"/>
      <c r="BE23" s="658"/>
      <c r="BF23" s="658"/>
      <c r="BG23" s="658"/>
    </row>
    <row r="24" spans="1:59" ht="38.1" customHeight="1" x14ac:dyDescent="0.2">
      <c r="A24" s="1498"/>
      <c r="B24" s="839" t="s">
        <v>235</v>
      </c>
      <c r="C24" s="840"/>
      <c r="D24" s="1488" t="s">
        <v>624</v>
      </c>
      <c r="E24" s="1488"/>
      <c r="F24" s="1488"/>
      <c r="G24" s="841"/>
      <c r="H24" s="842"/>
      <c r="I24" s="843"/>
      <c r="J24" s="842"/>
      <c r="K24" s="1355" t="s">
        <v>1389</v>
      </c>
      <c r="L24" s="842"/>
      <c r="M24" s="842"/>
      <c r="N24" s="844"/>
      <c r="O24" s="1450" t="s">
        <v>1197</v>
      </c>
      <c r="P24" s="1450"/>
      <c r="Q24" s="745"/>
      <c r="R24" s="652"/>
      <c r="S24" s="672"/>
      <c r="T24" s="845"/>
      <c r="U24" s="845"/>
      <c r="V24" s="845"/>
      <c r="W24" s="845"/>
      <c r="X24" s="845"/>
      <c r="Y24" s="795"/>
      <c r="Z24" s="655"/>
      <c r="AA24" s="846" t="s">
        <v>1581</v>
      </c>
      <c r="AB24" s="657"/>
      <c r="AC24" s="658"/>
      <c r="AD24" s="822"/>
      <c r="AE24" s="822"/>
      <c r="AF24" s="845"/>
      <c r="AG24" s="845"/>
      <c r="AH24" s="845"/>
      <c r="AI24" s="845"/>
      <c r="AJ24" s="845"/>
      <c r="AK24" s="658"/>
      <c r="AL24" s="658"/>
      <c r="AM24" s="672"/>
      <c r="AN24" s="672"/>
      <c r="AO24" s="672"/>
      <c r="AP24" s="672"/>
      <c r="AQ24" s="672"/>
      <c r="AR24" s="672"/>
      <c r="AS24" s="672"/>
      <c r="AT24" s="672"/>
      <c r="AU24" s="672"/>
      <c r="AV24" s="672"/>
      <c r="AW24" s="672"/>
      <c r="AX24" s="1108" t="s">
        <v>4</v>
      </c>
      <c r="AY24" s="792" t="s">
        <v>445</v>
      </c>
      <c r="AZ24" s="742">
        <f>X85</f>
        <v>1214.95</v>
      </c>
      <c r="BA24" s="704">
        <f>AZ24/$AZ$5</f>
        <v>0.11341096067081059</v>
      </c>
      <c r="BB24" s="1372" t="s">
        <v>1416</v>
      </c>
      <c r="BC24" s="1371"/>
      <c r="BD24" s="1371"/>
      <c r="BE24" s="658"/>
      <c r="BF24" s="658"/>
      <c r="BG24" s="658"/>
    </row>
    <row r="25" spans="1:59" ht="41.1" customHeight="1" x14ac:dyDescent="0.2">
      <c r="A25" s="1498"/>
      <c r="B25" s="848" t="s">
        <v>1324</v>
      </c>
      <c r="C25" s="849"/>
      <c r="D25" s="647"/>
      <c r="E25" s="711"/>
      <c r="F25" s="850"/>
      <c r="G25" s="851"/>
      <c r="H25" s="852"/>
      <c r="I25" s="852"/>
      <c r="J25" s="852"/>
      <c r="K25" s="852"/>
      <c r="L25" s="852"/>
      <c r="M25" s="852"/>
      <c r="N25" s="745"/>
      <c r="O25" s="711"/>
      <c r="P25" s="711"/>
      <c r="Q25" s="647"/>
      <c r="R25" s="652"/>
      <c r="S25" s="853" t="s">
        <v>670</v>
      </c>
      <c r="T25" s="854">
        <f>IFERROR(VLOOKUP($J$20,'Tableau de prix'!$A$4:$X$119,HLOOKUP($B$10,'Tableau de prix'!$G$1:$X$83,2,0),0),0)</f>
        <v>458.31799999999998</v>
      </c>
      <c r="U25" s="855">
        <f>IFERROR(VLOOKUP($J$20,' BILAN MA'!$A$4:$W$112,HLOOKUP($B$10,' BILAN MA'!$F$1:$W$83,2,0),0),0)</f>
        <v>432.84800000000001</v>
      </c>
      <c r="V25" s="856">
        <f>IFERROR(VLOOKUP($J$20,'BILAN MOA'!$A$4:$W$112,HLOOKUP($B$10,'BILAN MOA'!$F$1:$W$83,2,0),0),0)</f>
        <v>7.2</v>
      </c>
      <c r="W25" s="857">
        <f>IFERROR(VLOOKUP($J$20,'BILAN MOC'!$A$4:$W$112,HLOOKUP($B$10,'BILAN MOC'!$F$1:$W$83,2,0),0),0)</f>
        <v>18.27</v>
      </c>
      <c r="X25" s="858">
        <f>IFERROR(VLOOKUP($J$20,' BILAN MP'!$A$4:$W$112,HLOOKUP($B$10,' BILAN MP'!$F$1:$W$83,2,0),0),0)</f>
        <v>0</v>
      </c>
      <c r="Y25" s="795"/>
      <c r="Z25" s="859" t="str">
        <f>IF(J20="","",J20)</f>
        <v>PS1</v>
      </c>
      <c r="AA25" s="860" t="str">
        <f>IFERROR(VLOOKUP(Z25,'Tableau de prix'!$A$1:$AA$102,26,0),"")</f>
        <v>Protection sanitaire FV : caillebotis piétons en acier galvanisé</v>
      </c>
      <c r="AB25" s="657"/>
      <c r="AC25" s="658"/>
      <c r="AD25" s="658"/>
      <c r="AE25" s="658"/>
      <c r="AF25" s="854">
        <v>458.31799999999998</v>
      </c>
      <c r="AG25" s="855">
        <v>432.84800000000001</v>
      </c>
      <c r="AH25" s="856">
        <v>7.2</v>
      </c>
      <c r="AI25" s="857">
        <v>18.27</v>
      </c>
      <c r="AJ25" s="858">
        <v>0</v>
      </c>
      <c r="AK25" s="659"/>
      <c r="AL25" s="659"/>
      <c r="AM25" s="660"/>
      <c r="AN25" s="660"/>
      <c r="AO25" s="660"/>
      <c r="AP25" s="660"/>
      <c r="AQ25" s="660"/>
      <c r="AR25" s="660"/>
      <c r="AS25" s="660"/>
      <c r="AT25" s="660"/>
      <c r="AU25" s="672"/>
      <c r="AV25" s="672"/>
      <c r="AW25" s="672"/>
      <c r="AX25" s="1461" t="s">
        <v>1796</v>
      </c>
      <c r="AY25" s="1454"/>
      <c r="AZ25" s="742">
        <f>SUM(AZ22:AZ24)</f>
        <v>3240.2595000000001</v>
      </c>
      <c r="BA25" s="721">
        <f>AZ25/$AZ$5</f>
        <v>0.30246589795277207</v>
      </c>
      <c r="BB25" s="1372" t="s">
        <v>1416</v>
      </c>
      <c r="BC25" s="1371"/>
      <c r="BD25" s="1371"/>
      <c r="BE25" s="658"/>
      <c r="BF25" s="658"/>
      <c r="BG25" s="658"/>
    </row>
    <row r="26" spans="1:59" ht="2.85" customHeight="1" x14ac:dyDescent="0.2">
      <c r="A26" s="1498"/>
      <c r="B26" s="861"/>
      <c r="C26" s="849"/>
      <c r="D26" s="647"/>
      <c r="E26" s="711"/>
      <c r="F26" s="850"/>
      <c r="G26" s="851"/>
      <c r="H26" s="852"/>
      <c r="I26" s="852"/>
      <c r="J26" s="852"/>
      <c r="K26" s="852"/>
      <c r="L26" s="852"/>
      <c r="M26" s="852"/>
      <c r="N26" s="745"/>
      <c r="O26" s="711"/>
      <c r="P26" s="711"/>
      <c r="Q26" s="647"/>
      <c r="R26" s="652"/>
      <c r="S26" s="853"/>
      <c r="T26" s="862"/>
      <c r="U26" s="863"/>
      <c r="V26" s="864"/>
      <c r="W26" s="865"/>
      <c r="X26" s="866"/>
      <c r="Y26" s="795"/>
      <c r="Z26" s="859"/>
      <c r="AA26" s="1088" t="str">
        <f>IF(AA25="","","a")</f>
        <v>a</v>
      </c>
      <c r="AB26" s="657"/>
      <c r="AC26" s="658"/>
      <c r="AD26" s="658"/>
      <c r="AE26" s="658"/>
      <c r="AF26" s="862"/>
      <c r="AG26" s="863"/>
      <c r="AH26" s="864"/>
      <c r="AI26" s="865"/>
      <c r="AJ26" s="866"/>
      <c r="AK26" s="659"/>
      <c r="AL26" s="659"/>
      <c r="AM26" s="660"/>
      <c r="AN26" s="660"/>
      <c r="AO26" s="660"/>
      <c r="AP26" s="660"/>
      <c r="AQ26" s="660"/>
      <c r="AR26" s="660"/>
      <c r="AS26" s="660"/>
      <c r="AT26" s="660"/>
      <c r="AU26" s="672"/>
      <c r="AV26" s="672"/>
      <c r="AW26" s="672"/>
      <c r="AX26" s="658"/>
      <c r="AY26" s="658"/>
      <c r="AZ26" s="658"/>
      <c r="BA26" s="658"/>
      <c r="BB26" s="1372"/>
      <c r="BC26" s="1371"/>
      <c r="BD26" s="1373"/>
      <c r="BE26" s="658"/>
      <c r="BF26" s="658"/>
      <c r="BG26" s="658"/>
    </row>
    <row r="27" spans="1:59" ht="2.1" customHeight="1" thickBot="1" x14ac:dyDescent="0.25">
      <c r="A27" s="1498"/>
      <c r="B27" s="861"/>
      <c r="C27" s="868"/>
      <c r="D27" s="868"/>
      <c r="E27" s="868"/>
      <c r="F27" s="869"/>
      <c r="G27" s="868"/>
      <c r="H27" s="852"/>
      <c r="I27" s="852"/>
      <c r="J27" s="852"/>
      <c r="K27" s="852"/>
      <c r="L27" s="852"/>
      <c r="M27" s="852"/>
      <c r="N27" s="868"/>
      <c r="O27" s="868"/>
      <c r="P27" s="868"/>
      <c r="Q27" s="647"/>
      <c r="R27" s="652"/>
      <c r="S27" s="853"/>
      <c r="T27" s="870"/>
      <c r="U27" s="871"/>
      <c r="V27" s="872"/>
      <c r="W27" s="873"/>
      <c r="X27" s="874"/>
      <c r="Y27" s="795"/>
      <c r="Z27" s="859"/>
      <c r="AA27" s="875"/>
      <c r="AB27" s="651"/>
      <c r="AC27" s="689"/>
      <c r="AD27" s="689"/>
      <c r="AE27" s="658"/>
      <c r="AF27" s="870"/>
      <c r="AG27" s="871"/>
      <c r="AH27" s="872"/>
      <c r="AI27" s="873"/>
      <c r="AJ27" s="874"/>
      <c r="AK27" s="659"/>
      <c r="AL27" s="659"/>
      <c r="AM27" s="660"/>
      <c r="AN27" s="660"/>
      <c r="AO27" s="660"/>
      <c r="AP27" s="660"/>
      <c r="AQ27" s="660"/>
      <c r="AR27" s="660"/>
      <c r="AS27" s="660"/>
      <c r="AT27" s="660"/>
      <c r="AU27" s="672"/>
      <c r="AV27" s="672"/>
      <c r="AW27" s="672"/>
      <c r="AX27" s="867"/>
      <c r="AY27" s="752"/>
      <c r="AZ27" s="753"/>
      <c r="BA27" s="754"/>
      <c r="BB27" s="1372"/>
      <c r="BC27" s="1371"/>
      <c r="BD27" s="1371"/>
      <c r="BE27" s="658"/>
      <c r="BF27" s="658"/>
      <c r="BG27" s="658"/>
    </row>
    <row r="28" spans="1:59" ht="0.6" customHeight="1" thickBot="1" x14ac:dyDescent="0.25">
      <c r="A28" s="1498"/>
      <c r="B28" s="1502" t="s">
        <v>625</v>
      </c>
      <c r="C28" s="664"/>
      <c r="D28" s="876"/>
      <c r="E28" s="876"/>
      <c r="F28" s="877"/>
      <c r="G28" s="878"/>
      <c r="H28" s="852"/>
      <c r="I28" s="879"/>
      <c r="J28" s="852"/>
      <c r="K28" s="852"/>
      <c r="L28" s="852"/>
      <c r="M28" s="852"/>
      <c r="N28" s="880"/>
      <c r="O28" s="881"/>
      <c r="P28" s="881"/>
      <c r="Q28" s="711"/>
      <c r="R28" s="652"/>
      <c r="S28" s="690"/>
      <c r="T28" s="882"/>
      <c r="U28" s="883"/>
      <c r="V28" s="884"/>
      <c r="W28" s="885"/>
      <c r="X28" s="886"/>
      <c r="Y28" s="795"/>
      <c r="Z28" s="887"/>
      <c r="AA28" s="888"/>
      <c r="AB28" s="657"/>
      <c r="AC28" s="658"/>
      <c r="AD28" s="658"/>
      <c r="AE28" s="689"/>
      <c r="AF28" s="882"/>
      <c r="AG28" s="883"/>
      <c r="AH28" s="884"/>
      <c r="AI28" s="885"/>
      <c r="AJ28" s="886"/>
      <c r="AK28" s="690"/>
      <c r="AL28" s="690"/>
      <c r="AM28" s="660"/>
      <c r="AN28" s="660"/>
      <c r="AO28" s="660"/>
      <c r="AP28" s="660"/>
      <c r="AQ28" s="660"/>
      <c r="AR28" s="660"/>
      <c r="AS28" s="660"/>
      <c r="AT28" s="660"/>
      <c r="AU28" s="672"/>
      <c r="AV28" s="672"/>
      <c r="AW28" s="672"/>
      <c r="AX28" s="695"/>
      <c r="AY28" s="752"/>
      <c r="AZ28" s="753"/>
      <c r="BA28" s="754"/>
      <c r="BB28" s="1372"/>
      <c r="BC28" s="651"/>
      <c r="BD28" s="889"/>
      <c r="BE28" s="658"/>
      <c r="BF28" s="658"/>
      <c r="BG28" s="658"/>
    </row>
    <row r="29" spans="1:59" ht="17.850000000000001" customHeight="1" thickTop="1" thickBot="1" x14ac:dyDescent="0.25">
      <c r="A29" s="1498"/>
      <c r="B29" s="1503"/>
      <c r="C29" s="890"/>
      <c r="D29" s="876"/>
      <c r="E29" s="876"/>
      <c r="F29" s="877"/>
      <c r="G29" s="878"/>
      <c r="H29" s="852"/>
      <c r="I29" s="879"/>
      <c r="J29" s="852"/>
      <c r="K29" s="852"/>
      <c r="L29" s="852"/>
      <c r="M29" s="852"/>
      <c r="N29" s="880"/>
      <c r="O29" s="881"/>
      <c r="P29" s="881"/>
      <c r="Q29" s="711"/>
      <c r="R29" s="652"/>
      <c r="S29" s="690"/>
      <c r="T29" s="882"/>
      <c r="U29" s="883"/>
      <c r="V29" s="884"/>
      <c r="W29" s="885"/>
      <c r="X29" s="886"/>
      <c r="Y29" s="795"/>
      <c r="Z29" s="887"/>
      <c r="AA29" s="1078" t="s">
        <v>1670</v>
      </c>
      <c r="AB29" s="1075" t="s">
        <v>1531</v>
      </c>
      <c r="AC29" s="1076" t="s">
        <v>1533</v>
      </c>
      <c r="AD29" s="1077" t="s">
        <v>1532</v>
      </c>
      <c r="AE29" s="689"/>
      <c r="AF29" s="882"/>
      <c r="AG29" s="883"/>
      <c r="AH29" s="884"/>
      <c r="AI29" s="885"/>
      <c r="AJ29" s="886"/>
      <c r="AK29" s="690"/>
      <c r="AL29" s="690"/>
      <c r="AM29" s="660"/>
      <c r="AN29" s="660"/>
      <c r="AO29" s="660"/>
      <c r="AP29" s="660"/>
      <c r="AQ29" s="660"/>
      <c r="AR29" s="660"/>
      <c r="AS29" s="660"/>
      <c r="AT29" s="660"/>
      <c r="AU29" s="672"/>
      <c r="AV29" s="672"/>
      <c r="AW29" s="672"/>
      <c r="AX29" s="847"/>
      <c r="AY29" s="752"/>
      <c r="AZ29" s="753"/>
      <c r="BA29" s="754"/>
      <c r="BB29" s="651"/>
      <c r="BC29" s="651"/>
      <c r="BD29" s="889"/>
      <c r="BE29" s="689"/>
      <c r="BF29" s="689"/>
      <c r="BG29" s="689"/>
    </row>
    <row r="30" spans="1:59" ht="17.850000000000001" customHeight="1" thickTop="1" x14ac:dyDescent="0.2">
      <c r="A30" s="1498"/>
      <c r="B30" s="1503"/>
      <c r="C30" s="892"/>
      <c r="D30" s="876"/>
      <c r="E30" s="876"/>
      <c r="F30" s="877"/>
      <c r="G30" s="878"/>
      <c r="H30" s="852"/>
      <c r="I30" s="879"/>
      <c r="J30" s="852"/>
      <c r="K30" s="852"/>
      <c r="L30" s="852"/>
      <c r="M30" s="852"/>
      <c r="N30" s="880"/>
      <c r="O30" s="881"/>
      <c r="P30" s="881"/>
      <c r="Q30" s="711"/>
      <c r="R30" s="652"/>
      <c r="S30" s="780" t="s">
        <v>1260</v>
      </c>
      <c r="T30" s="893">
        <f>T9+IFERROR(IF($J$7="",VLOOKUP($K$7,'Tableau de prix'!$A$4:$X$119,HLOOKUP($B$10,'Tableau de prix'!$G$1:$X$83,2,0),0),VLOOKUP($J$7,'Tableau de prix'!$A$4:$X$119,HLOOKUP($B$10,'Tableau de prix'!$G$1:$X$83,2,0),0)),"")</f>
        <v>3656.5120999999999</v>
      </c>
      <c r="U30" s="894">
        <f>T9+IFERROR(IF($J$7="",VLOOKUP($K$7,' BILAN MA'!$A$4:$W$112,HLOOKUP($B$10,' BILAN MA'!$F$1:$W$83,2,0),0),VLOOKUP($J$7,' BILAN MA'!$A$4:$W$112,HLOOKUP($B$10,' BILAN MA'!$F$1:$W$83,2,0),0)),"")</f>
        <v>3106.0120999999999</v>
      </c>
      <c r="V30" s="895">
        <f>IFERROR(IF($J$7="",VLOOKUP($K$7,'BILAN MOA'!$A$4:$W$112,HLOOKUP($B$10,'BILAN MOA'!$F$1:$W$83,2,0),0),VLOOKUP($J$7,'BILAN MOA'!$A$4:$W$112,HLOOKUP($B$10,'BILAN MOA'!$F$1:$W$83,2,0),0)),"")</f>
        <v>35.550000000000004</v>
      </c>
      <c r="W30" s="896">
        <f>IFERROR(IF($J$7="",VLOOKUP($K$7,'BILAN MOC'!$A$4:$W$112,HLOOKUP($B$10,'BILAN MOC'!$F$1:$W$83,2,0),0),VLOOKUP($J$7,'BILAN MOC'!$A$4:$W$112,HLOOKUP($B$10,'BILAN MOC'!$F$1:$W$83,2,0),0)),"")</f>
        <v>274.95</v>
      </c>
      <c r="X30" s="897">
        <f>IFERROR(IF($J$7="",VLOOKUP($K$7,' BILAN MP'!$A$4:$W$112,HLOOKUP($B$10,' BILAN MP'!$F$1:$W$83,2,0),0),VLOOKUP($J$7,' BILAN MP'!$A$4:$W$112,HLOOKUP($B$10,' BILAN MP'!$F$1:$W$83,2,0),0)),"")</f>
        <v>240</v>
      </c>
      <c r="Y30" s="795"/>
      <c r="Z30" s="887" t="str">
        <f>IF(K7="FV","FV","FVBAC")</f>
        <v>FV</v>
      </c>
      <c r="AA30" s="898" t="str">
        <f>IFERROR(VLOOKUP(Z30,'Tableau de prix'!$A$1:$AA$102,26,0),"")</f>
        <v>Fourniture et mise en œuvre du filtre vertical : sandwich EPDM, granulats, plantes, drains, aération…</v>
      </c>
      <c r="AB30" s="902" t="str">
        <f>G16/2&amp;" EH"</f>
        <v>5 EH</v>
      </c>
      <c r="AC30" s="903" t="str">
        <f>G16&amp;" m²"</f>
        <v>10 m²</v>
      </c>
      <c r="AD30" s="904" t="str">
        <f>G9&amp;" * "&amp;G10</f>
        <v>2,5 * 4</v>
      </c>
      <c r="AE30" s="689"/>
      <c r="AF30" s="893">
        <v>3756.5120999999999</v>
      </c>
      <c r="AG30" s="894">
        <v>3206.0120999999999</v>
      </c>
      <c r="AH30" s="895">
        <v>35.550000000000004</v>
      </c>
      <c r="AI30" s="896">
        <v>274.95</v>
      </c>
      <c r="AJ30" s="897">
        <v>240</v>
      </c>
      <c r="AK30" s="690"/>
      <c r="AL30" s="690"/>
      <c r="AM30" s="660"/>
      <c r="AN30" s="660"/>
      <c r="AO30" s="660"/>
      <c r="AP30" s="660"/>
      <c r="AQ30" s="660"/>
      <c r="AR30" s="660"/>
      <c r="AS30" s="660"/>
      <c r="AT30" s="660"/>
      <c r="AU30" s="672"/>
      <c r="AV30" s="672"/>
      <c r="AW30" s="672"/>
      <c r="AX30" s="658"/>
      <c r="AY30" s="658"/>
      <c r="AZ30" s="658"/>
      <c r="BA30" s="658"/>
      <c r="BB30" s="651"/>
      <c r="BC30" s="651"/>
      <c r="BD30" s="889"/>
      <c r="BE30" s="689"/>
      <c r="BF30" s="689"/>
      <c r="BG30" s="689"/>
    </row>
    <row r="31" spans="1:59" ht="15" customHeight="1" thickBot="1" x14ac:dyDescent="0.25">
      <c r="A31" s="1498"/>
      <c r="B31" s="1503"/>
      <c r="C31" s="892"/>
      <c r="D31" s="876"/>
      <c r="E31" s="876"/>
      <c r="F31" s="877"/>
      <c r="G31" s="878"/>
      <c r="H31" s="852"/>
      <c r="I31" s="879"/>
      <c r="J31" s="852"/>
      <c r="K31" s="852"/>
      <c r="L31" s="852"/>
      <c r="M31" s="852"/>
      <c r="N31" s="880"/>
      <c r="O31" s="881"/>
      <c r="P31" s="881"/>
      <c r="Q31" s="711"/>
      <c r="R31" s="652"/>
      <c r="S31" s="780" t="s">
        <v>1261</v>
      </c>
      <c r="T31" s="893" t="str">
        <f>IFERROR(VLOOKUP($L$7,'Tableau de prix'!$A$4:$X$119,HLOOKUP($B$10,'Tableau de prix'!$G$1:$X$83,2,0),0),"")</f>
        <v/>
      </c>
      <c r="U31" s="894" t="str">
        <f>IFERROR(VLOOKUP($L$7,' BILAN MA'!$A$4:$W$112,HLOOKUP($B$10,' BILAN MA'!$F$1:$W$83,2,0),0),"")</f>
        <v/>
      </c>
      <c r="V31" s="895" t="str">
        <f>IFERROR(VLOOKUP($L$7,'BILAN MOA'!$A$4:$W$112,HLOOKUP($B$10,'BILAN MOA'!$F$1:$W$83,2,0),0),"")</f>
        <v/>
      </c>
      <c r="W31" s="896" t="str">
        <f>IFERROR(VLOOKUP($L$7,'BILAN MOC'!$A$4:$W$112,HLOOKUP($B$10,'BILAN MOC'!$F$1:$W$83,2,0),0),"")</f>
        <v/>
      </c>
      <c r="X31" s="897" t="str">
        <f>IFERROR(VLOOKUP($L$7,' BILAN MP'!$A$4:$W$112,HLOOKUP($B$10,' BILAN MP'!$F$1:$W$83,2,0),0),"")</f>
        <v/>
      </c>
      <c r="Y31" s="795"/>
      <c r="Z31" s="887" t="str">
        <f>IF(L7="FH","FH","")</f>
        <v/>
      </c>
      <c r="AA31" s="898" t="str">
        <f>IFERROR(VLOOKUP(Z31,'Tableau de prix'!$A$1:$AA$102,26,0),"")</f>
        <v/>
      </c>
      <c r="AB31" s="906" t="str">
        <f>IF(AA33="","",B10&amp;" EH")</f>
        <v/>
      </c>
      <c r="AC31" s="907" t="str">
        <f>IF(AA33="","",2*B10&amp;" m²")</f>
        <v/>
      </c>
      <c r="AD31" s="908" t="str">
        <f>IF(AA36="","",G12&amp;" * "&amp;G13)</f>
        <v/>
      </c>
      <c r="AE31" s="689"/>
      <c r="AF31" s="893" t="s">
        <v>1519</v>
      </c>
      <c r="AG31" s="894" t="s">
        <v>1519</v>
      </c>
      <c r="AH31" s="895" t="s">
        <v>1519</v>
      </c>
      <c r="AI31" s="896" t="s">
        <v>1519</v>
      </c>
      <c r="AJ31" s="897" t="s">
        <v>1519</v>
      </c>
      <c r="AK31" s="690"/>
      <c r="AL31" s="690"/>
      <c r="AM31" s="660"/>
      <c r="AN31" s="660"/>
      <c r="AO31" s="660"/>
      <c r="AP31" s="660"/>
      <c r="AQ31" s="660"/>
      <c r="AR31" s="660"/>
      <c r="AS31" s="660"/>
      <c r="AT31" s="660"/>
      <c r="AU31" s="672"/>
      <c r="AV31" s="672"/>
      <c r="AW31" s="672"/>
      <c r="AX31" s="695"/>
      <c r="AY31" s="752"/>
      <c r="AZ31" s="753"/>
      <c r="BA31" s="754"/>
      <c r="BB31" s="651"/>
      <c r="BC31" s="651"/>
      <c r="BD31" s="889"/>
      <c r="BE31" s="689"/>
      <c r="BF31" s="689"/>
      <c r="BG31" s="689"/>
    </row>
    <row r="32" spans="1:59" ht="15" customHeight="1" thickTop="1" x14ac:dyDescent="0.2">
      <c r="A32" s="1498"/>
      <c r="B32" s="1503"/>
      <c r="C32" s="892"/>
      <c r="D32" s="876"/>
      <c r="E32" s="876"/>
      <c r="F32" s="877"/>
      <c r="G32" s="878"/>
      <c r="H32" s="852"/>
      <c r="I32" s="879"/>
      <c r="J32" s="852"/>
      <c r="K32" s="852"/>
      <c r="L32" s="852"/>
      <c r="M32" s="852"/>
      <c r="N32" s="880"/>
      <c r="O32" s="881"/>
      <c r="P32" s="881"/>
      <c r="Q32" s="711"/>
      <c r="R32" s="652"/>
      <c r="S32" s="780" t="s">
        <v>1262</v>
      </c>
      <c r="T32" s="893">
        <f>IFERROR(VLOOKUP($K$8,'Tableau de prix'!$A$4:$X$57,HLOOKUP($B$10,'Tableau de prix'!$G$1:$X$54,2,0),0),IFERROR(VLOOKUP($J$8,'Tableau de prix'!$A$4:$X$57,HLOOKUP($B$10,'Tableau de prix'!$G$1:$X$54,2,0),0),""))</f>
        <v>1690.6215518000004</v>
      </c>
      <c r="U32" s="894">
        <f>IFERROR(VLOOKUP($K$8,' BILAN MA'!$A$4:$W$57,HLOOKUP($B$10,' BILAN MA'!$F$1:$W$54,2,0),0),IFERROR(VLOOKUP($J$8,' BILAN MA'!$A$4:$W$57,HLOOKUP($B$10,' BILAN MA'!$F$1:$W$54,2,0),0),""))</f>
        <v>989.11655180000025</v>
      </c>
      <c r="V32" s="895">
        <f>IFERROR(VLOOKUP($K$8,'BILAN MOA'!$A$4:$W$57,HLOOKUP($B$10,'BILAN MOA'!$F$1:$W$54,2,0),0),IFERROR(VLOOKUP($J$8,'BILAN MOA'!$A$4:$W$57,HLOOKUP($B$10,'BILAN MOA'!$F$1:$W$54,2,0),0),""))</f>
        <v>261.90000000000003</v>
      </c>
      <c r="W32" s="896">
        <f>IFERROR(VLOOKUP($K$8,'BILAN MOC'!$A$4:$W$57,HLOOKUP($B$10,'BILAN MOC'!$F$1:$W$54,2,0),0),IFERROR(VLOOKUP($J$8,'BILAN MOC'!$A$4:$W$57,HLOOKUP($B$10,'BILAN MOC'!$F$1:$W$54,2,0),0),""))</f>
        <v>439.60500000000002</v>
      </c>
      <c r="X32" s="897">
        <f>IFERROR(VLOOKUP($K$8,' BILAN MP'!$A$4:$W$57,HLOOKUP($B$10,' BILAN MP'!$F$1:$W$54,2,0),0),IFERROR(VLOOKUP($J$8,' BILAN MP'!$A$4:$W$57,HLOOKUP($B$10,' BILAN MP'!$F$1:$W$54,2,0),0),""))</f>
        <v>0</v>
      </c>
      <c r="Y32" s="795"/>
      <c r="Z32" s="887" t="str">
        <f>IF(J8="",K8,J8)</f>
        <v>FV1</v>
      </c>
      <c r="AA32" s="898" t="str">
        <f>IFERROR(VLOOKUP(Z32,'Tableau de prix'!$A$1:$AA$102,26,0),"")</f>
        <v xml:space="preserve"> Fourniture et pose d'une structure en bastaings bois douglas pour FV EPDM</v>
      </c>
      <c r="AB32" s="658"/>
      <c r="AC32" s="658"/>
      <c r="AD32" s="658"/>
      <c r="AE32" s="658"/>
      <c r="AF32" s="893">
        <v>1152.3058934000001</v>
      </c>
      <c r="AG32" s="894">
        <v>578.2658934000001</v>
      </c>
      <c r="AH32" s="895">
        <v>148.94999999999999</v>
      </c>
      <c r="AI32" s="896">
        <v>315.08999999999997</v>
      </c>
      <c r="AJ32" s="897">
        <v>110</v>
      </c>
      <c r="AK32" s="690"/>
      <c r="AL32" s="690"/>
      <c r="AM32" s="660"/>
      <c r="AN32" s="660"/>
      <c r="AO32" s="660"/>
      <c r="AP32" s="660"/>
      <c r="AQ32" s="660"/>
      <c r="AR32" s="660"/>
      <c r="AS32" s="660"/>
      <c r="AT32" s="660"/>
      <c r="AU32" s="672"/>
      <c r="AV32" s="672"/>
      <c r="AW32" s="672"/>
      <c r="AX32" s="695"/>
      <c r="AY32" s="752"/>
      <c r="AZ32" s="753"/>
      <c r="BA32" s="754"/>
      <c r="BB32" s="651"/>
      <c r="BC32" s="651"/>
      <c r="BD32" s="889"/>
      <c r="BE32" s="689"/>
      <c r="BF32" s="689"/>
      <c r="BG32" s="689"/>
    </row>
    <row r="33" spans="1:59" ht="15" customHeight="1" thickBot="1" x14ac:dyDescent="0.25">
      <c r="A33" s="1498"/>
      <c r="B33" s="1503"/>
      <c r="C33" s="892"/>
      <c r="D33" s="876"/>
      <c r="E33" s="876"/>
      <c r="F33" s="877"/>
      <c r="G33" s="878"/>
      <c r="H33" s="852"/>
      <c r="I33" s="879"/>
      <c r="J33" s="852"/>
      <c r="K33" s="852"/>
      <c r="L33" s="852"/>
      <c r="M33" s="852"/>
      <c r="N33" s="880"/>
      <c r="O33" s="881"/>
      <c r="P33" s="881"/>
      <c r="Q33" s="711"/>
      <c r="R33" s="652"/>
      <c r="S33" s="780" t="s">
        <v>1263</v>
      </c>
      <c r="T33" s="893" t="str">
        <f>IFERROR(VLOOKUP($L$8,'Tableau de prix'!$A$4:$X$57,HLOOKUP($B$10,'Tableau de prix'!$G$1:$X$54,2,0),0),"")</f>
        <v/>
      </c>
      <c r="U33" s="894" t="str">
        <f>IFERROR(VLOOKUP($L$8,' BILAN MA'!$A$4:$W$57,HLOOKUP($B$10,' BILAN MA'!$F$1:$W$54,2,0),0),"")</f>
        <v/>
      </c>
      <c r="V33" s="895" t="str">
        <f>IFERROR(VLOOKUP($L$8,'BILAN MOA'!$A$4:$W$57,HLOOKUP($B$10,'BILAN MOA'!$F$1:$W$54,2,0),0),"")</f>
        <v/>
      </c>
      <c r="W33" s="896" t="str">
        <f>IFERROR(VLOOKUP($L$8,'BILAN MOC'!$A$4:$W$57,HLOOKUP($B$10,'BILAN MOC'!$F$1:$W$54,2,0),0),"")</f>
        <v/>
      </c>
      <c r="X33" s="897" t="str">
        <f>IFERROR(VLOOKUP($L$8,' BILAN MP'!$A$4:$W$57,HLOOKUP($B$10,' BILAN MP'!$F$1:$W$54,2,0),0),"")</f>
        <v/>
      </c>
      <c r="Y33" s="795"/>
      <c r="Z33" s="887" t="str">
        <f>IF(L8="Formule","",L8)</f>
        <v/>
      </c>
      <c r="AA33" s="898" t="str">
        <f>IFERROR(VLOOKUP(Z33,'Tableau de prix'!$A$1:$AA$102,26,0),"")</f>
        <v/>
      </c>
      <c r="AB33" s="899"/>
      <c r="AC33" s="900"/>
      <c r="AD33" s="900"/>
      <c r="AE33" s="658"/>
      <c r="AF33" s="893" t="s">
        <v>1519</v>
      </c>
      <c r="AG33" s="894" t="s">
        <v>1519</v>
      </c>
      <c r="AH33" s="895" t="s">
        <v>1519</v>
      </c>
      <c r="AI33" s="896" t="s">
        <v>1519</v>
      </c>
      <c r="AJ33" s="897" t="s">
        <v>1519</v>
      </c>
      <c r="AK33" s="659"/>
      <c r="AL33" s="659"/>
      <c r="AM33" s="660"/>
      <c r="AN33" s="660"/>
      <c r="AO33" s="660"/>
      <c r="AP33" s="660"/>
      <c r="AQ33" s="660"/>
      <c r="AR33" s="660"/>
      <c r="AS33" s="660"/>
      <c r="AT33" s="660"/>
      <c r="AU33" s="672"/>
      <c r="AV33" s="672"/>
      <c r="AW33" s="672"/>
      <c r="AX33" s="695"/>
      <c r="AY33" s="752"/>
      <c r="AZ33" s="753"/>
      <c r="BA33" s="754"/>
      <c r="BB33" s="651"/>
      <c r="BC33" s="651"/>
      <c r="BD33" s="889"/>
      <c r="BE33" s="689"/>
      <c r="BF33" s="689"/>
      <c r="BG33" s="689"/>
    </row>
    <row r="34" spans="1:59" ht="15" customHeight="1" thickTop="1" x14ac:dyDescent="0.2">
      <c r="A34" s="1498"/>
      <c r="B34" s="1503"/>
      <c r="C34" s="892"/>
      <c r="D34" s="876"/>
      <c r="E34" s="876"/>
      <c r="F34" s="877"/>
      <c r="G34" s="878"/>
      <c r="H34" s="852"/>
      <c r="I34" s="879"/>
      <c r="J34" s="852"/>
      <c r="K34" s="852"/>
      <c r="L34" s="852"/>
      <c r="M34" s="852"/>
      <c r="N34" s="880"/>
      <c r="O34" s="881"/>
      <c r="P34" s="881"/>
      <c r="Q34" s="711"/>
      <c r="R34" s="652"/>
      <c r="S34" s="672"/>
      <c r="T34" s="845"/>
      <c r="U34" s="845"/>
      <c r="V34" s="845"/>
      <c r="W34" s="845"/>
      <c r="X34" s="845"/>
      <c r="Y34" s="795"/>
      <c r="Z34" s="887"/>
      <c r="AA34" s="1079" t="s">
        <v>1671</v>
      </c>
      <c r="AB34" s="658"/>
      <c r="AC34" s="658"/>
      <c r="AD34" s="658"/>
      <c r="AE34" s="658"/>
      <c r="AF34" s="845"/>
      <c r="AG34" s="845"/>
      <c r="AH34" s="845"/>
      <c r="AI34" s="845"/>
      <c r="AJ34" s="845"/>
      <c r="AK34" s="659"/>
      <c r="AL34" s="659"/>
      <c r="AM34" s="660"/>
      <c r="AN34" s="660"/>
      <c r="AO34" s="660"/>
      <c r="AP34" s="660"/>
      <c r="AQ34" s="660"/>
      <c r="AR34" s="660"/>
      <c r="AS34" s="660"/>
      <c r="AT34" s="660"/>
      <c r="AU34" s="672"/>
      <c r="AV34" s="672"/>
      <c r="AW34" s="672"/>
      <c r="AX34" s="695"/>
      <c r="AY34" s="752"/>
      <c r="AZ34" s="753"/>
      <c r="BA34" s="754"/>
      <c r="BB34" s="651"/>
      <c r="BC34" s="651"/>
      <c r="BD34" s="889"/>
      <c r="BE34" s="658"/>
      <c r="BF34" s="658"/>
      <c r="BG34" s="658"/>
    </row>
    <row r="35" spans="1:59" ht="27" customHeight="1" x14ac:dyDescent="0.2">
      <c r="A35" s="1498"/>
      <c r="B35" s="1503"/>
      <c r="C35" s="892"/>
      <c r="D35" s="876"/>
      <c r="E35" s="876"/>
      <c r="F35" s="877"/>
      <c r="G35" s="878"/>
      <c r="H35" s="852"/>
      <c r="I35" s="879"/>
      <c r="J35" s="852"/>
      <c r="K35" s="852"/>
      <c r="L35" s="852"/>
      <c r="M35" s="852"/>
      <c r="N35" s="880"/>
      <c r="O35" s="881"/>
      <c r="P35" s="881"/>
      <c r="Q35" s="711"/>
      <c r="R35" s="652"/>
      <c r="S35" s="780" t="s">
        <v>1266</v>
      </c>
      <c r="T35" s="893">
        <f>IFERROR(T30+T32+T25,0)</f>
        <v>5805.4516518000009</v>
      </c>
      <c r="U35" s="894">
        <f>IFERROR(U30+U32+U25,0)</f>
        <v>4527.9766518000006</v>
      </c>
      <c r="V35" s="895">
        <f>IFERROR(V30+V32+V25,0)</f>
        <v>304.65000000000003</v>
      </c>
      <c r="W35" s="896">
        <f>IFERROR(W30+W32+W25,0)</f>
        <v>732.82500000000005</v>
      </c>
      <c r="X35" s="897">
        <f>IFERROR(X30+X32+X25,0)</f>
        <v>240</v>
      </c>
      <c r="Y35" s="795"/>
      <c r="Z35" s="887"/>
      <c r="AA35" s="1083" t="str">
        <f>IF(FHchoix="","","TOTAL Filtre vertical")</f>
        <v/>
      </c>
      <c r="AB35" s="1084"/>
      <c r="AC35" s="1084"/>
      <c r="AD35" s="1084"/>
      <c r="AE35" s="905"/>
      <c r="AF35" s="893">
        <v>5367.1359934000002</v>
      </c>
      <c r="AG35" s="894">
        <v>4217.1259934</v>
      </c>
      <c r="AH35" s="895">
        <v>191.7</v>
      </c>
      <c r="AI35" s="896">
        <v>608.30999999999995</v>
      </c>
      <c r="AJ35" s="897">
        <v>350</v>
      </c>
      <c r="AK35" s="659"/>
      <c r="AL35" s="659"/>
      <c r="AM35" s="660"/>
      <c r="AN35" s="660"/>
      <c r="AO35" s="660"/>
      <c r="AP35" s="660"/>
      <c r="AQ35" s="660"/>
      <c r="AR35" s="660"/>
      <c r="AS35" s="660"/>
      <c r="AT35" s="660"/>
      <c r="AU35" s="672"/>
      <c r="AV35" s="672"/>
      <c r="AW35" s="672"/>
      <c r="AX35" s="695"/>
      <c r="AY35" s="752"/>
      <c r="AZ35" s="753"/>
      <c r="BA35" s="754"/>
      <c r="BB35" s="651"/>
      <c r="BC35" s="651"/>
      <c r="BD35" s="889"/>
      <c r="BE35" s="658"/>
      <c r="BF35" s="658"/>
      <c r="BG35" s="658"/>
    </row>
    <row r="36" spans="1:59" ht="15" customHeight="1" x14ac:dyDescent="0.2">
      <c r="A36" s="1498"/>
      <c r="B36" s="1503"/>
      <c r="C36" s="892"/>
      <c r="D36" s="876"/>
      <c r="E36" s="876"/>
      <c r="F36" s="877"/>
      <c r="G36" s="878"/>
      <c r="H36" s="852"/>
      <c r="I36" s="879"/>
      <c r="J36" s="852"/>
      <c r="K36" s="852"/>
      <c r="L36" s="852"/>
      <c r="M36" s="852"/>
      <c r="N36" s="880"/>
      <c r="O36" s="881"/>
      <c r="P36" s="881"/>
      <c r="Q36" s="711"/>
      <c r="R36" s="652"/>
      <c r="S36" s="780" t="s">
        <v>1267</v>
      </c>
      <c r="T36" s="893">
        <f>IFERROR(T31+T33,0)</f>
        <v>0</v>
      </c>
      <c r="U36" s="894">
        <f>IFERROR(U31+U33,0)</f>
        <v>0</v>
      </c>
      <c r="V36" s="895">
        <f>IFERROR(V31+V33,0)</f>
        <v>0</v>
      </c>
      <c r="W36" s="896">
        <f>IFERROR(W31+W33,0)</f>
        <v>0</v>
      </c>
      <c r="X36" s="897">
        <f>IFERROR(X31+X33,0)</f>
        <v>0</v>
      </c>
      <c r="Y36" s="795"/>
      <c r="Z36" s="887"/>
      <c r="AA36" s="1083" t="str">
        <f>IF(FHchoix="","","TOTAL Filtre horizontal")</f>
        <v/>
      </c>
      <c r="AB36" s="1084"/>
      <c r="AC36" s="1084"/>
      <c r="AD36" s="1084"/>
      <c r="AE36" s="905"/>
      <c r="AF36" s="893">
        <v>0</v>
      </c>
      <c r="AG36" s="894">
        <v>0</v>
      </c>
      <c r="AH36" s="895">
        <v>0</v>
      </c>
      <c r="AI36" s="896">
        <v>0</v>
      </c>
      <c r="AJ36" s="897">
        <v>0</v>
      </c>
      <c r="AK36" s="659"/>
      <c r="AL36" s="659"/>
      <c r="AM36" s="660"/>
      <c r="AN36" s="660"/>
      <c r="AO36" s="660"/>
      <c r="AP36" s="660"/>
      <c r="AQ36" s="660"/>
      <c r="AR36" s="660"/>
      <c r="AS36" s="660"/>
      <c r="AT36" s="660"/>
      <c r="AU36" s="672"/>
      <c r="AV36" s="672"/>
      <c r="AW36" s="672"/>
      <c r="AX36" s="695"/>
      <c r="AY36" s="752"/>
      <c r="AZ36" s="753"/>
      <c r="BA36" s="754"/>
      <c r="BB36" s="651"/>
      <c r="BC36" s="651"/>
      <c r="BD36" s="889"/>
      <c r="BE36" s="658"/>
      <c r="BF36" s="658"/>
      <c r="BG36" s="658"/>
    </row>
    <row r="37" spans="1:59" ht="15" customHeight="1" x14ac:dyDescent="0.2">
      <c r="A37" s="1498"/>
      <c r="B37" s="1503"/>
      <c r="C37" s="892"/>
      <c r="D37" s="876"/>
      <c r="E37" s="876"/>
      <c r="F37" s="910"/>
      <c r="G37" s="711"/>
      <c r="H37" s="852"/>
      <c r="I37" s="879"/>
      <c r="J37" s="852"/>
      <c r="K37" s="852"/>
      <c r="L37" s="852"/>
      <c r="M37" s="852"/>
      <c r="N37" s="880"/>
      <c r="O37" s="881"/>
      <c r="P37" s="881"/>
      <c r="Q37" s="711"/>
      <c r="R37" s="652"/>
      <c r="S37" s="780"/>
      <c r="T37" s="882"/>
      <c r="U37" s="883"/>
      <c r="V37" s="884"/>
      <c r="W37" s="885"/>
      <c r="X37" s="886"/>
      <c r="Y37" s="795"/>
      <c r="Z37" s="887"/>
      <c r="AA37" s="1080" t="s">
        <v>1672</v>
      </c>
      <c r="AB37" s="657"/>
      <c r="AC37" s="658"/>
      <c r="AD37" s="658"/>
      <c r="AE37" s="658"/>
      <c r="AF37" s="882"/>
      <c r="AG37" s="883"/>
      <c r="AH37" s="884"/>
      <c r="AI37" s="885"/>
      <c r="AJ37" s="886"/>
      <c r="AK37" s="659"/>
      <c r="AL37" s="659"/>
      <c r="AM37" s="660"/>
      <c r="AN37" s="660"/>
      <c r="AO37" s="660"/>
      <c r="AP37" s="660"/>
      <c r="AQ37" s="660"/>
      <c r="AR37" s="660"/>
      <c r="AS37" s="660"/>
      <c r="AT37" s="660"/>
      <c r="AU37" s="672"/>
      <c r="AV37" s="672"/>
      <c r="AW37" s="672"/>
      <c r="AX37" s="909"/>
      <c r="AY37" s="658"/>
      <c r="AZ37" s="658"/>
      <c r="BA37" s="658"/>
      <c r="BB37" s="651"/>
      <c r="BC37" s="651"/>
      <c r="BD37" s="889"/>
      <c r="BE37" s="658"/>
      <c r="BF37" s="658"/>
      <c r="BG37" s="658"/>
    </row>
    <row r="38" spans="1:59" ht="25.35" customHeight="1" x14ac:dyDescent="0.2">
      <c r="A38" s="1498"/>
      <c r="B38" s="1503"/>
      <c r="C38" s="892"/>
      <c r="D38" s="911"/>
      <c r="E38" s="911"/>
      <c r="F38" s="912"/>
      <c r="G38" s="913"/>
      <c r="H38" s="914"/>
      <c r="I38" s="915"/>
      <c r="J38" s="914"/>
      <c r="K38" s="914"/>
      <c r="L38" s="914"/>
      <c r="M38" s="914"/>
      <c r="N38" s="916"/>
      <c r="O38" s="917"/>
      <c r="P38" s="881"/>
      <c r="Q38" s="711"/>
      <c r="R38" s="652"/>
      <c r="S38" s="830" t="s">
        <v>1264</v>
      </c>
      <c r="T38" s="918">
        <f>T35+T36</f>
        <v>5805.4516518000009</v>
      </c>
      <c r="U38" s="919">
        <f>IFERROR(U35+U36,U35)</f>
        <v>4527.9766518000006</v>
      </c>
      <c r="V38" s="920">
        <f>IFERROR(V35+V36,V35)</f>
        <v>304.65000000000003</v>
      </c>
      <c r="W38" s="921">
        <f>IFERROR(W35+W36,W35)</f>
        <v>732.82500000000005</v>
      </c>
      <c r="X38" s="922">
        <f>IFERROR(X35+X36,X35)</f>
        <v>240</v>
      </c>
      <c r="Y38" s="795"/>
      <c r="Z38" s="887"/>
      <c r="AA38" s="837" t="s">
        <v>1513</v>
      </c>
      <c r="AB38" s="838"/>
      <c r="AC38" s="838"/>
      <c r="AD38" s="838"/>
      <c r="AE38" s="689"/>
      <c r="AF38" s="918">
        <v>5367.1359934000002</v>
      </c>
      <c r="AG38" s="919">
        <v>4217.1259934</v>
      </c>
      <c r="AH38" s="920">
        <v>191.7</v>
      </c>
      <c r="AI38" s="921">
        <v>608.30999999999995</v>
      </c>
      <c r="AJ38" s="922">
        <v>350</v>
      </c>
      <c r="AK38" s="690"/>
      <c r="AL38" s="690"/>
      <c r="AM38" s="660"/>
      <c r="AN38" s="660"/>
      <c r="AO38" s="660"/>
      <c r="AP38" s="660"/>
      <c r="AQ38" s="660"/>
      <c r="AR38" s="660"/>
      <c r="AS38" s="660"/>
      <c r="AT38" s="660"/>
      <c r="AU38" s="672"/>
      <c r="AV38" s="672"/>
      <c r="AW38" s="672"/>
      <c r="AX38" s="658"/>
      <c r="AY38" s="658"/>
      <c r="AZ38" s="658"/>
      <c r="BA38" s="658"/>
      <c r="BB38" s="651"/>
      <c r="BC38" s="651"/>
      <c r="BD38" s="889"/>
      <c r="BE38" s="658"/>
      <c r="BF38" s="658"/>
      <c r="BG38" s="658"/>
    </row>
    <row r="39" spans="1:59" ht="32.25" customHeight="1" x14ac:dyDescent="0.2">
      <c r="A39" s="923"/>
      <c r="B39" s="924"/>
      <c r="C39" s="925"/>
      <c r="D39" s="711"/>
      <c r="E39" s="711"/>
      <c r="F39" s="850"/>
      <c r="G39" s="711"/>
      <c r="H39" s="711"/>
      <c r="I39" s="850"/>
      <c r="J39" s="711"/>
      <c r="K39" s="711"/>
      <c r="L39" s="711"/>
      <c r="M39" s="711"/>
      <c r="N39" s="745"/>
      <c r="O39" s="711"/>
      <c r="P39" s="711"/>
      <c r="Q39" s="647"/>
      <c r="R39" s="652"/>
      <c r="S39" s="780"/>
      <c r="T39" s="926"/>
      <c r="U39" s="927"/>
      <c r="V39" s="928"/>
      <c r="W39" s="928"/>
      <c r="X39" s="929"/>
      <c r="Y39" s="795"/>
      <c r="Z39" s="887"/>
      <c r="AA39" s="846" t="s">
        <v>1582</v>
      </c>
      <c r="AB39" s="930"/>
      <c r="AC39" s="931"/>
      <c r="AD39" s="658"/>
      <c r="AE39" s="658"/>
      <c r="AF39" s="926"/>
      <c r="AG39" s="927"/>
      <c r="AH39" s="928"/>
      <c r="AI39" s="928"/>
      <c r="AJ39" s="929"/>
      <c r="AK39" s="659"/>
      <c r="AL39" s="659"/>
      <c r="AM39" s="660"/>
      <c r="AN39" s="660"/>
      <c r="AO39" s="660"/>
      <c r="AP39" s="660"/>
      <c r="AQ39" s="660"/>
      <c r="AR39" s="660"/>
      <c r="AS39" s="660"/>
      <c r="AT39" s="660"/>
      <c r="AU39" s="672"/>
      <c r="AV39" s="672"/>
      <c r="AW39" s="672"/>
      <c r="AX39" s="658"/>
      <c r="AY39" s="658"/>
      <c r="AZ39" s="658"/>
      <c r="BA39" s="658"/>
      <c r="BB39" s="651"/>
      <c r="BC39" s="689"/>
      <c r="BD39" s="932"/>
      <c r="BE39" s="689"/>
      <c r="BF39" s="689"/>
      <c r="BG39" s="689"/>
    </row>
    <row r="40" spans="1:59" ht="15" hidden="1" customHeight="1" x14ac:dyDescent="0.2">
      <c r="A40" s="1498" t="s">
        <v>1634</v>
      </c>
      <c r="B40" s="1499" t="s">
        <v>1367</v>
      </c>
      <c r="C40" s="925"/>
      <c r="D40" s="1507" t="s">
        <v>1790</v>
      </c>
      <c r="E40" s="1507"/>
      <c r="F40" s="1507"/>
      <c r="G40" s="1507"/>
      <c r="H40" s="852"/>
      <c r="I40" s="879"/>
      <c r="J40" s="852"/>
      <c r="K40" s="852"/>
      <c r="L40" s="852"/>
      <c r="M40" s="852"/>
      <c r="N40" s="745"/>
      <c r="O40" s="881"/>
      <c r="P40" s="881"/>
      <c r="Q40" s="647"/>
      <c r="R40" s="652"/>
      <c r="S40" s="780"/>
      <c r="T40" s="893"/>
      <c r="U40" s="894"/>
      <c r="V40" s="895"/>
      <c r="W40" s="896"/>
      <c r="X40" s="897"/>
      <c r="Y40" s="795"/>
      <c r="Z40" s="887"/>
      <c r="AA40" s="901" t="str">
        <f>IFERROR(VLOOKUP(Z40,'Tableau de prix'!$A$1:$AA$102,26,0),"")</f>
        <v/>
      </c>
      <c r="AB40" s="930"/>
      <c r="AC40" s="931"/>
      <c r="AD40" s="658"/>
      <c r="AE40" s="658"/>
      <c r="AF40" s="893"/>
      <c r="AG40" s="894"/>
      <c r="AH40" s="895"/>
      <c r="AI40" s="896"/>
      <c r="AJ40" s="897"/>
      <c r="AK40" s="659"/>
      <c r="AL40" s="659"/>
      <c r="AM40" s="660"/>
      <c r="AN40" s="660"/>
      <c r="AO40" s="660"/>
      <c r="AP40" s="660"/>
      <c r="AQ40" s="660"/>
      <c r="AR40" s="660"/>
      <c r="AS40" s="660"/>
      <c r="AT40" s="660"/>
      <c r="AU40" s="672"/>
      <c r="AV40" s="672"/>
      <c r="AW40" s="672"/>
      <c r="AX40" s="658"/>
      <c r="AY40" s="658"/>
      <c r="AZ40" s="658"/>
      <c r="BA40" s="658"/>
      <c r="BB40" s="658"/>
      <c r="BC40" s="658"/>
      <c r="BD40" s="658"/>
      <c r="BE40" s="658"/>
      <c r="BF40" s="658"/>
      <c r="BG40" s="658"/>
    </row>
    <row r="41" spans="1:59" ht="15" customHeight="1" x14ac:dyDescent="0.2">
      <c r="A41" s="1498"/>
      <c r="B41" s="1499"/>
      <c r="C41" s="925"/>
      <c r="D41" s="1507"/>
      <c r="E41" s="1507"/>
      <c r="F41" s="1507"/>
      <c r="G41" s="1507"/>
      <c r="H41" s="852"/>
      <c r="I41" s="879"/>
      <c r="J41" s="852"/>
      <c r="K41" s="852"/>
      <c r="L41" s="852"/>
      <c r="M41" s="852"/>
      <c r="N41" s="745"/>
      <c r="O41" s="881"/>
      <c r="P41" s="881"/>
      <c r="Q41" s="647"/>
      <c r="R41" s="652"/>
      <c r="S41" s="780" t="s">
        <v>1398</v>
      </c>
      <c r="T41" s="893">
        <f>IFERROR(VLOOKUP($J$9,'Tableau de prix'!$A$4:$X$57,5,0),0)</f>
        <v>0</v>
      </c>
      <c r="U41" s="894">
        <f>IFERROR(VLOOKUP($J$9,' BILAN MA'!$A$4:$W$57,5,0),0)</f>
        <v>0</v>
      </c>
      <c r="V41" s="895">
        <f>IFERROR(VLOOKUP($J$9,'BILAN MOA'!$A$4:$W$57,5,0),0)</f>
        <v>0</v>
      </c>
      <c r="W41" s="896">
        <f>IFERROR(VLOOKUP($J$9,'BILAN MOC'!$A$4:$W$57,5,0),0)</f>
        <v>0</v>
      </c>
      <c r="X41" s="897">
        <f>IFERROR(VLOOKUP($J$9,' BILAN MP'!$A$4:$W$57,5,0),0)</f>
        <v>0</v>
      </c>
      <c r="Y41" s="795"/>
      <c r="Z41" s="887" t="str">
        <f>IF(J9="","",J9)</f>
        <v/>
      </c>
      <c r="AA41" s="901" t="str">
        <f>IFERROR(VLOOKUP(Z41,'Tableau de prix'!$A$1:$AA$102,26,0),"")</f>
        <v/>
      </c>
      <c r="AB41" s="930"/>
      <c r="AC41" s="931"/>
      <c r="AD41" s="658"/>
      <c r="AE41" s="658"/>
      <c r="AF41" s="893">
        <v>0</v>
      </c>
      <c r="AG41" s="894">
        <v>0</v>
      </c>
      <c r="AH41" s="895">
        <v>0</v>
      </c>
      <c r="AI41" s="896">
        <v>0</v>
      </c>
      <c r="AJ41" s="897">
        <v>0</v>
      </c>
      <c r="AK41" s="659"/>
      <c r="AL41" s="659"/>
      <c r="AM41" s="660"/>
      <c r="AN41" s="660"/>
      <c r="AO41" s="660"/>
      <c r="AP41" s="660"/>
      <c r="AQ41" s="660"/>
      <c r="AR41" s="660"/>
      <c r="AS41" s="660"/>
      <c r="AT41" s="660"/>
      <c r="AU41" s="672"/>
      <c r="AV41" s="672"/>
      <c r="AW41" s="672"/>
      <c r="AX41" s="658"/>
      <c r="AY41" s="658"/>
      <c r="AZ41" s="658"/>
      <c r="BA41" s="658"/>
      <c r="BB41" s="658"/>
      <c r="BC41" s="658"/>
      <c r="BD41" s="658"/>
      <c r="BE41" s="658"/>
      <c r="BF41" s="658"/>
      <c r="BG41" s="658"/>
    </row>
    <row r="42" spans="1:59" ht="15" customHeight="1" x14ac:dyDescent="0.2">
      <c r="A42" s="1498"/>
      <c r="B42" s="1499"/>
      <c r="C42" s="925"/>
      <c r="D42" s="1507"/>
      <c r="E42" s="1507"/>
      <c r="F42" s="1507"/>
      <c r="G42" s="1507"/>
      <c r="H42" s="852"/>
      <c r="I42" s="879"/>
      <c r="J42" s="852"/>
      <c r="K42" s="852"/>
      <c r="L42" s="852"/>
      <c r="M42" s="852"/>
      <c r="N42" s="745"/>
      <c r="O42" s="1452"/>
      <c r="P42" s="1452"/>
      <c r="Q42" s="647"/>
      <c r="R42" s="652"/>
      <c r="S42" s="1087" t="s">
        <v>1399</v>
      </c>
      <c r="T42" s="893">
        <f>IFERROR(VLOOKUP($K$9,'Tableau de prix'!$A$4:$X$57,5,0),0)</f>
        <v>0</v>
      </c>
      <c r="U42" s="894">
        <f>IFERROR(VLOOKUP($K$9,' BILAN MA'!$A$4:$W$57,5,0),0)</f>
        <v>0</v>
      </c>
      <c r="V42" s="895">
        <f>IFERROR(VLOOKUP($K$9,'BILAN MOA'!$A$4:$W$57,5,0),0)</f>
        <v>0</v>
      </c>
      <c r="W42" s="896">
        <f>IFERROR(VLOOKUP($K$9,'BILAN MOC'!$A$4:$W$57,5,0),0)</f>
        <v>0</v>
      </c>
      <c r="X42" s="897">
        <f>IFERROR(VLOOKUP($K$9,' BILAN MP'!$A$4:$W$57,5,0),0)</f>
        <v>0</v>
      </c>
      <c r="Y42" s="795"/>
      <c r="Z42" s="887" t="str">
        <f>IF(K9="","",K9)</f>
        <v/>
      </c>
      <c r="AA42" s="901" t="str">
        <f>IFERROR(VLOOKUP(Z42,'Tableau de prix'!$A$1:$AA$102,26,0),"")</f>
        <v/>
      </c>
      <c r="AB42" s="930"/>
      <c r="AC42" s="931"/>
      <c r="AD42" s="658"/>
      <c r="AE42" s="658"/>
      <c r="AF42" s="893">
        <v>0</v>
      </c>
      <c r="AG42" s="894">
        <v>0</v>
      </c>
      <c r="AH42" s="895">
        <v>0</v>
      </c>
      <c r="AI42" s="896">
        <v>0</v>
      </c>
      <c r="AJ42" s="897">
        <v>0</v>
      </c>
      <c r="AK42" s="659"/>
      <c r="AL42" s="659"/>
      <c r="AM42" s="660"/>
      <c r="AN42" s="660"/>
      <c r="AO42" s="660"/>
      <c r="AP42" s="660"/>
      <c r="AQ42" s="660"/>
      <c r="AR42" s="660"/>
      <c r="AS42" s="660"/>
      <c r="AT42" s="660"/>
      <c r="AU42" s="672"/>
      <c r="AV42" s="672"/>
      <c r="AW42" s="672"/>
      <c r="AX42" s="658"/>
      <c r="AY42" s="658"/>
      <c r="AZ42" s="658"/>
      <c r="BA42" s="658"/>
      <c r="BB42" s="658"/>
      <c r="BC42" s="658"/>
      <c r="BD42" s="658"/>
      <c r="BE42" s="658"/>
      <c r="BF42" s="658"/>
      <c r="BG42" s="658"/>
    </row>
    <row r="43" spans="1:59" ht="15" customHeight="1" x14ac:dyDescent="0.2">
      <c r="A43" s="1498"/>
      <c r="B43" s="1499"/>
      <c r="C43" s="925"/>
      <c r="D43" s="1507"/>
      <c r="E43" s="1507"/>
      <c r="F43" s="1507"/>
      <c r="G43" s="1507"/>
      <c r="H43" s="852"/>
      <c r="I43" s="879"/>
      <c r="J43" s="852"/>
      <c r="K43" s="852"/>
      <c r="L43" s="852"/>
      <c r="M43" s="852"/>
      <c r="N43" s="745"/>
      <c r="O43" s="1452"/>
      <c r="P43" s="1452"/>
      <c r="Q43" s="647"/>
      <c r="R43" s="652"/>
      <c r="S43" s="780" t="s">
        <v>1414</v>
      </c>
      <c r="T43" s="893"/>
      <c r="U43" s="894"/>
      <c r="V43" s="895"/>
      <c r="W43" s="896"/>
      <c r="X43" s="897"/>
      <c r="Y43" s="795"/>
      <c r="Z43" s="887" t="str">
        <f>IF(L9="","",L9)</f>
        <v/>
      </c>
      <c r="AA43" s="901" t="str">
        <f>IFERROR(VLOOKUP("FH "&amp;Z43,'Tableau de prix'!$A$1:$AA$102,26,0),"")</f>
        <v/>
      </c>
      <c r="AB43" s="930"/>
      <c r="AC43" s="931"/>
      <c r="AD43" s="658"/>
      <c r="AE43" s="658"/>
      <c r="AF43" s="893"/>
      <c r="AG43" s="894"/>
      <c r="AH43" s="895"/>
      <c r="AI43" s="896"/>
      <c r="AJ43" s="897"/>
      <c r="AK43" s="659"/>
      <c r="AL43" s="659"/>
      <c r="AM43" s="660"/>
      <c r="AN43" s="660"/>
      <c r="AO43" s="660"/>
      <c r="AP43" s="660"/>
      <c r="AQ43" s="660"/>
      <c r="AR43" s="660"/>
      <c r="AS43" s="660"/>
      <c r="AT43" s="660"/>
      <c r="AU43" s="672"/>
      <c r="AV43" s="672"/>
      <c r="AW43" s="672"/>
      <c r="AX43" s="658"/>
      <c r="AY43" s="658"/>
      <c r="AZ43" s="658"/>
      <c r="BA43" s="658"/>
      <c r="BB43" s="658"/>
      <c r="BC43" s="658"/>
      <c r="BD43" s="658"/>
      <c r="BE43" s="658"/>
      <c r="BF43" s="658"/>
      <c r="BG43" s="658"/>
    </row>
    <row r="44" spans="1:59" ht="15" hidden="1" customHeight="1" x14ac:dyDescent="0.2">
      <c r="A44" s="1498"/>
      <c r="B44" s="1499"/>
      <c r="C44" s="925"/>
      <c r="D44" s="1507"/>
      <c r="E44" s="1507"/>
      <c r="F44" s="1507"/>
      <c r="G44" s="1507"/>
      <c r="H44" s="852"/>
      <c r="I44" s="879"/>
      <c r="J44" s="852"/>
      <c r="K44" s="852"/>
      <c r="L44" s="852"/>
      <c r="M44" s="852"/>
      <c r="N44" s="745"/>
      <c r="O44" s="1452"/>
      <c r="P44" s="1452"/>
      <c r="Q44" s="647"/>
      <c r="R44" s="652"/>
      <c r="S44" s="780"/>
      <c r="T44" s="893"/>
      <c r="U44" s="894"/>
      <c r="V44" s="895"/>
      <c r="W44" s="896"/>
      <c r="X44" s="897"/>
      <c r="Y44" s="795"/>
      <c r="Z44" s="887"/>
      <c r="AA44" s="901" t="str">
        <f>IFERROR(VLOOKUP(Z44,'Tableau de prix'!$A$1:$AA$102,26,0),"")</f>
        <v/>
      </c>
      <c r="AB44" s="930"/>
      <c r="AC44" s="931"/>
      <c r="AD44" s="658"/>
      <c r="AE44" s="658"/>
      <c r="AF44" s="893"/>
      <c r="AG44" s="894"/>
      <c r="AH44" s="895"/>
      <c r="AI44" s="896"/>
      <c r="AJ44" s="897"/>
      <c r="AK44" s="659"/>
      <c r="AL44" s="659"/>
      <c r="AM44" s="660"/>
      <c r="AN44" s="660"/>
      <c r="AO44" s="660"/>
      <c r="AP44" s="660"/>
      <c r="AQ44" s="660"/>
      <c r="AR44" s="660"/>
      <c r="AS44" s="660"/>
      <c r="AT44" s="660"/>
      <c r="AU44" s="672"/>
      <c r="AV44" s="672"/>
      <c r="AW44" s="672"/>
      <c r="AX44" s="658"/>
      <c r="AY44" s="658"/>
      <c r="AZ44" s="658"/>
      <c r="BA44" s="658"/>
      <c r="BB44" s="658"/>
      <c r="BC44" s="658"/>
      <c r="BD44" s="658"/>
      <c r="BE44" s="658"/>
      <c r="BF44" s="658"/>
      <c r="BG44" s="658"/>
    </row>
    <row r="45" spans="1:59" ht="15" hidden="1" customHeight="1" x14ac:dyDescent="0.2">
      <c r="A45" s="1498"/>
      <c r="B45" s="1499"/>
      <c r="C45" s="925"/>
      <c r="D45" s="1507"/>
      <c r="E45" s="1507"/>
      <c r="F45" s="1507"/>
      <c r="G45" s="1507"/>
      <c r="H45" s="852"/>
      <c r="I45" s="879"/>
      <c r="J45" s="852"/>
      <c r="K45" s="852"/>
      <c r="L45" s="852"/>
      <c r="M45" s="852"/>
      <c r="N45" s="745"/>
      <c r="O45" s="881"/>
      <c r="P45" s="881"/>
      <c r="Q45" s="647"/>
      <c r="R45" s="652"/>
      <c r="S45" s="780"/>
      <c r="T45" s="893"/>
      <c r="U45" s="894"/>
      <c r="V45" s="895"/>
      <c r="W45" s="896"/>
      <c r="X45" s="897"/>
      <c r="Y45" s="795"/>
      <c r="Z45" s="887"/>
      <c r="AA45" s="901" t="str">
        <f>IFERROR(VLOOKUP(Z45,'Tableau de prix'!$A$1:$AA$102,26,0),"")</f>
        <v/>
      </c>
      <c r="AB45" s="930"/>
      <c r="AC45" s="931"/>
      <c r="AD45" s="658"/>
      <c r="AE45" s="658"/>
      <c r="AF45" s="893"/>
      <c r="AG45" s="894"/>
      <c r="AH45" s="895"/>
      <c r="AI45" s="896"/>
      <c r="AJ45" s="897"/>
      <c r="AK45" s="659"/>
      <c r="AL45" s="659"/>
      <c r="AM45" s="660"/>
      <c r="AN45" s="660"/>
      <c r="AO45" s="660"/>
      <c r="AP45" s="660"/>
      <c r="AQ45" s="660"/>
      <c r="AR45" s="660"/>
      <c r="AS45" s="660"/>
      <c r="AT45" s="660"/>
      <c r="AU45" s="672"/>
      <c r="AV45" s="672"/>
      <c r="AW45" s="672"/>
      <c r="AX45" s="658"/>
      <c r="AY45" s="658"/>
      <c r="AZ45" s="658"/>
      <c r="BA45" s="658"/>
      <c r="BB45" s="658"/>
      <c r="BC45" s="658"/>
      <c r="BD45" s="658"/>
      <c r="BE45" s="658"/>
      <c r="BF45" s="658"/>
      <c r="BG45" s="658"/>
    </row>
    <row r="46" spans="1:59" ht="15" hidden="1" customHeight="1" x14ac:dyDescent="0.2">
      <c r="A46" s="1498"/>
      <c r="B46" s="1499"/>
      <c r="C46" s="925"/>
      <c r="D46" s="1507"/>
      <c r="E46" s="1507"/>
      <c r="F46" s="1507"/>
      <c r="G46" s="1507"/>
      <c r="H46" s="852"/>
      <c r="I46" s="879"/>
      <c r="J46" s="852"/>
      <c r="K46" s="852"/>
      <c r="L46" s="852"/>
      <c r="M46" s="852"/>
      <c r="N46" s="745"/>
      <c r="O46" s="881"/>
      <c r="P46" s="881"/>
      <c r="Q46" s="647"/>
      <c r="R46" s="652"/>
      <c r="S46" s="780"/>
      <c r="T46" s="882"/>
      <c r="U46" s="933"/>
      <c r="V46" s="934"/>
      <c r="W46" s="935"/>
      <c r="X46" s="936"/>
      <c r="Y46" s="795"/>
      <c r="Z46" s="887"/>
      <c r="AA46" s="901" t="str">
        <f>IFERROR(VLOOKUP(Z46,'Tableau de prix'!$A$1:$AA$102,26,0),"")</f>
        <v/>
      </c>
      <c r="AB46" s="937"/>
      <c r="AC46" s="826"/>
      <c r="AD46" s="826"/>
      <c r="AE46" s="658"/>
      <c r="AF46" s="882"/>
      <c r="AG46" s="933"/>
      <c r="AH46" s="934"/>
      <c r="AI46" s="935"/>
      <c r="AJ46" s="936"/>
      <c r="AK46" s="659"/>
      <c r="AL46" s="659"/>
      <c r="AM46" s="660"/>
      <c r="AN46" s="660"/>
      <c r="AO46" s="660"/>
      <c r="AP46" s="660"/>
      <c r="AQ46" s="660"/>
      <c r="AR46" s="660"/>
      <c r="AS46" s="660"/>
      <c r="AT46" s="660"/>
      <c r="AU46" s="672"/>
      <c r="AV46" s="672"/>
      <c r="AW46" s="672"/>
      <c r="AX46" s="658"/>
      <c r="AY46" s="658"/>
      <c r="AZ46" s="658"/>
      <c r="BA46" s="658"/>
      <c r="BB46" s="658"/>
      <c r="BC46" s="658"/>
      <c r="BD46" s="658"/>
      <c r="BE46" s="658"/>
      <c r="BF46" s="658"/>
      <c r="BG46" s="658"/>
    </row>
    <row r="47" spans="1:59" ht="32.1" customHeight="1" x14ac:dyDescent="0.2">
      <c r="A47" s="1498"/>
      <c r="B47" s="1499"/>
      <c r="C47" s="925"/>
      <c r="D47" s="1507"/>
      <c r="E47" s="1507"/>
      <c r="F47" s="1507"/>
      <c r="G47" s="1507"/>
      <c r="H47" s="852"/>
      <c r="I47" s="879"/>
      <c r="J47" s="852"/>
      <c r="K47" s="852"/>
      <c r="L47" s="852"/>
      <c r="M47" s="852"/>
      <c r="N47" s="745"/>
      <c r="O47" s="881"/>
      <c r="P47" s="881"/>
      <c r="Q47" s="647"/>
      <c r="R47" s="652"/>
      <c r="S47" s="938" t="s">
        <v>1387</v>
      </c>
      <c r="T47" s="918">
        <f>T41+T42</f>
        <v>0</v>
      </c>
      <c r="U47" s="919">
        <f>U41+U42</f>
        <v>0</v>
      </c>
      <c r="V47" s="920">
        <f>V41+V42</f>
        <v>0</v>
      </c>
      <c r="W47" s="921">
        <f>W41+W42</f>
        <v>0</v>
      </c>
      <c r="X47" s="922">
        <f>X41+X42</f>
        <v>0</v>
      </c>
      <c r="Y47" s="795"/>
      <c r="Z47" s="887"/>
      <c r="AA47" s="837" t="str">
        <f>IF(T47=0,"","TOTAL - Habillages")</f>
        <v/>
      </c>
      <c r="AB47" s="838"/>
      <c r="AC47" s="838"/>
      <c r="AD47" s="838"/>
      <c r="AE47" s="658"/>
      <c r="AF47" s="918">
        <v>0</v>
      </c>
      <c r="AG47" s="919">
        <v>0</v>
      </c>
      <c r="AH47" s="920">
        <v>0</v>
      </c>
      <c r="AI47" s="921">
        <v>0</v>
      </c>
      <c r="AJ47" s="922">
        <v>0</v>
      </c>
      <c r="AK47" s="659"/>
      <c r="AL47" s="659"/>
      <c r="AM47" s="660"/>
      <c r="AN47" s="660"/>
      <c r="AO47" s="660"/>
      <c r="AP47" s="660"/>
      <c r="AQ47" s="660"/>
      <c r="AR47" s="660"/>
      <c r="AS47" s="660"/>
      <c r="AT47" s="660"/>
      <c r="AU47" s="672"/>
      <c r="AV47" s="672"/>
      <c r="AW47" s="672"/>
      <c r="AX47" s="658"/>
      <c r="AY47" s="658"/>
      <c r="AZ47" s="658"/>
      <c r="BA47" s="658"/>
      <c r="BB47" s="658"/>
      <c r="BC47" s="658"/>
      <c r="BD47" s="658"/>
      <c r="BE47" s="658"/>
      <c r="BF47" s="658"/>
      <c r="BG47" s="658"/>
    </row>
    <row r="48" spans="1:59" ht="0.6" customHeight="1" x14ac:dyDescent="0.2">
      <c r="A48" s="1498"/>
      <c r="B48" s="1499"/>
      <c r="C48" s="823"/>
      <c r="D48" s="1507"/>
      <c r="E48" s="1507"/>
      <c r="F48" s="1507"/>
      <c r="G48" s="1507"/>
      <c r="H48" s="852"/>
      <c r="I48" s="879"/>
      <c r="J48" s="852"/>
      <c r="K48" s="852"/>
      <c r="L48" s="852"/>
      <c r="M48" s="852"/>
      <c r="N48" s="880"/>
      <c r="O48" s="881"/>
      <c r="P48" s="881"/>
      <c r="Q48" s="647"/>
      <c r="R48" s="652"/>
      <c r="S48" s="939"/>
      <c r="T48" s="940"/>
      <c r="U48" s="941"/>
      <c r="V48" s="942"/>
      <c r="W48" s="943"/>
      <c r="X48" s="944"/>
      <c r="Y48" s="795"/>
      <c r="Z48" s="887"/>
      <c r="AA48" s="945"/>
      <c r="AB48" s="930"/>
      <c r="AC48" s="931"/>
      <c r="AD48" s="658"/>
      <c r="AE48" s="658"/>
      <c r="AF48" s="940"/>
      <c r="AG48" s="941"/>
      <c r="AH48" s="942"/>
      <c r="AI48" s="943"/>
      <c r="AJ48" s="944"/>
      <c r="AK48" s="659"/>
      <c r="AL48" s="659"/>
      <c r="AM48" s="660"/>
      <c r="AN48" s="660"/>
      <c r="AO48" s="660"/>
      <c r="AP48" s="660"/>
      <c r="AQ48" s="660"/>
      <c r="AR48" s="660"/>
      <c r="AS48" s="660"/>
      <c r="AT48" s="660"/>
      <c r="AU48" s="672"/>
      <c r="AV48" s="672"/>
      <c r="AW48" s="672"/>
      <c r="AX48" s="658"/>
      <c r="AY48" s="658"/>
      <c r="AZ48" s="658"/>
      <c r="BA48" s="658"/>
      <c r="BB48" s="658"/>
      <c r="BC48" s="658"/>
      <c r="BD48" s="658"/>
      <c r="BE48" s="658"/>
      <c r="BF48" s="658"/>
      <c r="BG48" s="658"/>
    </row>
    <row r="49" spans="1:59" ht="15" customHeight="1" x14ac:dyDescent="0.2">
      <c r="A49" s="1498"/>
      <c r="B49" s="946"/>
      <c r="C49" s="823"/>
      <c r="D49" s="745"/>
      <c r="E49" s="745"/>
      <c r="F49" s="824"/>
      <c r="G49" s="745"/>
      <c r="H49" s="711"/>
      <c r="I49" s="850"/>
      <c r="J49" s="711"/>
      <c r="K49" s="711"/>
      <c r="L49" s="711"/>
      <c r="M49" s="711"/>
      <c r="N49" s="745"/>
      <c r="O49" s="711"/>
      <c r="P49" s="711"/>
      <c r="Q49" s="711"/>
      <c r="R49" s="652"/>
      <c r="S49" s="780"/>
      <c r="T49" s="882"/>
      <c r="U49" s="947"/>
      <c r="V49" s="947"/>
      <c r="W49" s="947"/>
      <c r="X49" s="947"/>
      <c r="Y49" s="795"/>
      <c r="Z49" s="887"/>
      <c r="AA49" s="846" t="str">
        <f>IF(AA47="","","c")</f>
        <v/>
      </c>
      <c r="AB49" s="930"/>
      <c r="AC49" s="931"/>
      <c r="AD49" s="658"/>
      <c r="AE49" s="658"/>
      <c r="AF49" s="882"/>
      <c r="AG49" s="947"/>
      <c r="AH49" s="947"/>
      <c r="AI49" s="947"/>
      <c r="AJ49" s="947"/>
      <c r="AK49" s="659"/>
      <c r="AL49" s="659"/>
      <c r="AM49" s="660"/>
      <c r="AN49" s="660"/>
      <c r="AO49" s="660"/>
      <c r="AP49" s="660"/>
      <c r="AQ49" s="660"/>
      <c r="AR49" s="660"/>
      <c r="AS49" s="660"/>
      <c r="AT49" s="660"/>
      <c r="AU49" s="672"/>
      <c r="AV49" s="672"/>
      <c r="AW49" s="672"/>
      <c r="AX49" s="658"/>
      <c r="AY49" s="658"/>
      <c r="AZ49" s="658"/>
      <c r="BA49" s="658"/>
      <c r="BB49" s="658"/>
      <c r="BC49" s="658"/>
      <c r="BD49" s="658"/>
      <c r="BE49" s="658"/>
      <c r="BF49" s="658"/>
      <c r="BG49" s="658"/>
    </row>
    <row r="50" spans="1:59" ht="15" customHeight="1" x14ac:dyDescent="0.2">
      <c r="A50" s="1498"/>
      <c r="B50" s="946"/>
      <c r="C50" s="823"/>
      <c r="D50" s="1489"/>
      <c r="E50" s="1451"/>
      <c r="F50" s="1451"/>
      <c r="G50" s="1451"/>
      <c r="H50" s="711"/>
      <c r="I50" s="850"/>
      <c r="J50" s="1451" t="s">
        <v>1400</v>
      </c>
      <c r="K50" s="1451"/>
      <c r="L50" s="1451"/>
      <c r="M50" s="1451"/>
      <c r="N50" s="745"/>
      <c r="O50" s="1451" t="s">
        <v>1401</v>
      </c>
      <c r="P50" s="1451"/>
      <c r="Q50" s="647"/>
      <c r="R50" s="652"/>
      <c r="S50" s="780"/>
      <c r="T50" s="882"/>
      <c r="U50" s="947"/>
      <c r="V50" s="947"/>
      <c r="W50" s="947"/>
      <c r="X50" s="947"/>
      <c r="Y50" s="795"/>
      <c r="Z50" s="887"/>
      <c r="AA50" s="846" t="str">
        <f>IFERROR(VLOOKUP(Z50,'Tableau de prix'!$A$1:$AA$102,26,0),"")</f>
        <v/>
      </c>
      <c r="AB50" s="930"/>
      <c r="AC50" s="931"/>
      <c r="AD50" s="658"/>
      <c r="AE50" s="658"/>
      <c r="AF50" s="882"/>
      <c r="AG50" s="947"/>
      <c r="AH50" s="947"/>
      <c r="AI50" s="947"/>
      <c r="AJ50" s="947"/>
      <c r="AK50" s="659"/>
      <c r="AL50" s="659"/>
      <c r="AM50" s="660"/>
      <c r="AN50" s="660"/>
      <c r="AO50" s="660"/>
      <c r="AP50" s="660"/>
      <c r="AQ50" s="660"/>
      <c r="AR50" s="660"/>
      <c r="AS50" s="660"/>
      <c r="AT50" s="660"/>
      <c r="AU50" s="672"/>
      <c r="AV50" s="672"/>
      <c r="AW50" s="672"/>
      <c r="AX50" s="658"/>
      <c r="AY50" s="658"/>
      <c r="AZ50" s="658"/>
      <c r="BA50" s="658"/>
      <c r="BB50" s="658"/>
      <c r="BC50" s="658"/>
      <c r="BD50" s="658"/>
      <c r="BE50" s="658"/>
      <c r="BF50" s="658"/>
      <c r="BG50" s="658"/>
    </row>
    <row r="51" spans="1:59" ht="15" customHeight="1" x14ac:dyDescent="0.2">
      <c r="A51" s="1498"/>
      <c r="B51" s="1514" t="s">
        <v>487</v>
      </c>
      <c r="C51" s="823"/>
      <c r="D51" s="948"/>
      <c r="E51" s="948"/>
      <c r="F51" s="948"/>
      <c r="G51" s="948"/>
      <c r="H51" s="948"/>
      <c r="I51" s="948"/>
      <c r="J51" s="948"/>
      <c r="K51" s="948"/>
      <c r="L51" s="948"/>
      <c r="M51" s="948"/>
      <c r="N51" s="745"/>
      <c r="O51" s="949"/>
      <c r="P51" s="949"/>
      <c r="Q51" s="647"/>
      <c r="R51" s="652"/>
      <c r="S51" s="780" t="s">
        <v>1400</v>
      </c>
      <c r="T51" s="893">
        <f>IFERROR(VLOOKUP(J10,'Tableau de prix'!$A$4:$X$119,5,0),0)</f>
        <v>0</v>
      </c>
      <c r="U51" s="894" t="str">
        <f>IFERROR(VLOOKUP(J10,' BILAN MA'!$A$4:$W$112,5,0),"")</f>
        <v/>
      </c>
      <c r="V51" s="895" t="str">
        <f>IFERROR(VLOOKUP(J10,'BILAN MOA'!$A$4:$W$112,5,0),"")</f>
        <v/>
      </c>
      <c r="W51" s="896" t="str">
        <f>IFERROR(VLOOKUP(J10,'BILAN MOC'!$A$4:$W$112,5,0),"")</f>
        <v/>
      </c>
      <c r="X51" s="897" t="str">
        <f>IFERROR(VLOOKUP(J10,' BILAN MP'!$A$4:$W$112,5,0),"")</f>
        <v/>
      </c>
      <c r="Y51" s="795"/>
      <c r="Z51" s="887">
        <f>J10</f>
        <v>0</v>
      </c>
      <c r="AA51" s="950" t="str">
        <f>IFERROR(VLOOKUP(Z51,'Tableau de prix'!$A$1:$AA$102,26,0),"")</f>
        <v/>
      </c>
      <c r="AB51" s="930"/>
      <c r="AC51" s="931"/>
      <c r="AD51" s="658"/>
      <c r="AE51" s="658"/>
      <c r="AF51" s="893">
        <v>0</v>
      </c>
      <c r="AG51" s="894" t="s">
        <v>1519</v>
      </c>
      <c r="AH51" s="895" t="s">
        <v>1519</v>
      </c>
      <c r="AI51" s="896" t="s">
        <v>1519</v>
      </c>
      <c r="AJ51" s="897" t="s">
        <v>1519</v>
      </c>
      <c r="AK51" s="659"/>
      <c r="AL51" s="659"/>
      <c r="AM51" s="660"/>
      <c r="AN51" s="660"/>
      <c r="AO51" s="660"/>
      <c r="AP51" s="660"/>
      <c r="AQ51" s="660"/>
      <c r="AR51" s="660"/>
      <c r="AS51" s="660"/>
      <c r="AT51" s="660"/>
      <c r="AU51" s="672"/>
      <c r="AV51" s="672"/>
      <c r="AW51" s="672"/>
      <c r="AX51" s="658"/>
      <c r="AY51" s="658"/>
      <c r="AZ51" s="658"/>
      <c r="BA51" s="658"/>
      <c r="BB51" s="658"/>
      <c r="BC51" s="658"/>
      <c r="BD51" s="658"/>
      <c r="BE51" s="658"/>
      <c r="BF51" s="658"/>
      <c r="BG51" s="658"/>
    </row>
    <row r="52" spans="1:59" ht="15" customHeight="1" x14ac:dyDescent="0.2">
      <c r="A52" s="1498"/>
      <c r="B52" s="1514"/>
      <c r="C52" s="823"/>
      <c r="D52" s="948"/>
      <c r="E52" s="948"/>
      <c r="F52" s="948"/>
      <c r="G52" s="948"/>
      <c r="H52" s="948"/>
      <c r="I52" s="948"/>
      <c r="J52" s="948"/>
      <c r="K52" s="948"/>
      <c r="L52" s="948"/>
      <c r="M52" s="948"/>
      <c r="N52" s="745"/>
      <c r="O52" s="949"/>
      <c r="P52" s="949"/>
      <c r="Q52" s="647"/>
      <c r="R52" s="652"/>
      <c r="S52" s="780" t="s">
        <v>1401</v>
      </c>
      <c r="T52" s="893">
        <f>IFERROR(VLOOKUP(L10,'Tableau de prix'!$A$4:$X$119,5,0),0)</f>
        <v>0</v>
      </c>
      <c r="U52" s="894">
        <f>IFERROR(VLOOKUP(L10,' BILAN MA'!$A$4:$W$112,5,0),0)</f>
        <v>0</v>
      </c>
      <c r="V52" s="895">
        <f>IFERROR(VLOOKUP(L10,'BILAN MOA'!$A$4:$W$112,5,0),0)</f>
        <v>0</v>
      </c>
      <c r="W52" s="896">
        <f>IFERROR(VLOOKUP(L10,'BILAN MOC'!$A$4:$W$112,5,0),0)</f>
        <v>0</v>
      </c>
      <c r="X52" s="897">
        <f>IFERROR(VLOOKUP(L10,' BILAN MP'!$A$4:$W$112,5,0),0)</f>
        <v>0</v>
      </c>
      <c r="Y52" s="795"/>
      <c r="Z52" s="887">
        <f>L10</f>
        <v>0</v>
      </c>
      <c r="AA52" s="950" t="str">
        <f>IFERROR(VLOOKUP(Z52,'Tableau de prix'!$A$1:$AA$102,26,0),"")</f>
        <v/>
      </c>
      <c r="AB52" s="930"/>
      <c r="AC52" s="931"/>
      <c r="AD52" s="658"/>
      <c r="AE52" s="658"/>
      <c r="AF52" s="893">
        <v>0</v>
      </c>
      <c r="AG52" s="894">
        <v>0</v>
      </c>
      <c r="AH52" s="895">
        <v>0</v>
      </c>
      <c r="AI52" s="896">
        <v>0</v>
      </c>
      <c r="AJ52" s="897">
        <v>0</v>
      </c>
      <c r="AK52" s="659"/>
      <c r="AL52" s="659"/>
      <c r="AM52" s="660"/>
      <c r="AN52" s="660"/>
      <c r="AO52" s="660"/>
      <c r="AP52" s="660"/>
      <c r="AQ52" s="660"/>
      <c r="AR52" s="660"/>
      <c r="AS52" s="660"/>
      <c r="AT52" s="660"/>
      <c r="AU52" s="660"/>
      <c r="AV52" s="660"/>
      <c r="AW52" s="660"/>
      <c r="AX52" s="658"/>
      <c r="AY52" s="658"/>
      <c r="AZ52" s="658"/>
      <c r="BA52" s="658"/>
      <c r="BB52" s="658"/>
      <c r="BC52" s="659"/>
      <c r="BD52" s="659"/>
      <c r="BE52" s="659"/>
      <c r="BF52" s="659"/>
      <c r="BG52" s="659"/>
    </row>
    <row r="53" spans="1:59" ht="27.6" customHeight="1" x14ac:dyDescent="0.2">
      <c r="A53" s="1498"/>
      <c r="B53" s="1514"/>
      <c r="C53" s="823"/>
      <c r="D53" s="948"/>
      <c r="E53" s="948"/>
      <c r="F53" s="948"/>
      <c r="G53" s="948"/>
      <c r="H53" s="948"/>
      <c r="I53" s="948"/>
      <c r="J53" s="948"/>
      <c r="K53" s="948"/>
      <c r="L53" s="948"/>
      <c r="M53" s="948"/>
      <c r="N53" s="745"/>
      <c r="O53" s="949"/>
      <c r="P53" s="949"/>
      <c r="Q53" s="647"/>
      <c r="R53" s="652"/>
      <c r="S53" s="853" t="s">
        <v>1397</v>
      </c>
      <c r="T53" s="951">
        <f>IFERROR(VLOOKUP(K10,'Tableau de prix'!$A$4:$X$119,5,0),0)</f>
        <v>0</v>
      </c>
      <c r="U53" s="952">
        <f>IFERROR(VLOOKUP(K10,' BILAN MA'!$A$4:$W$112,5,0),0)</f>
        <v>0</v>
      </c>
      <c r="V53" s="953">
        <f>IFERROR(VLOOKUP(K10,'BILAN MOA'!$A$4:$W$112,5,0),0)</f>
        <v>0</v>
      </c>
      <c r="W53" s="954">
        <f>IFERROR(VLOOKUP(K10,'BILAN MOC'!$A$4:$W$112,5,0),0)</f>
        <v>0</v>
      </c>
      <c r="X53" s="897">
        <f>IFERROR(VLOOKUP(K10,' BILAN MP'!$A$4:$W$112,5,0),0)</f>
        <v>0</v>
      </c>
      <c r="Y53" s="795"/>
      <c r="Z53" s="859">
        <f>K10</f>
        <v>0</v>
      </c>
      <c r="AA53" s="955" t="str">
        <f>IFERROR(VLOOKUP(Z53,'Tableau de prix'!$A$1:$AA$102,26,0),"")</f>
        <v/>
      </c>
      <c r="AB53" s="930"/>
      <c r="AC53" s="931"/>
      <c r="AD53" s="658"/>
      <c r="AE53" s="658"/>
      <c r="AF53" s="951">
        <v>0</v>
      </c>
      <c r="AG53" s="952">
        <v>0</v>
      </c>
      <c r="AH53" s="953">
        <v>0</v>
      </c>
      <c r="AI53" s="954">
        <v>0</v>
      </c>
      <c r="AJ53" s="897">
        <v>0</v>
      </c>
      <c r="AK53" s="659"/>
      <c r="AL53" s="659"/>
      <c r="AM53" s="660"/>
      <c r="AN53" s="660"/>
      <c r="AO53" s="660"/>
      <c r="AP53" s="660"/>
      <c r="AQ53" s="660"/>
      <c r="AR53" s="660"/>
      <c r="AS53" s="660"/>
      <c r="AT53" s="660"/>
      <c r="AU53" s="660"/>
      <c r="AV53" s="660"/>
      <c r="AW53" s="660"/>
      <c r="AX53" s="659"/>
      <c r="AY53" s="659"/>
      <c r="AZ53" s="659"/>
      <c r="BA53" s="659"/>
      <c r="BB53" s="659"/>
      <c r="BC53" s="659"/>
      <c r="BD53" s="659"/>
      <c r="BE53" s="659"/>
      <c r="BF53" s="659"/>
      <c r="BG53" s="659"/>
    </row>
    <row r="54" spans="1:59" ht="15" hidden="1" customHeight="1" x14ac:dyDescent="0.2">
      <c r="A54" s="1498"/>
      <c r="B54" s="1514"/>
      <c r="C54" s="823"/>
      <c r="D54" s="948"/>
      <c r="E54" s="948"/>
      <c r="F54" s="948"/>
      <c r="G54" s="948"/>
      <c r="H54" s="948"/>
      <c r="I54" s="948"/>
      <c r="J54" s="948"/>
      <c r="K54" s="948"/>
      <c r="L54" s="948"/>
      <c r="M54" s="948"/>
      <c r="N54" s="745"/>
      <c r="O54" s="949"/>
      <c r="P54" s="949"/>
      <c r="Q54" s="647"/>
      <c r="R54" s="652"/>
      <c r="S54" s="853"/>
      <c r="T54" s="956"/>
      <c r="U54" s="957"/>
      <c r="V54" s="958"/>
      <c r="W54" s="959"/>
      <c r="X54" s="960"/>
      <c r="Y54" s="795"/>
      <c r="Z54" s="859"/>
      <c r="AA54" s="961"/>
      <c r="AB54" s="930"/>
      <c r="AC54" s="931"/>
      <c r="AD54" s="658"/>
      <c r="AE54" s="658"/>
      <c r="AF54" s="956"/>
      <c r="AG54" s="957"/>
      <c r="AH54" s="958"/>
      <c r="AI54" s="959"/>
      <c r="AJ54" s="960"/>
      <c r="AK54" s="659"/>
      <c r="AL54" s="659"/>
      <c r="AM54" s="660"/>
      <c r="AN54" s="660"/>
      <c r="AO54" s="660"/>
      <c r="AP54" s="660"/>
      <c r="AQ54" s="660"/>
      <c r="AR54" s="660"/>
      <c r="AS54" s="660"/>
      <c r="AT54" s="660"/>
      <c r="AU54" s="660"/>
      <c r="AV54" s="660"/>
      <c r="AW54" s="660"/>
      <c r="AX54" s="659"/>
      <c r="AY54" s="659"/>
      <c r="AZ54" s="659"/>
      <c r="BA54" s="659"/>
      <c r="BB54" s="659"/>
      <c r="BC54" s="659"/>
      <c r="BD54" s="659"/>
      <c r="BE54" s="659"/>
      <c r="BF54" s="659"/>
      <c r="BG54" s="659"/>
    </row>
    <row r="55" spans="1:59" ht="26.1" customHeight="1" x14ac:dyDescent="0.2">
      <c r="A55" s="1498"/>
      <c r="B55" s="1514"/>
      <c r="C55" s="823"/>
      <c r="D55" s="948"/>
      <c r="E55" s="948"/>
      <c r="F55" s="948"/>
      <c r="G55" s="948"/>
      <c r="H55" s="948"/>
      <c r="I55" s="948"/>
      <c r="J55" s="948"/>
      <c r="K55" s="948"/>
      <c r="L55" s="948"/>
      <c r="M55" s="948"/>
      <c r="N55" s="962"/>
      <c r="O55" s="949"/>
      <c r="P55" s="949"/>
      <c r="Q55" s="711"/>
      <c r="R55" s="652"/>
      <c r="S55" s="830" t="s">
        <v>1373</v>
      </c>
      <c r="T55" s="963">
        <f>SUM(T51:T54)</f>
        <v>0</v>
      </c>
      <c r="U55" s="919">
        <f>SUM(U51:U54)</f>
        <v>0</v>
      </c>
      <c r="V55" s="920">
        <f>SUM(V51:V54)</f>
        <v>0</v>
      </c>
      <c r="W55" s="921">
        <f>SUM(W51:W54)</f>
        <v>0</v>
      </c>
      <c r="X55" s="922">
        <f>SUM(X51:X54)</f>
        <v>0</v>
      </c>
      <c r="Y55" s="795"/>
      <c r="Z55" s="887"/>
      <c r="AA55" s="964" t="str">
        <f>IF(T55=0,"","TOTAL - Finitions")</f>
        <v/>
      </c>
      <c r="AB55" s="965"/>
      <c r="AC55" s="965"/>
      <c r="AD55" s="965"/>
      <c r="AE55" s="658"/>
      <c r="AF55" s="963">
        <v>0</v>
      </c>
      <c r="AG55" s="919">
        <v>0</v>
      </c>
      <c r="AH55" s="920">
        <v>0</v>
      </c>
      <c r="AI55" s="921">
        <v>0</v>
      </c>
      <c r="AJ55" s="922">
        <v>0</v>
      </c>
      <c r="AK55" s="659"/>
      <c r="AL55" s="659"/>
      <c r="AM55" s="660"/>
      <c r="AN55" s="660"/>
      <c r="AO55" s="660"/>
      <c r="AP55" s="660"/>
      <c r="AQ55" s="660"/>
      <c r="AR55" s="660"/>
      <c r="AS55" s="660"/>
      <c r="AT55" s="660"/>
      <c r="AU55" s="660"/>
      <c r="AV55" s="660"/>
      <c r="AW55" s="660"/>
      <c r="AX55" s="659"/>
      <c r="AY55" s="659"/>
      <c r="AZ55" s="659"/>
      <c r="BA55" s="659"/>
      <c r="BB55" s="659"/>
      <c r="BC55" s="659"/>
      <c r="BD55" s="659"/>
      <c r="BE55" s="659"/>
      <c r="BF55" s="659"/>
      <c r="BG55" s="659"/>
    </row>
    <row r="56" spans="1:59" ht="19.350000000000001" customHeight="1" x14ac:dyDescent="0.2">
      <c r="A56" s="1498"/>
      <c r="B56" s="946"/>
      <c r="C56" s="849"/>
      <c r="D56" s="647"/>
      <c r="E56" s="711"/>
      <c r="F56" s="850"/>
      <c r="G56" s="851"/>
      <c r="H56" s="711"/>
      <c r="I56" s="850"/>
      <c r="J56" s="711"/>
      <c r="K56" s="711"/>
      <c r="L56" s="647"/>
      <c r="M56" s="711"/>
      <c r="N56" s="745"/>
      <c r="O56" s="711"/>
      <c r="P56" s="711"/>
      <c r="Q56" s="647"/>
      <c r="R56" s="652"/>
      <c r="S56" s="780"/>
      <c r="T56" s="966"/>
      <c r="U56" s="966"/>
      <c r="V56" s="966"/>
      <c r="W56" s="966"/>
      <c r="X56" s="966"/>
      <c r="Y56" s="795"/>
      <c r="Z56" s="887"/>
      <c r="AA56" s="846" t="str">
        <f>IF(AA55="","","d")</f>
        <v/>
      </c>
      <c r="AB56" s="930"/>
      <c r="AC56" s="931"/>
      <c r="AD56" s="658"/>
      <c r="AE56" s="658"/>
      <c r="AF56" s="966"/>
      <c r="AG56" s="966"/>
      <c r="AH56" s="966"/>
      <c r="AI56" s="966"/>
      <c r="AJ56" s="966"/>
      <c r="AK56" s="659"/>
      <c r="AL56" s="659"/>
      <c r="AM56" s="660"/>
      <c r="AN56" s="660"/>
      <c r="AO56" s="660"/>
      <c r="AP56" s="660"/>
      <c r="AQ56" s="660"/>
      <c r="AR56" s="660"/>
      <c r="AS56" s="660"/>
      <c r="AT56" s="660"/>
      <c r="AU56" s="660"/>
      <c r="AV56" s="660"/>
      <c r="AW56" s="660"/>
      <c r="AX56" s="659"/>
      <c r="AY56" s="659"/>
      <c r="AZ56" s="659"/>
      <c r="BA56" s="659"/>
      <c r="BB56" s="659"/>
      <c r="BC56" s="659"/>
      <c r="BD56" s="659"/>
      <c r="BE56" s="659"/>
      <c r="BF56" s="659"/>
      <c r="BG56" s="659"/>
    </row>
    <row r="57" spans="1:59" ht="15" customHeight="1" x14ac:dyDescent="0.2">
      <c r="A57" s="1498"/>
      <c r="B57" s="946"/>
      <c r="C57" s="849"/>
      <c r="D57" s="851"/>
      <c r="E57" s="711"/>
      <c r="F57" s="850"/>
      <c r="G57" s="711"/>
      <c r="H57" s="711"/>
      <c r="I57" s="850"/>
      <c r="J57" s="711"/>
      <c r="K57" s="711"/>
      <c r="L57" s="711"/>
      <c r="M57" s="711"/>
      <c r="N57" s="745"/>
      <c r="O57" s="711"/>
      <c r="P57" s="711"/>
      <c r="Q57" s="647"/>
      <c r="R57" s="652"/>
      <c r="S57" s="780"/>
      <c r="T57" s="966"/>
      <c r="U57" s="966"/>
      <c r="V57" s="966"/>
      <c r="W57" s="966"/>
      <c r="X57" s="966"/>
      <c r="Y57" s="795"/>
      <c r="Z57" s="887"/>
      <c r="AA57" s="967" t="str">
        <f>IFERROR(VLOOKUP(Z57,'Tableau de prix'!$A$1:$AA$102,26,0),"")</f>
        <v/>
      </c>
      <c r="AB57" s="930"/>
      <c r="AC57" s="931"/>
      <c r="AD57" s="658"/>
      <c r="AE57" s="658"/>
      <c r="AF57" s="966"/>
      <c r="AG57" s="966"/>
      <c r="AH57" s="966"/>
      <c r="AI57" s="966"/>
      <c r="AJ57" s="966"/>
      <c r="AK57" s="659"/>
      <c r="AL57" s="659"/>
      <c r="AM57" s="660"/>
      <c r="AN57" s="660"/>
      <c r="AO57" s="660"/>
      <c r="AP57" s="660"/>
      <c r="AQ57" s="660"/>
      <c r="AR57" s="660"/>
      <c r="AS57" s="660"/>
      <c r="AT57" s="660"/>
      <c r="AU57" s="660"/>
      <c r="AV57" s="660"/>
      <c r="AW57" s="660"/>
      <c r="AX57" s="659"/>
      <c r="AY57" s="659"/>
      <c r="AZ57" s="659"/>
      <c r="BA57" s="659"/>
      <c r="BB57" s="659"/>
      <c r="BC57" s="659"/>
      <c r="BD57" s="659"/>
      <c r="BE57" s="659"/>
      <c r="BF57" s="659"/>
      <c r="BG57" s="659"/>
    </row>
    <row r="58" spans="1:59" ht="27" customHeight="1" x14ac:dyDescent="0.2">
      <c r="A58" s="1498"/>
      <c r="B58" s="1495" t="s">
        <v>590</v>
      </c>
      <c r="C58" s="868"/>
      <c r="D58" s="876"/>
      <c r="E58" s="876"/>
      <c r="F58" s="910"/>
      <c r="G58" s="876"/>
      <c r="H58" s="876"/>
      <c r="I58" s="910"/>
      <c r="J58" s="876"/>
      <c r="K58" s="876"/>
      <c r="L58" s="876"/>
      <c r="M58" s="876"/>
      <c r="N58" s="868"/>
      <c r="O58" s="949"/>
      <c r="P58" s="949"/>
      <c r="Q58" s="647"/>
      <c r="R58" s="652"/>
      <c r="S58" s="780" t="s">
        <v>1460</v>
      </c>
      <c r="T58" s="893">
        <f>IFERROR((VLOOKUP(J11,'Tableau de prix'!$A$4:$X$119,5,0)*G11),0)</f>
        <v>149.20074000000002</v>
      </c>
      <c r="U58" s="894">
        <f>IFERROR(VLOOKUP(J11,' BILAN MA'!$A$4:$W$112,6,0)*G14,0)</f>
        <v>0</v>
      </c>
      <c r="V58" s="895">
        <f>IFERROR(VLOOKUP(J11,'BILAN MOA'!$A$4:$W$112,6,0),0)</f>
        <v>0</v>
      </c>
      <c r="W58" s="896">
        <f>IFERROR(VLOOKUP(J11,'BILAN MOC'!$A$4:$W$112,6,0)*G14,0)</f>
        <v>0</v>
      </c>
      <c r="X58" s="897">
        <f>IFERROR(VLOOKUP(J11,' BILAN MP'!$A$4:$W$112,6,0)*G14,0)</f>
        <v>0</v>
      </c>
      <c r="Y58" s="795"/>
      <c r="Z58" s="887" t="str">
        <f>J11</f>
        <v>BP4</v>
      </c>
      <c r="AA58" s="901" t="str">
        <f>IFERROR(VLOOKUP(Z58,'Tableau de prix'!$A$1:$AA$102,26,0),"")</f>
        <v>Fourniture et mise en œuvre d'une bande de propreté de 50 cm gravillonées (géotextile+10cm de gravillons)</v>
      </c>
      <c r="AB58" s="968"/>
      <c r="AC58" s="969"/>
      <c r="AD58" s="689"/>
      <c r="AE58" s="658"/>
      <c r="AF58" s="893">
        <v>149.20074000000002</v>
      </c>
      <c r="AG58" s="894">
        <v>0</v>
      </c>
      <c r="AH58" s="895">
        <v>0</v>
      </c>
      <c r="AI58" s="896">
        <v>0</v>
      </c>
      <c r="AJ58" s="897">
        <v>0</v>
      </c>
      <c r="AK58" s="659"/>
      <c r="AL58" s="659"/>
      <c r="AM58" s="660"/>
      <c r="AN58" s="660"/>
      <c r="AO58" s="660"/>
      <c r="AP58" s="660"/>
      <c r="AQ58" s="660"/>
      <c r="AR58" s="660"/>
      <c r="AS58" s="660"/>
      <c r="AT58" s="660"/>
      <c r="AU58" s="660"/>
      <c r="AV58" s="660"/>
      <c r="AW58" s="660"/>
      <c r="AX58" s="659"/>
      <c r="AY58" s="659"/>
      <c r="AZ58" s="659"/>
      <c r="BA58" s="659"/>
      <c r="BB58" s="659"/>
      <c r="BC58" s="659"/>
      <c r="BD58" s="659"/>
      <c r="BE58" s="659"/>
      <c r="BF58" s="659"/>
      <c r="BG58" s="659"/>
    </row>
    <row r="59" spans="1:59" ht="23.1" customHeight="1" x14ac:dyDescent="0.2">
      <c r="A59" s="1498"/>
      <c r="B59" s="1495"/>
      <c r="C59" s="868"/>
      <c r="D59" s="876"/>
      <c r="E59" s="876"/>
      <c r="F59" s="910"/>
      <c r="G59" s="876"/>
      <c r="H59" s="876"/>
      <c r="I59" s="910"/>
      <c r="J59" s="876"/>
      <c r="K59" s="876"/>
      <c r="L59" s="876"/>
      <c r="M59" s="876"/>
      <c r="N59" s="868"/>
      <c r="O59" s="949"/>
      <c r="P59" s="949"/>
      <c r="Q59" s="647"/>
      <c r="R59" s="652"/>
      <c r="S59" s="780" t="s">
        <v>1461</v>
      </c>
      <c r="T59" s="893">
        <f>IFERROR((VLOOKUP(L11,'Tableau de prix'!$A$4:$X$119,5,0)*G14),0)</f>
        <v>0</v>
      </c>
      <c r="U59" s="952">
        <f>IFERROR(VLOOKUP(L11,' BILAN MA'!$A$4:$W$112,6,0)*G14,0)</f>
        <v>0</v>
      </c>
      <c r="V59" s="953">
        <f>IFERROR(VLOOKUP(L11,'BILAN MOA'!$A$4:$W$112,6,0)*G14,0)</f>
        <v>0</v>
      </c>
      <c r="W59" s="954">
        <f>IFERROR(VLOOKUP(L11,'BILAN MOC'!$A$4:$W$112,6,0)*G14,0)</f>
        <v>0</v>
      </c>
      <c r="X59" s="897">
        <f>IFERROR(VLOOKUP(L11,' BILAN MP'!$A$4:$W$112,6,0)*G14,0)</f>
        <v>0</v>
      </c>
      <c r="Y59" s="795"/>
      <c r="Z59" s="887">
        <f>L11</f>
        <v>0</v>
      </c>
      <c r="AA59" s="970" t="str">
        <f>IFERROR(VLOOKUP(Z59,'Tableau de prix'!$A$1:$AA$102,26,0),"")</f>
        <v/>
      </c>
      <c r="AB59" s="968"/>
      <c r="AC59" s="969"/>
      <c r="AD59" s="689"/>
      <c r="AE59" s="658"/>
      <c r="AF59" s="893">
        <v>0</v>
      </c>
      <c r="AG59" s="952">
        <v>0</v>
      </c>
      <c r="AH59" s="953">
        <v>0</v>
      </c>
      <c r="AI59" s="954">
        <v>0</v>
      </c>
      <c r="AJ59" s="897">
        <v>0</v>
      </c>
      <c r="AK59" s="659"/>
      <c r="AL59" s="659"/>
      <c r="AM59" s="660"/>
      <c r="AN59" s="660"/>
      <c r="AO59" s="660"/>
      <c r="AP59" s="660"/>
      <c r="AQ59" s="660"/>
      <c r="AR59" s="660"/>
      <c r="AS59" s="660"/>
      <c r="AT59" s="660"/>
      <c r="AU59" s="660"/>
      <c r="AV59" s="660"/>
      <c r="AW59" s="660"/>
      <c r="AX59" s="659"/>
      <c r="AY59" s="659"/>
      <c r="AZ59" s="659"/>
      <c r="BA59" s="659"/>
      <c r="BB59" s="659"/>
      <c r="BC59" s="659"/>
      <c r="BD59" s="659"/>
      <c r="BE59" s="659"/>
      <c r="BF59" s="659"/>
      <c r="BG59" s="659"/>
    </row>
    <row r="60" spans="1:59" ht="27" customHeight="1" x14ac:dyDescent="0.2">
      <c r="A60" s="1498"/>
      <c r="B60" s="1495"/>
      <c r="C60" s="868"/>
      <c r="D60" s="876"/>
      <c r="E60" s="876"/>
      <c r="F60" s="910"/>
      <c r="G60" s="876"/>
      <c r="H60" s="876"/>
      <c r="I60" s="910"/>
      <c r="J60" s="876"/>
      <c r="K60" s="876"/>
      <c r="L60" s="876"/>
      <c r="M60" s="876"/>
      <c r="N60" s="868"/>
      <c r="O60" s="949"/>
      <c r="P60" s="949"/>
      <c r="Q60" s="647"/>
      <c r="R60" s="652"/>
      <c r="S60" s="830" t="s">
        <v>1373</v>
      </c>
      <c r="T60" s="963">
        <f>SUM(T58:T59)</f>
        <v>149.20074000000002</v>
      </c>
      <c r="U60" s="971">
        <f>SUM(U58:U59)</f>
        <v>0</v>
      </c>
      <c r="V60" s="972">
        <f>SUM(V58:V59)</f>
        <v>0</v>
      </c>
      <c r="W60" s="973">
        <f>SUM(W58:W59)</f>
        <v>0</v>
      </c>
      <c r="X60" s="922">
        <f>SUM(X58:X59)</f>
        <v>0</v>
      </c>
      <c r="Y60" s="795"/>
      <c r="Z60" s="887"/>
      <c r="AA60" s="964" t="str">
        <f>IF(T60=0,"","TOTAL - Bandes de propreté")</f>
        <v>TOTAL - Bandes de propreté</v>
      </c>
      <c r="AB60" s="965"/>
      <c r="AC60" s="965"/>
      <c r="AD60" s="965"/>
      <c r="AE60" s="658"/>
      <c r="AF60" s="963">
        <v>149.20074000000002</v>
      </c>
      <c r="AG60" s="971">
        <v>0</v>
      </c>
      <c r="AH60" s="972">
        <v>0</v>
      </c>
      <c r="AI60" s="973">
        <v>0</v>
      </c>
      <c r="AJ60" s="922">
        <v>0</v>
      </c>
      <c r="AK60" s="659"/>
      <c r="AL60" s="659"/>
      <c r="AM60" s="660"/>
      <c r="AN60" s="660"/>
      <c r="AO60" s="660"/>
      <c r="AP60" s="660"/>
      <c r="AQ60" s="660"/>
      <c r="AR60" s="660"/>
      <c r="AS60" s="660"/>
      <c r="AT60" s="660"/>
      <c r="AU60" s="660"/>
      <c r="AV60" s="660"/>
      <c r="AW60" s="660"/>
      <c r="AX60" s="659"/>
      <c r="AY60" s="659"/>
      <c r="AZ60" s="659"/>
      <c r="BA60" s="659"/>
      <c r="BB60" s="659"/>
      <c r="BC60" s="659"/>
      <c r="BD60" s="659"/>
      <c r="BE60" s="659"/>
      <c r="BF60" s="659"/>
      <c r="BG60" s="659"/>
    </row>
    <row r="61" spans="1:59" ht="26.25" customHeight="1" x14ac:dyDescent="0.2">
      <c r="A61" s="1498"/>
      <c r="B61" s="946"/>
      <c r="C61" s="823"/>
      <c r="D61" s="711"/>
      <c r="E61" s="690"/>
      <c r="F61" s="1451" t="s">
        <v>1566</v>
      </c>
      <c r="G61" s="1451"/>
      <c r="H61" s="1451"/>
      <c r="I61" s="1451"/>
      <c r="J61" s="1451"/>
      <c r="K61" s="1451"/>
      <c r="L61" s="1451"/>
      <c r="M61" s="1356"/>
      <c r="N61" s="974"/>
      <c r="O61" s="974" t="s">
        <v>1565</v>
      </c>
      <c r="P61" s="974"/>
      <c r="Q61" s="974"/>
      <c r="R61" s="652"/>
      <c r="S61" s="780"/>
      <c r="T61" s="882"/>
      <c r="U61" s="947"/>
      <c r="V61" s="947"/>
      <c r="W61" s="947"/>
      <c r="X61" s="947"/>
      <c r="Y61" s="795"/>
      <c r="Z61" s="887"/>
      <c r="AA61" s="846" t="str">
        <f>IF(AA60="","","e")</f>
        <v>e</v>
      </c>
      <c r="AB61" s="968"/>
      <c r="AC61" s="969"/>
      <c r="AD61" s="689"/>
      <c r="AE61" s="658"/>
      <c r="AF61" s="882"/>
      <c r="AG61" s="947"/>
      <c r="AH61" s="947"/>
      <c r="AI61" s="947"/>
      <c r="AJ61" s="947"/>
      <c r="AK61" s="659"/>
      <c r="AL61" s="659"/>
      <c r="AM61" s="660"/>
      <c r="AN61" s="660"/>
      <c r="AO61" s="660"/>
      <c r="AP61" s="660"/>
      <c r="AQ61" s="660"/>
      <c r="AR61" s="660"/>
      <c r="AS61" s="660"/>
      <c r="AT61" s="660"/>
      <c r="AU61" s="660"/>
      <c r="AV61" s="660"/>
      <c r="AW61" s="660"/>
      <c r="AX61" s="659"/>
      <c r="AY61" s="659"/>
      <c r="AZ61" s="659"/>
      <c r="BA61" s="659"/>
      <c r="BB61" s="659"/>
      <c r="BC61" s="659"/>
      <c r="BD61" s="659"/>
      <c r="BE61" s="659"/>
      <c r="BF61" s="659"/>
      <c r="BG61" s="659"/>
    </row>
    <row r="62" spans="1:59" ht="20.85" customHeight="1" x14ac:dyDescent="0.2">
      <c r="A62" s="1498"/>
      <c r="B62" s="1496" t="s">
        <v>599</v>
      </c>
      <c r="C62" s="975"/>
      <c r="D62" s="876"/>
      <c r="E62" s="876"/>
      <c r="F62" s="876"/>
      <c r="G62" s="876"/>
      <c r="H62" s="876"/>
      <c r="I62" s="876"/>
      <c r="J62" s="876"/>
      <c r="K62" s="876"/>
      <c r="L62" s="876"/>
      <c r="M62" s="876"/>
      <c r="N62" s="868"/>
      <c r="O62" s="949"/>
      <c r="P62" s="949"/>
      <c r="Q62" s="647"/>
      <c r="R62" s="652"/>
      <c r="S62" s="780" t="s">
        <v>1563</v>
      </c>
      <c r="T62" s="893">
        <f>IFERROR(VLOOKUP(J12,'Tableau de prix'!$A$4:$X$119,5,0)*(G11+4),"")</f>
        <v>170.85000000000002</v>
      </c>
      <c r="U62" s="894">
        <f>IFERROR(VLOOKUP(J12,' BILAN MA'!$A$4:$W$112,6,0)*(G11+4),"")</f>
        <v>132.60000000000002</v>
      </c>
      <c r="V62" s="895">
        <f>IFERROR(VLOOKUP(J12,'BILAN MOA'!$A$4:$W$112,6,0)*(G11+4),"")</f>
        <v>0</v>
      </c>
      <c r="W62" s="896">
        <f>IFERROR(VLOOKUP(J12,'BILAN MOC'!$A$4:$W$112,6,0)*(G11+4),"")</f>
        <v>38.25</v>
      </c>
      <c r="X62" s="897">
        <f>IFERROR(VLOOKUP(J12,' BILAN MP'!$A$4:$W$112,6,0)*(G11+4),"")</f>
        <v>0</v>
      </c>
      <c r="Y62" s="795"/>
      <c r="Z62" s="887">
        <f>K12</f>
        <v>0</v>
      </c>
      <c r="AA62" s="901" t="str">
        <f>IFERROR(VLOOKUP(Z62,'Tableau de prix'!$A$1:$AA$102,26,0),"")</f>
        <v/>
      </c>
      <c r="AB62" s="968"/>
      <c r="AC62" s="969"/>
      <c r="AD62" s="689"/>
      <c r="AE62" s="658"/>
      <c r="AF62" s="893">
        <v>170.85000000000002</v>
      </c>
      <c r="AG62" s="894">
        <v>132.60000000000002</v>
      </c>
      <c r="AH62" s="895">
        <v>0</v>
      </c>
      <c r="AI62" s="896">
        <v>38.25</v>
      </c>
      <c r="AJ62" s="897">
        <v>0</v>
      </c>
      <c r="AK62" s="659"/>
      <c r="AL62" s="659"/>
      <c r="AM62" s="660"/>
      <c r="AN62" s="660"/>
      <c r="AO62" s="660"/>
      <c r="AP62" s="660"/>
      <c r="AQ62" s="660"/>
      <c r="AR62" s="660"/>
      <c r="AS62" s="660"/>
      <c r="AT62" s="660"/>
      <c r="AU62" s="660"/>
      <c r="AV62" s="660"/>
      <c r="AW62" s="660"/>
      <c r="AX62" s="659"/>
      <c r="AY62" s="659"/>
      <c r="AZ62" s="659"/>
      <c r="BA62" s="659"/>
      <c r="BB62" s="659"/>
      <c r="BC62" s="659"/>
      <c r="BD62" s="659"/>
      <c r="BE62" s="659"/>
      <c r="BF62" s="659"/>
      <c r="BG62" s="659"/>
    </row>
    <row r="63" spans="1:59" ht="20.100000000000001" customHeight="1" x14ac:dyDescent="0.2">
      <c r="A63" s="1498"/>
      <c r="B63" s="1496"/>
      <c r="C63" s="975"/>
      <c r="D63" s="876"/>
      <c r="E63" s="876"/>
      <c r="F63" s="876"/>
      <c r="G63" s="876"/>
      <c r="H63" s="876"/>
      <c r="I63" s="876"/>
      <c r="J63" s="876"/>
      <c r="K63" s="876"/>
      <c r="L63" s="876"/>
      <c r="M63" s="876"/>
      <c r="N63" s="868"/>
      <c r="O63" s="949"/>
      <c r="P63" s="949"/>
      <c r="Q63" s="647"/>
      <c r="R63" s="652"/>
      <c r="S63" s="780" t="s">
        <v>1564</v>
      </c>
      <c r="T63" s="893" t="str">
        <f>IFERROR(VLOOKUP(L12,'Tableau de prix'!$A$4:$X$119,5,0)*(G14+4),"")</f>
        <v/>
      </c>
      <c r="U63" s="952" t="str">
        <f>IFERROR(VLOOKUP(L12,' BILAN MA'!$A$4:$W$112,6,0)*(G14+4),"")</f>
        <v/>
      </c>
      <c r="V63" s="953" t="str">
        <f>IFERROR(VLOOKUP(L12,'BILAN MOA'!$A$4:$W$112,6,0)*(G14+4),"")</f>
        <v/>
      </c>
      <c r="W63" s="954" t="str">
        <f>IFERROR(VLOOKUP(L12,'BILAN MOC'!$A$4:$W$112,6,0)*(G14+4),"")</f>
        <v/>
      </c>
      <c r="X63" s="897" t="str">
        <f>IFERROR(VLOOKUP(L12,' BILAN MP'!$A$4:$W$112,6,0)*(G14+4),"")</f>
        <v/>
      </c>
      <c r="Y63" s="795"/>
      <c r="Z63" s="887">
        <f>L12</f>
        <v>0</v>
      </c>
      <c r="AA63" s="901" t="str">
        <f>IFERROR(VLOOKUP(Z63,'Tableau de prix'!$A$1:$AA$102,26,0),"")</f>
        <v/>
      </c>
      <c r="AB63" s="968"/>
      <c r="AC63" s="969"/>
      <c r="AD63" s="689"/>
      <c r="AE63" s="658"/>
      <c r="AF63" s="893" t="s">
        <v>1519</v>
      </c>
      <c r="AG63" s="952" t="s">
        <v>1519</v>
      </c>
      <c r="AH63" s="953" t="s">
        <v>1519</v>
      </c>
      <c r="AI63" s="954" t="s">
        <v>1519</v>
      </c>
      <c r="AJ63" s="897" t="s">
        <v>1519</v>
      </c>
      <c r="AK63" s="659"/>
      <c r="AL63" s="659"/>
      <c r="AM63" s="660"/>
      <c r="AN63" s="660"/>
      <c r="AO63" s="660"/>
      <c r="AP63" s="660"/>
      <c r="AQ63" s="660"/>
      <c r="AR63" s="660"/>
      <c r="AS63" s="660"/>
      <c r="AT63" s="660"/>
      <c r="AU63" s="660"/>
      <c r="AV63" s="660"/>
      <c r="AW63" s="660"/>
      <c r="AX63" s="659"/>
      <c r="AY63" s="659"/>
      <c r="AZ63" s="659"/>
      <c r="BA63" s="659"/>
      <c r="BB63" s="659"/>
      <c r="BC63" s="659"/>
      <c r="BD63" s="659"/>
      <c r="BE63" s="659"/>
      <c r="BF63" s="659"/>
      <c r="BG63" s="659"/>
    </row>
    <row r="64" spans="1:59" ht="15" customHeight="1" x14ac:dyDescent="0.2">
      <c r="A64" s="1498"/>
      <c r="B64" s="1496"/>
      <c r="C64" s="975"/>
      <c r="D64" s="876"/>
      <c r="E64" s="876"/>
      <c r="F64" s="876"/>
      <c r="G64" s="876"/>
      <c r="H64" s="876"/>
      <c r="I64" s="876"/>
      <c r="J64" s="876"/>
      <c r="K64" s="876"/>
      <c r="L64" s="876"/>
      <c r="M64" s="876"/>
      <c r="N64" s="868"/>
      <c r="O64" s="949"/>
      <c r="P64" s="949"/>
      <c r="Q64" s="647"/>
      <c r="R64" s="652"/>
      <c r="S64" s="1418"/>
      <c r="T64" s="882"/>
      <c r="U64" s="1419"/>
      <c r="V64" s="1420"/>
      <c r="W64" s="1421"/>
      <c r="X64" s="936"/>
      <c r="Y64" s="795"/>
      <c r="Z64" s="887">
        <f>M12</f>
        <v>0</v>
      </c>
      <c r="AA64" s="901" t="str">
        <f>IFERROR("ZRV - "&amp;VLOOKUP(Z64,'Tableau de prix'!$A$1:$AA$102,26,0),"")</f>
        <v/>
      </c>
      <c r="AB64" s="976"/>
      <c r="AC64" s="977"/>
      <c r="AD64" s="977"/>
      <c r="AE64" s="658"/>
      <c r="AF64" s="882"/>
      <c r="AG64" s="1419"/>
      <c r="AH64" s="1420"/>
      <c r="AI64" s="1421"/>
      <c r="AJ64" s="936"/>
      <c r="AK64" s="659"/>
      <c r="AL64" s="659"/>
      <c r="AM64" s="660"/>
      <c r="AN64" s="660"/>
      <c r="AO64" s="660"/>
      <c r="AP64" s="660"/>
      <c r="AQ64" s="660"/>
      <c r="AR64" s="660"/>
      <c r="AS64" s="660"/>
      <c r="AT64" s="660"/>
      <c r="AU64" s="660"/>
      <c r="AV64" s="660"/>
      <c r="AW64" s="660"/>
      <c r="AX64" s="659"/>
      <c r="AY64" s="659"/>
      <c r="AZ64" s="659"/>
      <c r="BA64" s="659"/>
      <c r="BB64" s="659"/>
      <c r="BC64" s="659"/>
      <c r="BD64" s="659"/>
      <c r="BE64" s="659"/>
      <c r="BF64" s="659"/>
      <c r="BG64" s="659"/>
    </row>
    <row r="65" spans="1:59" ht="26.25" customHeight="1" thickBot="1" x14ac:dyDescent="0.25">
      <c r="A65" s="1498"/>
      <c r="B65" s="1496"/>
      <c r="C65" s="975"/>
      <c r="D65" s="876"/>
      <c r="E65" s="876"/>
      <c r="F65" s="876"/>
      <c r="G65" s="876"/>
      <c r="H65" s="876"/>
      <c r="I65" s="876"/>
      <c r="J65" s="876"/>
      <c r="K65" s="876"/>
      <c r="L65" s="876"/>
      <c r="M65" s="876"/>
      <c r="N65" s="868"/>
      <c r="O65" s="949"/>
      <c r="P65" s="949"/>
      <c r="Q65" s="647"/>
      <c r="R65" s="652"/>
      <c r="S65" s="830" t="s">
        <v>1373</v>
      </c>
      <c r="T65" s="963">
        <f>SUM(T62:T64)</f>
        <v>170.85000000000002</v>
      </c>
      <c r="U65" s="971">
        <f>SUM(U62:U64)</f>
        <v>132.60000000000002</v>
      </c>
      <c r="V65" s="972">
        <f>SUM(V62:V64)</f>
        <v>0</v>
      </c>
      <c r="W65" s="973">
        <f>SUM(W62:W64)</f>
        <v>38.25</v>
      </c>
      <c r="X65" s="922">
        <f>SUM(X62:X64)</f>
        <v>0</v>
      </c>
      <c r="Y65" s="795"/>
      <c r="Z65" s="887"/>
      <c r="AA65" s="964" t="str">
        <f>IF(T65=0,"","TOTAL - Bordures")</f>
        <v>TOTAL - Bordures</v>
      </c>
      <c r="AB65" s="965"/>
      <c r="AC65" s="965"/>
      <c r="AD65" s="965"/>
      <c r="AE65" s="978"/>
      <c r="AF65" s="963">
        <v>170.85000000000002</v>
      </c>
      <c r="AG65" s="971">
        <v>132.60000000000002</v>
      </c>
      <c r="AH65" s="972">
        <v>0</v>
      </c>
      <c r="AI65" s="973">
        <v>38.25</v>
      </c>
      <c r="AJ65" s="922">
        <v>0</v>
      </c>
      <c r="AK65" s="659"/>
      <c r="AL65" s="659"/>
      <c r="AM65" s="660"/>
      <c r="AN65" s="660"/>
      <c r="AO65" s="660"/>
      <c r="AP65" s="660"/>
      <c r="AQ65" s="660"/>
      <c r="AR65" s="660"/>
      <c r="AS65" s="660"/>
      <c r="AT65" s="660"/>
      <c r="AU65" s="660"/>
      <c r="AV65" s="660"/>
      <c r="AW65" s="660"/>
      <c r="AX65" s="659"/>
      <c r="AY65" s="659"/>
      <c r="AZ65" s="659"/>
      <c r="BA65" s="659"/>
      <c r="BB65" s="659"/>
      <c r="BC65" s="659"/>
      <c r="BD65" s="659"/>
      <c r="BE65" s="659"/>
      <c r="BF65" s="659"/>
      <c r="BG65" s="659"/>
    </row>
    <row r="66" spans="1:59" ht="29.25" customHeight="1" thickTop="1" thickBot="1" x14ac:dyDescent="0.25">
      <c r="A66" s="979"/>
      <c r="B66" s="946"/>
      <c r="C66" s="925"/>
      <c r="D66" s="925"/>
      <c r="E66" s="925"/>
      <c r="F66" s="980"/>
      <c r="G66" s="925"/>
      <c r="H66" s="925"/>
      <c r="I66" s="980"/>
      <c r="J66" s="925"/>
      <c r="K66" s="925"/>
      <c r="L66" s="925"/>
      <c r="M66" s="925"/>
      <c r="N66" s="868"/>
      <c r="O66" s="981" t="s">
        <v>204</v>
      </c>
      <c r="P66" s="981"/>
      <c r="Q66" s="647"/>
      <c r="R66" s="652"/>
      <c r="S66" s="780"/>
      <c r="T66" s="982"/>
      <c r="U66" s="983"/>
      <c r="V66" s="947"/>
      <c r="W66" s="947"/>
      <c r="X66" s="947"/>
      <c r="Y66" s="795"/>
      <c r="Z66" s="887"/>
      <c r="AA66" s="984" t="str">
        <f>IF(AND(AB67="",AB68="",AB69=0),"","i")</f>
        <v>i</v>
      </c>
      <c r="AB66" s="985" t="s">
        <v>1533</v>
      </c>
      <c r="AC66" s="658"/>
      <c r="AD66" s="658"/>
      <c r="AE66" s="658"/>
      <c r="AF66" s="982"/>
      <c r="AG66" s="983"/>
      <c r="AH66" s="947"/>
      <c r="AI66" s="947"/>
      <c r="AJ66" s="947"/>
      <c r="AK66" s="659"/>
      <c r="AL66" s="659"/>
      <c r="AM66" s="660"/>
      <c r="AN66" s="660"/>
      <c r="AO66" s="660"/>
      <c r="AP66" s="660"/>
      <c r="AQ66" s="660"/>
      <c r="AR66" s="660"/>
      <c r="AS66" s="660"/>
      <c r="AT66" s="660"/>
      <c r="AU66" s="660"/>
      <c r="AV66" s="660"/>
      <c r="AW66" s="660"/>
      <c r="AX66" s="659"/>
      <c r="AY66" s="659"/>
      <c r="AZ66" s="659"/>
      <c r="BA66" s="659"/>
      <c r="BB66" s="659"/>
      <c r="BC66" s="659"/>
      <c r="BD66" s="659"/>
      <c r="BE66" s="659"/>
      <c r="BF66" s="659"/>
      <c r="BG66" s="659"/>
    </row>
    <row r="67" spans="1:59" ht="26.1" customHeight="1" thickTop="1" x14ac:dyDescent="0.2">
      <c r="A67" s="1501" t="s">
        <v>1396</v>
      </c>
      <c r="B67" s="1497" t="s">
        <v>1195</v>
      </c>
      <c r="C67" s="925"/>
      <c r="D67" s="881"/>
      <c r="E67" s="881"/>
      <c r="F67" s="987"/>
      <c r="G67" s="881"/>
      <c r="H67" s="881"/>
      <c r="I67" s="987"/>
      <c r="J67" s="881"/>
      <c r="K67" s="881"/>
      <c r="L67" s="881"/>
      <c r="M67" s="881"/>
      <c r="N67" s="988"/>
      <c r="O67" s="989" t="s">
        <v>1573</v>
      </c>
      <c r="P67" s="990"/>
      <c r="Q67" s="647"/>
      <c r="R67" s="652"/>
      <c r="S67" s="1087" t="s">
        <v>1690</v>
      </c>
      <c r="T67" s="991">
        <f>IFERROR(VLOOKUP($J$15,'Tableau de prix'!$A$4:$X$119,5,0),0)</f>
        <v>507.0865</v>
      </c>
      <c r="U67" s="992">
        <f>IFERROR(VLOOKUP($J$15,' BILAN MA'!$A$4:$W$112,5,0),0)</f>
        <v>297.34900000000005</v>
      </c>
      <c r="V67" s="895">
        <f>IFERROR(VLOOKUP($J$15,'BILAN MOA'!$A$4:$W$112,5,0),0)</f>
        <v>3.6</v>
      </c>
      <c r="W67" s="896">
        <f>IFERROR(VLOOKUP($J$15,'BILAN MOC'!$A$4:$W$112,5,0),0)</f>
        <v>75.9375</v>
      </c>
      <c r="X67" s="897">
        <f>IFERROR(VLOOKUP(J15,' BILAN MP'!$A$4:$W$112,5,0),0)</f>
        <v>130.19999999999999</v>
      </c>
      <c r="Y67" s="795"/>
      <c r="Z67" s="887" t="str">
        <f>IF(J15="","",J15)</f>
        <v>ZRV1</v>
      </c>
      <c r="AA67" s="898" t="str">
        <f>IFERROR(VLOOKUP(Z67,'Tableau de prix'!$A$1:$AA$102,26,0),"")</f>
        <v>Zone de rejet végétalisée ( EPDM, granulats, plantes aquatiques, regards béton, bordure éco-lat)</v>
      </c>
      <c r="AB67" s="993" t="str">
        <f>IF(Z67="","",IF(P67="",P68&amp;" m²",P67&amp;" m²"))</f>
        <v>5 m²</v>
      </c>
      <c r="AC67" s="994"/>
      <c r="AD67" s="658"/>
      <c r="AE67" s="658"/>
      <c r="AF67" s="991">
        <v>0</v>
      </c>
      <c r="AG67" s="992">
        <v>0</v>
      </c>
      <c r="AH67" s="895">
        <v>0</v>
      </c>
      <c r="AI67" s="896">
        <v>0</v>
      </c>
      <c r="AJ67" s="897">
        <v>0</v>
      </c>
      <c r="AK67" s="659"/>
      <c r="AL67" s="659"/>
      <c r="AM67" s="660"/>
      <c r="AN67" s="660"/>
      <c r="AO67" s="660"/>
      <c r="AP67" s="660"/>
      <c r="AQ67" s="660"/>
      <c r="AR67" s="660"/>
      <c r="AS67" s="660"/>
      <c r="AT67" s="660"/>
      <c r="AU67" s="660"/>
      <c r="AV67" s="660"/>
      <c r="AW67" s="660"/>
      <c r="AX67" s="659"/>
      <c r="AY67" s="659"/>
      <c r="AZ67" s="659"/>
      <c r="BA67" s="659"/>
      <c r="BB67" s="659"/>
      <c r="BC67" s="659"/>
      <c r="BD67" s="659"/>
      <c r="BE67" s="659"/>
      <c r="BF67" s="659"/>
      <c r="BG67" s="659"/>
    </row>
    <row r="68" spans="1:59" ht="28.35" customHeight="1" x14ac:dyDescent="0.2">
      <c r="A68" s="1501"/>
      <c r="B68" s="1497"/>
      <c r="C68" s="925"/>
      <c r="D68" s="881"/>
      <c r="E68" s="881"/>
      <c r="F68" s="987"/>
      <c r="G68" s="881"/>
      <c r="H68" s="881"/>
      <c r="I68" s="987"/>
      <c r="J68" s="881"/>
      <c r="K68" s="881"/>
      <c r="L68" s="881"/>
      <c r="M68" s="881"/>
      <c r="N68" s="988"/>
      <c r="O68" s="996" t="s">
        <v>1574</v>
      </c>
      <c r="P68" s="997">
        <v>5</v>
      </c>
      <c r="Q68" s="647"/>
      <c r="R68" s="652"/>
      <c r="S68" s="1087" t="s">
        <v>1690</v>
      </c>
      <c r="T68" s="991">
        <f>IFERROR(VLOOKUP(K15,'Tableau de prix'!$A$4:$X$119,5,0),0)</f>
        <v>0</v>
      </c>
      <c r="U68" s="992">
        <f>IFERROR(VLOOKUP(K15,' BILAN MA'!$A$4:$W$112,5,0),0)</f>
        <v>0</v>
      </c>
      <c r="V68" s="895">
        <f>IFERROR(VLOOKUP(K15,'BILAN MOA'!$A$4:$W$112,5,0),0)</f>
        <v>0</v>
      </c>
      <c r="W68" s="896">
        <f>IFERROR(VLOOKUP(K15,'BILAN MOC'!$A$4:$W$112,5,0),0)</f>
        <v>0</v>
      </c>
      <c r="X68" s="897">
        <f>IFERROR(VLOOKUP(K15,' BILAN MP'!$A$4:$W$112,5,0),0)</f>
        <v>0</v>
      </c>
      <c r="Y68" s="795"/>
      <c r="Z68" s="887" t="str">
        <f>IF(K15="","",K15)</f>
        <v/>
      </c>
      <c r="AA68" s="898" t="str">
        <f>IFERROR(VLOOKUP(Z68,'Tableau de prix'!$A$1:$AA$102,26,0),"")</f>
        <v/>
      </c>
      <c r="AB68" s="993" t="str">
        <f>IF(Z68="","",IF(P68="",P69&amp;" m²",P68&amp;" m²"))</f>
        <v/>
      </c>
      <c r="AC68" s="994"/>
      <c r="AD68" s="658"/>
      <c r="AE68" s="658"/>
      <c r="AF68" s="991">
        <v>0</v>
      </c>
      <c r="AG68" s="992">
        <v>0</v>
      </c>
      <c r="AH68" s="895">
        <v>0</v>
      </c>
      <c r="AI68" s="896">
        <v>0</v>
      </c>
      <c r="AJ68" s="897">
        <v>0</v>
      </c>
      <c r="AK68" s="659"/>
      <c r="AL68" s="659"/>
      <c r="AM68" s="660"/>
      <c r="AN68" s="660"/>
      <c r="AO68" s="660"/>
      <c r="AP68" s="660"/>
      <c r="AQ68" s="660"/>
      <c r="AR68" s="660"/>
      <c r="AS68" s="660"/>
      <c r="AT68" s="660"/>
      <c r="AU68" s="660"/>
      <c r="AV68" s="660"/>
      <c r="AW68" s="660"/>
      <c r="AX68" s="659"/>
      <c r="AY68" s="659"/>
      <c r="AZ68" s="659"/>
      <c r="BA68" s="659"/>
      <c r="BB68" s="659"/>
      <c r="BC68" s="659"/>
      <c r="BD68" s="659"/>
      <c r="BE68" s="659"/>
      <c r="BF68" s="659"/>
      <c r="BG68" s="659"/>
    </row>
    <row r="69" spans="1:59" ht="26.85" customHeight="1" x14ac:dyDescent="0.2">
      <c r="A69" s="1501"/>
      <c r="B69" s="1497"/>
      <c r="C69" s="925"/>
      <c r="D69" s="881"/>
      <c r="E69" s="881"/>
      <c r="F69" s="987"/>
      <c r="G69" s="881"/>
      <c r="H69" s="881"/>
      <c r="I69" s="987"/>
      <c r="J69" s="881"/>
      <c r="K69" s="881"/>
      <c r="L69" s="881"/>
      <c r="M69" s="881"/>
      <c r="N69" s="988"/>
      <c r="O69" s="996" t="s">
        <v>1575</v>
      </c>
      <c r="P69" s="997"/>
      <c r="Q69" s="647"/>
      <c r="R69" s="652"/>
      <c r="S69" s="1087" t="s">
        <v>1698</v>
      </c>
      <c r="T69" s="991">
        <f>IFERROR(VLOOKUP("EPANDRAIN",'Tableau de prix'!$A$4:$X$119,5,0),0)</f>
        <v>0</v>
      </c>
      <c r="U69" s="992">
        <f>IFERROR(VLOOKUP("EPANDRAIN",' BILAN MA'!$A$4:$W$112,5,0),0)</f>
        <v>0</v>
      </c>
      <c r="V69" s="895">
        <f>IFERROR(VLOOKUP("EPANDRAIN",'BILAN MOA'!$A$4:$W$112,5,0),0)</f>
        <v>0</v>
      </c>
      <c r="W69" s="896">
        <f>IFERROR(VLOOKUP("EPANDRAIN",'BILAN MOC'!$A$4:$W$112,5,0),0)</f>
        <v>0</v>
      </c>
      <c r="X69" s="897">
        <f>IFERROR(VLOOKUP("EPANDRAIN",' BILAN MP'!$A$4:$W$112,5,0),0)</f>
        <v>0</v>
      </c>
      <c r="Y69" s="795"/>
      <c r="Z69" s="887" t="str">
        <f>IF(L15="","",L15)</f>
        <v/>
      </c>
      <c r="AA69" s="891"/>
      <c r="AB69" s="994"/>
      <c r="AC69" s="994"/>
      <c r="AD69" s="658"/>
      <c r="AE69" s="658"/>
      <c r="AF69" s="991">
        <v>15.411999999999997</v>
      </c>
      <c r="AG69" s="992">
        <v>0</v>
      </c>
      <c r="AH69" s="895">
        <v>0</v>
      </c>
      <c r="AI69" s="896">
        <v>0</v>
      </c>
      <c r="AJ69" s="897">
        <v>0</v>
      </c>
      <c r="AK69" s="659"/>
      <c r="AL69" s="659"/>
      <c r="AM69" s="660"/>
      <c r="AN69" s="660"/>
      <c r="AO69" s="660"/>
      <c r="AP69" s="660"/>
      <c r="AQ69" s="660"/>
      <c r="AR69" s="660"/>
      <c r="AS69" s="660"/>
      <c r="AT69" s="660"/>
      <c r="AU69" s="660"/>
      <c r="AV69" s="660"/>
      <c r="AW69" s="660"/>
      <c r="AX69" s="659"/>
      <c r="AY69" s="659"/>
      <c r="AZ69" s="659"/>
      <c r="BA69" s="659"/>
      <c r="BB69" s="659"/>
      <c r="BC69" s="659"/>
      <c r="BD69" s="659"/>
      <c r="BE69" s="659"/>
      <c r="BF69" s="659"/>
      <c r="BG69" s="659"/>
    </row>
    <row r="70" spans="1:59" ht="27.6" customHeight="1" x14ac:dyDescent="0.2">
      <c r="A70" s="1501"/>
      <c r="B70" s="1497"/>
      <c r="C70" s="925"/>
      <c r="D70" s="881"/>
      <c r="E70" s="881"/>
      <c r="F70" s="987"/>
      <c r="G70" s="881"/>
      <c r="H70" s="881"/>
      <c r="I70" s="987"/>
      <c r="J70" s="881"/>
      <c r="K70" s="881"/>
      <c r="L70" s="881"/>
      <c r="M70" s="881"/>
      <c r="N70" s="988"/>
      <c r="O70" s="1353" t="s">
        <v>1783</v>
      </c>
      <c r="P70" s="1354"/>
      <c r="Q70" s="647"/>
      <c r="R70" s="652"/>
      <c r="S70" s="780"/>
      <c r="T70" s="995"/>
      <c r="U70" s="1000"/>
      <c r="V70" s="934"/>
      <c r="W70" s="935"/>
      <c r="X70" s="936"/>
      <c r="Y70" s="795"/>
      <c r="Z70" s="887" t="str">
        <f>IF(K17="","",K17)</f>
        <v/>
      </c>
      <c r="AA70" s="891"/>
      <c r="AB70" s="657"/>
      <c r="AC70" s="658"/>
      <c r="AD70" s="658"/>
      <c r="AE70" s="658"/>
      <c r="AF70" s="995"/>
      <c r="AG70" s="1000"/>
      <c r="AH70" s="934"/>
      <c r="AI70" s="935"/>
      <c r="AJ70" s="936"/>
      <c r="AK70" s="659"/>
      <c r="AL70" s="659"/>
      <c r="AM70" s="660"/>
      <c r="AN70" s="660"/>
      <c r="AO70" s="660"/>
      <c r="AP70" s="660"/>
      <c r="AQ70" s="660"/>
      <c r="AR70" s="660"/>
      <c r="AS70" s="660"/>
      <c r="AT70" s="660"/>
      <c r="AU70" s="660"/>
      <c r="AV70" s="660"/>
      <c r="AW70" s="660"/>
      <c r="AX70" s="659"/>
      <c r="AY70" s="659"/>
      <c r="AZ70" s="659"/>
      <c r="BA70" s="659"/>
      <c r="BB70" s="659"/>
      <c r="BC70" s="659"/>
      <c r="BD70" s="659"/>
      <c r="BE70" s="659"/>
      <c r="BF70" s="659"/>
      <c r="BG70" s="659"/>
    </row>
    <row r="71" spans="1:59" x14ac:dyDescent="0.2">
      <c r="A71" s="1501"/>
      <c r="B71" s="1497"/>
      <c r="C71" s="925"/>
      <c r="D71" s="881"/>
      <c r="E71" s="881"/>
      <c r="F71" s="987"/>
      <c r="G71" s="881"/>
      <c r="H71" s="881"/>
      <c r="I71" s="987"/>
      <c r="J71" s="881"/>
      <c r="K71" s="881"/>
      <c r="L71" s="881"/>
      <c r="M71" s="881"/>
      <c r="N71" s="988"/>
      <c r="O71" s="998" t="s">
        <v>1619</v>
      </c>
      <c r="P71" s="999" t="s">
        <v>1620</v>
      </c>
      <c r="Q71" s="647"/>
      <c r="R71" s="652"/>
      <c r="S71" s="780"/>
      <c r="T71" s="995"/>
      <c r="U71" s="1000"/>
      <c r="V71" s="934"/>
      <c r="W71" s="935"/>
      <c r="X71" s="936"/>
      <c r="Y71" s="795"/>
      <c r="Z71" s="887"/>
      <c r="AA71" s="891" t="str">
        <f>IFERROR(VLOOKUP(Z71,'Tableau de prix'!$A$1:$AA$102,26,0),"")</f>
        <v/>
      </c>
      <c r="AB71" s="825"/>
      <c r="AC71" s="826"/>
      <c r="AD71" s="826"/>
      <c r="AE71" s="1001"/>
      <c r="AF71" s="995"/>
      <c r="AG71" s="1000"/>
      <c r="AH71" s="934"/>
      <c r="AI71" s="935"/>
      <c r="AJ71" s="936"/>
      <c r="AK71" s="659"/>
      <c r="AL71" s="659"/>
      <c r="AM71" s="660"/>
      <c r="AN71" s="660"/>
      <c r="AO71" s="660"/>
      <c r="AP71" s="660"/>
      <c r="AQ71" s="660"/>
      <c r="AR71" s="660"/>
      <c r="AS71" s="660"/>
      <c r="AT71" s="660"/>
      <c r="AU71" s="660"/>
      <c r="AV71" s="660"/>
      <c r="AW71" s="660"/>
      <c r="AX71" s="658"/>
      <c r="AY71" s="658"/>
      <c r="AZ71" s="658"/>
      <c r="BA71" s="658"/>
      <c r="BB71" s="659"/>
      <c r="BC71" s="659"/>
      <c r="BD71" s="659"/>
      <c r="BE71" s="659"/>
      <c r="BF71" s="659"/>
      <c r="BG71" s="659"/>
    </row>
    <row r="72" spans="1:59" ht="35.1" customHeight="1" thickBot="1" x14ac:dyDescent="0.25">
      <c r="A72" s="1501"/>
      <c r="B72" s="1497"/>
      <c r="C72" s="925"/>
      <c r="D72" s="881"/>
      <c r="E72" s="881"/>
      <c r="F72" s="987"/>
      <c r="G72" s="881"/>
      <c r="H72" s="881"/>
      <c r="I72" s="1508" t="s">
        <v>1779</v>
      </c>
      <c r="J72" s="1508"/>
      <c r="K72" s="881"/>
      <c r="L72" s="1508" t="s">
        <v>1780</v>
      </c>
      <c r="M72" s="1509"/>
      <c r="N72" s="988"/>
      <c r="O72" s="1002"/>
      <c r="P72" s="1003"/>
      <c r="Q72" s="647"/>
      <c r="R72" s="652"/>
      <c r="S72" s="830" t="s">
        <v>1373</v>
      </c>
      <c r="T72" s="1004">
        <f>SUM(T67:T71)</f>
        <v>507.0865</v>
      </c>
      <c r="U72" s="1005">
        <f>SUM(U67:U71)</f>
        <v>297.34900000000005</v>
      </c>
      <c r="V72" s="972">
        <f>SUM(V67:V71)</f>
        <v>3.6</v>
      </c>
      <c r="W72" s="973">
        <f>SUM(W67:W71)</f>
        <v>75.9375</v>
      </c>
      <c r="X72" s="922">
        <f>SUM(X67:X71)</f>
        <v>130.19999999999999</v>
      </c>
      <c r="Y72" s="795"/>
      <c r="Z72" s="887"/>
      <c r="AA72" s="964" t="str">
        <f>IF(T72=0,"","TOTAL Exutoire  - Zones d'infiltration")</f>
        <v>TOTAL Exutoire  - Zones d'infiltration</v>
      </c>
      <c r="AB72" s="965"/>
      <c r="AC72" s="965"/>
      <c r="AD72" s="965"/>
      <c r="AE72" s="658"/>
      <c r="AF72" s="1004">
        <v>15.411999999999997</v>
      </c>
      <c r="AG72" s="1005">
        <v>0</v>
      </c>
      <c r="AH72" s="972">
        <v>0</v>
      </c>
      <c r="AI72" s="973">
        <v>0</v>
      </c>
      <c r="AJ72" s="922">
        <v>0</v>
      </c>
      <c r="AK72" s="659"/>
      <c r="AL72" s="659"/>
      <c r="AM72" s="660"/>
      <c r="AN72" s="660"/>
      <c r="AO72" s="660"/>
      <c r="AP72" s="660"/>
      <c r="AQ72" s="660"/>
      <c r="AR72" s="660"/>
      <c r="AS72" s="660"/>
      <c r="AT72" s="660"/>
      <c r="AU72" s="660"/>
      <c r="AV72" s="660"/>
      <c r="AW72" s="660"/>
      <c r="AX72" s="658"/>
      <c r="AY72" s="658"/>
      <c r="AZ72" s="658"/>
      <c r="BA72" s="658"/>
      <c r="BB72" s="659"/>
      <c r="BC72" s="659"/>
      <c r="BD72" s="659"/>
      <c r="BE72" s="659"/>
      <c r="BF72" s="659"/>
      <c r="BG72" s="659"/>
    </row>
    <row r="73" spans="1:59" ht="56.45" customHeight="1" thickTop="1" x14ac:dyDescent="0.35">
      <c r="A73" s="1501"/>
      <c r="B73" s="1006"/>
      <c r="C73" s="823"/>
      <c r="D73" s="880"/>
      <c r="E73" s="1504"/>
      <c r="F73" s="1504"/>
      <c r="G73" s="1504"/>
      <c r="H73" s="1135"/>
      <c r="I73" s="1007"/>
      <c r="J73" s="1510"/>
      <c r="K73" s="1510"/>
      <c r="L73" s="1510"/>
      <c r="M73" s="1510"/>
      <c r="N73" s="1510"/>
      <c r="O73" s="1510"/>
      <c r="P73" s="1510"/>
      <c r="Q73" s="651"/>
      <c r="R73" s="652"/>
      <c r="S73" s="651"/>
      <c r="T73" s="995"/>
      <c r="U73" s="1000"/>
      <c r="V73" s="934"/>
      <c r="W73" s="935"/>
      <c r="X73" s="936"/>
      <c r="Y73" s="795"/>
      <c r="Z73" s="887"/>
      <c r="AA73" s="846" t="str">
        <f>IF(AA72="","","g")</f>
        <v>g</v>
      </c>
      <c r="AB73" s="651"/>
      <c r="AC73" s="689"/>
      <c r="AD73" s="689"/>
      <c r="AE73" s="658"/>
      <c r="AF73" s="995"/>
      <c r="AG73" s="1000"/>
      <c r="AH73" s="934"/>
      <c r="AI73" s="935"/>
      <c r="AJ73" s="936"/>
      <c r="AK73" s="658"/>
      <c r="AL73" s="658"/>
      <c r="AM73" s="672"/>
      <c r="AN73" s="672"/>
      <c r="AO73" s="672"/>
      <c r="AP73" s="672"/>
      <c r="AQ73" s="672"/>
      <c r="AR73" s="672"/>
      <c r="AS73" s="672"/>
      <c r="AT73" s="672"/>
      <c r="AU73" s="672"/>
      <c r="AV73" s="672"/>
      <c r="AW73" s="672"/>
      <c r="AX73" s="658"/>
      <c r="AY73" s="658"/>
      <c r="AZ73" s="658"/>
      <c r="BA73" s="658"/>
      <c r="BB73" s="659"/>
      <c r="BC73" s="658"/>
      <c r="BD73" s="658"/>
      <c r="BE73" s="659"/>
      <c r="BF73" s="659"/>
      <c r="BG73" s="659"/>
    </row>
    <row r="74" spans="1:59" ht="15" customHeight="1" x14ac:dyDescent="0.2">
      <c r="A74" s="1501"/>
      <c r="B74" s="1515" t="s">
        <v>628</v>
      </c>
      <c r="C74" s="823"/>
      <c r="D74" s="876"/>
      <c r="E74" s="876"/>
      <c r="F74" s="910"/>
      <c r="G74" s="876"/>
      <c r="H74" s="876"/>
      <c r="I74" s="1007"/>
      <c r="J74" s="1357"/>
      <c r="K74" s="1357"/>
      <c r="L74" s="1357"/>
      <c r="M74" s="1359" t="s">
        <v>1390</v>
      </c>
      <c r="N74" s="881"/>
      <c r="O74" s="881"/>
      <c r="P74" s="881"/>
      <c r="Q74" s="651"/>
      <c r="R74" s="652"/>
      <c r="S74" s="780"/>
      <c r="T74" s="991"/>
      <c r="U74" s="992"/>
      <c r="V74" s="895"/>
      <c r="W74" s="896"/>
      <c r="X74" s="897"/>
      <c r="Y74" s="795"/>
      <c r="Z74" s="887"/>
      <c r="AA74" s="898" t="str">
        <f>IFERROR(VLOOKUP(Z74,'Tableau de prix'!$A$1:$AA$102,26,0),"")</f>
        <v/>
      </c>
      <c r="AB74" s="651"/>
      <c r="AC74" s="689"/>
      <c r="AD74" s="689"/>
      <c r="AE74" s="658"/>
      <c r="AF74" s="991"/>
      <c r="AG74" s="992"/>
      <c r="AH74" s="895"/>
      <c r="AI74" s="896"/>
      <c r="AJ74" s="897"/>
      <c r="AK74" s="658"/>
      <c r="AL74" s="658"/>
      <c r="AM74" s="672"/>
      <c r="AN74" s="672"/>
      <c r="AO74" s="672"/>
      <c r="AP74" s="672"/>
      <c r="AQ74" s="672"/>
      <c r="AR74" s="672"/>
      <c r="AS74" s="672"/>
      <c r="AT74" s="672"/>
      <c r="AU74" s="672"/>
      <c r="AV74" s="672"/>
      <c r="AW74" s="672"/>
      <c r="AX74" s="658"/>
      <c r="AY74" s="658"/>
      <c r="AZ74" s="658"/>
      <c r="BA74" s="658"/>
      <c r="BB74" s="658"/>
      <c r="BC74" s="658"/>
      <c r="BD74" s="658"/>
      <c r="BE74" s="658"/>
      <c r="BF74" s="658"/>
      <c r="BG74" s="658"/>
    </row>
    <row r="75" spans="1:59" ht="15" customHeight="1" x14ac:dyDescent="0.2">
      <c r="A75" s="1501"/>
      <c r="B75" s="1515"/>
      <c r="C75" s="823"/>
      <c r="D75" s="876"/>
      <c r="E75" s="876"/>
      <c r="F75" s="910"/>
      <c r="G75" s="876"/>
      <c r="H75" s="876"/>
      <c r="I75" s="1007"/>
      <c r="J75" s="881"/>
      <c r="K75" s="881"/>
      <c r="L75" s="881"/>
      <c r="M75" s="881"/>
      <c r="N75" s="881"/>
      <c r="O75" s="881"/>
      <c r="P75" s="881"/>
      <c r="Q75" s="651"/>
      <c r="R75" s="652"/>
      <c r="S75" s="780" t="s">
        <v>1374</v>
      </c>
      <c r="T75" s="991">
        <f>IFERROR(VLOOKUP(M13,'Tableau de prix'!$A$4:$X$119,5,0),0)</f>
        <v>333.62099999999998</v>
      </c>
      <c r="U75" s="992">
        <f>IFERROR(VLOOKUP(M13,' BILAN MA'!$A$4:$W$112,5,0),0)</f>
        <v>205.62099999999998</v>
      </c>
      <c r="V75" s="895">
        <f>IFERROR(VLOOKUP(M13,'BILAN MOA'!$A$4:$W$112,5,0),0)</f>
        <v>74.25</v>
      </c>
      <c r="W75" s="896">
        <f>IFERROR(VLOOKUP(M13,'BILAN MOC'!$A$4:$W$112,5,0),0)</f>
        <v>33.75</v>
      </c>
      <c r="X75" s="897">
        <f>IFERROR(VLOOKUP(M13,' BILAN MP'!$A$4:$W$112,5,0),0)</f>
        <v>20</v>
      </c>
      <c r="Y75" s="795"/>
      <c r="Z75" s="887" t="str">
        <f>M13</f>
        <v>D3</v>
      </c>
      <c r="AA75" s="898" t="str">
        <f>IFERROR(VLOOKUP(Z75,'Tableau de prix'!$A$1:$AA$102,26,0),"")</f>
        <v>Fourniture et pose d'un regard de distribution étanche équipé de vannes 3 voies DN 50</v>
      </c>
      <c r="AB75" s="651"/>
      <c r="AC75" s="689"/>
      <c r="AD75" s="689"/>
      <c r="AE75" s="658"/>
      <c r="AF75" s="991">
        <v>333.62099999999998</v>
      </c>
      <c r="AG75" s="992">
        <v>205.62099999999998</v>
      </c>
      <c r="AH75" s="895">
        <v>74.25</v>
      </c>
      <c r="AI75" s="896">
        <v>33.75</v>
      </c>
      <c r="AJ75" s="897">
        <v>20</v>
      </c>
      <c r="AK75" s="658"/>
      <c r="AL75" s="658"/>
      <c r="AM75" s="672"/>
      <c r="AN75" s="672"/>
      <c r="AO75" s="672"/>
      <c r="AP75" s="672"/>
      <c r="AQ75" s="672"/>
      <c r="AR75" s="672"/>
      <c r="AS75" s="672"/>
      <c r="AT75" s="672"/>
      <c r="AU75" s="672"/>
      <c r="AV75" s="672"/>
      <c r="AW75" s="672"/>
      <c r="AX75" s="658"/>
      <c r="AY75" s="658"/>
      <c r="AZ75" s="658"/>
      <c r="BA75" s="658"/>
      <c r="BB75" s="658"/>
      <c r="BC75" s="658"/>
      <c r="BD75" s="658"/>
      <c r="BE75" s="658"/>
      <c r="BF75" s="658"/>
      <c r="BG75" s="658"/>
    </row>
    <row r="76" spans="1:59" ht="21" customHeight="1" x14ac:dyDescent="0.2">
      <c r="A76" s="1501"/>
      <c r="B76" s="1515"/>
      <c r="C76" s="823"/>
      <c r="D76" s="876"/>
      <c r="E76" s="876"/>
      <c r="F76" s="910"/>
      <c r="G76" s="876"/>
      <c r="H76" s="876"/>
      <c r="I76" s="1007"/>
      <c r="J76" s="881"/>
      <c r="K76" s="881"/>
      <c r="L76" s="881"/>
      <c r="M76" s="881"/>
      <c r="N76" s="881"/>
      <c r="O76" s="881"/>
      <c r="P76" s="881"/>
      <c r="Q76" s="651"/>
      <c r="R76" s="652"/>
      <c r="S76" s="780" t="s">
        <v>1347</v>
      </c>
      <c r="T76" s="991">
        <f>IFERROR(IF(AND($J$7="",$B$13="Aucun"),HLOOKUP($B$10,'ALIM FV-FH grav'!$E$1:$U$35,30,0),IF(AND($J$7="FVBAC",$B$13="Aucun"),HLOOKUP($B$10,'ALIM BAC Gravitaire'!$G$1:$K$33,30,0),IF(AND($J$7="",OR($B$13="Eaux claires",$B$13="Eaux brutes")),HLOOKUP($B$10,'ALIM FV-FH relevage'!$E$1:$AM$37,32,0),IF(AND($J$7="FVBAC",OR($B$13="Eaux claires",$B$13="Eaux brutes")),HLOOKUP($B$10,'ALIM BAC relevage'!$G$1:$AK$34,29,0),0)))),0)</f>
        <v>360.05900000000003</v>
      </c>
      <c r="U76" s="992">
        <f>IF(AND($J$7="",$B$13="Aucun"),HLOOKUP($B$10,'ALIM FV-FH grav'!$E$1:$U$35,32,0),IF(AND($J$7="FVBAC",$B$13="Aucun"),HLOOKUP($B$10,'ALIM BAC Gravitaire'!$G$1:$K$33,32,0),IF(AND($J$7="",OR($B$13="Eaux claires",$B$13="Eaux brutes")),HLOOKUP($B$10,'ALIM FV-FH relevage'!$E$1:$AM$37,34,0),IF(AND($J$7="FVBAC",OR($B$13="Eaux claires",$B$13="Eaux brutes")),HLOOKUP($B$10,'ALIM BAC relevage'!$G$1:$AK$34,29,0),0))))</f>
        <v>163.05900000000003</v>
      </c>
      <c r="V76" s="895">
        <f>IF(AND($J$7="",$B$13="Aucun"),HLOOKUP($B$10,'ALIM FV-FH grav'!$E$1:$U$35,33,0),IF(AND($J$7="FVBAC",$B$13="Aucun"),HLOOKUP($B$10,'ALIM BAC Gravitaire'!$G$1:$K$33,33,0),IF(AND($J$7="",OR($B$13="Eaux claires",$B$13="Eaux brutes")),HLOOKUP($B$10,'ALIM FV-FH relevage'!$E$1:$AM$37,35,0),IF(AND($J$7="FVBAC",OR($B$13="Eaux claires",$B$13="Eaux brutes")),HLOOKUP($B$10,'ALIM BAC relevage'!$G$1:$AK$34,32,0),0))))</f>
        <v>0</v>
      </c>
      <c r="W76" s="896">
        <f>IF(AND($J$7="",$B$13="Aucun"),HLOOKUP($B$10,'ALIM FV-FH grav'!$E$1:$U$35,34,0),IF(AND($J$7="FVBAC",$B$13="Aucun"),HLOOKUP($B$10,'ALIM BAC Gravitaire'!$G$1:$K$33,34,0),IF(AND($J$7="",OR($B$13="Eaux claires",$B$13="Eaux brutes")),HLOOKUP($B$10,'ALIM FV-FH relevage'!$E$1:$AM$37,36,0),IF(AND($J$7="FVBAC",OR($B$13="Eaux claires",$B$13="Eaux brutes")),HLOOKUP($B$10,'ALIM BAC relevage'!$G$1:$AK$34,33,0),0))))</f>
        <v>117</v>
      </c>
      <c r="X76" s="897">
        <f>IF(AND($J$7="",$B$13="Aucun"),HLOOKUP($B$10,'ALIM FV-FH grav'!$E$1:$U$35,35,0),IF(AND($J$7="FVBAC",$B$13="Aucun"),HLOOKUP($B$10,'ALIM BAC Gravitaire'!$G$1:$K$33,35,0),IF(AND($J$7="",OR($B$13="Eaux claires",$B$13="Eaux brutes")),HLOOKUP($B$10,'ALIM FV-FH relevage'!$E$1:$AM$37,37,0),IF(AND($J$7="FVBAC",OR($B$13="Eaux claires",$B$13="Eaux brutes")),HLOOKUP($B$10,'ALIM BAC relevage'!$G$1:$AK$34,34,0),0))))</f>
        <v>80</v>
      </c>
      <c r="Y76" s="795"/>
      <c r="Z76" s="1104" t="str">
        <f>IFERROR(IF(AND($J$7="",$B$13="Aucun"),"A3",IF(AND($J$7="FVBAC",$B$13="Aucun"),"A1",IF(AND($J$7="",OR($B$13="Eaux claires",$B$13="Eaux brutes")),"A4",IF(AND($J$7="FVBAC",OR($B$13="Eaux claires",$B$13="Eaux brutes")),"A2",0)))),0)</f>
        <v>A4</v>
      </c>
      <c r="AA76" s="898" t="str">
        <f>IFERROR(VLOOKUP(Z76,'Tableau de prix'!$A$1:$AA$102,26,0),"")</f>
        <v>Tuyaux pression, regard de répartition relevage, répartiteurs.</v>
      </c>
      <c r="AB76" s="651"/>
      <c r="AC76" s="689"/>
      <c r="AD76" s="689"/>
      <c r="AE76" s="658"/>
      <c r="AF76" s="991">
        <v>360.05900000000003</v>
      </c>
      <c r="AG76" s="992">
        <v>163.05900000000003</v>
      </c>
      <c r="AH76" s="895">
        <v>0</v>
      </c>
      <c r="AI76" s="896">
        <v>117</v>
      </c>
      <c r="AJ76" s="897">
        <v>80</v>
      </c>
      <c r="AK76" s="658"/>
      <c r="AL76" s="658"/>
      <c r="AM76" s="672"/>
      <c r="AN76" s="672"/>
      <c r="AO76" s="672"/>
      <c r="AP76" s="672"/>
      <c r="AQ76" s="672"/>
      <c r="AR76" s="672"/>
      <c r="AS76" s="672"/>
      <c r="AT76" s="672"/>
      <c r="AU76" s="672"/>
      <c r="AV76" s="672"/>
      <c r="AW76" s="672"/>
      <c r="AX76" s="658"/>
      <c r="AY76" s="658"/>
      <c r="AZ76" s="658"/>
      <c r="BA76" s="658"/>
      <c r="BB76" s="658"/>
      <c r="BC76" s="658"/>
      <c r="BD76" s="658"/>
      <c r="BE76" s="658"/>
      <c r="BF76" s="658"/>
      <c r="BG76" s="658"/>
    </row>
    <row r="77" spans="1:59" ht="25.35" customHeight="1" x14ac:dyDescent="0.2">
      <c r="A77" s="1501"/>
      <c r="B77" s="1515"/>
      <c r="C77" s="823"/>
      <c r="D77" s="876"/>
      <c r="E77" s="876"/>
      <c r="F77" s="910"/>
      <c r="G77" s="876"/>
      <c r="H77" s="876"/>
      <c r="I77" s="1007"/>
      <c r="J77" s="881"/>
      <c r="K77" s="881"/>
      <c r="L77" s="881"/>
      <c r="M77" s="881"/>
      <c r="N77" s="881"/>
      <c r="O77" s="881"/>
      <c r="P77" s="881"/>
      <c r="Q77" s="651"/>
      <c r="R77" s="652"/>
      <c r="S77" s="780"/>
      <c r="T77" s="991"/>
      <c r="U77" s="992"/>
      <c r="V77" s="895"/>
      <c r="W77" s="896"/>
      <c r="X77" s="897"/>
      <c r="Y77" s="795"/>
      <c r="Z77" s="1008"/>
      <c r="AA77" s="898"/>
      <c r="AB77" s="651"/>
      <c r="AC77" s="689"/>
      <c r="AD77" s="689"/>
      <c r="AE77" s="658"/>
      <c r="AF77" s="991"/>
      <c r="AG77" s="992"/>
      <c r="AH77" s="895"/>
      <c r="AI77" s="896"/>
      <c r="AJ77" s="897"/>
      <c r="AK77" s="658"/>
      <c r="AL77" s="658"/>
      <c r="AM77" s="672"/>
      <c r="AN77" s="672"/>
      <c r="AO77" s="672"/>
      <c r="AP77" s="672"/>
      <c r="AQ77" s="672"/>
      <c r="AR77" s="672"/>
      <c r="AS77" s="672"/>
      <c r="AT77" s="672"/>
      <c r="AU77" s="672"/>
      <c r="AV77" s="672"/>
      <c r="AW77" s="672"/>
      <c r="AX77" s="659"/>
      <c r="AY77" s="659"/>
      <c r="AZ77" s="659"/>
      <c r="BA77" s="659"/>
      <c r="BB77" s="658"/>
      <c r="BC77" s="658"/>
      <c r="BD77" s="658"/>
      <c r="BE77" s="658"/>
      <c r="BF77" s="658"/>
      <c r="BG77" s="658"/>
    </row>
    <row r="78" spans="1:59" ht="26.1" customHeight="1" x14ac:dyDescent="0.2">
      <c r="A78" s="1501"/>
      <c r="B78" s="1515"/>
      <c r="C78" s="823"/>
      <c r="D78" s="876"/>
      <c r="E78" s="876"/>
      <c r="F78" s="910"/>
      <c r="G78" s="876"/>
      <c r="H78" s="876"/>
      <c r="I78" s="1007"/>
      <c r="J78" s="881"/>
      <c r="K78" s="881"/>
      <c r="L78" s="881"/>
      <c r="M78" s="881"/>
      <c r="N78" s="881"/>
      <c r="O78" s="881"/>
      <c r="P78" s="881"/>
      <c r="Q78" s="651"/>
      <c r="R78" s="652"/>
      <c r="S78" s="780"/>
      <c r="T78" s="991"/>
      <c r="U78" s="992"/>
      <c r="V78" s="895"/>
      <c r="W78" s="896"/>
      <c r="X78" s="897"/>
      <c r="Y78" s="795"/>
      <c r="Z78" s="887"/>
      <c r="AA78" s="898" t="str">
        <f>IFERROR(VLOOKUP(Z78,'Tableau de prix'!$A$1:$AA$102,26,0),"")</f>
        <v/>
      </c>
      <c r="AB78" s="1009"/>
      <c r="AC78" s="977"/>
      <c r="AD78" s="977"/>
      <c r="AE78" s="658"/>
      <c r="AF78" s="991"/>
      <c r="AG78" s="992"/>
      <c r="AH78" s="895"/>
      <c r="AI78" s="896"/>
      <c r="AJ78" s="897"/>
      <c r="AK78" s="658"/>
      <c r="AL78" s="658"/>
      <c r="AM78" s="672"/>
      <c r="AN78" s="672"/>
      <c r="AO78" s="672"/>
      <c r="AP78" s="672"/>
      <c r="AQ78" s="672"/>
      <c r="AR78" s="672"/>
      <c r="AS78" s="672"/>
      <c r="AT78" s="672"/>
      <c r="AU78" s="672"/>
      <c r="AV78" s="672"/>
      <c r="AW78" s="672"/>
      <c r="AX78" s="658"/>
      <c r="AY78" s="658"/>
      <c r="AZ78" s="658"/>
      <c r="BA78" s="658"/>
      <c r="BB78" s="658"/>
      <c r="BC78" s="658"/>
      <c r="BD78" s="658"/>
      <c r="BE78" s="658"/>
      <c r="BF78" s="658"/>
      <c r="BG78" s="658"/>
    </row>
    <row r="79" spans="1:59" ht="30" customHeight="1" x14ac:dyDescent="0.2">
      <c r="A79" s="1501"/>
      <c r="B79" s="1515"/>
      <c r="C79" s="925"/>
      <c r="D79" s="876"/>
      <c r="E79" s="876"/>
      <c r="F79" s="910"/>
      <c r="G79" s="876"/>
      <c r="H79" s="876"/>
      <c r="I79" s="1007"/>
      <c r="J79" s="1358" t="s">
        <v>1689</v>
      </c>
      <c r="K79" s="881"/>
      <c r="L79" s="881"/>
      <c r="M79" s="881"/>
      <c r="N79" s="881"/>
      <c r="O79" s="881"/>
      <c r="P79" s="881"/>
      <c r="Q79" s="647"/>
      <c r="R79" s="652"/>
      <c r="S79" s="830" t="s">
        <v>1391</v>
      </c>
      <c r="T79" s="1010">
        <f>T74+T75+T76+T77+T78</f>
        <v>693.68000000000006</v>
      </c>
      <c r="U79" s="1005">
        <f>U74+U75+U76+U77+U78</f>
        <v>368.68</v>
      </c>
      <c r="V79" s="972">
        <f>V74+V75+V76+V77+V78</f>
        <v>74.25</v>
      </c>
      <c r="W79" s="973">
        <f>W74+W75+W76+W77+W78</f>
        <v>150.75</v>
      </c>
      <c r="X79" s="922">
        <f>X74+X75+X76+X77+X78</f>
        <v>100</v>
      </c>
      <c r="Y79" s="795"/>
      <c r="Z79" s="887"/>
      <c r="AA79" s="964" t="s">
        <v>1516</v>
      </c>
      <c r="AB79" s="965"/>
      <c r="AC79" s="965"/>
      <c r="AD79" s="965"/>
      <c r="AE79" s="658"/>
      <c r="AF79" s="1010">
        <v>693.68000000000006</v>
      </c>
      <c r="AG79" s="1005">
        <v>368.68</v>
      </c>
      <c r="AH79" s="972">
        <v>74.25</v>
      </c>
      <c r="AI79" s="973">
        <v>150.75</v>
      </c>
      <c r="AJ79" s="922">
        <v>100</v>
      </c>
      <c r="AK79" s="659"/>
      <c r="AL79" s="659"/>
      <c r="AM79" s="660"/>
      <c r="AN79" s="660"/>
      <c r="AO79" s="660"/>
      <c r="AP79" s="660"/>
      <c r="AQ79" s="660"/>
      <c r="AR79" s="660"/>
      <c r="AS79" s="660"/>
      <c r="AT79" s="660"/>
      <c r="AU79" s="660"/>
      <c r="AV79" s="660"/>
      <c r="AW79" s="660"/>
      <c r="AX79" s="659"/>
      <c r="AY79" s="659"/>
      <c r="AZ79" s="659"/>
      <c r="BA79" s="659"/>
      <c r="BB79" s="658"/>
      <c r="BC79" s="659"/>
      <c r="BD79" s="659"/>
      <c r="BE79" s="658"/>
      <c r="BF79" s="658"/>
      <c r="BG79" s="658"/>
    </row>
    <row r="80" spans="1:59" ht="32.1" customHeight="1" thickBot="1" x14ac:dyDescent="0.25">
      <c r="A80" s="1501"/>
      <c r="B80" s="822"/>
      <c r="C80" s="823"/>
      <c r="D80" s="745"/>
      <c r="E80" s="745"/>
      <c r="F80" s="824"/>
      <c r="G80" s="745"/>
      <c r="H80" s="745"/>
      <c r="I80" s="824"/>
      <c r="J80" s="745"/>
      <c r="K80" s="745"/>
      <c r="L80" s="745"/>
      <c r="M80" s="745"/>
      <c r="N80" s="745"/>
      <c r="O80" s="745"/>
      <c r="P80" s="745"/>
      <c r="Q80" s="651"/>
      <c r="R80" s="652"/>
      <c r="S80" s="780"/>
      <c r="T80" s="986"/>
      <c r="U80" s="1011"/>
      <c r="V80" s="1012"/>
      <c r="W80" s="1012"/>
      <c r="X80" s="1012"/>
      <c r="Y80" s="795"/>
      <c r="Z80" s="887"/>
      <c r="AA80" s="846" t="s">
        <v>1583</v>
      </c>
      <c r="AB80" s="657"/>
      <c r="AC80" s="658"/>
      <c r="AD80" s="658"/>
      <c r="AE80" s="658"/>
      <c r="AF80" s="986"/>
      <c r="AG80" s="1011"/>
      <c r="AH80" s="1012"/>
      <c r="AI80" s="1012"/>
      <c r="AJ80" s="1012"/>
      <c r="AK80" s="658"/>
      <c r="AL80" s="658"/>
      <c r="AM80" s="672"/>
      <c r="AN80" s="672"/>
      <c r="AO80" s="672"/>
      <c r="AP80" s="672"/>
      <c r="AQ80" s="672"/>
      <c r="AR80" s="672"/>
      <c r="AS80" s="672"/>
      <c r="AT80" s="672"/>
      <c r="AU80" s="672"/>
      <c r="AV80" s="672"/>
      <c r="AW80" s="672"/>
      <c r="AX80" s="659"/>
      <c r="AY80" s="659"/>
      <c r="AZ80" s="659"/>
      <c r="BA80" s="659"/>
      <c r="BB80" s="659"/>
      <c r="BC80" s="658"/>
      <c r="BD80" s="658"/>
      <c r="BE80" s="659"/>
      <c r="BF80" s="659"/>
      <c r="BG80" s="659"/>
    </row>
    <row r="81" spans="1:59" ht="53.85" customHeight="1" thickTop="1" thickBot="1" x14ac:dyDescent="0.25">
      <c r="A81" s="1501"/>
      <c r="B81" s="1513" t="s">
        <v>1196</v>
      </c>
      <c r="C81" s="925"/>
      <c r="D81" s="1013" t="s">
        <v>1567</v>
      </c>
      <c r="E81" s="1013" t="s">
        <v>1568</v>
      </c>
      <c r="F81" s="1505" t="s">
        <v>1282</v>
      </c>
      <c r="G81" s="1506"/>
      <c r="H81" s="1014" t="s">
        <v>1355</v>
      </c>
      <c r="I81" s="1015" t="s">
        <v>1569</v>
      </c>
      <c r="J81" s="1016" t="s">
        <v>1627</v>
      </c>
      <c r="K81" s="1016" t="s">
        <v>1628</v>
      </c>
      <c r="L81" s="1016" t="s">
        <v>1629</v>
      </c>
      <c r="M81" s="1017" t="s">
        <v>1630</v>
      </c>
      <c r="N81" s="689"/>
      <c r="O81" s="1017" t="s">
        <v>1631</v>
      </c>
      <c r="P81" s="1016" t="s">
        <v>1632</v>
      </c>
      <c r="Q81" s="647"/>
      <c r="R81" s="652"/>
      <c r="S81" s="780" t="s">
        <v>1196</v>
      </c>
      <c r="T81" s="1018">
        <f>($J$82+$M$82+distD+$P$82)*VLOOKUP("x",'Tableau de prix'!$C$79:$E$81,3,0)+($K$82+$L$82)*VLOOKUP("y",'Tableau de prix'!$C$79:$E$81,3,0)+I82*VLOOKUP("s",'Tableau de prix'!$C$79:$E$82,3,0)</f>
        <v>1481.6236000000001</v>
      </c>
      <c r="U81" s="1019">
        <f>($J$82+$M$82+distD+$P$82)*VLOOKUP("x",' BILAN MA'!$C$79:$E$81,3,0)+($K$82+$L$82)*VLOOKUP("y",' BILAN MA'!$C$79:$E$81,3,0)+I82*VLOOKUP("s",' BILAN MA'!$C$79:$E$82,3,0)</f>
        <v>653.86359999999991</v>
      </c>
      <c r="V81" s="1020">
        <f>($J$82+$M$82+distD+$P$82)*VLOOKUP("x",'BILAN MOA'!$C$79:$E$81,3,0)+($K$82+$L$82)*VLOOKUP("y",'BILAN MOA'!$C$79:$E$81,3,0)+I82*VLOOKUP("s",'BILAN MOA'!$C$79:$E$82,3,0)</f>
        <v>0</v>
      </c>
      <c r="W81" s="1021">
        <f>($J$82+$M$82+distD+$P$82)*VLOOKUP("x",'BILAN MOC'!$C$79:$E$81,3,0)+($K$82+$L$82)*VLOOKUP("y",'BILAN MOC'!$C$79:$E$81,3,0)+I82*VLOOKUP("s",'BILAN MOC'!$C$79:$E$82,3,0)</f>
        <v>311.76000000000005</v>
      </c>
      <c r="X81" s="1022">
        <f>($J$82+$M$82+distD+$P$82)*VLOOKUP("x",' BILAN MP'!$C$79:$E$81,3,0)+($K$82+$L$82)*VLOOKUP("y",' BILAN MP'!$C$79:$E$81,3,0)+I82*VLOOKUP("s",' BILAN MP'!$C$79:$E$82,3,0)</f>
        <v>516</v>
      </c>
      <c r="Y81" s="795"/>
      <c r="Z81" s="887"/>
      <c r="AA81" s="898" t="str">
        <f>"Réalisation du réseau de collecte des eaux usées et du réseau d'évacuation des eaux traitées."&amp;"("&amp;IF(J82+M82+distD+P82=0,"","tranchée gravitaire DN100 = "&amp;J82+M82+distD+P82&amp;" ml")&amp;IF(K82+L82=0,"",", tranchée pression DN50 = "&amp;K82+L82&amp;" ml")&amp;")."</f>
        <v>Réalisation du réseau de collecte des eaux usées et du réseau d'évacuation des eaux traitées.(tranchée gravitaire DN100 = 18 ml, tranchée pression DN50 = 50 ml).</v>
      </c>
      <c r="AB81" s="657"/>
      <c r="AC81" s="658"/>
      <c r="AD81" s="658"/>
      <c r="AE81" s="658"/>
      <c r="AF81" s="1018">
        <v>2160.7449999999999</v>
      </c>
      <c r="AG81" s="1019">
        <v>884.84500000000014</v>
      </c>
      <c r="AH81" s="1020">
        <v>0</v>
      </c>
      <c r="AI81" s="1021">
        <v>495.90000000000009</v>
      </c>
      <c r="AJ81" s="1022">
        <v>780</v>
      </c>
      <c r="AK81" s="659"/>
      <c r="AL81" s="659"/>
      <c r="AM81" s="660"/>
      <c r="AN81" s="660"/>
      <c r="AO81" s="660"/>
      <c r="AP81" s="660"/>
      <c r="AQ81" s="660"/>
      <c r="AR81" s="660"/>
      <c r="AS81" s="660"/>
      <c r="AT81" s="660"/>
      <c r="AU81" s="660"/>
      <c r="AV81" s="660"/>
      <c r="AW81" s="660"/>
      <c r="AX81" s="659"/>
      <c r="AY81" s="659"/>
      <c r="AZ81" s="659"/>
      <c r="BA81" s="659"/>
      <c r="BB81" s="658"/>
      <c r="BC81" s="659"/>
      <c r="BD81" s="659"/>
      <c r="BE81" s="658"/>
      <c r="BF81" s="658"/>
      <c r="BG81" s="658"/>
    </row>
    <row r="82" spans="1:59" ht="49.35" customHeight="1" thickTop="1" thickBot="1" x14ac:dyDescent="0.25">
      <c r="A82" s="1501"/>
      <c r="B82" s="1513"/>
      <c r="C82" s="925"/>
      <c r="D82" s="1023"/>
      <c r="E82" s="1023"/>
      <c r="F82" s="1511" t="s">
        <v>353</v>
      </c>
      <c r="G82" s="1512"/>
      <c r="H82" s="1024">
        <f>IF(D82-2*J82-E82=0,"formule",D82-2*J82-E82)</f>
        <v>-16</v>
      </c>
      <c r="I82" s="1025">
        <v>1</v>
      </c>
      <c r="J82" s="1026">
        <v>8</v>
      </c>
      <c r="K82" s="1147">
        <v>50</v>
      </c>
      <c r="L82" s="1026"/>
      <c r="M82" s="1027">
        <v>5</v>
      </c>
      <c r="N82" s="1089"/>
      <c r="O82" s="1027">
        <v>5</v>
      </c>
      <c r="P82" s="1026"/>
      <c r="Q82" s="647"/>
      <c r="R82" s="652"/>
      <c r="S82" s="780" t="s">
        <v>1560</v>
      </c>
      <c r="T82" s="781">
        <f>IFERROR(HLOOKUP(6,'collecte-exutoire'!$O$1:$O$83,78,0),0)</f>
        <v>1366.327</v>
      </c>
      <c r="U82" s="1019">
        <f>IFERROR(HLOOKUP(6,'collecte-exutoire'!$O$1:$O$83,80,0),0)</f>
        <v>1227.577</v>
      </c>
      <c r="V82" s="1020">
        <f>IFERROR(HLOOKUP(6,'collecte-exutoire'!$O$1:$O$83,79,0),0)</f>
        <v>283.28700000000003</v>
      </c>
      <c r="W82" s="1021">
        <f>IFERROR(HLOOKUP(6,'collecte-exutoire'!$O$1:$O$83,81,0),0)</f>
        <v>0</v>
      </c>
      <c r="X82" s="1022">
        <f>IFERROR(HLOOKUP(6,'collecte-exutoire'!$O$1:$O$83,82,0),0)</f>
        <v>78.75</v>
      </c>
      <c r="Y82" s="795"/>
      <c r="Z82" s="887" t="str">
        <f>IF(K13=0,"",K13)</f>
        <v/>
      </c>
      <c r="AA82" s="898" t="str">
        <f>IF(T82=0,"","Fourniture et pose du poste de relevage modèle : "&amp;F82&amp;" ; "&amp;IF(J14="EB"," chasse eaux brutes FRERES NAVES ;",IF(J14="BR"," broyeur en ligne Aquatiris ;",""))&amp;IF(J16="S1","grille anti-rongeur ",IF(J16="S2","clapet anti-retour","")&amp;IF(Z82="","","poste de relevage eaux claires en aval")))</f>
        <v>Fourniture et pose du poste de relevage modèle : NSPR-1500-PA ; clapet anti-retour</v>
      </c>
      <c r="AB82" s="825"/>
      <c r="AC82" s="826"/>
      <c r="AD82" s="826"/>
      <c r="AE82" s="658"/>
      <c r="AF82" s="781">
        <v>1407.327</v>
      </c>
      <c r="AG82" s="1019">
        <v>1188.577</v>
      </c>
      <c r="AH82" s="1020">
        <v>274.28700000000003</v>
      </c>
      <c r="AI82" s="1021">
        <v>0</v>
      </c>
      <c r="AJ82" s="1022">
        <v>78.75</v>
      </c>
      <c r="AK82" s="659"/>
      <c r="AL82" s="659"/>
      <c r="AM82" s="660"/>
      <c r="AN82" s="660"/>
      <c r="AO82" s="660"/>
      <c r="AP82" s="660"/>
      <c r="AQ82" s="660"/>
      <c r="AR82" s="660"/>
      <c r="AS82" s="660"/>
      <c r="AT82" s="660"/>
      <c r="AU82" s="660"/>
      <c r="AV82" s="660"/>
      <c r="AW82" s="660"/>
      <c r="AX82" s="659"/>
      <c r="AY82" s="659"/>
      <c r="AZ82" s="659"/>
      <c r="BA82" s="659"/>
      <c r="BB82" s="659"/>
      <c r="BC82" s="659"/>
      <c r="BD82" s="659"/>
      <c r="BE82" s="659"/>
      <c r="BF82" s="659"/>
      <c r="BG82" s="659"/>
    </row>
    <row r="83" spans="1:59" ht="22.35" customHeight="1" thickTop="1" x14ac:dyDescent="0.2">
      <c r="A83" s="1028"/>
      <c r="B83" s="946"/>
      <c r="C83" s="925"/>
      <c r="D83" s="711"/>
      <c r="E83" s="690"/>
      <c r="F83" s="1029" t="str">
        <f>IF(B13="Eaux claires","ECSPR",IF(B10&gt;9,"NSPR","SPR"))</f>
        <v>SPR</v>
      </c>
      <c r="G83" s="1030">
        <f>IF(H82&lt;-120,2100,IF(H82&lt;-90,1800,IF(H82&lt;-60,1500,IF(H82&lt;-30,1200,900))))</f>
        <v>900</v>
      </c>
      <c r="H83" s="1029" t="str">
        <f>L13</f>
        <v>DN50</v>
      </c>
      <c r="I83" s="1085" t="s">
        <v>1674</v>
      </c>
      <c r="J83" s="711"/>
      <c r="K83" s="711">
        <v>7</v>
      </c>
      <c r="L83" s="711"/>
      <c r="M83" s="711"/>
      <c r="N83" s="745"/>
      <c r="O83" s="711"/>
      <c r="P83" s="711"/>
      <c r="Q83" s="647"/>
      <c r="R83" s="652"/>
      <c r="S83" s="830" t="s">
        <v>1391</v>
      </c>
      <c r="T83" s="1031">
        <f>T81+T82</f>
        <v>2847.9506000000001</v>
      </c>
      <c r="U83" s="1032">
        <f>U81+U82</f>
        <v>1881.4405999999999</v>
      </c>
      <c r="V83" s="1033">
        <f>V81+V82</f>
        <v>283.28700000000003</v>
      </c>
      <c r="W83" s="1034">
        <f>W81+W82</f>
        <v>311.76000000000005</v>
      </c>
      <c r="X83" s="1035">
        <f>X81+X82</f>
        <v>594.75</v>
      </c>
      <c r="Y83" s="795"/>
      <c r="Z83" s="887"/>
      <c r="AA83" s="964" t="s">
        <v>1514</v>
      </c>
      <c r="AB83" s="965"/>
      <c r="AC83" s="965"/>
      <c r="AD83" s="965"/>
      <c r="AE83" s="658"/>
      <c r="AF83" s="1031">
        <v>3568.0720000000001</v>
      </c>
      <c r="AG83" s="1032">
        <v>2073.422</v>
      </c>
      <c r="AH83" s="1033">
        <v>274.28700000000003</v>
      </c>
      <c r="AI83" s="1034">
        <v>495.90000000000009</v>
      </c>
      <c r="AJ83" s="1035">
        <v>858.75</v>
      </c>
      <c r="AK83" s="659"/>
      <c r="AL83" s="659"/>
      <c r="AM83" s="660"/>
      <c r="AN83" s="660"/>
      <c r="AO83" s="660"/>
      <c r="AP83" s="660"/>
      <c r="AQ83" s="660"/>
      <c r="AR83" s="660"/>
      <c r="AS83" s="660"/>
      <c r="AT83" s="660"/>
      <c r="AU83" s="660"/>
      <c r="AV83" s="660"/>
      <c r="AW83" s="660"/>
      <c r="AX83" s="659"/>
      <c r="AY83" s="659"/>
      <c r="AZ83" s="659"/>
      <c r="BA83" s="659"/>
      <c r="BB83" s="659"/>
      <c r="BC83" s="659"/>
      <c r="BD83" s="659"/>
      <c r="BE83" s="659"/>
      <c r="BF83" s="659"/>
      <c r="BG83" s="659"/>
    </row>
    <row r="84" spans="1:59" ht="26.85" customHeight="1" thickBot="1" x14ac:dyDescent="0.25">
      <c r="A84" s="667"/>
      <c r="B84" s="946"/>
      <c r="C84" s="925"/>
      <c r="D84" s="711"/>
      <c r="E84" s="690"/>
      <c r="F84" s="1036" t="s">
        <v>1357</v>
      </c>
      <c r="G84" s="1036" t="s">
        <v>1356</v>
      </c>
      <c r="H84" s="1036" t="s">
        <v>1386</v>
      </c>
      <c r="I84" s="850"/>
      <c r="J84" s="711"/>
      <c r="K84" s="711"/>
      <c r="L84" s="711"/>
      <c r="M84" s="711"/>
      <c r="N84" s="745"/>
      <c r="O84" s="711"/>
      <c r="P84" s="711"/>
      <c r="Q84" s="647"/>
      <c r="R84" s="652"/>
      <c r="S84" s="780"/>
      <c r="T84" s="1037"/>
      <c r="U84" s="1038"/>
      <c r="V84" s="1039"/>
      <c r="W84" s="1039"/>
      <c r="X84" s="1039"/>
      <c r="Y84" s="795"/>
      <c r="Z84" s="655"/>
      <c r="AA84" s="1040" t="s">
        <v>1584</v>
      </c>
      <c r="AB84" s="1041"/>
      <c r="AC84" s="900"/>
      <c r="AD84" s="900"/>
      <c r="AE84" s="900"/>
      <c r="AF84" s="1037"/>
      <c r="AG84" s="1038"/>
      <c r="AH84" s="1039"/>
      <c r="AI84" s="1039"/>
      <c r="AJ84" s="1039"/>
      <c r="AK84" s="659"/>
      <c r="AL84" s="659"/>
      <c r="AM84" s="660"/>
      <c r="AN84" s="660"/>
      <c r="AO84" s="660"/>
      <c r="AP84" s="660"/>
      <c r="AQ84" s="660"/>
      <c r="AR84" s="660"/>
      <c r="AS84" s="660"/>
      <c r="AT84" s="660"/>
      <c r="AU84" s="660"/>
      <c r="AV84" s="660"/>
      <c r="AW84" s="660"/>
      <c r="AX84" s="659"/>
      <c r="AY84" s="659"/>
      <c r="AZ84" s="659"/>
      <c r="BA84" s="659"/>
      <c r="BB84" s="659"/>
      <c r="BC84" s="659"/>
      <c r="BD84" s="659"/>
      <c r="BE84" s="659"/>
      <c r="BF84" s="659"/>
      <c r="BG84" s="659"/>
    </row>
    <row r="85" spans="1:59" ht="36.6" customHeight="1" thickTop="1" thickBot="1" x14ac:dyDescent="0.25">
      <c r="A85" s="667"/>
      <c r="B85" s="1042" t="s">
        <v>629</v>
      </c>
      <c r="C85" s="925"/>
      <c r="D85" s="711"/>
      <c r="E85" s="711"/>
      <c r="F85" s="850"/>
      <c r="G85" s="711"/>
      <c r="H85" s="711"/>
      <c r="I85" s="850"/>
      <c r="J85" s="711"/>
      <c r="K85" s="711"/>
      <c r="L85" s="711"/>
      <c r="M85" s="711"/>
      <c r="N85" s="745"/>
      <c r="O85" s="711"/>
      <c r="P85" s="711"/>
      <c r="Q85" s="647"/>
      <c r="R85" s="652"/>
      <c r="S85" s="780" t="s">
        <v>629</v>
      </c>
      <c r="T85" s="1042">
        <f>SUM(T23,T38,T47,T55,T60,T65,T72,T79,T83)</f>
        <v>10712.809351175001</v>
      </c>
      <c r="U85" s="1042">
        <f>SUM(U23,U38,U47,U55,U60,U65,U72,U79,U83,U9)</f>
        <v>7208.0462518000013</v>
      </c>
      <c r="V85" s="1042">
        <f>SUM(V23,V38,V47,V55,V60,V65,V72,V79,V83,V9)</f>
        <v>665.78700000000003</v>
      </c>
      <c r="W85" s="1042">
        <f>SUM(W16,W18,W19,W20,W21,W22,W38,W47,W55,W60,W65,W72,W79,W83,W9)</f>
        <v>1359.5225</v>
      </c>
      <c r="X85" s="1042">
        <f>SUM(X23,X38,X47,X55,X60,X65,X72,X79,X83,X9)</f>
        <v>1214.95</v>
      </c>
      <c r="Y85" s="795"/>
      <c r="Z85" s="655"/>
      <c r="AA85" s="1043" t="s">
        <v>629</v>
      </c>
      <c r="AB85" s="1043"/>
      <c r="AC85" s="1043"/>
      <c r="AD85" s="1043"/>
      <c r="AE85" s="1044"/>
      <c r="AF85" s="1042">
        <v>10892.679557618751</v>
      </c>
      <c r="AG85" s="1042">
        <v>6791.8279934000002</v>
      </c>
      <c r="AH85" s="1042">
        <v>540.23700000000008</v>
      </c>
      <c r="AI85" s="1042">
        <v>1343.21</v>
      </c>
      <c r="AJ85" s="1042">
        <v>1823.4375</v>
      </c>
      <c r="AK85" s="659"/>
      <c r="AL85" s="659"/>
      <c r="AM85" s="660"/>
      <c r="AN85" s="660"/>
      <c r="AO85" s="660"/>
      <c r="AP85" s="660"/>
      <c r="AQ85" s="660"/>
      <c r="AR85" s="660"/>
      <c r="AS85" s="660"/>
      <c r="AT85" s="660"/>
      <c r="AU85" s="660"/>
      <c r="AV85" s="660"/>
      <c r="AW85" s="660"/>
      <c r="AX85" s="659"/>
      <c r="AY85" s="659"/>
      <c r="AZ85" s="659"/>
      <c r="BA85" s="659"/>
      <c r="BB85" s="659"/>
      <c r="BC85" s="659"/>
      <c r="BD85" s="659"/>
      <c r="BE85" s="659"/>
      <c r="BF85" s="659"/>
      <c r="BG85" s="659"/>
    </row>
    <row r="86" spans="1:59" ht="35.1" customHeight="1" thickTop="1" x14ac:dyDescent="0.2">
      <c r="A86" s="667"/>
      <c r="B86" s="1045" t="s">
        <v>630</v>
      </c>
      <c r="C86" s="1046"/>
      <c r="D86" s="1047"/>
      <c r="E86" s="711"/>
      <c r="F86" s="1048" t="s">
        <v>1571</v>
      </c>
      <c r="G86" s="711"/>
      <c r="H86" s="711"/>
      <c r="I86" s="1049" t="s">
        <v>1570</v>
      </c>
      <c r="J86" s="711"/>
      <c r="K86" s="711"/>
      <c r="L86" s="711"/>
      <c r="M86" s="711"/>
      <c r="N86" s="745"/>
      <c r="O86" s="711"/>
      <c r="P86" s="711"/>
      <c r="Q86" s="647"/>
      <c r="R86" s="652"/>
      <c r="S86" s="780" t="s">
        <v>630</v>
      </c>
      <c r="T86" s="1045">
        <f>T85*(1+B9/100)</f>
        <v>11784.090286292503</v>
      </c>
      <c r="U86" s="1050"/>
      <c r="V86" s="1051"/>
      <c r="W86" s="1052"/>
      <c r="X86" s="1053"/>
      <c r="Y86" s="647"/>
      <c r="Z86" s="655"/>
      <c r="AA86" s="1054" t="str">
        <f>"TOTAL TTC"</f>
        <v>TOTAL TTC</v>
      </c>
      <c r="AB86" s="1055" t="str">
        <f>"TVA à "&amp;B9&amp;" % soit :"</f>
        <v>TVA à 10 % soit :</v>
      </c>
      <c r="AC86" s="1056"/>
      <c r="AD86" s="1057">
        <f>AF86-AF85</f>
        <v>1089.2679557618758</v>
      </c>
      <c r="AE86" s="658"/>
      <c r="AF86" s="1045">
        <v>11981.947513380626</v>
      </c>
      <c r="AG86" s="1050"/>
      <c r="AH86" s="1051"/>
      <c r="AI86" s="1052"/>
      <c r="AJ86" s="1053"/>
      <c r="AK86" s="659"/>
      <c r="AL86" s="659"/>
      <c r="AM86" s="660"/>
      <c r="AN86" s="660"/>
      <c r="AO86" s="660"/>
      <c r="AP86" s="660"/>
      <c r="AQ86" s="660"/>
      <c r="AR86" s="660"/>
      <c r="AS86" s="660"/>
      <c r="AT86" s="660"/>
      <c r="AU86" s="660"/>
      <c r="AV86" s="660"/>
      <c r="AW86" s="660"/>
      <c r="AX86" s="659"/>
      <c r="AY86" s="659"/>
      <c r="AZ86" s="659"/>
      <c r="BA86" s="659"/>
      <c r="BB86" s="659"/>
      <c r="BC86" s="659"/>
      <c r="BD86" s="659"/>
      <c r="BE86" s="659"/>
      <c r="BF86" s="659"/>
      <c r="BG86" s="659"/>
    </row>
    <row r="87" spans="1:59" ht="15" customHeight="1" x14ac:dyDescent="0.2">
      <c r="A87" s="667"/>
      <c r="B87" s="1058"/>
      <c r="C87" s="925"/>
      <c r="D87" s="711"/>
      <c r="E87" s="711"/>
      <c r="F87" s="850"/>
      <c r="G87" s="711"/>
      <c r="H87" s="711"/>
      <c r="I87" s="850"/>
      <c r="J87" s="711"/>
      <c r="K87" s="711"/>
      <c r="L87" s="711"/>
      <c r="M87" s="711"/>
      <c r="N87" s="745"/>
      <c r="O87" s="711"/>
      <c r="P87" s="711"/>
      <c r="Q87" s="647"/>
      <c r="R87" s="652"/>
      <c r="S87" s="647"/>
      <c r="T87" s="1059"/>
      <c r="U87" s="1060"/>
      <c r="V87" s="1060"/>
      <c r="W87" s="1060"/>
      <c r="X87" s="1061"/>
      <c r="Y87" s="647"/>
      <c r="Z87" s="655"/>
      <c r="AA87" s="1062" t="s">
        <v>225</v>
      </c>
      <c r="AB87" s="657"/>
      <c r="AC87" s="658"/>
      <c r="AD87" s="658"/>
      <c r="AE87" s="658"/>
      <c r="AF87" s="1059"/>
      <c r="AG87" s="1060"/>
      <c r="AH87" s="1060"/>
      <c r="AI87" s="1060"/>
      <c r="AJ87" s="1061"/>
      <c r="AK87" s="659"/>
      <c r="AL87" s="659"/>
      <c r="AM87" s="660"/>
      <c r="AN87" s="660"/>
      <c r="AO87" s="660"/>
      <c r="AP87" s="660"/>
      <c r="AQ87" s="660"/>
      <c r="AR87" s="660"/>
      <c r="AS87" s="660"/>
      <c r="AT87" s="660"/>
      <c r="AU87" s="660"/>
      <c r="AV87" s="660"/>
      <c r="AW87" s="660"/>
      <c r="AX87" s="659"/>
      <c r="AY87" s="659"/>
      <c r="AZ87" s="659"/>
      <c r="BA87" s="659"/>
      <c r="BB87" s="659"/>
      <c r="BC87" s="659"/>
      <c r="BD87" s="659"/>
      <c r="BE87" s="659"/>
      <c r="BF87" s="659"/>
      <c r="BG87" s="659"/>
    </row>
    <row r="88" spans="1:59" ht="53.1" customHeight="1" x14ac:dyDescent="0.2">
      <c r="A88" s="1500"/>
      <c r="B88" s="1063">
        <v>2</v>
      </c>
      <c r="C88" s="649">
        <v>1</v>
      </c>
      <c r="D88" s="647"/>
      <c r="E88" s="647"/>
      <c r="F88" s="650"/>
      <c r="G88" s="647"/>
      <c r="H88" s="647"/>
      <c r="I88" s="650"/>
      <c r="J88" s="647"/>
      <c r="K88" s="647"/>
      <c r="L88" s="647"/>
      <c r="M88" s="647"/>
      <c r="N88" s="651"/>
      <c r="O88" s="647"/>
      <c r="P88" s="647"/>
      <c r="Q88" s="647"/>
      <c r="R88" s="652"/>
      <c r="S88" s="647"/>
      <c r="T88" s="909"/>
      <c r="U88" s="658"/>
      <c r="V88" s="658"/>
      <c r="W88" s="658"/>
      <c r="X88" s="1064"/>
      <c r="Y88" s="647"/>
      <c r="Z88" s="655"/>
      <c r="AA88" s="1065" t="s">
        <v>1587</v>
      </c>
      <c r="AB88" s="657"/>
      <c r="AC88" s="658"/>
      <c r="AD88" s="658"/>
      <c r="AE88" s="658"/>
      <c r="AF88" s="909"/>
      <c r="AG88" s="658"/>
      <c r="AH88" s="658"/>
      <c r="AI88" s="658"/>
      <c r="AJ88" s="1064"/>
      <c r="AK88" s="659"/>
      <c r="AL88" s="659"/>
      <c r="AM88" s="660"/>
      <c r="AN88" s="660"/>
      <c r="AO88" s="660"/>
      <c r="AP88" s="660"/>
      <c r="AQ88" s="660"/>
      <c r="AR88" s="660"/>
      <c r="AS88" s="660"/>
      <c r="AT88" s="660"/>
      <c r="AU88" s="660"/>
      <c r="AV88" s="660"/>
      <c r="AW88" s="660"/>
      <c r="AX88" s="659"/>
      <c r="AY88" s="659"/>
      <c r="AZ88" s="659"/>
      <c r="BA88" s="659"/>
      <c r="BB88" s="659"/>
      <c r="BC88" s="659"/>
      <c r="BD88" s="659"/>
      <c r="BE88" s="659"/>
      <c r="BF88" s="659"/>
      <c r="BG88" s="659"/>
    </row>
    <row r="89" spans="1:59" ht="119.25" customHeight="1" x14ac:dyDescent="0.2">
      <c r="A89" s="1500"/>
      <c r="B89" s="1066">
        <v>3</v>
      </c>
      <c r="C89" s="649">
        <v>1.25</v>
      </c>
      <c r="D89" s="647"/>
      <c r="E89" s="647"/>
      <c r="F89" s="650"/>
      <c r="G89" s="647"/>
      <c r="H89" s="647"/>
      <c r="I89" s="650"/>
      <c r="J89" s="647"/>
      <c r="K89" s="647"/>
      <c r="L89" s="647"/>
      <c r="M89" s="647"/>
      <c r="N89" s="651"/>
      <c r="O89" s="647"/>
      <c r="P89" s="647"/>
      <c r="Q89" s="647"/>
      <c r="R89" s="652"/>
      <c r="S89" s="647"/>
      <c r="T89" s="791"/>
      <c r="U89" s="659"/>
      <c r="V89" s="659"/>
      <c r="W89" s="659"/>
      <c r="X89" s="659"/>
      <c r="Y89" s="690"/>
      <c r="Z89" s="932"/>
      <c r="AA89" s="1067" t="s">
        <v>1588</v>
      </c>
      <c r="AB89" s="657"/>
      <c r="AC89" s="658"/>
      <c r="AD89" s="658"/>
      <c r="AE89" s="658"/>
      <c r="AF89" s="791"/>
      <c r="AG89" s="659"/>
      <c r="AH89" s="659"/>
      <c r="AI89" s="659"/>
      <c r="AJ89" s="659"/>
      <c r="AK89" s="659"/>
      <c r="AL89" s="659"/>
      <c r="AM89" s="660"/>
      <c r="AN89" s="660"/>
      <c r="AO89" s="660"/>
      <c r="AP89" s="660"/>
      <c r="AQ89" s="660"/>
      <c r="AR89" s="660"/>
      <c r="AS89" s="660"/>
      <c r="AT89" s="660"/>
      <c r="AU89" s="660"/>
      <c r="AV89" s="660"/>
      <c r="AW89" s="660"/>
      <c r="AX89" s="659"/>
      <c r="AY89" s="659"/>
      <c r="AZ89" s="659"/>
      <c r="BA89" s="659"/>
      <c r="BB89" s="659"/>
      <c r="BC89" s="659"/>
      <c r="BD89" s="659"/>
      <c r="BE89" s="659"/>
      <c r="BF89" s="659"/>
      <c r="BG89" s="659"/>
    </row>
    <row r="90" spans="1:59" ht="53.1" customHeight="1" x14ac:dyDescent="0.2">
      <c r="A90" s="1068"/>
      <c r="B90" s="1066">
        <v>4</v>
      </c>
      <c r="C90" s="649">
        <v>1.5</v>
      </c>
      <c r="D90" s="647"/>
      <c r="E90" s="1069" t="s">
        <v>1388</v>
      </c>
      <c r="F90" s="650"/>
      <c r="G90" s="647"/>
      <c r="H90" s="1070"/>
      <c r="I90" s="1070"/>
      <c r="J90" s="1070"/>
      <c r="K90" s="1070"/>
      <c r="L90" s="1070"/>
      <c r="M90" s="1070"/>
      <c r="N90" s="1070"/>
      <c r="O90" s="1070"/>
      <c r="P90" s="647"/>
      <c r="Q90" s="647"/>
      <c r="R90" s="652"/>
      <c r="S90" s="647"/>
      <c r="T90" s="791"/>
      <c r="U90" s="659"/>
      <c r="V90" s="659"/>
      <c r="W90" s="659"/>
      <c r="X90" s="659"/>
      <c r="Y90" s="690"/>
      <c r="Z90" s="932"/>
      <c r="AA90" s="1065" t="s">
        <v>1589</v>
      </c>
      <c r="AB90" s="656"/>
      <c r="AC90" s="658"/>
      <c r="AD90" s="658"/>
      <c r="AE90" s="689"/>
      <c r="AF90" s="791"/>
      <c r="AG90" s="659"/>
      <c r="AH90" s="659"/>
      <c r="AI90" s="659"/>
      <c r="AJ90" s="659"/>
      <c r="AK90" s="659"/>
      <c r="AL90" s="659"/>
      <c r="AM90" s="660"/>
      <c r="AN90" s="660"/>
      <c r="AO90" s="660"/>
      <c r="AP90" s="660"/>
      <c r="AQ90" s="660"/>
      <c r="AR90" s="660"/>
      <c r="AS90" s="660"/>
      <c r="AT90" s="660"/>
      <c r="AU90" s="660"/>
      <c r="AV90" s="660"/>
      <c r="AW90" s="660"/>
      <c r="AX90" s="659"/>
      <c r="AY90" s="659"/>
      <c r="AZ90" s="659"/>
      <c r="BA90" s="659"/>
      <c r="BB90" s="659"/>
      <c r="BC90" s="659"/>
      <c r="BD90" s="659"/>
      <c r="BE90" s="659"/>
      <c r="BF90" s="659"/>
      <c r="BG90" s="659"/>
    </row>
    <row r="91" spans="1:59" ht="30" customHeight="1" x14ac:dyDescent="0.2">
      <c r="A91" s="1071"/>
      <c r="B91" s="1066" t="s">
        <v>1549</v>
      </c>
      <c r="C91" s="649">
        <v>1.75</v>
      </c>
      <c r="D91" s="647"/>
      <c r="E91" s="1069"/>
      <c r="F91" s="650"/>
      <c r="G91" s="647"/>
      <c r="H91" s="1072"/>
      <c r="I91" s="1072"/>
      <c r="J91" s="1072"/>
      <c r="K91" s="1072"/>
      <c r="L91" s="1072"/>
      <c r="M91" s="1072"/>
      <c r="N91" s="1072"/>
      <c r="O91" s="1072"/>
      <c r="P91" s="647"/>
      <c r="Q91" s="647"/>
      <c r="R91" s="652"/>
      <c r="S91" s="647"/>
      <c r="T91" s="791"/>
      <c r="U91" s="659"/>
      <c r="V91" s="659"/>
      <c r="W91" s="659"/>
      <c r="X91" s="659"/>
      <c r="Y91" s="690"/>
      <c r="Z91" s="932"/>
      <c r="AA91" s="656"/>
      <c r="AB91" s="1073"/>
      <c r="AC91" s="658"/>
      <c r="AD91" s="658"/>
      <c r="AE91" s="689"/>
      <c r="AF91" s="791"/>
      <c r="AG91" s="659"/>
      <c r="AH91" s="659"/>
      <c r="AI91" s="659"/>
      <c r="AJ91" s="659"/>
      <c r="AK91" s="659"/>
      <c r="AL91" s="659"/>
      <c r="AM91" s="660"/>
      <c r="AN91" s="660"/>
      <c r="AO91" s="660"/>
      <c r="AP91" s="660"/>
      <c r="AQ91" s="660"/>
      <c r="AR91" s="660"/>
      <c r="AS91" s="660"/>
      <c r="AT91" s="660"/>
      <c r="AU91" s="660"/>
      <c r="AV91" s="660"/>
      <c r="AW91" s="660"/>
      <c r="AX91" s="659"/>
      <c r="AY91" s="659"/>
      <c r="AZ91" s="659"/>
      <c r="BA91" s="659"/>
      <c r="BB91" s="659"/>
      <c r="BC91" s="659"/>
      <c r="BD91" s="659"/>
      <c r="BE91" s="659"/>
      <c r="BF91" s="659"/>
      <c r="BG91" s="659"/>
    </row>
    <row r="92" spans="1:59" ht="30" customHeight="1" x14ac:dyDescent="0.2">
      <c r="A92" s="1071"/>
      <c r="B92" s="1066" t="s">
        <v>1550</v>
      </c>
      <c r="C92" s="649">
        <v>2</v>
      </c>
      <c r="D92" s="647"/>
      <c r="E92" s="1069"/>
      <c r="F92" s="650"/>
      <c r="G92" s="647"/>
      <c r="H92" s="1072"/>
      <c r="I92" s="1072"/>
      <c r="J92" s="1072"/>
      <c r="K92" s="1072"/>
      <c r="L92" s="1072"/>
      <c r="M92" s="1072"/>
      <c r="N92" s="1072"/>
      <c r="O92" s="1072"/>
      <c r="P92" s="647"/>
      <c r="Q92" s="647"/>
      <c r="R92" s="652"/>
      <c r="S92" s="647"/>
      <c r="T92" s="791"/>
      <c r="U92" s="659"/>
      <c r="V92" s="659"/>
      <c r="W92" s="659"/>
      <c r="X92" s="659"/>
      <c r="Y92" s="690"/>
      <c r="Z92" s="932"/>
      <c r="AA92" s="656"/>
      <c r="AB92" s="1073"/>
      <c r="AC92" s="658"/>
      <c r="AD92" s="658"/>
      <c r="AE92" s="689"/>
      <c r="AF92" s="658"/>
      <c r="AG92" s="658"/>
      <c r="AH92" s="658"/>
      <c r="AI92" s="658"/>
      <c r="AJ92" s="658"/>
      <c r="AK92" s="659"/>
      <c r="AL92" s="659"/>
      <c r="AM92" s="660"/>
      <c r="AN92" s="660"/>
      <c r="AO92" s="660"/>
      <c r="AP92" s="660"/>
      <c r="AQ92" s="660"/>
      <c r="AR92" s="660"/>
      <c r="AS92" s="660"/>
      <c r="AT92" s="660"/>
      <c r="AU92" s="660"/>
      <c r="AV92" s="660"/>
      <c r="AW92" s="660"/>
      <c r="AX92" s="659"/>
      <c r="AY92" s="659"/>
      <c r="AZ92" s="659"/>
      <c r="BA92" s="659"/>
      <c r="BB92" s="659"/>
      <c r="BC92" s="659"/>
      <c r="BD92" s="659"/>
      <c r="BE92" s="659"/>
      <c r="BF92" s="659"/>
      <c r="BG92" s="659"/>
    </row>
    <row r="93" spans="1:59" ht="30" customHeight="1" x14ac:dyDescent="0.2">
      <c r="A93" s="1074"/>
      <c r="B93" s="1066" t="s">
        <v>1551</v>
      </c>
      <c r="C93" s="649"/>
      <c r="D93" s="647"/>
      <c r="E93" s="1069"/>
      <c r="F93" s="650"/>
      <c r="G93" s="647"/>
      <c r="H93" s="1072"/>
      <c r="I93" s="1072"/>
      <c r="J93" s="1072"/>
      <c r="K93" s="1072"/>
      <c r="L93" s="1072"/>
      <c r="M93" s="1072"/>
      <c r="N93" s="1072"/>
      <c r="O93" s="1072"/>
      <c r="P93" s="647"/>
      <c r="Q93" s="647"/>
      <c r="R93" s="652"/>
      <c r="S93" s="647"/>
      <c r="T93" s="791"/>
      <c r="U93" s="659"/>
      <c r="V93" s="659"/>
      <c r="W93" s="659"/>
      <c r="X93" s="659"/>
      <c r="Y93" s="690"/>
      <c r="Z93" s="932"/>
      <c r="AA93" s="656"/>
      <c r="AB93" s="1073"/>
      <c r="AC93" s="658"/>
      <c r="AD93" s="658"/>
      <c r="AE93" s="689"/>
      <c r="AF93" s="658"/>
      <c r="AG93" s="658"/>
      <c r="AH93" s="658"/>
      <c r="AI93" s="658"/>
      <c r="AJ93" s="658"/>
      <c r="AK93" s="659"/>
      <c r="AL93" s="659"/>
      <c r="AM93" s="660"/>
      <c r="AN93" s="660"/>
      <c r="AO93" s="660"/>
      <c r="AP93" s="660"/>
      <c r="AQ93" s="660"/>
      <c r="AR93" s="660"/>
      <c r="AS93" s="660"/>
      <c r="AT93" s="660"/>
      <c r="AU93" s="660"/>
      <c r="AV93" s="660"/>
      <c r="AW93" s="660"/>
      <c r="AX93" s="659"/>
      <c r="AY93" s="659"/>
      <c r="AZ93" s="659"/>
      <c r="BA93" s="659"/>
      <c r="BB93" s="659"/>
      <c r="BC93" s="659"/>
      <c r="BD93" s="659"/>
      <c r="BE93" s="659"/>
      <c r="BF93" s="659"/>
      <c r="BG93" s="659"/>
    </row>
    <row r="94" spans="1:59" ht="24.6" customHeight="1" x14ac:dyDescent="0.2">
      <c r="A94" s="1068"/>
      <c r="B94" s="1066" t="s">
        <v>1552</v>
      </c>
      <c r="C94" s="649"/>
      <c r="D94" s="690"/>
      <c r="E94" s="690"/>
      <c r="F94" s="829"/>
      <c r="G94" s="690"/>
      <c r="H94" s="690"/>
      <c r="I94" s="829"/>
      <c r="J94" s="690"/>
      <c r="K94" s="690"/>
      <c r="L94" s="690"/>
      <c r="M94" s="690"/>
      <c r="N94" s="689"/>
      <c r="O94" s="690"/>
      <c r="P94" s="690"/>
      <c r="Q94" s="647"/>
      <c r="R94" s="652"/>
      <c r="S94" s="647"/>
      <c r="T94" s="791"/>
      <c r="U94" s="659"/>
      <c r="V94" s="659"/>
      <c r="W94" s="659"/>
      <c r="X94" s="659"/>
      <c r="Y94" s="690"/>
      <c r="Z94" s="932"/>
      <c r="AA94" s="656"/>
      <c r="AB94" s="657"/>
      <c r="AC94" s="658"/>
      <c r="AD94" s="658"/>
      <c r="AE94" s="689"/>
      <c r="AF94" s="658"/>
      <c r="AG94" s="658"/>
      <c r="AH94" s="658"/>
      <c r="AI94" s="658"/>
      <c r="AJ94" s="658"/>
      <c r="AK94" s="659"/>
      <c r="AL94" s="659"/>
      <c r="AM94" s="660"/>
      <c r="AN94" s="660"/>
      <c r="AO94" s="660"/>
      <c r="AP94" s="660"/>
      <c r="AQ94" s="660"/>
      <c r="AR94" s="660"/>
      <c r="AS94" s="660"/>
      <c r="AT94" s="660"/>
      <c r="AU94" s="660"/>
      <c r="AV94" s="660"/>
      <c r="AW94" s="660"/>
      <c r="AX94" s="659"/>
      <c r="AY94" s="659"/>
      <c r="AZ94" s="659"/>
      <c r="BA94" s="659"/>
      <c r="BB94" s="659"/>
      <c r="BC94" s="659"/>
      <c r="BD94" s="659"/>
      <c r="BE94" s="659"/>
      <c r="BF94" s="659"/>
      <c r="BG94" s="659"/>
    </row>
    <row r="95" spans="1:59" ht="25.35" customHeight="1" x14ac:dyDescent="0.2">
      <c r="A95" s="1071"/>
      <c r="B95" s="1066" t="s">
        <v>1553</v>
      </c>
      <c r="C95" s="649"/>
      <c r="D95" s="690"/>
      <c r="E95" s="690"/>
      <c r="F95" s="829"/>
      <c r="G95" s="690"/>
      <c r="H95" s="690"/>
      <c r="I95" s="829"/>
      <c r="J95" s="690"/>
      <c r="K95" s="690"/>
      <c r="L95" s="690"/>
      <c r="M95" s="690"/>
      <c r="N95" s="689"/>
      <c r="O95" s="690"/>
      <c r="P95" s="690"/>
      <c r="Q95" s="647"/>
      <c r="R95" s="652"/>
      <c r="S95" s="647"/>
      <c r="T95" s="791"/>
      <c r="U95" s="659"/>
      <c r="V95" s="659"/>
      <c r="W95" s="659"/>
      <c r="X95" s="659"/>
      <c r="Y95" s="690"/>
      <c r="Z95" s="932"/>
      <c r="AA95" s="656"/>
      <c r="AB95" s="657"/>
      <c r="AC95" s="658"/>
      <c r="AD95" s="658"/>
      <c r="AE95" s="689"/>
      <c r="AF95" s="658"/>
      <c r="AG95" s="658"/>
      <c r="AH95" s="658"/>
      <c r="AI95" s="658"/>
      <c r="AJ95" s="658"/>
      <c r="AK95" s="659"/>
      <c r="AL95" s="659"/>
      <c r="AM95" s="660"/>
      <c r="AN95" s="660"/>
      <c r="AO95" s="660"/>
      <c r="AP95" s="660"/>
      <c r="AQ95" s="660"/>
      <c r="AR95" s="660"/>
      <c r="AS95" s="660"/>
      <c r="AT95" s="660"/>
      <c r="AU95" s="660"/>
      <c r="AV95" s="660"/>
      <c r="AW95" s="660"/>
      <c r="AX95" s="659"/>
      <c r="AY95" s="659"/>
      <c r="AZ95" s="659"/>
      <c r="BA95" s="659"/>
      <c r="BB95" s="659"/>
      <c r="BC95" s="659"/>
      <c r="BD95" s="659"/>
      <c r="BE95" s="659"/>
      <c r="BF95" s="659"/>
      <c r="BG95" s="659"/>
    </row>
    <row r="96" spans="1:59" ht="25.35" customHeight="1" x14ac:dyDescent="0.2">
      <c r="A96" s="1068"/>
      <c r="B96" s="1066" t="s">
        <v>1554</v>
      </c>
      <c r="C96" s="649"/>
      <c r="D96" s="690"/>
      <c r="E96" s="690"/>
      <c r="F96" s="829"/>
      <c r="G96" s="690"/>
      <c r="H96" s="690"/>
      <c r="I96" s="829"/>
      <c r="J96" s="690"/>
      <c r="K96" s="690"/>
      <c r="L96" s="690"/>
      <c r="M96" s="690"/>
      <c r="N96" s="689"/>
      <c r="O96" s="690"/>
      <c r="P96" s="690"/>
      <c r="Q96" s="647"/>
      <c r="R96" s="652"/>
      <c r="S96" s="647"/>
      <c r="T96" s="791"/>
      <c r="U96" s="659"/>
      <c r="V96" s="659"/>
      <c r="W96" s="659"/>
      <c r="X96" s="659"/>
      <c r="Y96" s="690"/>
      <c r="Z96" s="932"/>
      <c r="AA96" s="656"/>
      <c r="AB96" s="657"/>
      <c r="AC96" s="658"/>
      <c r="AD96" s="658"/>
      <c r="AE96" s="689"/>
      <c r="AF96" s="658"/>
      <c r="AG96" s="658"/>
      <c r="AH96" s="658"/>
      <c r="AI96" s="658"/>
      <c r="AJ96" s="658"/>
      <c r="AK96" s="659"/>
      <c r="AL96" s="659"/>
      <c r="AM96" s="660"/>
      <c r="AN96" s="660"/>
      <c r="AO96" s="660"/>
      <c r="AP96" s="660"/>
      <c r="AQ96" s="660"/>
      <c r="AR96" s="660"/>
      <c r="AS96" s="660"/>
      <c r="AT96" s="660"/>
      <c r="AU96" s="660"/>
      <c r="AV96" s="660"/>
      <c r="AW96" s="660"/>
      <c r="AX96" s="659"/>
      <c r="AY96" s="659"/>
      <c r="AZ96" s="659"/>
      <c r="BA96" s="659"/>
      <c r="BB96" s="659"/>
      <c r="BC96" s="659"/>
      <c r="BD96" s="659"/>
      <c r="BE96" s="659"/>
      <c r="BF96" s="659"/>
      <c r="BG96" s="659"/>
    </row>
    <row r="97" spans="1:59" ht="25.35" customHeight="1" x14ac:dyDescent="0.2">
      <c r="A97" s="1071"/>
      <c r="B97" s="1066" t="s">
        <v>214</v>
      </c>
      <c r="C97" s="649"/>
      <c r="D97" s="660"/>
      <c r="E97" s="660"/>
      <c r="F97" s="660"/>
      <c r="G97" s="660"/>
      <c r="H97" s="660"/>
      <c r="I97" s="660"/>
      <c r="J97" s="660"/>
      <c r="K97" s="660"/>
      <c r="L97" s="660"/>
      <c r="M97" s="660"/>
      <c r="N97" s="660"/>
      <c r="O97" s="660"/>
      <c r="P97" s="660"/>
      <c r="Q97" s="647"/>
      <c r="R97" s="652"/>
      <c r="S97" s="647"/>
      <c r="T97" s="791"/>
      <c r="U97" s="659"/>
      <c r="V97" s="659"/>
      <c r="W97" s="659"/>
      <c r="X97" s="659"/>
      <c r="Y97" s="690"/>
      <c r="Z97" s="932"/>
      <c r="AA97" s="656"/>
      <c r="AB97" s="657"/>
      <c r="AC97" s="658"/>
      <c r="AD97" s="658"/>
      <c r="AE97" s="689"/>
      <c r="AF97" s="658"/>
      <c r="AG97" s="658"/>
      <c r="AH97" s="658"/>
      <c r="AI97" s="658"/>
      <c r="AJ97" s="658"/>
      <c r="AK97" s="659"/>
      <c r="AL97" s="659"/>
      <c r="AM97" s="660"/>
      <c r="AN97" s="660"/>
      <c r="AO97" s="660"/>
      <c r="AP97" s="660"/>
      <c r="AQ97" s="660"/>
      <c r="AR97" s="660"/>
      <c r="AS97" s="660"/>
      <c r="AT97" s="660"/>
      <c r="AU97" s="660"/>
      <c r="AV97" s="660"/>
      <c r="AW97" s="660"/>
      <c r="AX97" s="659"/>
      <c r="AY97" s="659"/>
      <c r="AZ97" s="659"/>
      <c r="BA97" s="659"/>
      <c r="BB97" s="659"/>
      <c r="BC97" s="659"/>
      <c r="BD97" s="659"/>
      <c r="BE97" s="659"/>
      <c r="BF97" s="659"/>
      <c r="BG97" s="659"/>
    </row>
    <row r="98" spans="1:59" ht="25.35" customHeight="1" x14ac:dyDescent="0.2">
      <c r="A98" s="1500"/>
      <c r="B98" s="1066" t="s">
        <v>215</v>
      </c>
      <c r="C98" s="649"/>
      <c r="D98" s="690"/>
      <c r="E98" s="690"/>
      <c r="F98" s="829"/>
      <c r="G98" s="690"/>
      <c r="H98" s="690"/>
      <c r="I98" s="829"/>
      <c r="J98" s="690"/>
      <c r="K98" s="690"/>
      <c r="L98" s="690"/>
      <c r="M98" s="690"/>
      <c r="N98" s="689"/>
      <c r="O98" s="690"/>
      <c r="P98" s="690"/>
      <c r="Q98" s="647"/>
      <c r="R98" s="652"/>
      <c r="S98" s="647"/>
      <c r="T98" s="791"/>
      <c r="U98" s="659"/>
      <c r="V98" s="659"/>
      <c r="W98" s="659"/>
      <c r="X98" s="659"/>
      <c r="Y98" s="690"/>
      <c r="Z98" s="932"/>
      <c r="AA98" s="656"/>
      <c r="AB98" s="657"/>
      <c r="AC98" s="658"/>
      <c r="AD98" s="658"/>
      <c r="AE98" s="658"/>
      <c r="AF98" s="658"/>
      <c r="AG98" s="658"/>
      <c r="AH98" s="658"/>
      <c r="AI98" s="658"/>
      <c r="AJ98" s="658"/>
      <c r="AK98" s="659"/>
      <c r="AL98" s="659"/>
      <c r="AM98" s="660"/>
      <c r="AN98" s="660"/>
      <c r="AO98" s="660"/>
      <c r="AP98" s="660"/>
      <c r="AQ98" s="660"/>
      <c r="AR98" s="660"/>
      <c r="AS98" s="660"/>
      <c r="AT98" s="660"/>
      <c r="AU98" s="660"/>
      <c r="AV98" s="660"/>
      <c r="AW98" s="660"/>
      <c r="AX98" s="659"/>
      <c r="AY98" s="659"/>
      <c r="AZ98" s="659"/>
      <c r="BA98" s="659"/>
      <c r="BB98" s="659"/>
      <c r="BC98" s="659"/>
      <c r="BD98" s="659"/>
      <c r="BE98" s="659"/>
      <c r="BF98" s="659"/>
      <c r="BG98" s="659"/>
    </row>
    <row r="99" spans="1:59" ht="25.35" customHeight="1" x14ac:dyDescent="0.2">
      <c r="A99" s="1500"/>
      <c r="B99" s="1066" t="s">
        <v>216</v>
      </c>
      <c r="C99" s="649"/>
      <c r="D99" s="690"/>
      <c r="E99" s="690"/>
      <c r="F99" s="829"/>
      <c r="G99" s="690"/>
      <c r="H99" s="690"/>
      <c r="I99" s="829"/>
      <c r="J99" s="690"/>
      <c r="K99" s="690"/>
      <c r="L99" s="690"/>
      <c r="M99" s="690"/>
      <c r="N99" s="689"/>
      <c r="O99" s="690"/>
      <c r="P99" s="690"/>
      <c r="Q99" s="647"/>
      <c r="R99" s="652"/>
      <c r="S99" s="647"/>
      <c r="T99" s="791"/>
      <c r="U99" s="659"/>
      <c r="V99" s="659"/>
      <c r="W99" s="659"/>
      <c r="X99" s="659"/>
      <c r="Y99" s="690"/>
      <c r="Z99" s="932"/>
      <c r="AA99" s="656"/>
      <c r="AB99" s="657"/>
      <c r="AC99" s="658"/>
      <c r="AD99" s="658"/>
      <c r="AE99" s="658"/>
      <c r="AF99" s="658"/>
      <c r="AG99" s="658"/>
      <c r="AH99" s="658"/>
      <c r="AI99" s="658"/>
      <c r="AJ99" s="658"/>
      <c r="AK99" s="659"/>
      <c r="AL99" s="659"/>
      <c r="AM99" s="660"/>
      <c r="AN99" s="660"/>
      <c r="AO99" s="660"/>
      <c r="AP99" s="660"/>
      <c r="AQ99" s="660"/>
      <c r="AR99" s="660"/>
      <c r="AS99" s="660"/>
      <c r="AT99" s="660"/>
      <c r="AU99" s="660"/>
      <c r="AV99" s="660"/>
      <c r="AW99" s="660"/>
      <c r="AX99" s="659"/>
      <c r="AY99" s="659"/>
      <c r="AZ99" s="659"/>
      <c r="BA99" s="659"/>
      <c r="BB99" s="659"/>
      <c r="BC99" s="659"/>
      <c r="BD99" s="659"/>
      <c r="BE99" s="659"/>
      <c r="BF99" s="659"/>
      <c r="BG99" s="659"/>
    </row>
    <row r="100" spans="1:59" ht="25.35" customHeight="1" x14ac:dyDescent="0.2">
      <c r="A100" s="1068"/>
      <c r="B100" s="1066" t="s">
        <v>217</v>
      </c>
      <c r="C100" s="649"/>
      <c r="D100" s="690"/>
      <c r="E100" s="690"/>
      <c r="F100" s="829"/>
      <c r="G100" s="690"/>
      <c r="H100" s="690"/>
      <c r="I100" s="829"/>
      <c r="J100" s="690"/>
      <c r="K100" s="690"/>
      <c r="L100" s="690"/>
      <c r="M100" s="690"/>
      <c r="N100" s="689"/>
      <c r="O100" s="690"/>
      <c r="P100" s="690"/>
      <c r="Q100" s="647"/>
      <c r="R100" s="652"/>
      <c r="S100" s="647"/>
      <c r="T100" s="791"/>
      <c r="U100" s="659"/>
      <c r="V100" s="659"/>
      <c r="W100" s="659"/>
      <c r="X100" s="659"/>
      <c r="Y100" s="690"/>
      <c r="Z100" s="932"/>
      <c r="AA100" s="656"/>
      <c r="AB100" s="657"/>
      <c r="AC100" s="658"/>
      <c r="AD100" s="658"/>
      <c r="AE100" s="658"/>
      <c r="AF100" s="658"/>
      <c r="AG100" s="658"/>
      <c r="AH100" s="658"/>
      <c r="AI100" s="658"/>
      <c r="AJ100" s="658"/>
      <c r="AK100" s="659"/>
      <c r="AL100" s="659"/>
      <c r="AM100" s="660"/>
      <c r="AN100" s="660"/>
      <c r="AO100" s="660"/>
      <c r="AP100" s="660"/>
      <c r="AQ100" s="660"/>
      <c r="AR100" s="660"/>
      <c r="AS100" s="660"/>
      <c r="AT100" s="660"/>
      <c r="AU100" s="660"/>
      <c r="AV100" s="660"/>
      <c r="AW100" s="660"/>
      <c r="AX100" s="659"/>
      <c r="AY100" s="659"/>
      <c r="AZ100" s="659"/>
      <c r="BA100" s="659"/>
      <c r="BB100" s="659"/>
      <c r="BC100" s="659"/>
      <c r="BD100" s="659"/>
      <c r="BE100" s="659"/>
      <c r="BF100" s="659"/>
      <c r="BG100" s="659"/>
    </row>
    <row r="101" spans="1:59" ht="25.35" customHeight="1" x14ac:dyDescent="0.2">
      <c r="A101" s="1071"/>
      <c r="B101" s="1066" t="s">
        <v>1547</v>
      </c>
      <c r="C101" s="649"/>
      <c r="D101" s="690"/>
      <c r="E101" s="690"/>
      <c r="F101" s="829"/>
      <c r="G101" s="690"/>
      <c r="H101" s="690"/>
      <c r="I101" s="829"/>
      <c r="J101" s="690"/>
      <c r="K101" s="690"/>
      <c r="L101" s="690"/>
      <c r="M101" s="690"/>
      <c r="N101" s="689"/>
      <c r="O101" s="690"/>
      <c r="P101" s="690"/>
      <c r="Q101" s="647"/>
      <c r="R101" s="652"/>
      <c r="S101" s="647"/>
      <c r="T101" s="791"/>
      <c r="U101" s="659"/>
      <c r="V101" s="659"/>
      <c r="W101" s="659"/>
      <c r="X101" s="659"/>
      <c r="Y101" s="690"/>
      <c r="Z101" s="932"/>
      <c r="AA101" s="656"/>
      <c r="AB101" s="657"/>
      <c r="AC101" s="658"/>
      <c r="AD101" s="658"/>
      <c r="AE101" s="658"/>
      <c r="AF101" s="658"/>
      <c r="AG101" s="658"/>
      <c r="AH101" s="658"/>
      <c r="AI101" s="658"/>
      <c r="AJ101" s="658"/>
      <c r="AK101" s="659"/>
      <c r="AL101" s="659"/>
      <c r="AM101" s="660"/>
      <c r="AN101" s="660"/>
      <c r="AO101" s="660"/>
      <c r="AP101" s="660"/>
      <c r="AQ101" s="660"/>
      <c r="AR101" s="660"/>
      <c r="AS101" s="660"/>
      <c r="AT101" s="660"/>
      <c r="AU101" s="660"/>
      <c r="AV101" s="660"/>
      <c r="AW101" s="660"/>
      <c r="AX101" s="659"/>
      <c r="AY101" s="659"/>
      <c r="AZ101" s="659"/>
      <c r="BA101" s="659"/>
      <c r="BB101" s="659"/>
      <c r="BC101" s="659"/>
      <c r="BD101" s="659"/>
      <c r="BE101" s="659"/>
      <c r="BF101" s="659"/>
      <c r="BG101" s="659"/>
    </row>
    <row r="102" spans="1:59" ht="25.35" customHeight="1" x14ac:dyDescent="0.2">
      <c r="A102" s="1068"/>
      <c r="B102" s="1066" t="s">
        <v>218</v>
      </c>
      <c r="C102" s="649"/>
      <c r="D102" s="690"/>
      <c r="E102" s="690"/>
      <c r="F102" s="829"/>
      <c r="G102" s="690"/>
      <c r="H102" s="690"/>
      <c r="I102" s="829"/>
      <c r="J102" s="690"/>
      <c r="K102" s="690"/>
      <c r="L102" s="690"/>
      <c r="M102" s="690"/>
      <c r="N102" s="689"/>
      <c r="O102" s="690"/>
      <c r="P102" s="690"/>
      <c r="Q102" s="647"/>
      <c r="R102" s="652"/>
      <c r="S102" s="647"/>
      <c r="T102" s="791"/>
      <c r="U102" s="659"/>
      <c r="V102" s="659"/>
      <c r="W102" s="659"/>
      <c r="X102" s="659"/>
      <c r="Y102" s="690"/>
      <c r="Z102" s="932"/>
      <c r="AA102" s="656"/>
      <c r="AB102" s="657"/>
      <c r="AC102" s="658"/>
      <c r="AD102" s="658"/>
      <c r="AE102" s="658"/>
      <c r="AF102" s="658"/>
      <c r="AG102" s="658"/>
      <c r="AH102" s="658"/>
      <c r="AI102" s="658"/>
      <c r="AJ102" s="658"/>
      <c r="AK102" s="659"/>
      <c r="AL102" s="659"/>
      <c r="AM102" s="660"/>
      <c r="AN102" s="660"/>
      <c r="AO102" s="660"/>
      <c r="AP102" s="660"/>
      <c r="AQ102" s="660"/>
      <c r="AR102" s="660"/>
      <c r="AS102" s="660"/>
      <c r="AT102" s="660"/>
      <c r="AU102" s="660"/>
      <c r="AV102" s="660"/>
      <c r="AW102" s="660"/>
      <c r="AX102" s="659"/>
      <c r="AY102" s="659"/>
      <c r="AZ102" s="659"/>
      <c r="BA102" s="659"/>
      <c r="BB102" s="659"/>
      <c r="BC102" s="659"/>
      <c r="BD102" s="659"/>
      <c r="BE102" s="659"/>
      <c r="BF102" s="659"/>
      <c r="BG102" s="659"/>
    </row>
    <row r="103" spans="1:59" ht="25.35" customHeight="1" x14ac:dyDescent="0.2">
      <c r="A103" s="1071"/>
      <c r="B103" s="1066" t="s">
        <v>219</v>
      </c>
      <c r="C103" s="649"/>
      <c r="D103" s="690"/>
      <c r="E103" s="690"/>
      <c r="F103" s="829"/>
      <c r="G103" s="690"/>
      <c r="H103" s="690"/>
      <c r="I103" s="829"/>
      <c r="J103" s="690"/>
      <c r="K103" s="690"/>
      <c r="L103" s="690"/>
      <c r="M103" s="690"/>
      <c r="N103" s="689"/>
      <c r="O103" s="690"/>
      <c r="P103" s="690"/>
      <c r="Q103" s="647"/>
      <c r="R103" s="652"/>
      <c r="S103" s="647"/>
      <c r="T103" s="791"/>
      <c r="U103" s="659"/>
      <c r="V103" s="659"/>
      <c r="W103" s="659"/>
      <c r="X103" s="659"/>
      <c r="Y103" s="690"/>
      <c r="Z103" s="932"/>
      <c r="AA103" s="656"/>
      <c r="AB103" s="657"/>
      <c r="AC103" s="658"/>
      <c r="AD103" s="658"/>
      <c r="AE103" s="658"/>
      <c r="AF103" s="658"/>
      <c r="AG103" s="658"/>
      <c r="AH103" s="658"/>
      <c r="AI103" s="658"/>
      <c r="AJ103" s="658"/>
      <c r="AK103" s="659"/>
      <c r="AL103" s="659"/>
      <c r="AM103" s="660"/>
      <c r="AN103" s="660"/>
      <c r="AO103" s="660"/>
      <c r="AP103" s="660"/>
      <c r="AQ103" s="660"/>
      <c r="AR103" s="660"/>
      <c r="AS103" s="660"/>
      <c r="AT103" s="660"/>
      <c r="AU103" s="660"/>
      <c r="AV103" s="660"/>
      <c r="AW103" s="660"/>
      <c r="AX103" s="659"/>
      <c r="AY103" s="659"/>
      <c r="AZ103" s="659"/>
      <c r="BA103" s="659"/>
      <c r="BB103" s="659"/>
      <c r="BC103" s="659"/>
      <c r="BD103" s="659"/>
      <c r="BE103" s="659"/>
      <c r="BF103" s="659"/>
      <c r="BG103" s="659"/>
    </row>
    <row r="104" spans="1:59" ht="25.35" customHeight="1" x14ac:dyDescent="0.2">
      <c r="A104" s="1068"/>
      <c r="B104" s="1066" t="s">
        <v>220</v>
      </c>
      <c r="C104" s="649"/>
      <c r="D104" s="690"/>
      <c r="E104" s="690"/>
      <c r="F104" s="829"/>
      <c r="G104" s="690"/>
      <c r="H104" s="690"/>
      <c r="I104" s="829"/>
      <c r="J104" s="690"/>
      <c r="K104" s="690"/>
      <c r="L104" s="690"/>
      <c r="M104" s="690"/>
      <c r="N104" s="689"/>
      <c r="O104" s="690"/>
      <c r="P104" s="690"/>
      <c r="Q104" s="647"/>
      <c r="R104" s="652"/>
      <c r="S104" s="647"/>
      <c r="T104" s="791"/>
      <c r="U104" s="659"/>
      <c r="V104" s="659"/>
      <c r="W104" s="659"/>
      <c r="X104" s="659"/>
      <c r="Y104" s="690"/>
      <c r="Z104" s="932"/>
      <c r="AA104" s="656"/>
      <c r="AB104" s="657"/>
      <c r="AC104" s="658"/>
      <c r="AD104" s="658"/>
      <c r="AE104" s="658"/>
      <c r="AF104" s="658"/>
      <c r="AG104" s="658"/>
      <c r="AH104" s="658"/>
      <c r="AI104" s="658"/>
      <c r="AJ104" s="658"/>
      <c r="AK104" s="659"/>
      <c r="AL104" s="659"/>
      <c r="AM104" s="660"/>
      <c r="AN104" s="660"/>
      <c r="AO104" s="660"/>
      <c r="AP104" s="660"/>
      <c r="AQ104" s="660"/>
      <c r="AR104" s="660"/>
      <c r="AS104" s="660"/>
      <c r="AT104" s="660"/>
      <c r="AU104" s="660"/>
      <c r="AV104" s="660"/>
      <c r="AW104" s="660"/>
      <c r="AX104" s="659"/>
      <c r="AY104" s="659"/>
      <c r="AZ104" s="659"/>
      <c r="BA104" s="659"/>
      <c r="BB104" s="659"/>
      <c r="BC104" s="659"/>
      <c r="BD104" s="659"/>
      <c r="BE104" s="659"/>
      <c r="BF104" s="659"/>
      <c r="BG104" s="659"/>
    </row>
    <row r="105" spans="1:59" ht="25.35" customHeight="1" x14ac:dyDescent="0.2">
      <c r="A105" s="1071"/>
      <c r="B105" s="1066" t="s">
        <v>1548</v>
      </c>
      <c r="C105" s="649"/>
      <c r="D105" s="690"/>
      <c r="E105" s="690"/>
      <c r="F105" s="829"/>
      <c r="G105" s="690"/>
      <c r="H105" s="690"/>
      <c r="I105" s="829"/>
      <c r="J105" s="690"/>
      <c r="K105" s="690"/>
      <c r="L105" s="690"/>
      <c r="M105" s="690"/>
      <c r="N105" s="689"/>
      <c r="O105" s="690"/>
      <c r="P105" s="690"/>
      <c r="Q105" s="647"/>
      <c r="R105" s="652"/>
      <c r="S105" s="647"/>
      <c r="T105" s="791"/>
      <c r="U105" s="659"/>
      <c r="V105" s="659"/>
      <c r="W105" s="659"/>
      <c r="X105" s="659"/>
      <c r="Y105" s="690"/>
      <c r="Z105" s="932"/>
      <c r="AA105" s="656"/>
      <c r="AB105" s="657"/>
      <c r="AC105" s="658"/>
      <c r="AD105" s="658"/>
      <c r="AE105" s="658"/>
      <c r="AF105" s="658"/>
      <c r="AG105" s="658"/>
      <c r="AH105" s="658"/>
      <c r="AI105" s="658"/>
      <c r="AJ105" s="658"/>
      <c r="AK105" s="659"/>
      <c r="AL105" s="659"/>
      <c r="AM105" s="660"/>
      <c r="AN105" s="660"/>
      <c r="AO105" s="660"/>
      <c r="AP105" s="660"/>
      <c r="AQ105" s="660"/>
      <c r="AR105" s="660"/>
      <c r="AS105" s="660"/>
      <c r="AT105" s="660"/>
      <c r="AU105" s="660"/>
      <c r="AV105" s="660"/>
      <c r="AW105" s="660"/>
      <c r="AX105" s="659"/>
      <c r="AY105" s="659"/>
      <c r="AZ105" s="659"/>
      <c r="BA105" s="659"/>
      <c r="BB105" s="659"/>
      <c r="BC105" s="659"/>
      <c r="BD105" s="659"/>
      <c r="BE105" s="659"/>
      <c r="BF105" s="659"/>
      <c r="BG105" s="659"/>
    </row>
  </sheetData>
  <sheetProtection selectLockedCells="1" selectUnlockedCells="1"/>
  <protectedRanges>
    <protectedRange sqref="C19:C21 P67:P72 B14:B16" name="Plage1"/>
    <protectedRange sqref="B9:B13" name="Plage1_1"/>
  </protectedRanges>
  <mergeCells count="65">
    <mergeCell ref="A98:A99"/>
    <mergeCell ref="A67:A82"/>
    <mergeCell ref="A88:A89"/>
    <mergeCell ref="B28:B38"/>
    <mergeCell ref="E73:G73"/>
    <mergeCell ref="F81:G81"/>
    <mergeCell ref="F61:L61"/>
    <mergeCell ref="D40:G48"/>
    <mergeCell ref="I72:J72"/>
    <mergeCell ref="L72:M72"/>
    <mergeCell ref="J73:P73"/>
    <mergeCell ref="A40:A65"/>
    <mergeCell ref="F82:G82"/>
    <mergeCell ref="B81:B82"/>
    <mergeCell ref="B51:B55"/>
    <mergeCell ref="B74:B79"/>
    <mergeCell ref="B7:C7"/>
    <mergeCell ref="B58:B60"/>
    <mergeCell ref="B62:B65"/>
    <mergeCell ref="B67:B72"/>
    <mergeCell ref="A23:A38"/>
    <mergeCell ref="B40:B48"/>
    <mergeCell ref="D24:F24"/>
    <mergeCell ref="D50:G50"/>
    <mergeCell ref="D12:E14"/>
    <mergeCell ref="D2:P3"/>
    <mergeCell ref="F6:G6"/>
    <mergeCell ref="W2:W3"/>
    <mergeCell ref="X2:X3"/>
    <mergeCell ref="I5:M5"/>
    <mergeCell ref="T2:T3"/>
    <mergeCell ref="U2:U3"/>
    <mergeCell ref="V2:V3"/>
    <mergeCell ref="U6:U9"/>
    <mergeCell ref="AX21:BA21"/>
    <mergeCell ref="BE2:BG3"/>
    <mergeCell ref="BB17:BD17"/>
    <mergeCell ref="BB7:BD7"/>
    <mergeCell ref="BB6:BD6"/>
    <mergeCell ref="BB4:BD4"/>
    <mergeCell ref="BB5:BD5"/>
    <mergeCell ref="BB16:BD16"/>
    <mergeCell ref="BB9:BD9"/>
    <mergeCell ref="BB12:BD12"/>
    <mergeCell ref="BB13:BD13"/>
    <mergeCell ref="BB18:BD18"/>
    <mergeCell ref="BB19:BD19"/>
    <mergeCell ref="AX16:AY16"/>
    <mergeCell ref="AX17:AX19"/>
    <mergeCell ref="AX15:BA15"/>
    <mergeCell ref="BA2:BA3"/>
    <mergeCell ref="I6:M6"/>
    <mergeCell ref="O24:P24"/>
    <mergeCell ref="J50:M50"/>
    <mergeCell ref="O42:P44"/>
    <mergeCell ref="O50:P50"/>
    <mergeCell ref="AX10:AY10"/>
    <mergeCell ref="AX11:AY11"/>
    <mergeCell ref="J12:K12"/>
    <mergeCell ref="J11:K11"/>
    <mergeCell ref="AX12:AY12"/>
    <mergeCell ref="AX13:AY13"/>
    <mergeCell ref="AX2:AZ3"/>
    <mergeCell ref="AA2:AA3"/>
    <mergeCell ref="AX25:AY25"/>
  </mergeCells>
  <dataValidations xWindow="751" yWindow="835" count="4">
    <dataValidation type="list" allowBlank="1" showInputMessage="1" showErrorMessage="1" prompt="Choisir le poste adéquat en fonction du nombre_x000a_d'EH et du fil d'eau d'entrée. Possibilité de suivre le conseil case du dessous._x000a_Toilettes sèches ---&gt; pompe EC" sqref="F82" xr:uid="{00000000-0002-0000-2F00-000000000000}">
      <formula1>RELEVAGE2</formula1>
    </dataValidation>
    <dataValidation allowBlank="1" showInputMessage="1" showErrorMessage="1" promptTitle="Choix du taux de TVA" prompt="Rénovation --&gt; 10%_x000a_Permis de construire --&gt; 20%" sqref="B9" xr:uid="{00000000-0002-0000-2F00-000001000000}"/>
    <dataValidation allowBlank="1" showInputMessage="1" showErrorMessage="1" promptTitle="Choix du type d'effluents" prompt="TS ou WC ?" sqref="B13" xr:uid="{00000000-0002-0000-2F00-000002000000}"/>
    <dataValidation type="decimal" allowBlank="1" showInputMessage="1" showErrorMessage="1" promptTitle="Coefficient minipelle" prompt="Entrez une valeur entre 1 et 3. 3 Correspondant a un terrain avec une pente &gt; 20% et/ou une accessibilité délicate." sqref="B19" xr:uid="{00000000-0002-0000-2F00-000003000000}">
      <formula1>1</formula1>
      <formula2>3</formula2>
    </dataValidation>
  </dataValidations>
  <pageMargins left="0.70866141732283505" right="0.70866141732283505" top="1.14173228346457" bottom="1.14173228346457" header="0.74803149606299202" footer="0.74803149606299202"/>
  <pageSetup paperSize="9" scale="56" fitToHeight="0" orientation="landscape" r:id="rId1"/>
  <headerFooter alignWithMargins="0"/>
  <ignoredErrors>
    <ignoredError sqref="AA65 Z6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1998" r:id="rId4" name="Zone de groupe 14">
              <controlPr defaultSize="0" autoFill="0" autoPict="0">
                <anchor moveWithCells="1">
                  <from>
                    <xdr:col>6</xdr:col>
                    <xdr:colOff>800100</xdr:colOff>
                    <xdr:row>5</xdr:row>
                    <xdr:rowOff>142875</xdr:rowOff>
                  </from>
                  <to>
                    <xdr:col>9</xdr:col>
                    <xdr:colOff>152400</xdr:colOff>
                    <xdr:row>7</xdr:row>
                    <xdr:rowOff>257175</xdr:rowOff>
                  </to>
                </anchor>
              </controlPr>
            </control>
          </mc:Choice>
        </mc:AlternateContent>
        <mc:AlternateContent xmlns:mc="http://schemas.openxmlformats.org/markup-compatibility/2006">
          <mc:Choice Requires="x14">
            <control shapeId="41986" r:id="rId5" name="Zone combinée 2">
              <controlPr defaultSize="0" autoLine="0" autoPict="0">
                <anchor moveWithCells="1">
                  <from>
                    <xdr:col>4</xdr:col>
                    <xdr:colOff>257175</xdr:colOff>
                    <xdr:row>8</xdr:row>
                    <xdr:rowOff>304800</xdr:rowOff>
                  </from>
                  <to>
                    <xdr:col>5</xdr:col>
                    <xdr:colOff>447675</xdr:colOff>
                    <xdr:row>9</xdr:row>
                    <xdr:rowOff>314325</xdr:rowOff>
                  </to>
                </anchor>
              </controlPr>
            </control>
          </mc:Choice>
        </mc:AlternateContent>
        <mc:AlternateContent xmlns:mc="http://schemas.openxmlformats.org/markup-compatibility/2006">
          <mc:Choice Requires="x14">
            <control shapeId="41997" r:id="rId6" name="Zone de groupe 13">
              <controlPr defaultSize="0" autoFill="0" autoPict="0">
                <anchor moveWithCells="1">
                  <from>
                    <xdr:col>3</xdr:col>
                    <xdr:colOff>647700</xdr:colOff>
                    <xdr:row>5</xdr:row>
                    <xdr:rowOff>66675</xdr:rowOff>
                  </from>
                  <to>
                    <xdr:col>6</xdr:col>
                    <xdr:colOff>190500</xdr:colOff>
                    <xdr:row>7</xdr:row>
                    <xdr:rowOff>85725</xdr:rowOff>
                  </to>
                </anchor>
              </controlPr>
            </control>
          </mc:Choice>
        </mc:AlternateContent>
        <mc:AlternateContent xmlns:mc="http://schemas.openxmlformats.org/markup-compatibility/2006">
          <mc:Choice Requires="x14">
            <control shapeId="41999" r:id="rId7" name="Case d'option 15">
              <controlPr defaultSize="0" autoFill="0" autoLine="0" autoPict="0">
                <anchor moveWithCells="1">
                  <from>
                    <xdr:col>3</xdr:col>
                    <xdr:colOff>647700</xdr:colOff>
                    <xdr:row>5</xdr:row>
                    <xdr:rowOff>304800</xdr:rowOff>
                  </from>
                  <to>
                    <xdr:col>5</xdr:col>
                    <xdr:colOff>361950</xdr:colOff>
                    <xdr:row>6</xdr:row>
                    <xdr:rowOff>123825</xdr:rowOff>
                  </to>
                </anchor>
              </controlPr>
            </control>
          </mc:Choice>
        </mc:AlternateContent>
        <mc:AlternateContent xmlns:mc="http://schemas.openxmlformats.org/markup-compatibility/2006">
          <mc:Choice Requires="x14">
            <control shapeId="42002" r:id="rId8" name="Case d'option 18">
              <controlPr defaultSize="0" autoFill="0" autoLine="0" autoPict="0" macro="[0]!Casdoption18_Cliquer">
                <anchor moveWithCells="1">
                  <from>
                    <xdr:col>6</xdr:col>
                    <xdr:colOff>828675</xdr:colOff>
                    <xdr:row>5</xdr:row>
                    <xdr:rowOff>152400</xdr:rowOff>
                  </from>
                  <to>
                    <xdr:col>8</xdr:col>
                    <xdr:colOff>514350</xdr:colOff>
                    <xdr:row>5</xdr:row>
                    <xdr:rowOff>361950</xdr:rowOff>
                  </to>
                </anchor>
              </controlPr>
            </control>
          </mc:Choice>
        </mc:AlternateContent>
        <mc:AlternateContent xmlns:mc="http://schemas.openxmlformats.org/markup-compatibility/2006">
          <mc:Choice Requires="x14">
            <control shapeId="42004" r:id="rId9" name="Case d'option 20">
              <controlPr defaultSize="0" autoFill="0" autoLine="0" autoPict="0" macro="[0]!Casdoption20_Cliquer">
                <anchor moveWithCells="1">
                  <from>
                    <xdr:col>6</xdr:col>
                    <xdr:colOff>828675</xdr:colOff>
                    <xdr:row>6</xdr:row>
                    <xdr:rowOff>19050</xdr:rowOff>
                  </from>
                  <to>
                    <xdr:col>8</xdr:col>
                    <xdr:colOff>514350</xdr:colOff>
                    <xdr:row>6</xdr:row>
                    <xdr:rowOff>219075</xdr:rowOff>
                  </to>
                </anchor>
              </controlPr>
            </control>
          </mc:Choice>
        </mc:AlternateContent>
        <mc:AlternateContent xmlns:mc="http://schemas.openxmlformats.org/markup-compatibility/2006">
          <mc:Choice Requires="x14">
            <control shapeId="42009" r:id="rId10" name="Zone combinée 25">
              <controlPr defaultSize="0" autoLine="0" autoPict="0">
                <anchor moveWithCells="1">
                  <from>
                    <xdr:col>7</xdr:col>
                    <xdr:colOff>485775</xdr:colOff>
                    <xdr:row>9</xdr:row>
                    <xdr:rowOff>66675</xdr:rowOff>
                  </from>
                  <to>
                    <xdr:col>8</xdr:col>
                    <xdr:colOff>219075</xdr:colOff>
                    <xdr:row>10</xdr:row>
                    <xdr:rowOff>66675</xdr:rowOff>
                  </to>
                </anchor>
              </controlPr>
            </control>
          </mc:Choice>
        </mc:AlternateContent>
        <mc:AlternateContent xmlns:mc="http://schemas.openxmlformats.org/markup-compatibility/2006">
          <mc:Choice Requires="x14">
            <control shapeId="42010" r:id="rId11" name="Zone de groupe 26">
              <controlPr defaultSize="0" autoFill="0" autoPict="0" altText="Accessibilité">
                <anchor moveWithCells="1">
                  <from>
                    <xdr:col>7</xdr:col>
                    <xdr:colOff>333375</xdr:colOff>
                    <xdr:row>8</xdr:row>
                    <xdr:rowOff>180975</xdr:rowOff>
                  </from>
                  <to>
                    <xdr:col>8</xdr:col>
                    <xdr:colOff>342900</xdr:colOff>
                    <xdr:row>10</xdr:row>
                    <xdr:rowOff>104775</xdr:rowOff>
                  </to>
                </anchor>
              </controlPr>
            </control>
          </mc:Choice>
        </mc:AlternateContent>
        <mc:AlternateContent xmlns:mc="http://schemas.openxmlformats.org/markup-compatibility/2006">
          <mc:Choice Requires="x14">
            <control shapeId="42012" r:id="rId12" name="Case d'option 28">
              <controlPr defaultSize="0" autoFill="0" autoLine="0" autoPict="0" macro="[0]!Casdoption28_Cliquer">
                <anchor moveWithCells="1">
                  <from>
                    <xdr:col>6</xdr:col>
                    <xdr:colOff>828675</xdr:colOff>
                    <xdr:row>6</xdr:row>
                    <xdr:rowOff>247650</xdr:rowOff>
                  </from>
                  <to>
                    <xdr:col>8</xdr:col>
                    <xdr:colOff>333375</xdr:colOff>
                    <xdr:row>7</xdr:row>
                    <xdr:rowOff>133350</xdr:rowOff>
                  </to>
                </anchor>
              </controlPr>
            </control>
          </mc:Choice>
        </mc:AlternateContent>
        <mc:AlternateContent xmlns:mc="http://schemas.openxmlformats.org/markup-compatibility/2006">
          <mc:Choice Requires="x14">
            <control shapeId="42017" r:id="rId13" name="Case d'option 33">
              <controlPr defaultSize="0" autoFill="0" autoLine="0" autoPict="0">
                <anchor moveWithCells="1">
                  <from>
                    <xdr:col>3</xdr:col>
                    <xdr:colOff>657225</xdr:colOff>
                    <xdr:row>6</xdr:row>
                    <xdr:rowOff>123825</xdr:rowOff>
                  </from>
                  <to>
                    <xdr:col>5</xdr:col>
                    <xdr:colOff>409575</xdr:colOff>
                    <xdr:row>7</xdr:row>
                    <xdr:rowOff>0</xdr:rowOff>
                  </to>
                </anchor>
              </controlPr>
            </control>
          </mc:Choice>
        </mc:AlternateContent>
        <mc:AlternateContent xmlns:mc="http://schemas.openxmlformats.org/markup-compatibility/2006">
          <mc:Choice Requires="x14">
            <control shapeId="42022" r:id="rId14" name="Case à cocher 38">
              <controlPr defaultSize="0" autoFill="0" autoLine="0" autoPict="0" macro="[0]!casecocherrelevageECaval">
                <anchor moveWithCells="1">
                  <from>
                    <xdr:col>11</xdr:col>
                    <xdr:colOff>257175</xdr:colOff>
                    <xdr:row>4</xdr:row>
                    <xdr:rowOff>104775</xdr:rowOff>
                  </from>
                  <to>
                    <xdr:col>11</xdr:col>
                    <xdr:colOff>485775</xdr:colOff>
                    <xdr:row>5</xdr:row>
                    <xdr:rowOff>219075</xdr:rowOff>
                  </to>
                </anchor>
              </controlPr>
            </control>
          </mc:Choice>
        </mc:AlternateContent>
        <mc:AlternateContent xmlns:mc="http://schemas.openxmlformats.org/markup-compatibility/2006">
          <mc:Choice Requires="x14">
            <control shapeId="42023" r:id="rId15" name="Group Box 1">
              <controlPr defaultSize="0" autoFill="0" autoPict="0">
                <anchor moveWithCells="1">
                  <from>
                    <xdr:col>9</xdr:col>
                    <xdr:colOff>342900</xdr:colOff>
                    <xdr:row>4</xdr:row>
                    <xdr:rowOff>180975</xdr:rowOff>
                  </from>
                  <to>
                    <xdr:col>13</xdr:col>
                    <xdr:colOff>0</xdr:colOff>
                    <xdr:row>9</xdr:row>
                    <xdr:rowOff>104775</xdr:rowOff>
                  </to>
                </anchor>
              </controlPr>
            </control>
          </mc:Choice>
        </mc:AlternateContent>
        <mc:AlternateContent xmlns:mc="http://schemas.openxmlformats.org/markup-compatibility/2006">
          <mc:Choice Requires="x14">
            <control shapeId="42024" r:id="rId16" name="Group Box 1">
              <controlPr defaultSize="0" autoFill="0" autoPict="0">
                <anchor moveWithCells="1">
                  <from>
                    <xdr:col>9</xdr:col>
                    <xdr:colOff>409575</xdr:colOff>
                    <xdr:row>4</xdr:row>
                    <xdr:rowOff>66675</xdr:rowOff>
                  </from>
                  <to>
                    <xdr:col>12</xdr:col>
                    <xdr:colOff>342900</xdr:colOff>
                    <xdr:row>8</xdr:row>
                    <xdr:rowOff>104775</xdr:rowOff>
                  </to>
                </anchor>
              </controlPr>
            </control>
          </mc:Choice>
        </mc:AlternateContent>
        <mc:AlternateContent xmlns:mc="http://schemas.openxmlformats.org/markup-compatibility/2006">
          <mc:Choice Requires="x14">
            <control shapeId="42025" r:id="rId17" name="ECFV">
              <controlPr defaultSize="0" autoFill="0" autoLine="0" autoPict="0">
                <anchor moveWithCells="1">
                  <from>
                    <xdr:col>9</xdr:col>
                    <xdr:colOff>790575</xdr:colOff>
                    <xdr:row>5</xdr:row>
                    <xdr:rowOff>257175</xdr:rowOff>
                  </from>
                  <to>
                    <xdr:col>12</xdr:col>
                    <xdr:colOff>485775</xdr:colOff>
                    <xdr:row>6</xdr:row>
                    <xdr:rowOff>104775</xdr:rowOff>
                  </to>
                </anchor>
              </controlPr>
            </control>
          </mc:Choice>
        </mc:AlternateContent>
        <mc:AlternateContent xmlns:mc="http://schemas.openxmlformats.org/markup-compatibility/2006">
          <mc:Choice Requires="x14">
            <control shapeId="42026" r:id="rId18" name="ECFH">
              <controlPr defaultSize="0" autoFill="0" autoLine="0" autoPict="0">
                <anchor moveWithCells="1">
                  <from>
                    <xdr:col>9</xdr:col>
                    <xdr:colOff>790575</xdr:colOff>
                    <xdr:row>6</xdr:row>
                    <xdr:rowOff>219075</xdr:rowOff>
                  </from>
                  <to>
                    <xdr:col>11</xdr:col>
                    <xdr:colOff>762000</xdr:colOff>
                    <xdr:row>7</xdr:row>
                    <xdr:rowOff>85725</xdr:rowOff>
                  </to>
                </anchor>
              </controlPr>
            </control>
          </mc:Choice>
        </mc:AlternateContent>
        <mc:AlternateContent xmlns:mc="http://schemas.openxmlformats.org/markup-compatibility/2006">
          <mc:Choice Requires="x14">
            <control shapeId="42027" r:id="rId19" name="ECZI">
              <controlPr defaultSize="0" autoFill="0" autoLine="0" autoPict="0">
                <anchor moveWithCells="1">
                  <from>
                    <xdr:col>9</xdr:col>
                    <xdr:colOff>790575</xdr:colOff>
                    <xdr:row>7</xdr:row>
                    <xdr:rowOff>180975</xdr:rowOff>
                  </from>
                  <to>
                    <xdr:col>12</xdr:col>
                    <xdr:colOff>28575</xdr:colOff>
                    <xdr:row>8</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751" yWindow="835" count="1">
        <x14:dataValidation type="list" allowBlank="1" showInputMessage="1" showErrorMessage="1" promptTitle="Nombre d'EH" prompt="L'agrément prévoit différentes dimensions pour certains cas : (exemple)_x000a__x000a_12a = 4/6_x000a_12b = 3/8" xr:uid="{00000000-0002-0000-2F00-000004000000}">
          <x14:formula1>
            <xm:f>'C:\Users\Proprietaire\Documents\9- Nouveau Modèle Economique\[test formulaire.xlsm]Outils de calculs'!#REF!</xm:f>
          </x14:formula1>
          <xm:sqref>B10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4D66E-EE02-49DB-A092-8367477C16F0}">
  <sheetPr codeName="Feuil61">
    <pageSetUpPr fitToPage="1"/>
  </sheetPr>
  <dimension ref="A1:N200"/>
  <sheetViews>
    <sheetView topLeftCell="H1" zoomScale="110" zoomScaleNormal="110" workbookViewId="0">
      <pane ySplit="11" topLeftCell="A12" activePane="bottomLeft" state="frozen"/>
      <selection activeCell="K17" sqref="K17:P44"/>
      <selection pane="bottomLeft" activeCell="N19" sqref="N19"/>
    </sheetView>
  </sheetViews>
  <sheetFormatPr baseColWidth="10" defaultColWidth="10.625" defaultRowHeight="14.25" x14ac:dyDescent="0.2"/>
  <cols>
    <col min="1" max="1" width="4.125" customWidth="1"/>
    <col min="2" max="2" width="66.625" customWidth="1"/>
    <col min="3" max="3" width="6.125" customWidth="1"/>
    <col min="4" max="4" width="9.625" customWidth="1"/>
    <col min="5" max="5" width="8.625" customWidth="1"/>
    <col min="6" max="6" width="0.5" customWidth="1"/>
    <col min="7" max="7" width="11.625" customWidth="1"/>
    <col min="8" max="11" width="12.625" customWidth="1"/>
  </cols>
  <sheetData>
    <row r="1" spans="1:14" s="345" customFormat="1" ht="41.25" customHeight="1" thickBot="1" x14ac:dyDescent="0.25">
      <c r="A1" s="338"/>
      <c r="B1" s="579" t="s">
        <v>1669</v>
      </c>
      <c r="C1" s="577" t="s">
        <v>1542</v>
      </c>
      <c r="D1" s="576"/>
      <c r="E1" s="576"/>
      <c r="F1" s="576"/>
      <c r="H1" s="338"/>
      <c r="I1" s="338"/>
      <c r="J1" s="338"/>
      <c r="K1" s="338"/>
      <c r="L1" s="338"/>
      <c r="M1" s="338"/>
      <c r="N1" s="338" t="s">
        <v>1706</v>
      </c>
    </row>
    <row r="2" spans="1:14" s="345" customFormat="1" ht="15" x14ac:dyDescent="0.25">
      <c r="A2" s="338"/>
      <c r="B2" s="578" t="s">
        <v>1544</v>
      </c>
      <c r="C2" s="578" t="s">
        <v>1831</v>
      </c>
      <c r="D2" s="338"/>
      <c r="E2" s="578" t="str">
        <f>IFERROR(VLOOKUP($C$2,[3]Clients!$B$2:$N$1000,2,0),"")</f>
        <v/>
      </c>
      <c r="F2" s="338"/>
      <c r="G2" s="338"/>
      <c r="I2" s="1516" t="s">
        <v>1699</v>
      </c>
      <c r="J2" s="1517"/>
      <c r="K2" s="338"/>
      <c r="L2" s="338"/>
      <c r="M2" s="338"/>
      <c r="N2" s="338" t="s">
        <v>1695</v>
      </c>
    </row>
    <row r="3" spans="1:14" s="345" customFormat="1" x14ac:dyDescent="0.2">
      <c r="A3" s="338"/>
      <c r="B3" s="575"/>
      <c r="C3" s="575" t="str">
        <f>IFERROR(VLOOKUP($C$2,[3]Clients!$B$2:$N$721,5,0),"")</f>
        <v/>
      </c>
      <c r="D3" s="338"/>
      <c r="E3" s="338"/>
      <c r="F3" s="338"/>
      <c r="G3" s="575"/>
      <c r="H3" s="575"/>
      <c r="I3" s="1518"/>
      <c r="J3" s="1519"/>
      <c r="K3" s="338"/>
      <c r="L3" s="338"/>
      <c r="M3" s="338"/>
      <c r="N3" s="338"/>
    </row>
    <row r="4" spans="1:14" s="345" customFormat="1" ht="22.5" x14ac:dyDescent="0.2">
      <c r="A4" s="338"/>
      <c r="B4" s="575"/>
      <c r="C4" s="575" t="str">
        <f>IFERROR(VLOOKUP($C$2,[3]Clients!$B$2:$N$721,4,0)&amp;" "&amp;VLOOKUP($C$2,[3]Clients!$B$2:$N$721,3,0),"")</f>
        <v/>
      </c>
      <c r="D4" s="338"/>
      <c r="E4" s="338"/>
      <c r="F4" s="338"/>
      <c r="G4" s="575"/>
      <c r="H4" s="575"/>
      <c r="I4" s="1139" t="s">
        <v>1700</v>
      </c>
      <c r="J4" s="1137">
        <v>45</v>
      </c>
      <c r="K4" s="338"/>
      <c r="L4" s="338"/>
      <c r="M4" s="338"/>
      <c r="N4" s="338"/>
    </row>
    <row r="5" spans="1:14" s="345" customFormat="1" ht="22.5" x14ac:dyDescent="0.2">
      <c r="A5" s="338"/>
      <c r="B5" s="575"/>
      <c r="C5" s="575"/>
      <c r="D5" s="338"/>
      <c r="E5" s="338"/>
      <c r="F5" s="338"/>
      <c r="G5" s="575"/>
      <c r="H5" s="575"/>
      <c r="I5" s="1139" t="s">
        <v>1701</v>
      </c>
      <c r="J5" s="1137">
        <v>45</v>
      </c>
      <c r="K5" s="338"/>
      <c r="L5" s="338"/>
      <c r="M5" s="338"/>
      <c r="N5" s="338"/>
    </row>
    <row r="6" spans="1:14" s="345" customFormat="1" x14ac:dyDescent="0.2">
      <c r="A6" s="338"/>
      <c r="B6" s="575"/>
      <c r="C6" s="1521" t="str">
        <f>IFERROR(IF(VLOOKUP($C$2,[3]Clients!$B$2:$N$721,7,0)=0,"",VLOOKUP($C$2,[3]Clients!$B$2:$N$721,7,0)),"")</f>
        <v/>
      </c>
      <c r="D6" s="1521"/>
      <c r="E6" s="1521"/>
      <c r="F6" s="338"/>
      <c r="G6" s="575"/>
      <c r="H6" s="575"/>
      <c r="I6" s="1136" t="s">
        <v>238</v>
      </c>
      <c r="J6" s="1137">
        <v>80</v>
      </c>
      <c r="K6" s="338"/>
      <c r="L6" s="338"/>
      <c r="M6" s="338"/>
      <c r="N6" s="338"/>
    </row>
    <row r="7" spans="1:14" s="345" customFormat="1" ht="23.25" thickBot="1" x14ac:dyDescent="0.25">
      <c r="A7" s="338"/>
      <c r="B7" s="575"/>
      <c r="C7" s="575" t="str">
        <f>IFERROR(VLOOKUP($C$2,[3]Clients!$B$2:$N$721,8,0),"")</f>
        <v/>
      </c>
      <c r="D7" s="338"/>
      <c r="E7" s="338"/>
      <c r="F7" s="338"/>
      <c r="G7" s="1134"/>
      <c r="H7" s="575"/>
      <c r="I7" s="1140" t="s">
        <v>1702</v>
      </c>
      <c r="J7" s="1138">
        <v>0.3</v>
      </c>
      <c r="K7" s="338"/>
      <c r="L7" s="338"/>
      <c r="M7" s="338"/>
      <c r="N7" s="338"/>
    </row>
    <row r="8" spans="1:14" s="345" customFormat="1" x14ac:dyDescent="0.2">
      <c r="A8" s="338"/>
      <c r="B8" s="338" t="s">
        <v>1689</v>
      </c>
      <c r="C8" s="338"/>
      <c r="D8" s="338"/>
      <c r="E8" s="338"/>
      <c r="F8" s="338"/>
      <c r="G8" s="338"/>
      <c r="H8" s="338"/>
      <c r="I8" s="338"/>
      <c r="J8" s="338"/>
      <c r="K8" s="338"/>
      <c r="L8" s="338"/>
      <c r="M8" s="338"/>
      <c r="N8" s="338"/>
    </row>
    <row r="9" spans="1:14" s="345" customFormat="1" x14ac:dyDescent="0.2">
      <c r="A9" s="338"/>
      <c r="B9" s="338"/>
      <c r="C9" s="338"/>
      <c r="D9" s="338"/>
      <c r="E9" s="338"/>
      <c r="F9" s="338"/>
      <c r="G9" s="338"/>
      <c r="H9" s="338"/>
      <c r="I9" s="338"/>
      <c r="J9" s="338"/>
      <c r="K9" s="338"/>
      <c r="L9" s="338"/>
      <c r="M9" s="338"/>
      <c r="N9" s="338"/>
    </row>
    <row r="10" spans="1:14" s="345" customFormat="1" x14ac:dyDescent="0.2">
      <c r="A10" s="338"/>
      <c r="B10" s="1522" t="s">
        <v>1512</v>
      </c>
      <c r="C10" s="1522"/>
      <c r="D10" s="1522"/>
      <c r="E10" s="1522"/>
      <c r="F10" s="338"/>
      <c r="G10" s="1524" t="s">
        <v>622</v>
      </c>
      <c r="H10" s="1526" t="s">
        <v>1733</v>
      </c>
      <c r="I10" s="1527" t="s">
        <v>1734</v>
      </c>
      <c r="J10" s="1529" t="s">
        <v>1735</v>
      </c>
      <c r="K10" s="1520" t="s">
        <v>1578</v>
      </c>
      <c r="L10" s="338"/>
      <c r="M10" s="338"/>
      <c r="N10" s="338"/>
    </row>
    <row r="11" spans="1:14" s="345" customFormat="1" x14ac:dyDescent="0.2">
      <c r="A11" s="338"/>
      <c r="B11" s="1523"/>
      <c r="C11" s="1523"/>
      <c r="D11" s="1523"/>
      <c r="E11" s="1523"/>
      <c r="F11" s="338"/>
      <c r="G11" s="1525"/>
      <c r="H11" s="1485"/>
      <c r="I11" s="1528"/>
      <c r="J11" s="1530"/>
      <c r="K11" s="1478"/>
      <c r="L11" s="338"/>
      <c r="M11" s="338"/>
      <c r="N11" s="338"/>
    </row>
    <row r="12" spans="1:14" s="338" customFormat="1" x14ac:dyDescent="0.2">
      <c r="B12" s="1086"/>
      <c r="C12" s="657"/>
      <c r="D12" s="658"/>
      <c r="E12" s="818"/>
      <c r="F12" s="818"/>
      <c r="G12" s="798"/>
    </row>
    <row r="13" spans="1:14" x14ac:dyDescent="0.2">
      <c r="A13" s="637"/>
      <c r="B13" s="1105" t="s">
        <v>1686</v>
      </c>
      <c r="C13" s="657"/>
      <c r="D13" s="658"/>
      <c r="E13" s="673"/>
      <c r="F13" s="673"/>
      <c r="G13" s="781">
        <v>363.64132421875001</v>
      </c>
      <c r="H13" s="782"/>
      <c r="I13" s="783"/>
      <c r="J13" s="784">
        <v>363.64132421875001</v>
      </c>
      <c r="K13" s="785"/>
      <c r="L13" s="338"/>
    </row>
    <row r="14" spans="1:14" ht="22.5" x14ac:dyDescent="0.2">
      <c r="A14" s="637"/>
      <c r="B14" s="796" t="s">
        <v>1705</v>
      </c>
      <c r="C14" s="657"/>
      <c r="D14" s="658"/>
      <c r="E14" s="818"/>
      <c r="F14" s="818"/>
      <c r="G14" s="781">
        <v>200</v>
      </c>
      <c r="H14" s="782"/>
      <c r="I14" s="783"/>
      <c r="J14" s="784">
        <v>50</v>
      </c>
      <c r="K14" s="816">
        <v>150</v>
      </c>
      <c r="L14" s="338"/>
    </row>
    <row r="15" spans="1:14" x14ac:dyDescent="0.2">
      <c r="A15" s="637"/>
      <c r="B15" s="796" t="s">
        <v>1828</v>
      </c>
      <c r="C15" s="825"/>
      <c r="D15" s="826"/>
      <c r="E15" s="826"/>
      <c r="F15" s="658"/>
      <c r="G15" s="781">
        <v>364.6875</v>
      </c>
      <c r="H15" s="782"/>
      <c r="I15" s="783"/>
      <c r="J15" s="784"/>
      <c r="K15" s="816">
        <v>364.6875</v>
      </c>
      <c r="L15" s="338"/>
    </row>
    <row r="16" spans="1:14" x14ac:dyDescent="0.2">
      <c r="A16" s="637"/>
      <c r="B16" s="1082" t="s">
        <v>1673</v>
      </c>
      <c r="C16" s="838"/>
      <c r="D16" s="838"/>
      <c r="E16" s="838"/>
      <c r="F16" s="804"/>
      <c r="G16" s="831">
        <v>928.32882421875001</v>
      </c>
      <c r="H16" s="832">
        <v>0</v>
      </c>
      <c r="I16" s="833">
        <v>0</v>
      </c>
      <c r="J16" s="834">
        <v>413.64132421875001</v>
      </c>
      <c r="K16" s="835">
        <v>514.6875</v>
      </c>
      <c r="L16" s="338"/>
    </row>
    <row r="17" spans="1:12" x14ac:dyDescent="0.2">
      <c r="A17" s="637"/>
      <c r="B17" s="846" t="s">
        <v>1581</v>
      </c>
      <c r="C17" s="657"/>
      <c r="D17" s="658"/>
      <c r="E17" s="822"/>
      <c r="F17" s="822"/>
      <c r="G17" s="845"/>
      <c r="H17" s="845"/>
      <c r="I17" s="845"/>
      <c r="J17" s="845"/>
      <c r="K17" s="845"/>
      <c r="L17" s="338"/>
    </row>
    <row r="18" spans="1:12" x14ac:dyDescent="0.2">
      <c r="A18" s="637"/>
      <c r="B18" s="860" t="s">
        <v>1515</v>
      </c>
      <c r="C18" s="657"/>
      <c r="D18" s="658"/>
      <c r="E18" s="658"/>
      <c r="F18" s="658"/>
      <c r="G18" s="854">
        <v>458.31799999999998</v>
      </c>
      <c r="H18" s="855">
        <v>432.84800000000001</v>
      </c>
      <c r="I18" s="856">
        <v>7.2</v>
      </c>
      <c r="J18" s="857">
        <v>18.27</v>
      </c>
      <c r="K18" s="858">
        <v>0</v>
      </c>
      <c r="L18" s="338"/>
    </row>
    <row r="19" spans="1:12" ht="15" thickBot="1" x14ac:dyDescent="0.25">
      <c r="A19" s="637"/>
      <c r="B19" s="1088" t="s">
        <v>1581</v>
      </c>
      <c r="C19" s="657"/>
      <c r="D19" s="658"/>
      <c r="E19" s="658"/>
      <c r="F19" s="658"/>
      <c r="G19" s="862"/>
      <c r="H19" s="863"/>
      <c r="I19" s="864"/>
      <c r="J19" s="865"/>
      <c r="K19" s="866"/>
      <c r="L19" s="338"/>
    </row>
    <row r="20" spans="1:12" ht="15.75" thickTop="1" thickBot="1" x14ac:dyDescent="0.25">
      <c r="A20" s="637"/>
      <c r="B20" s="1078" t="s">
        <v>1670</v>
      </c>
      <c r="C20" s="1075" t="s">
        <v>1531</v>
      </c>
      <c r="D20" s="1076" t="s">
        <v>1533</v>
      </c>
      <c r="E20" s="1077" t="s">
        <v>1532</v>
      </c>
      <c r="F20" s="689"/>
      <c r="G20" s="882"/>
      <c r="H20" s="883"/>
      <c r="I20" s="884"/>
      <c r="J20" s="885"/>
      <c r="K20" s="886"/>
      <c r="L20" s="338"/>
    </row>
    <row r="21" spans="1:12" ht="15" thickTop="1" x14ac:dyDescent="0.2">
      <c r="A21" s="637"/>
      <c r="B21" s="898" t="s">
        <v>1534</v>
      </c>
      <c r="C21" s="902" t="s">
        <v>1791</v>
      </c>
      <c r="D21" s="903" t="s">
        <v>1792</v>
      </c>
      <c r="E21" s="904" t="s">
        <v>1794</v>
      </c>
      <c r="F21" s="689"/>
      <c r="G21" s="893">
        <v>3756.5120999999999</v>
      </c>
      <c r="H21" s="894">
        <v>3206.0120999999999</v>
      </c>
      <c r="I21" s="895">
        <v>35.550000000000004</v>
      </c>
      <c r="J21" s="896">
        <v>274.95</v>
      </c>
      <c r="K21" s="897">
        <v>240</v>
      </c>
      <c r="L21" s="338"/>
    </row>
    <row r="22" spans="1:12" x14ac:dyDescent="0.2">
      <c r="A22" s="637"/>
      <c r="B22" s="898" t="s">
        <v>1648</v>
      </c>
      <c r="C22" s="658"/>
      <c r="D22" s="658"/>
      <c r="E22" s="658"/>
      <c r="F22" s="658"/>
      <c r="G22" s="893">
        <v>1152.3058934000001</v>
      </c>
      <c r="H22" s="894">
        <v>578.2658934000001</v>
      </c>
      <c r="I22" s="895">
        <v>148.94999999999999</v>
      </c>
      <c r="J22" s="896">
        <v>315.08999999999997</v>
      </c>
      <c r="K22" s="897">
        <v>110</v>
      </c>
      <c r="L22" s="338"/>
    </row>
    <row r="23" spans="1:12" x14ac:dyDescent="0.2">
      <c r="A23" s="637"/>
      <c r="B23" s="1079" t="s">
        <v>1671</v>
      </c>
      <c r="C23" s="658"/>
      <c r="D23" s="658"/>
      <c r="E23" s="658"/>
      <c r="F23" s="658"/>
      <c r="G23" s="845"/>
      <c r="H23" s="845"/>
      <c r="I23" s="845"/>
      <c r="J23" s="845"/>
      <c r="K23" s="845"/>
      <c r="L23" s="338"/>
    </row>
    <row r="24" spans="1:12" x14ac:dyDescent="0.2">
      <c r="A24" s="637"/>
      <c r="B24" s="1080" t="s">
        <v>1672</v>
      </c>
      <c r="C24" s="657"/>
      <c r="D24" s="658"/>
      <c r="E24" s="658"/>
      <c r="F24" s="658"/>
      <c r="G24" s="882"/>
      <c r="H24" s="883"/>
      <c r="I24" s="884"/>
      <c r="J24" s="885"/>
      <c r="K24" s="886"/>
      <c r="L24" s="338"/>
    </row>
    <row r="25" spans="1:12" x14ac:dyDescent="0.2">
      <c r="A25" s="637"/>
      <c r="B25" s="837" t="s">
        <v>1513</v>
      </c>
      <c r="C25" s="838"/>
      <c r="D25" s="838"/>
      <c r="E25" s="838"/>
      <c r="F25" s="689"/>
      <c r="G25" s="918">
        <v>5367.1359934000002</v>
      </c>
      <c r="H25" s="919">
        <v>4217.1259934</v>
      </c>
      <c r="I25" s="920">
        <v>191.7</v>
      </c>
      <c r="J25" s="921">
        <v>608.30999999999995</v>
      </c>
      <c r="K25" s="922">
        <v>350</v>
      </c>
      <c r="L25" s="338"/>
    </row>
    <row r="26" spans="1:12" x14ac:dyDescent="0.2">
      <c r="A26" s="637"/>
      <c r="B26" s="846" t="s">
        <v>1582</v>
      </c>
      <c r="C26" s="930"/>
      <c r="D26" s="931"/>
      <c r="E26" s="658"/>
      <c r="F26" s="658"/>
      <c r="G26" s="926"/>
      <c r="H26" s="927"/>
      <c r="I26" s="928"/>
      <c r="J26" s="928"/>
      <c r="K26" s="929"/>
      <c r="L26" s="338"/>
    </row>
    <row r="27" spans="1:12" x14ac:dyDescent="0.2">
      <c r="A27" s="637"/>
      <c r="B27" s="950" t="s">
        <v>1528</v>
      </c>
      <c r="C27" s="930"/>
      <c r="D27" s="931"/>
      <c r="E27" s="658"/>
      <c r="F27" s="658"/>
      <c r="G27" s="893">
        <v>0</v>
      </c>
      <c r="H27" s="894">
        <v>0</v>
      </c>
      <c r="I27" s="895">
        <v>0</v>
      </c>
      <c r="J27" s="896">
        <v>0</v>
      </c>
      <c r="K27" s="897">
        <v>0</v>
      </c>
      <c r="L27" s="338"/>
    </row>
    <row r="28" spans="1:12" ht="22.5" x14ac:dyDescent="0.2">
      <c r="A28" s="637"/>
      <c r="B28" s="901" t="s">
        <v>1805</v>
      </c>
      <c r="C28" s="968"/>
      <c r="D28" s="969"/>
      <c r="E28" s="689"/>
      <c r="F28" s="658"/>
      <c r="G28" s="893">
        <v>149.20074000000002</v>
      </c>
      <c r="H28" s="894">
        <v>0</v>
      </c>
      <c r="I28" s="895">
        <v>0</v>
      </c>
      <c r="J28" s="896">
        <v>0</v>
      </c>
      <c r="K28" s="897">
        <v>0</v>
      </c>
      <c r="L28" s="338"/>
    </row>
    <row r="29" spans="1:12" x14ac:dyDescent="0.2">
      <c r="A29" s="637"/>
      <c r="B29" s="964" t="s">
        <v>1825</v>
      </c>
      <c r="C29" s="965"/>
      <c r="D29" s="965"/>
      <c r="E29" s="965"/>
      <c r="F29" s="658"/>
      <c r="G29" s="963">
        <v>149.20074000000002</v>
      </c>
      <c r="H29" s="971">
        <v>0</v>
      </c>
      <c r="I29" s="972">
        <v>0</v>
      </c>
      <c r="J29" s="973">
        <v>0</v>
      </c>
      <c r="K29" s="922">
        <v>0</v>
      </c>
      <c r="L29" s="338"/>
    </row>
    <row r="30" spans="1:12" x14ac:dyDescent="0.2">
      <c r="A30" s="637"/>
      <c r="B30" s="846" t="s">
        <v>1826</v>
      </c>
      <c r="C30" s="968"/>
      <c r="D30" s="969"/>
      <c r="E30" s="689"/>
      <c r="F30" s="658"/>
      <c r="G30" s="882"/>
      <c r="H30" s="947"/>
      <c r="I30" s="947"/>
      <c r="J30" s="947"/>
      <c r="K30" s="947"/>
      <c r="L30" s="338"/>
    </row>
    <row r="31" spans="1:12" x14ac:dyDescent="0.2">
      <c r="A31" s="637"/>
      <c r="B31" s="964" t="s">
        <v>1829</v>
      </c>
      <c r="C31" s="965"/>
      <c r="D31" s="965"/>
      <c r="E31" s="965"/>
      <c r="F31" s="978"/>
      <c r="G31" s="963">
        <v>170.85000000000002</v>
      </c>
      <c r="H31" s="971">
        <v>132.60000000000002</v>
      </c>
      <c r="I31" s="972">
        <v>0</v>
      </c>
      <c r="J31" s="973">
        <v>38.25</v>
      </c>
      <c r="K31" s="922">
        <v>0</v>
      </c>
      <c r="L31" s="338"/>
    </row>
    <row r="32" spans="1:12" x14ac:dyDescent="0.2">
      <c r="A32" s="637"/>
      <c r="B32" s="964" t="s">
        <v>1766</v>
      </c>
      <c r="C32" s="965"/>
      <c r="D32" s="965"/>
      <c r="E32" s="965"/>
      <c r="F32" s="658"/>
      <c r="G32" s="1004">
        <v>15.411999999999997</v>
      </c>
      <c r="H32" s="1005">
        <v>0</v>
      </c>
      <c r="I32" s="972">
        <v>0</v>
      </c>
      <c r="J32" s="973">
        <v>0</v>
      </c>
      <c r="K32" s="922">
        <v>0</v>
      </c>
      <c r="L32" s="338"/>
    </row>
    <row r="33" spans="1:12" x14ac:dyDescent="0.2">
      <c r="A33" s="637"/>
      <c r="B33" s="846" t="s">
        <v>1767</v>
      </c>
      <c r="C33" s="651"/>
      <c r="D33" s="689"/>
      <c r="E33" s="689"/>
      <c r="F33" s="658"/>
      <c r="G33" s="995"/>
      <c r="H33" s="1000"/>
      <c r="I33" s="934"/>
      <c r="J33" s="935"/>
      <c r="K33" s="936"/>
      <c r="L33" s="338"/>
    </row>
    <row r="34" spans="1:12" x14ac:dyDescent="0.2">
      <c r="A34" s="637"/>
      <c r="B34" s="898" t="s">
        <v>1679</v>
      </c>
      <c r="C34" s="651"/>
      <c r="D34" s="689"/>
      <c r="E34" s="689"/>
      <c r="F34" s="658"/>
      <c r="G34" s="991">
        <v>333.62099999999998</v>
      </c>
      <c r="H34" s="992">
        <v>205.62099999999998</v>
      </c>
      <c r="I34" s="895">
        <v>74.25</v>
      </c>
      <c r="J34" s="896">
        <v>33.75</v>
      </c>
      <c r="K34" s="897">
        <v>20</v>
      </c>
      <c r="L34" s="338"/>
    </row>
    <row r="35" spans="1:12" x14ac:dyDescent="0.2">
      <c r="A35" s="637"/>
      <c r="B35" s="898" t="s">
        <v>1694</v>
      </c>
      <c r="C35" s="651"/>
      <c r="D35" s="689"/>
      <c r="E35" s="689"/>
      <c r="F35" s="658"/>
      <c r="G35" s="991">
        <v>360.05900000000003</v>
      </c>
      <c r="H35" s="992">
        <v>163.05900000000003</v>
      </c>
      <c r="I35" s="895">
        <v>0</v>
      </c>
      <c r="J35" s="896">
        <v>117</v>
      </c>
      <c r="K35" s="897">
        <v>80</v>
      </c>
      <c r="L35" s="338"/>
    </row>
    <row r="36" spans="1:12" ht="24" x14ac:dyDescent="0.2">
      <c r="A36" s="637"/>
      <c r="B36" s="964" t="s">
        <v>1516</v>
      </c>
      <c r="C36" s="965"/>
      <c r="D36" s="965"/>
      <c r="E36" s="965"/>
      <c r="F36" s="658"/>
      <c r="G36" s="1010">
        <v>693.68000000000006</v>
      </c>
      <c r="H36" s="1005">
        <v>368.68</v>
      </c>
      <c r="I36" s="972">
        <v>74.25</v>
      </c>
      <c r="J36" s="973">
        <v>150.75</v>
      </c>
      <c r="K36" s="922">
        <v>100</v>
      </c>
      <c r="L36" s="338"/>
    </row>
    <row r="37" spans="1:12" x14ac:dyDescent="0.2">
      <c r="A37" s="637"/>
      <c r="B37" s="846" t="s">
        <v>1583</v>
      </c>
      <c r="C37" s="657"/>
      <c r="D37" s="658"/>
      <c r="E37" s="658"/>
      <c r="F37" s="658"/>
      <c r="G37" s="986"/>
      <c r="H37" s="1011"/>
      <c r="I37" s="1012"/>
      <c r="J37" s="1012"/>
      <c r="K37" s="1012"/>
      <c r="L37" s="338"/>
    </row>
    <row r="38" spans="1:12" ht="22.5" x14ac:dyDescent="0.2">
      <c r="A38" s="637"/>
      <c r="B38" s="898" t="s">
        <v>1832</v>
      </c>
      <c r="C38" s="657"/>
      <c r="D38" s="658"/>
      <c r="E38" s="658"/>
      <c r="F38" s="658"/>
      <c r="G38" s="1018">
        <v>2160.7449999999999</v>
      </c>
      <c r="H38" s="1019">
        <v>884.84500000000014</v>
      </c>
      <c r="I38" s="1020">
        <v>0</v>
      </c>
      <c r="J38" s="1021">
        <v>495.90000000000009</v>
      </c>
      <c r="K38" s="1022">
        <v>780</v>
      </c>
      <c r="L38" s="338"/>
    </row>
    <row r="39" spans="1:12" x14ac:dyDescent="0.2">
      <c r="A39" s="637"/>
      <c r="B39" s="898" t="s">
        <v>1795</v>
      </c>
      <c r="C39" s="825"/>
      <c r="D39" s="826"/>
      <c r="E39" s="826"/>
      <c r="F39" s="658"/>
      <c r="G39" s="781">
        <v>1407.327</v>
      </c>
      <c r="H39" s="1019">
        <v>1188.577</v>
      </c>
      <c r="I39" s="1020">
        <v>274.28700000000003</v>
      </c>
      <c r="J39" s="1021">
        <v>0</v>
      </c>
      <c r="K39" s="1022">
        <v>78.75</v>
      </c>
      <c r="L39" s="338"/>
    </row>
    <row r="40" spans="1:12" x14ac:dyDescent="0.2">
      <c r="A40" s="637"/>
      <c r="B40" s="964" t="s">
        <v>1514</v>
      </c>
      <c r="C40" s="965"/>
      <c r="D40" s="965"/>
      <c r="E40" s="965"/>
      <c r="F40" s="658"/>
      <c r="G40" s="1031">
        <v>3568.0720000000001</v>
      </c>
      <c r="H40" s="1032">
        <v>2073.422</v>
      </c>
      <c r="I40" s="1033">
        <v>274.28700000000003</v>
      </c>
      <c r="J40" s="1034">
        <v>495.90000000000009</v>
      </c>
      <c r="K40" s="1035">
        <v>858.75</v>
      </c>
      <c r="L40" s="338"/>
    </row>
    <row r="41" spans="1:12" ht="15" thickBot="1" x14ac:dyDescent="0.25">
      <c r="A41" s="637"/>
      <c r="B41" s="1040" t="s">
        <v>1584</v>
      </c>
      <c r="C41" s="1041"/>
      <c r="D41" s="900"/>
      <c r="E41" s="900"/>
      <c r="F41" s="900"/>
      <c r="G41" s="1037"/>
      <c r="H41" s="1038"/>
      <c r="I41" s="1039"/>
      <c r="J41" s="1039"/>
      <c r="K41" s="1039"/>
      <c r="L41" s="338"/>
    </row>
    <row r="42" spans="1:12" ht="20.100000000000001" customHeight="1" thickTop="1" thickBot="1" x14ac:dyDescent="0.25">
      <c r="A42" s="637"/>
      <c r="B42" s="1043" t="s">
        <v>629</v>
      </c>
      <c r="C42" s="1043"/>
      <c r="D42" s="1043"/>
      <c r="E42" s="1043"/>
      <c r="F42" s="1044"/>
      <c r="G42" s="1042">
        <v>10892.679557618751</v>
      </c>
      <c r="H42" s="1042">
        <v>6791.8279934000002</v>
      </c>
      <c r="I42" s="1042">
        <v>540.23700000000008</v>
      </c>
      <c r="J42" s="1042">
        <v>1343.21</v>
      </c>
      <c r="K42" s="1042">
        <v>1823.4375</v>
      </c>
      <c r="L42" s="338"/>
    </row>
    <row r="43" spans="1:12" ht="20.100000000000001" customHeight="1" thickTop="1" x14ac:dyDescent="0.2">
      <c r="A43" s="637"/>
      <c r="B43" s="1054" t="s">
        <v>630</v>
      </c>
      <c r="C43" s="1055" t="s">
        <v>1830</v>
      </c>
      <c r="D43" s="1056"/>
      <c r="E43" s="1057">
        <v>1089.2679557618758</v>
      </c>
      <c r="F43" s="658"/>
      <c r="G43" s="1045">
        <v>11981.947513380626</v>
      </c>
      <c r="H43" s="1050"/>
      <c r="I43" s="1051"/>
      <c r="J43" s="1052"/>
      <c r="K43" s="1053"/>
      <c r="L43" s="338"/>
    </row>
    <row r="44" spans="1:12" ht="20.100000000000001" customHeight="1" x14ac:dyDescent="0.2">
      <c r="A44" s="637"/>
      <c r="B44" s="846" t="s">
        <v>225</v>
      </c>
      <c r="C44" s="657"/>
      <c r="D44" s="658"/>
      <c r="E44" s="658"/>
      <c r="F44" s="658"/>
      <c r="G44" s="1217"/>
      <c r="H44" s="1219"/>
      <c r="I44" s="1219"/>
      <c r="J44" s="1219"/>
      <c r="K44" s="1220"/>
      <c r="L44" s="338"/>
    </row>
    <row r="45" spans="1:12" ht="20.100000000000001" customHeight="1" x14ac:dyDescent="0.2">
      <c r="A45" s="637"/>
      <c r="B45" s="1416"/>
      <c r="C45" s="930"/>
      <c r="D45" s="931"/>
      <c r="E45" s="931"/>
      <c r="F45" s="931"/>
      <c r="G45" s="1414"/>
      <c r="H45" s="931"/>
      <c r="I45" s="931"/>
      <c r="J45" s="931"/>
      <c r="K45" s="930"/>
      <c r="L45" s="338"/>
    </row>
    <row r="46" spans="1:12" x14ac:dyDescent="0.2">
      <c r="A46" s="637"/>
      <c r="B46" s="1415"/>
      <c r="C46" s="930"/>
      <c r="D46" s="931"/>
      <c r="E46" s="931"/>
      <c r="F46" s="931"/>
      <c r="G46" s="1414"/>
      <c r="H46" s="931"/>
      <c r="I46" s="931"/>
      <c r="J46" s="931"/>
      <c r="K46" s="931"/>
      <c r="L46" s="338"/>
    </row>
    <row r="47" spans="1:12" x14ac:dyDescent="0.2">
      <c r="A47" s="637"/>
      <c r="B47" s="1416"/>
      <c r="C47" s="1413"/>
      <c r="D47" s="931"/>
      <c r="E47" s="931"/>
      <c r="F47" s="931"/>
      <c r="G47" s="1414"/>
      <c r="H47" s="931"/>
      <c r="I47" s="931"/>
      <c r="J47" s="931"/>
      <c r="K47" s="931"/>
      <c r="L47" s="338"/>
    </row>
    <row r="48" spans="1:12" x14ac:dyDescent="0.2">
      <c r="A48" s="637"/>
      <c r="B48" s="1413"/>
      <c r="C48" s="1413"/>
      <c r="D48" s="931"/>
      <c r="E48" s="931"/>
      <c r="F48" s="931"/>
      <c r="G48" s="1414"/>
      <c r="H48" s="931"/>
      <c r="I48" s="931"/>
      <c r="J48" s="931"/>
      <c r="K48" s="931"/>
      <c r="L48" s="338"/>
    </row>
    <row r="49" spans="1:12" x14ac:dyDescent="0.2">
      <c r="A49" s="637"/>
      <c r="B49" s="637"/>
      <c r="C49" s="637"/>
      <c r="D49" s="637"/>
      <c r="E49" s="637"/>
      <c r="F49" s="637"/>
      <c r="G49" s="637"/>
      <c r="H49" s="637"/>
      <c r="I49" s="637"/>
      <c r="J49" s="637"/>
      <c r="K49" s="637"/>
      <c r="L49" s="338"/>
    </row>
    <row r="50" spans="1:12" x14ac:dyDescent="0.2">
      <c r="A50" s="637"/>
      <c r="B50" s="637"/>
      <c r="C50" s="637"/>
      <c r="D50" s="637"/>
      <c r="E50" s="637"/>
      <c r="F50" s="637"/>
      <c r="G50" s="637"/>
      <c r="H50" s="637"/>
      <c r="I50" s="637"/>
      <c r="J50" s="637"/>
      <c r="K50" s="637"/>
      <c r="L50" s="338"/>
    </row>
    <row r="51" spans="1:12" x14ac:dyDescent="0.2">
      <c r="A51" s="637"/>
      <c r="B51" s="637"/>
      <c r="C51" s="637"/>
      <c r="D51" s="637"/>
      <c r="E51" s="637"/>
      <c r="F51" s="637"/>
      <c r="G51" s="637"/>
      <c r="H51" s="637"/>
      <c r="I51" s="637"/>
      <c r="J51" s="637"/>
      <c r="K51" s="637"/>
      <c r="L51" s="338"/>
    </row>
    <row r="52" spans="1:12" x14ac:dyDescent="0.2">
      <c r="A52" s="637"/>
      <c r="B52" s="637"/>
      <c r="C52" s="637"/>
      <c r="D52" s="637"/>
      <c r="E52" s="637"/>
      <c r="F52" s="637"/>
      <c r="G52" s="637"/>
      <c r="H52" s="637"/>
      <c r="I52" s="637"/>
      <c r="J52" s="637"/>
      <c r="K52" s="637"/>
      <c r="L52" s="338"/>
    </row>
    <row r="53" spans="1:12" x14ac:dyDescent="0.2">
      <c r="A53" s="637"/>
      <c r="B53" s="637"/>
      <c r="C53" s="637"/>
      <c r="D53" s="637"/>
      <c r="E53" s="637"/>
      <c r="F53" s="637"/>
      <c r="G53" s="637"/>
      <c r="H53" s="637"/>
      <c r="I53" s="637"/>
      <c r="J53" s="637"/>
      <c r="K53" s="637"/>
      <c r="L53" s="338"/>
    </row>
    <row r="54" spans="1:12" x14ac:dyDescent="0.2">
      <c r="A54" s="637"/>
      <c r="B54" s="637"/>
      <c r="C54" s="637"/>
      <c r="D54" s="637"/>
      <c r="E54" s="637"/>
      <c r="F54" s="637"/>
      <c r="G54" s="637"/>
      <c r="H54" s="637"/>
      <c r="I54" s="637"/>
      <c r="J54" s="637"/>
      <c r="K54" s="637"/>
      <c r="L54" s="338"/>
    </row>
    <row r="55" spans="1:12" x14ac:dyDescent="0.2">
      <c r="A55" s="637"/>
      <c r="B55" s="637"/>
      <c r="C55" s="637"/>
      <c r="D55" s="637"/>
      <c r="E55" s="637"/>
      <c r="F55" s="637"/>
      <c r="G55" s="637"/>
      <c r="H55" s="637"/>
      <c r="I55" s="637"/>
      <c r="J55" s="637"/>
      <c r="K55" s="637"/>
      <c r="L55" s="338"/>
    </row>
    <row r="56" spans="1:12" x14ac:dyDescent="0.2">
      <c r="A56" s="637"/>
      <c r="B56" s="637"/>
      <c r="C56" s="637"/>
      <c r="D56" s="637"/>
      <c r="E56" s="637"/>
      <c r="F56" s="637"/>
      <c r="G56" s="637"/>
      <c r="H56" s="637"/>
      <c r="I56" s="637"/>
      <c r="J56" s="637"/>
      <c r="K56" s="637"/>
      <c r="L56" s="338"/>
    </row>
    <row r="57" spans="1:12" x14ac:dyDescent="0.2">
      <c r="A57" s="637"/>
      <c r="B57" s="637"/>
      <c r="C57" s="637"/>
      <c r="D57" s="637"/>
      <c r="E57" s="637"/>
      <c r="F57" s="637"/>
      <c r="G57" s="637"/>
      <c r="H57" s="637"/>
      <c r="I57" s="637"/>
      <c r="J57" s="637"/>
      <c r="K57" s="637"/>
      <c r="L57" s="338"/>
    </row>
    <row r="58" spans="1:12" x14ac:dyDescent="0.2">
      <c r="A58" s="637"/>
      <c r="B58" s="637"/>
      <c r="C58" s="637"/>
      <c r="D58" s="637"/>
      <c r="E58" s="637"/>
      <c r="F58" s="637"/>
      <c r="G58" s="637"/>
      <c r="H58" s="637"/>
      <c r="I58" s="637"/>
      <c r="J58" s="637"/>
      <c r="K58" s="637"/>
      <c r="L58" s="338"/>
    </row>
    <row r="59" spans="1:12" x14ac:dyDescent="0.2">
      <c r="A59" s="637"/>
      <c r="B59" s="637"/>
      <c r="C59" s="637"/>
      <c r="D59" s="637"/>
      <c r="E59" s="637"/>
      <c r="F59" s="637"/>
      <c r="G59" s="637"/>
      <c r="H59" s="637"/>
      <c r="I59" s="637"/>
      <c r="J59" s="637"/>
      <c r="K59" s="637"/>
      <c r="L59" s="338"/>
    </row>
    <row r="60" spans="1:12" x14ac:dyDescent="0.2">
      <c r="A60" s="637"/>
      <c r="B60" s="637"/>
      <c r="C60" s="637"/>
      <c r="D60" s="637"/>
      <c r="E60" s="637"/>
      <c r="F60" s="637"/>
      <c r="G60" s="637"/>
      <c r="H60" s="637"/>
      <c r="I60" s="637"/>
      <c r="J60" s="637"/>
      <c r="K60" s="637"/>
      <c r="L60" s="338"/>
    </row>
    <row r="61" spans="1:12" x14ac:dyDescent="0.2">
      <c r="A61" s="637"/>
      <c r="B61" s="637"/>
      <c r="C61" s="637"/>
      <c r="D61" s="637"/>
      <c r="E61" s="637"/>
      <c r="F61" s="637"/>
      <c r="G61" s="637"/>
      <c r="H61" s="637"/>
      <c r="I61" s="637"/>
      <c r="J61" s="637"/>
      <c r="K61" s="637"/>
      <c r="L61" s="338"/>
    </row>
    <row r="62" spans="1:12" x14ac:dyDescent="0.2">
      <c r="A62" s="637"/>
      <c r="B62" s="637"/>
      <c r="C62" s="637"/>
      <c r="D62" s="637"/>
      <c r="E62" s="637"/>
      <c r="F62" s="637"/>
      <c r="G62" s="637"/>
      <c r="H62" s="637"/>
      <c r="I62" s="637"/>
      <c r="J62" s="637"/>
      <c r="K62" s="637"/>
      <c r="L62" s="338"/>
    </row>
    <row r="63" spans="1:12" x14ac:dyDescent="0.2">
      <c r="A63" s="637"/>
      <c r="B63" s="637"/>
      <c r="C63" s="637"/>
      <c r="D63" s="637"/>
      <c r="E63" s="637"/>
      <c r="F63" s="637"/>
      <c r="G63" s="637"/>
      <c r="H63" s="637"/>
      <c r="I63" s="637"/>
      <c r="J63" s="637"/>
      <c r="K63" s="637"/>
      <c r="L63" s="338"/>
    </row>
    <row r="64" spans="1:12" x14ac:dyDescent="0.2">
      <c r="A64" s="637"/>
      <c r="B64" s="637"/>
      <c r="C64" s="637"/>
      <c r="D64" s="637"/>
      <c r="E64" s="637"/>
      <c r="F64" s="637"/>
      <c r="G64" s="637"/>
      <c r="H64" s="637"/>
      <c r="I64" s="637"/>
      <c r="J64" s="637"/>
      <c r="K64" s="637"/>
      <c r="L64" s="338"/>
    </row>
    <row r="65" spans="1:12" x14ac:dyDescent="0.2">
      <c r="A65" s="637"/>
      <c r="B65" s="637"/>
      <c r="C65" s="637"/>
      <c r="D65" s="637"/>
      <c r="E65" s="637"/>
      <c r="F65" s="637"/>
      <c r="G65" s="637"/>
      <c r="H65" s="637"/>
      <c r="I65" s="637"/>
      <c r="J65" s="637"/>
      <c r="K65" s="637"/>
      <c r="L65" s="338"/>
    </row>
    <row r="66" spans="1:12" x14ac:dyDescent="0.2">
      <c r="A66" s="637"/>
      <c r="B66" s="637"/>
      <c r="C66" s="637"/>
      <c r="D66" s="637"/>
      <c r="E66" s="637"/>
      <c r="F66" s="637"/>
      <c r="G66" s="637"/>
      <c r="H66" s="637"/>
      <c r="I66" s="637"/>
      <c r="J66" s="637"/>
      <c r="K66" s="637"/>
      <c r="L66" s="338"/>
    </row>
    <row r="67" spans="1:12" x14ac:dyDescent="0.2">
      <c r="A67" s="637"/>
      <c r="B67" s="637"/>
      <c r="C67" s="637"/>
      <c r="D67" s="637"/>
      <c r="E67" s="637"/>
      <c r="F67" s="637"/>
      <c r="G67" s="637"/>
      <c r="H67" s="637"/>
      <c r="I67" s="637"/>
      <c r="J67" s="637"/>
      <c r="K67" s="637"/>
      <c r="L67" s="338"/>
    </row>
    <row r="68" spans="1:12" x14ac:dyDescent="0.2">
      <c r="A68" s="637"/>
      <c r="B68" s="637"/>
      <c r="C68" s="637"/>
      <c r="D68" s="637"/>
      <c r="E68" s="637"/>
      <c r="F68" s="637"/>
      <c r="G68" s="637"/>
      <c r="H68" s="637"/>
      <c r="I68" s="637"/>
      <c r="J68" s="637"/>
      <c r="K68" s="637"/>
      <c r="L68" s="338"/>
    </row>
    <row r="69" spans="1:12" x14ac:dyDescent="0.2">
      <c r="A69" s="637"/>
      <c r="B69" s="637"/>
      <c r="C69" s="637"/>
      <c r="D69" s="637"/>
      <c r="E69" s="637"/>
      <c r="F69" s="637"/>
      <c r="G69" s="637"/>
      <c r="H69" s="637"/>
      <c r="I69" s="637"/>
      <c r="J69" s="637"/>
      <c r="K69" s="637"/>
      <c r="L69" s="338"/>
    </row>
    <row r="70" spans="1:12" x14ac:dyDescent="0.2">
      <c r="A70" s="637"/>
      <c r="B70" s="637"/>
      <c r="C70" s="637"/>
      <c r="D70" s="637"/>
      <c r="E70" s="637"/>
      <c r="F70" s="637"/>
      <c r="G70" s="637"/>
      <c r="H70" s="637"/>
      <c r="I70" s="637"/>
      <c r="J70" s="637"/>
      <c r="K70" s="637"/>
      <c r="L70" s="338"/>
    </row>
    <row r="71" spans="1:12" x14ac:dyDescent="0.2">
      <c r="A71" s="637"/>
      <c r="B71" s="637"/>
      <c r="C71" s="637"/>
      <c r="D71" s="637"/>
      <c r="E71" s="637"/>
      <c r="F71" s="637"/>
      <c r="G71" s="637"/>
      <c r="H71" s="637"/>
      <c r="I71" s="637"/>
      <c r="J71" s="637"/>
      <c r="K71" s="637"/>
      <c r="L71" s="338"/>
    </row>
    <row r="72" spans="1:12" x14ac:dyDescent="0.2">
      <c r="A72" s="637"/>
      <c r="B72" s="637"/>
      <c r="C72" s="637"/>
      <c r="D72" s="637"/>
      <c r="E72" s="637"/>
      <c r="F72" s="637"/>
      <c r="G72" s="637"/>
      <c r="H72" s="637"/>
      <c r="I72" s="637"/>
      <c r="J72" s="637"/>
      <c r="K72" s="637"/>
      <c r="L72" s="338"/>
    </row>
    <row r="73" spans="1:12" x14ac:dyDescent="0.2">
      <c r="A73" s="637"/>
      <c r="B73" s="637"/>
      <c r="C73" s="637"/>
      <c r="D73" s="637"/>
      <c r="E73" s="637"/>
      <c r="F73" s="637"/>
      <c r="G73" s="637"/>
      <c r="H73" s="637"/>
      <c r="I73" s="637"/>
      <c r="J73" s="637"/>
      <c r="K73" s="637"/>
      <c r="L73" s="338"/>
    </row>
    <row r="74" spans="1:12" x14ac:dyDescent="0.2">
      <c r="A74" s="637"/>
      <c r="B74" s="637"/>
      <c r="C74" s="637"/>
      <c r="D74" s="637"/>
      <c r="E74" s="637"/>
      <c r="F74" s="637"/>
      <c r="G74" s="637"/>
      <c r="H74" s="637"/>
      <c r="I74" s="637"/>
      <c r="J74" s="637"/>
      <c r="K74" s="637"/>
      <c r="L74" s="338"/>
    </row>
    <row r="75" spans="1:12" x14ac:dyDescent="0.2">
      <c r="A75" s="637"/>
      <c r="B75" s="637"/>
      <c r="C75" s="637"/>
      <c r="D75" s="637"/>
      <c r="E75" s="637"/>
      <c r="F75" s="637"/>
      <c r="G75" s="637"/>
      <c r="H75" s="637"/>
      <c r="I75" s="637"/>
      <c r="J75" s="637"/>
      <c r="K75" s="637"/>
      <c r="L75" s="338"/>
    </row>
    <row r="76" spans="1:12" x14ac:dyDescent="0.2">
      <c r="A76" s="637"/>
      <c r="B76" s="637"/>
      <c r="C76" s="637"/>
      <c r="D76" s="637"/>
      <c r="E76" s="637"/>
      <c r="F76" s="637"/>
      <c r="G76" s="637"/>
      <c r="H76" s="637"/>
      <c r="I76" s="637"/>
      <c r="J76" s="637"/>
      <c r="K76" s="637"/>
      <c r="L76" s="338"/>
    </row>
    <row r="77" spans="1:12" x14ac:dyDescent="0.2">
      <c r="A77" s="637"/>
      <c r="B77" s="637"/>
      <c r="C77" s="637"/>
      <c r="D77" s="637"/>
      <c r="E77" s="637"/>
      <c r="F77" s="637"/>
      <c r="G77" s="637"/>
      <c r="H77" s="637"/>
      <c r="I77" s="637"/>
      <c r="J77" s="637"/>
      <c r="K77" s="637"/>
      <c r="L77" s="338"/>
    </row>
    <row r="78" spans="1:12" x14ac:dyDescent="0.2">
      <c r="A78" s="637"/>
      <c r="B78" s="637"/>
      <c r="C78" s="637"/>
      <c r="D78" s="637"/>
      <c r="E78" s="637"/>
      <c r="F78" s="637"/>
      <c r="G78" s="637"/>
      <c r="H78" s="637"/>
      <c r="I78" s="637"/>
      <c r="J78" s="637"/>
      <c r="K78" s="637"/>
      <c r="L78" s="338"/>
    </row>
    <row r="79" spans="1:12" x14ac:dyDescent="0.2">
      <c r="A79" s="637"/>
      <c r="B79" s="637"/>
      <c r="C79" s="637"/>
      <c r="D79" s="637"/>
      <c r="E79" s="637"/>
      <c r="F79" s="637"/>
      <c r="G79" s="637"/>
      <c r="H79" s="637"/>
      <c r="I79" s="637"/>
      <c r="J79" s="637"/>
      <c r="K79" s="637"/>
      <c r="L79" s="338"/>
    </row>
    <row r="80" spans="1:12" x14ac:dyDescent="0.2">
      <c r="A80" s="637"/>
      <c r="B80" s="637"/>
      <c r="C80" s="637"/>
      <c r="D80" s="637"/>
      <c r="E80" s="637"/>
      <c r="F80" s="637"/>
      <c r="G80" s="637"/>
      <c r="H80" s="637"/>
      <c r="I80" s="637"/>
      <c r="J80" s="637"/>
      <c r="K80" s="637"/>
      <c r="L80" s="338"/>
    </row>
    <row r="81" spans="1:12" x14ac:dyDescent="0.2">
      <c r="A81" s="637"/>
      <c r="B81" s="637"/>
      <c r="C81" s="637"/>
      <c r="D81" s="637"/>
      <c r="E81" s="637"/>
      <c r="F81" s="637"/>
      <c r="G81" s="637"/>
      <c r="H81" s="637"/>
      <c r="I81" s="637"/>
      <c r="J81" s="637"/>
      <c r="K81" s="637"/>
      <c r="L81" s="338"/>
    </row>
    <row r="82" spans="1:12" x14ac:dyDescent="0.2">
      <c r="A82" s="637"/>
      <c r="B82" s="637"/>
      <c r="C82" s="637"/>
      <c r="D82" s="637"/>
      <c r="E82" s="637"/>
      <c r="F82" s="637"/>
      <c r="G82" s="637"/>
      <c r="H82" s="637"/>
      <c r="I82" s="637"/>
      <c r="J82" s="637"/>
      <c r="K82" s="637"/>
      <c r="L82" s="338"/>
    </row>
    <row r="83" spans="1:12" x14ac:dyDescent="0.2">
      <c r="A83" s="637"/>
      <c r="B83" s="637"/>
      <c r="C83" s="637"/>
      <c r="D83" s="637"/>
      <c r="E83" s="637"/>
      <c r="F83" s="637"/>
      <c r="G83" s="637"/>
      <c r="H83" s="637"/>
      <c r="I83" s="637"/>
      <c r="J83" s="637"/>
      <c r="K83" s="637"/>
      <c r="L83" s="338"/>
    </row>
    <row r="84" spans="1:12" x14ac:dyDescent="0.2">
      <c r="A84" s="637"/>
      <c r="B84" s="637"/>
      <c r="C84" s="637"/>
      <c r="D84" s="637"/>
      <c r="E84" s="637"/>
      <c r="F84" s="637"/>
      <c r="G84" s="637"/>
      <c r="H84" s="637"/>
      <c r="I84" s="637"/>
      <c r="J84" s="637"/>
      <c r="K84" s="637"/>
      <c r="L84" s="338"/>
    </row>
    <row r="85" spans="1:12" x14ac:dyDescent="0.2">
      <c r="A85" s="637"/>
      <c r="B85" s="637"/>
      <c r="C85" s="637"/>
      <c r="D85" s="637"/>
      <c r="E85" s="637"/>
      <c r="F85" s="637"/>
      <c r="G85" s="637"/>
      <c r="H85" s="637"/>
      <c r="I85" s="637"/>
      <c r="J85" s="637"/>
      <c r="K85" s="637"/>
      <c r="L85" s="338"/>
    </row>
    <row r="86" spans="1:12" x14ac:dyDescent="0.2">
      <c r="A86" s="637"/>
      <c r="B86" s="637"/>
      <c r="C86" s="637"/>
      <c r="D86" s="637"/>
      <c r="E86" s="637"/>
      <c r="F86" s="637"/>
      <c r="G86" s="637"/>
      <c r="H86" s="637"/>
      <c r="I86" s="637"/>
      <c r="J86" s="637"/>
      <c r="K86" s="637"/>
      <c r="L86" s="338"/>
    </row>
    <row r="87" spans="1:12" x14ac:dyDescent="0.2">
      <c r="A87" s="637"/>
      <c r="B87" s="637"/>
      <c r="C87" s="637"/>
      <c r="D87" s="637"/>
      <c r="E87" s="637"/>
      <c r="F87" s="637"/>
      <c r="G87" s="637"/>
      <c r="H87" s="637"/>
      <c r="I87" s="637"/>
      <c r="J87" s="637"/>
      <c r="K87" s="637"/>
      <c r="L87" s="338"/>
    </row>
    <row r="88" spans="1:12" x14ac:dyDescent="0.2">
      <c r="A88" s="637"/>
      <c r="B88" s="637"/>
      <c r="C88" s="637"/>
      <c r="D88" s="637"/>
      <c r="E88" s="637"/>
      <c r="F88" s="637"/>
      <c r="G88" s="637"/>
      <c r="H88" s="637"/>
      <c r="I88" s="637"/>
      <c r="J88" s="637"/>
      <c r="K88" s="637"/>
      <c r="L88" s="338"/>
    </row>
    <row r="89" spans="1:12" x14ac:dyDescent="0.2">
      <c r="A89" s="637"/>
      <c r="B89" s="637"/>
      <c r="C89" s="637"/>
      <c r="D89" s="637"/>
      <c r="E89" s="637"/>
      <c r="F89" s="637"/>
      <c r="G89" s="637"/>
      <c r="H89" s="637"/>
      <c r="I89" s="637"/>
      <c r="J89" s="637"/>
      <c r="K89" s="637"/>
      <c r="L89" s="338"/>
    </row>
    <row r="90" spans="1:12" x14ac:dyDescent="0.2">
      <c r="A90" s="637"/>
      <c r="B90" s="637"/>
      <c r="C90" s="637"/>
      <c r="D90" s="637"/>
      <c r="E90" s="637"/>
      <c r="F90" s="637"/>
      <c r="G90" s="637"/>
      <c r="H90" s="637"/>
      <c r="I90" s="637"/>
      <c r="J90" s="637"/>
      <c r="K90" s="637"/>
      <c r="L90" s="338"/>
    </row>
    <row r="91" spans="1:12" x14ac:dyDescent="0.2">
      <c r="A91" s="637"/>
      <c r="B91" s="637"/>
      <c r="C91" s="637"/>
      <c r="D91" s="637"/>
      <c r="E91" s="637"/>
      <c r="F91" s="637"/>
      <c r="G91" s="637"/>
      <c r="H91" s="637"/>
      <c r="I91" s="637"/>
      <c r="J91" s="637"/>
      <c r="K91" s="637"/>
      <c r="L91" s="338"/>
    </row>
    <row r="92" spans="1:12" x14ac:dyDescent="0.2">
      <c r="A92" s="637"/>
      <c r="B92" s="637"/>
      <c r="C92" s="637"/>
      <c r="D92" s="637"/>
      <c r="E92" s="637"/>
      <c r="F92" s="637"/>
      <c r="G92" s="637"/>
      <c r="H92" s="637"/>
      <c r="I92" s="637"/>
      <c r="J92" s="637"/>
      <c r="K92" s="637"/>
      <c r="L92" s="338"/>
    </row>
    <row r="93" spans="1:12" x14ac:dyDescent="0.2">
      <c r="A93" s="637"/>
      <c r="B93" s="637"/>
      <c r="C93" s="637"/>
      <c r="D93" s="637"/>
      <c r="E93" s="637"/>
      <c r="F93" s="637"/>
      <c r="G93" s="637"/>
      <c r="H93" s="637"/>
      <c r="I93" s="637"/>
      <c r="J93" s="637"/>
      <c r="K93" s="637"/>
      <c r="L93" s="338"/>
    </row>
    <row r="94" spans="1:12" x14ac:dyDescent="0.2">
      <c r="A94" s="637"/>
      <c r="B94" s="637"/>
      <c r="C94" s="637"/>
      <c r="D94" s="637"/>
      <c r="E94" s="637"/>
      <c r="F94" s="637"/>
      <c r="G94" s="637"/>
      <c r="H94" s="637"/>
      <c r="I94" s="637"/>
      <c r="J94" s="637"/>
      <c r="K94" s="637"/>
      <c r="L94" s="338"/>
    </row>
    <row r="95" spans="1:12" x14ac:dyDescent="0.2">
      <c r="A95" s="637"/>
      <c r="B95" s="637"/>
      <c r="C95" s="637"/>
      <c r="D95" s="637"/>
      <c r="E95" s="637"/>
      <c r="F95" s="637"/>
      <c r="G95" s="637"/>
      <c r="H95" s="637"/>
      <c r="I95" s="637"/>
      <c r="J95" s="637"/>
      <c r="K95" s="637"/>
      <c r="L95" s="338"/>
    </row>
    <row r="96" spans="1:12" x14ac:dyDescent="0.2">
      <c r="A96" s="637"/>
      <c r="B96" s="637"/>
      <c r="C96" s="637"/>
      <c r="D96" s="637"/>
      <c r="E96" s="637"/>
      <c r="F96" s="637"/>
      <c r="G96" s="637"/>
      <c r="H96" s="637"/>
      <c r="I96" s="637"/>
      <c r="J96" s="637"/>
      <c r="K96" s="637"/>
      <c r="L96" s="338"/>
    </row>
    <row r="97" spans="1:12" x14ac:dyDescent="0.2">
      <c r="A97" s="637"/>
      <c r="B97" s="637"/>
      <c r="C97" s="637"/>
      <c r="D97" s="637"/>
      <c r="E97" s="637"/>
      <c r="F97" s="637"/>
      <c r="G97" s="637"/>
      <c r="H97" s="637"/>
      <c r="I97" s="637"/>
      <c r="J97" s="637"/>
      <c r="K97" s="637"/>
      <c r="L97" s="338"/>
    </row>
    <row r="98" spans="1:12" x14ac:dyDescent="0.2">
      <c r="A98" s="637"/>
      <c r="B98" s="637"/>
      <c r="C98" s="637"/>
      <c r="D98" s="637"/>
      <c r="E98" s="637"/>
      <c r="F98" s="637"/>
      <c r="G98" s="637"/>
      <c r="H98" s="637"/>
      <c r="I98" s="637"/>
      <c r="J98" s="637"/>
      <c r="K98" s="637"/>
      <c r="L98" s="338"/>
    </row>
    <row r="99" spans="1:12" x14ac:dyDescent="0.2">
      <c r="A99" s="637"/>
      <c r="B99" s="637"/>
      <c r="C99" s="637"/>
      <c r="D99" s="637"/>
      <c r="E99" s="637"/>
      <c r="F99" s="637"/>
      <c r="G99" s="637"/>
      <c r="H99" s="637"/>
      <c r="I99" s="637"/>
      <c r="J99" s="637"/>
      <c r="K99" s="637"/>
      <c r="L99" s="338"/>
    </row>
    <row r="100" spans="1:12" x14ac:dyDescent="0.2">
      <c r="A100" s="637"/>
      <c r="B100" s="637"/>
      <c r="C100" s="637"/>
      <c r="D100" s="637"/>
      <c r="E100" s="637"/>
      <c r="F100" s="637"/>
      <c r="G100" s="637"/>
      <c r="H100" s="637"/>
      <c r="I100" s="637"/>
      <c r="J100" s="637"/>
      <c r="K100" s="637"/>
      <c r="L100" s="338"/>
    </row>
    <row r="101" spans="1:12" x14ac:dyDescent="0.2">
      <c r="A101" s="637"/>
      <c r="B101" s="637"/>
      <c r="C101" s="637"/>
      <c r="D101" s="637"/>
      <c r="E101" s="637"/>
      <c r="F101" s="637"/>
      <c r="G101" s="637"/>
      <c r="H101" s="637"/>
      <c r="I101" s="637"/>
      <c r="J101" s="637"/>
      <c r="K101" s="637"/>
      <c r="L101" s="338"/>
    </row>
    <row r="102" spans="1:12" x14ac:dyDescent="0.2">
      <c r="A102" s="637"/>
      <c r="B102" s="637"/>
      <c r="C102" s="637"/>
      <c r="D102" s="637"/>
      <c r="E102" s="637"/>
      <c r="F102" s="637"/>
      <c r="G102" s="637"/>
      <c r="H102" s="637"/>
      <c r="I102" s="637"/>
      <c r="J102" s="637"/>
      <c r="K102" s="637"/>
      <c r="L102" s="338"/>
    </row>
    <row r="103" spans="1:12" x14ac:dyDescent="0.2">
      <c r="A103" s="637"/>
      <c r="B103" s="637"/>
      <c r="C103" s="637"/>
      <c r="D103" s="637"/>
      <c r="E103" s="637"/>
      <c r="F103" s="637"/>
      <c r="G103" s="637"/>
      <c r="H103" s="637"/>
      <c r="I103" s="637"/>
      <c r="J103" s="637"/>
      <c r="K103" s="637"/>
      <c r="L103" s="338"/>
    </row>
    <row r="104" spans="1:12" x14ac:dyDescent="0.2">
      <c r="A104" s="637"/>
      <c r="B104" s="637"/>
      <c r="C104" s="637"/>
      <c r="D104" s="637"/>
      <c r="E104" s="637"/>
      <c r="F104" s="637"/>
      <c r="G104" s="637"/>
      <c r="H104" s="637"/>
      <c r="I104" s="637"/>
      <c r="J104" s="637"/>
      <c r="K104" s="637"/>
      <c r="L104" s="338"/>
    </row>
    <row r="105" spans="1:12" x14ac:dyDescent="0.2">
      <c r="A105" s="637"/>
      <c r="B105" s="637"/>
      <c r="C105" s="637"/>
      <c r="D105" s="637"/>
      <c r="E105" s="637"/>
      <c r="F105" s="637"/>
      <c r="G105" s="637"/>
      <c r="H105" s="637"/>
      <c r="I105" s="637"/>
      <c r="J105" s="637"/>
      <c r="K105" s="637"/>
      <c r="L105" s="338"/>
    </row>
    <row r="106" spans="1:12" x14ac:dyDescent="0.2">
      <c r="A106" s="637"/>
      <c r="B106" s="637"/>
      <c r="C106" s="637"/>
      <c r="D106" s="637"/>
      <c r="E106" s="637"/>
      <c r="F106" s="637"/>
      <c r="G106" s="637"/>
      <c r="H106" s="637"/>
      <c r="I106" s="637"/>
      <c r="J106" s="637"/>
      <c r="K106" s="637"/>
      <c r="L106" s="338"/>
    </row>
    <row r="107" spans="1:12" x14ac:dyDescent="0.2">
      <c r="A107" s="637"/>
      <c r="B107" s="637"/>
      <c r="C107" s="637"/>
      <c r="D107" s="637"/>
      <c r="E107" s="637"/>
      <c r="F107" s="637"/>
      <c r="G107" s="637"/>
      <c r="H107" s="637"/>
      <c r="I107" s="637"/>
      <c r="J107" s="637"/>
      <c r="K107" s="637"/>
      <c r="L107" s="338"/>
    </row>
    <row r="108" spans="1:12" x14ac:dyDescent="0.2">
      <c r="A108" s="637"/>
      <c r="B108" s="637"/>
      <c r="C108" s="637"/>
      <c r="D108" s="637"/>
      <c r="E108" s="637"/>
      <c r="F108" s="637"/>
      <c r="G108" s="637"/>
      <c r="H108" s="637"/>
      <c r="I108" s="637"/>
      <c r="J108" s="637"/>
      <c r="K108" s="637"/>
      <c r="L108" s="338"/>
    </row>
    <row r="109" spans="1:12" x14ac:dyDescent="0.2">
      <c r="A109" s="637"/>
      <c r="B109" s="637"/>
      <c r="C109" s="637"/>
      <c r="D109" s="637"/>
      <c r="E109" s="637"/>
      <c r="F109" s="637"/>
      <c r="G109" s="637"/>
      <c r="H109" s="637"/>
      <c r="I109" s="637"/>
      <c r="J109" s="637"/>
      <c r="K109" s="637"/>
      <c r="L109" s="338"/>
    </row>
    <row r="110" spans="1:12" x14ac:dyDescent="0.2">
      <c r="A110" s="637"/>
      <c r="B110" s="637"/>
      <c r="C110" s="637"/>
      <c r="D110" s="637"/>
      <c r="E110" s="637"/>
      <c r="F110" s="637"/>
      <c r="G110" s="637"/>
      <c r="H110" s="637"/>
      <c r="I110" s="637"/>
      <c r="J110" s="637"/>
      <c r="K110" s="637"/>
      <c r="L110" s="338"/>
    </row>
    <row r="111" spans="1:12" x14ac:dyDescent="0.2">
      <c r="A111" s="637"/>
      <c r="B111" s="637"/>
      <c r="C111" s="637"/>
      <c r="D111" s="637"/>
      <c r="E111" s="637"/>
      <c r="F111" s="637"/>
      <c r="G111" s="637"/>
      <c r="H111" s="637"/>
      <c r="I111" s="637"/>
      <c r="J111" s="637"/>
      <c r="K111" s="637"/>
      <c r="L111" s="338"/>
    </row>
    <row r="112" spans="1:12" x14ac:dyDescent="0.2">
      <c r="A112" s="637"/>
      <c r="B112" s="637"/>
      <c r="C112" s="637"/>
      <c r="D112" s="637"/>
      <c r="E112" s="637"/>
      <c r="F112" s="637"/>
      <c r="G112" s="637"/>
      <c r="H112" s="637"/>
      <c r="I112" s="637"/>
      <c r="J112" s="637"/>
      <c r="K112" s="637"/>
      <c r="L112" s="338"/>
    </row>
    <row r="113" spans="1:12" x14ac:dyDescent="0.2">
      <c r="A113" s="637"/>
      <c r="B113" s="637"/>
      <c r="C113" s="637"/>
      <c r="D113" s="637"/>
      <c r="E113" s="637"/>
      <c r="F113" s="637"/>
      <c r="G113" s="637"/>
      <c r="H113" s="637"/>
      <c r="I113" s="637"/>
      <c r="J113" s="637"/>
      <c r="K113" s="637"/>
      <c r="L113" s="338"/>
    </row>
    <row r="114" spans="1:12" x14ac:dyDescent="0.2">
      <c r="A114" s="637"/>
      <c r="B114" s="637"/>
      <c r="C114" s="637"/>
      <c r="D114" s="637"/>
      <c r="E114" s="637"/>
      <c r="F114" s="637"/>
      <c r="G114" s="637"/>
      <c r="H114" s="637"/>
      <c r="I114" s="637"/>
      <c r="J114" s="637"/>
      <c r="K114" s="637"/>
      <c r="L114" s="338"/>
    </row>
    <row r="115" spans="1:12" x14ac:dyDescent="0.2">
      <c r="A115" s="637"/>
      <c r="B115" s="637"/>
      <c r="C115" s="637"/>
      <c r="D115" s="637"/>
      <c r="E115" s="637"/>
      <c r="F115" s="637"/>
      <c r="G115" s="637"/>
      <c r="H115" s="637"/>
      <c r="I115" s="637"/>
      <c r="J115" s="637"/>
      <c r="K115" s="637"/>
      <c r="L115" s="338"/>
    </row>
    <row r="116" spans="1:12" x14ac:dyDescent="0.2">
      <c r="A116" s="637"/>
      <c r="B116" s="637"/>
      <c r="C116" s="637"/>
      <c r="D116" s="637"/>
      <c r="E116" s="637"/>
      <c r="F116" s="637"/>
      <c r="G116" s="637"/>
      <c r="H116" s="637"/>
      <c r="I116" s="637"/>
      <c r="J116" s="637"/>
      <c r="K116" s="637"/>
      <c r="L116" s="338"/>
    </row>
    <row r="117" spans="1:12" x14ac:dyDescent="0.2">
      <c r="A117" s="637"/>
      <c r="B117" s="637"/>
      <c r="C117" s="637"/>
      <c r="D117" s="637"/>
      <c r="E117" s="637"/>
      <c r="F117" s="637"/>
      <c r="G117" s="637"/>
      <c r="H117" s="637"/>
      <c r="I117" s="637"/>
      <c r="J117" s="637"/>
      <c r="K117" s="637"/>
      <c r="L117" s="338"/>
    </row>
    <row r="118" spans="1:12" x14ac:dyDescent="0.2">
      <c r="A118" s="637"/>
      <c r="B118" s="637"/>
      <c r="C118" s="637"/>
      <c r="D118" s="637"/>
      <c r="E118" s="637"/>
      <c r="F118" s="637"/>
      <c r="G118" s="637"/>
      <c r="H118" s="637"/>
      <c r="I118" s="637"/>
      <c r="J118" s="637"/>
      <c r="K118" s="637"/>
      <c r="L118" s="338"/>
    </row>
    <row r="119" spans="1:12" x14ac:dyDescent="0.2">
      <c r="A119" s="637"/>
      <c r="B119" s="637"/>
      <c r="C119" s="637"/>
      <c r="D119" s="637"/>
      <c r="E119" s="637"/>
      <c r="F119" s="637"/>
      <c r="G119" s="637"/>
      <c r="H119" s="637"/>
      <c r="I119" s="637"/>
      <c r="J119" s="637"/>
      <c r="K119" s="637"/>
      <c r="L119" s="338"/>
    </row>
    <row r="120" spans="1:12" x14ac:dyDescent="0.2">
      <c r="A120" s="637"/>
      <c r="B120" s="637"/>
      <c r="C120" s="637"/>
      <c r="D120" s="637"/>
      <c r="E120" s="637"/>
      <c r="F120" s="637"/>
      <c r="G120" s="637"/>
      <c r="H120" s="637"/>
      <c r="I120" s="637"/>
      <c r="J120" s="637"/>
      <c r="K120" s="637"/>
      <c r="L120" s="338"/>
    </row>
    <row r="121" spans="1:12" x14ac:dyDescent="0.2">
      <c r="A121" s="637"/>
      <c r="B121" s="637"/>
      <c r="C121" s="637"/>
      <c r="D121" s="637"/>
      <c r="E121" s="637"/>
      <c r="F121" s="637"/>
      <c r="G121" s="637"/>
      <c r="H121" s="637"/>
      <c r="I121" s="637"/>
      <c r="J121" s="637"/>
      <c r="K121" s="637"/>
      <c r="L121" s="338"/>
    </row>
    <row r="122" spans="1:12" x14ac:dyDescent="0.2">
      <c r="A122" s="637"/>
      <c r="B122" s="637"/>
      <c r="C122" s="637"/>
      <c r="D122" s="637"/>
      <c r="E122" s="637"/>
      <c r="F122" s="637"/>
      <c r="G122" s="637"/>
      <c r="H122" s="637"/>
      <c r="I122" s="637"/>
      <c r="J122" s="637"/>
      <c r="K122" s="637"/>
      <c r="L122" s="338"/>
    </row>
    <row r="123" spans="1:12" x14ac:dyDescent="0.2">
      <c r="A123" s="637"/>
      <c r="B123" s="637"/>
      <c r="C123" s="637"/>
      <c r="D123" s="637"/>
      <c r="E123" s="637"/>
      <c r="F123" s="637"/>
      <c r="G123" s="637"/>
      <c r="H123" s="637"/>
      <c r="I123" s="637"/>
      <c r="J123" s="637"/>
      <c r="K123" s="637"/>
      <c r="L123" s="338"/>
    </row>
    <row r="124" spans="1:12" x14ac:dyDescent="0.2">
      <c r="A124" s="637"/>
      <c r="B124" s="637"/>
      <c r="C124" s="637"/>
      <c r="D124" s="637"/>
      <c r="E124" s="637"/>
      <c r="F124" s="637"/>
      <c r="G124" s="637"/>
      <c r="H124" s="637"/>
      <c r="I124" s="637"/>
      <c r="J124" s="637"/>
      <c r="K124" s="637"/>
      <c r="L124" s="338"/>
    </row>
    <row r="125" spans="1:12" x14ac:dyDescent="0.2">
      <c r="A125" s="637"/>
      <c r="B125" s="637"/>
      <c r="C125" s="637"/>
      <c r="D125" s="637"/>
      <c r="E125" s="637"/>
      <c r="F125" s="637"/>
      <c r="G125" s="637"/>
      <c r="H125" s="637"/>
      <c r="I125" s="637"/>
      <c r="J125" s="637"/>
      <c r="K125" s="637"/>
      <c r="L125" s="338"/>
    </row>
    <row r="126" spans="1:12" x14ac:dyDescent="0.2">
      <c r="A126" s="637"/>
      <c r="B126" s="637"/>
      <c r="C126" s="637"/>
      <c r="D126" s="637"/>
      <c r="E126" s="637"/>
      <c r="F126" s="637"/>
      <c r="G126" s="637"/>
      <c r="H126" s="637"/>
      <c r="I126" s="637"/>
      <c r="J126" s="637"/>
      <c r="K126" s="637"/>
      <c r="L126" s="338"/>
    </row>
    <row r="127" spans="1:12" x14ac:dyDescent="0.2">
      <c r="A127" s="637"/>
      <c r="B127" s="637"/>
      <c r="C127" s="637"/>
      <c r="D127" s="637"/>
      <c r="E127" s="637"/>
      <c r="F127" s="637"/>
      <c r="G127" s="637"/>
      <c r="H127" s="637"/>
      <c r="I127" s="637"/>
      <c r="J127" s="637"/>
      <c r="K127" s="637"/>
      <c r="L127" s="338"/>
    </row>
    <row r="128" spans="1:12" x14ac:dyDescent="0.2">
      <c r="A128" s="637"/>
      <c r="B128" s="637"/>
      <c r="C128" s="637"/>
      <c r="D128" s="637"/>
      <c r="E128" s="637"/>
      <c r="F128" s="637"/>
      <c r="G128" s="637"/>
      <c r="H128" s="637"/>
      <c r="I128" s="637"/>
      <c r="J128" s="637"/>
      <c r="K128" s="637"/>
      <c r="L128" s="338"/>
    </row>
    <row r="129" spans="1:12" x14ac:dyDescent="0.2">
      <c r="A129" s="637"/>
      <c r="B129" s="637"/>
      <c r="C129" s="637"/>
      <c r="D129" s="637"/>
      <c r="E129" s="637"/>
      <c r="F129" s="637"/>
      <c r="G129" s="637"/>
      <c r="H129" s="637"/>
      <c r="I129" s="637"/>
      <c r="J129" s="637"/>
      <c r="K129" s="637"/>
      <c r="L129" s="338"/>
    </row>
    <row r="130" spans="1:12" x14ac:dyDescent="0.2">
      <c r="A130" s="637"/>
      <c r="B130" s="637"/>
      <c r="C130" s="637"/>
      <c r="D130" s="637"/>
      <c r="E130" s="637"/>
      <c r="F130" s="637"/>
      <c r="G130" s="637"/>
      <c r="H130" s="637"/>
      <c r="I130" s="637"/>
      <c r="J130" s="637"/>
      <c r="K130" s="637"/>
      <c r="L130" s="338"/>
    </row>
    <row r="131" spans="1:12" x14ac:dyDescent="0.2">
      <c r="A131" s="637"/>
      <c r="B131" s="637"/>
      <c r="C131" s="637"/>
      <c r="D131" s="637"/>
      <c r="E131" s="637"/>
      <c r="F131" s="637"/>
      <c r="G131" s="637"/>
      <c r="H131" s="637"/>
      <c r="I131" s="637"/>
      <c r="J131" s="637"/>
      <c r="K131" s="637"/>
      <c r="L131" s="338"/>
    </row>
    <row r="132" spans="1:12" x14ac:dyDescent="0.2">
      <c r="A132" s="637"/>
      <c r="B132" s="637"/>
      <c r="C132" s="637"/>
      <c r="D132" s="637"/>
      <c r="E132" s="637"/>
      <c r="F132" s="637"/>
      <c r="G132" s="637"/>
      <c r="H132" s="637"/>
      <c r="I132" s="637"/>
      <c r="J132" s="637"/>
      <c r="K132" s="637"/>
      <c r="L132" s="338"/>
    </row>
    <row r="133" spans="1:12" x14ac:dyDescent="0.2">
      <c r="A133" s="637"/>
      <c r="B133" s="637"/>
      <c r="C133" s="637"/>
      <c r="D133" s="637"/>
      <c r="E133" s="637"/>
      <c r="F133" s="637"/>
      <c r="G133" s="637"/>
      <c r="H133" s="637"/>
      <c r="I133" s="637"/>
      <c r="J133" s="637"/>
      <c r="K133" s="637"/>
      <c r="L133" s="338"/>
    </row>
    <row r="134" spans="1:12" x14ac:dyDescent="0.2">
      <c r="A134" s="637"/>
      <c r="B134" s="637"/>
      <c r="C134" s="637"/>
      <c r="D134" s="637"/>
      <c r="E134" s="637"/>
      <c r="F134" s="637"/>
      <c r="G134" s="637"/>
      <c r="H134" s="637"/>
      <c r="I134" s="637"/>
      <c r="J134" s="637"/>
      <c r="K134" s="637"/>
      <c r="L134" s="338"/>
    </row>
    <row r="135" spans="1:12" x14ac:dyDescent="0.2">
      <c r="A135" s="637"/>
      <c r="B135" s="637"/>
      <c r="C135" s="637"/>
      <c r="D135" s="637"/>
      <c r="E135" s="637"/>
      <c r="F135" s="637"/>
      <c r="G135" s="637"/>
      <c r="H135" s="637"/>
      <c r="I135" s="637"/>
      <c r="J135" s="637"/>
      <c r="K135" s="637"/>
      <c r="L135" s="338"/>
    </row>
    <row r="136" spans="1:12" x14ac:dyDescent="0.2">
      <c r="A136" s="637"/>
      <c r="B136" s="637"/>
      <c r="C136" s="637"/>
      <c r="D136" s="637"/>
      <c r="E136" s="637"/>
      <c r="F136" s="637"/>
      <c r="G136" s="637"/>
      <c r="H136" s="637"/>
      <c r="I136" s="637"/>
      <c r="J136" s="637"/>
      <c r="K136" s="637"/>
      <c r="L136" s="338"/>
    </row>
    <row r="137" spans="1:12" x14ac:dyDescent="0.2">
      <c r="A137" s="637"/>
      <c r="B137" s="637"/>
      <c r="C137" s="637"/>
      <c r="D137" s="637"/>
      <c r="E137" s="637"/>
      <c r="F137" s="637"/>
      <c r="G137" s="637"/>
      <c r="H137" s="637"/>
      <c r="I137" s="637"/>
      <c r="J137" s="637"/>
      <c r="K137" s="637"/>
      <c r="L137" s="338"/>
    </row>
    <row r="138" spans="1:12" x14ac:dyDescent="0.2">
      <c r="A138" s="637"/>
      <c r="B138" s="637"/>
      <c r="C138" s="637"/>
      <c r="D138" s="637"/>
      <c r="E138" s="637"/>
      <c r="F138" s="637"/>
      <c r="G138" s="637"/>
      <c r="H138" s="637"/>
      <c r="I138" s="637"/>
      <c r="J138" s="637"/>
      <c r="K138" s="637"/>
      <c r="L138" s="338"/>
    </row>
    <row r="139" spans="1:12" x14ac:dyDescent="0.2">
      <c r="A139" s="637"/>
      <c r="B139" s="637"/>
      <c r="C139" s="637"/>
      <c r="D139" s="637"/>
      <c r="E139" s="637"/>
      <c r="F139" s="637"/>
      <c r="G139" s="637"/>
      <c r="H139" s="637"/>
      <c r="I139" s="637"/>
      <c r="J139" s="637"/>
      <c r="K139" s="637"/>
      <c r="L139" s="338"/>
    </row>
    <row r="140" spans="1:12" x14ac:dyDescent="0.2">
      <c r="A140" s="637"/>
      <c r="B140" s="637"/>
      <c r="C140" s="637"/>
      <c r="D140" s="637"/>
      <c r="E140" s="637"/>
      <c r="F140" s="637"/>
      <c r="G140" s="637"/>
      <c r="H140" s="637"/>
      <c r="I140" s="637"/>
      <c r="J140" s="637"/>
      <c r="K140" s="637"/>
      <c r="L140" s="338"/>
    </row>
    <row r="141" spans="1:12" x14ac:dyDescent="0.2">
      <c r="A141" s="637"/>
      <c r="B141" s="637"/>
      <c r="C141" s="637"/>
      <c r="D141" s="637"/>
      <c r="E141" s="637"/>
      <c r="F141" s="637"/>
      <c r="G141" s="637"/>
      <c r="H141" s="637"/>
      <c r="I141" s="637"/>
      <c r="J141" s="637"/>
      <c r="K141" s="637"/>
      <c r="L141" s="338"/>
    </row>
    <row r="142" spans="1:12" x14ac:dyDescent="0.2">
      <c r="A142" s="637"/>
      <c r="B142" s="637"/>
      <c r="C142" s="637"/>
      <c r="D142" s="637"/>
      <c r="E142" s="637"/>
      <c r="F142" s="637"/>
      <c r="G142" s="637"/>
      <c r="H142" s="637"/>
      <c r="I142" s="637"/>
      <c r="J142" s="637"/>
      <c r="K142" s="637"/>
      <c r="L142" s="338"/>
    </row>
    <row r="143" spans="1:12" x14ac:dyDescent="0.2">
      <c r="A143" s="637"/>
      <c r="B143" s="637"/>
      <c r="C143" s="637"/>
      <c r="D143" s="637"/>
      <c r="E143" s="637"/>
      <c r="F143" s="637"/>
      <c r="G143" s="637"/>
      <c r="H143" s="637"/>
      <c r="I143" s="637"/>
      <c r="J143" s="637"/>
      <c r="K143" s="637"/>
      <c r="L143" s="338"/>
    </row>
    <row r="144" spans="1:12" x14ac:dyDescent="0.2">
      <c r="A144" s="637"/>
      <c r="B144" s="637"/>
      <c r="C144" s="637"/>
      <c r="D144" s="637"/>
      <c r="E144" s="637"/>
      <c r="F144" s="637"/>
      <c r="G144" s="637"/>
      <c r="H144" s="637"/>
      <c r="I144" s="637"/>
      <c r="J144" s="637"/>
      <c r="K144" s="637"/>
      <c r="L144" s="338"/>
    </row>
    <row r="145" spans="1:12" x14ac:dyDescent="0.2">
      <c r="A145" s="637"/>
      <c r="B145" s="637"/>
      <c r="C145" s="637"/>
      <c r="D145" s="637"/>
      <c r="E145" s="637"/>
      <c r="F145" s="637"/>
      <c r="G145" s="637"/>
      <c r="H145" s="637"/>
      <c r="I145" s="637"/>
      <c r="J145" s="637"/>
      <c r="K145" s="637"/>
      <c r="L145" s="338"/>
    </row>
    <row r="146" spans="1:12" x14ac:dyDescent="0.2">
      <c r="A146" s="637"/>
      <c r="B146" s="637"/>
      <c r="C146" s="637"/>
      <c r="D146" s="637"/>
      <c r="E146" s="637"/>
      <c r="F146" s="637"/>
      <c r="G146" s="637"/>
      <c r="H146" s="637"/>
      <c r="I146" s="637"/>
      <c r="J146" s="637"/>
      <c r="K146" s="637"/>
      <c r="L146" s="338"/>
    </row>
    <row r="147" spans="1:12" x14ac:dyDescent="0.2">
      <c r="A147" s="637"/>
      <c r="B147" s="637"/>
      <c r="C147" s="637"/>
      <c r="D147" s="637"/>
      <c r="E147" s="637"/>
      <c r="F147" s="637"/>
      <c r="G147" s="637"/>
      <c r="H147" s="637"/>
      <c r="I147" s="637"/>
      <c r="J147" s="637"/>
      <c r="K147" s="637"/>
      <c r="L147" s="338"/>
    </row>
    <row r="148" spans="1:12" x14ac:dyDescent="0.2">
      <c r="A148" s="637"/>
      <c r="B148" s="637"/>
      <c r="C148" s="637"/>
      <c r="D148" s="637"/>
      <c r="E148" s="637"/>
      <c r="F148" s="637"/>
      <c r="G148" s="637"/>
      <c r="H148" s="637"/>
      <c r="I148" s="637"/>
      <c r="J148" s="637"/>
      <c r="K148" s="637"/>
      <c r="L148" s="338"/>
    </row>
    <row r="149" spans="1:12" x14ac:dyDescent="0.2">
      <c r="A149" s="637"/>
      <c r="B149" s="637"/>
      <c r="C149" s="637"/>
      <c r="D149" s="637"/>
      <c r="E149" s="637"/>
      <c r="F149" s="637"/>
      <c r="G149" s="637"/>
      <c r="H149" s="637"/>
      <c r="I149" s="637"/>
      <c r="J149" s="637"/>
      <c r="K149" s="637"/>
      <c r="L149" s="338"/>
    </row>
    <row r="150" spans="1:12" x14ac:dyDescent="0.2">
      <c r="A150" s="637"/>
      <c r="B150" s="637"/>
      <c r="C150" s="637"/>
      <c r="D150" s="637"/>
      <c r="E150" s="637"/>
      <c r="F150" s="637"/>
      <c r="G150" s="637"/>
      <c r="H150" s="637"/>
      <c r="I150" s="637"/>
      <c r="J150" s="637"/>
      <c r="K150" s="637"/>
      <c r="L150" s="338"/>
    </row>
    <row r="151" spans="1:12" x14ac:dyDescent="0.2">
      <c r="A151" s="637"/>
      <c r="B151" s="637"/>
      <c r="C151" s="637"/>
      <c r="D151" s="637"/>
      <c r="E151" s="637"/>
      <c r="F151" s="637"/>
      <c r="G151" s="637"/>
      <c r="H151" s="637"/>
      <c r="I151" s="637"/>
      <c r="J151" s="637"/>
      <c r="K151" s="637"/>
      <c r="L151" s="338"/>
    </row>
    <row r="152" spans="1:12" x14ac:dyDescent="0.2">
      <c r="A152" s="637"/>
      <c r="B152" s="637"/>
      <c r="C152" s="637"/>
      <c r="D152" s="637"/>
      <c r="E152" s="637"/>
      <c r="F152" s="637"/>
      <c r="G152" s="637"/>
      <c r="H152" s="637"/>
      <c r="I152" s="637"/>
      <c r="J152" s="637"/>
      <c r="K152" s="637"/>
      <c r="L152" s="338"/>
    </row>
    <row r="153" spans="1:12" x14ac:dyDescent="0.2">
      <c r="A153" s="637"/>
      <c r="B153" s="637"/>
      <c r="C153" s="637"/>
      <c r="D153" s="637"/>
      <c r="E153" s="637"/>
      <c r="F153" s="637"/>
      <c r="G153" s="637"/>
      <c r="H153" s="637"/>
      <c r="I153" s="637"/>
      <c r="J153" s="637"/>
      <c r="K153" s="637"/>
      <c r="L153" s="338"/>
    </row>
    <row r="154" spans="1:12" x14ac:dyDescent="0.2">
      <c r="A154" s="637"/>
      <c r="B154" s="637"/>
      <c r="C154" s="637"/>
      <c r="D154" s="637"/>
      <c r="E154" s="637"/>
      <c r="F154" s="637"/>
      <c r="G154" s="637"/>
      <c r="H154" s="637"/>
      <c r="I154" s="637"/>
      <c r="J154" s="637"/>
      <c r="K154" s="637"/>
      <c r="L154" s="338"/>
    </row>
    <row r="155" spans="1:12" x14ac:dyDescent="0.2">
      <c r="A155" s="637"/>
      <c r="B155" s="637"/>
      <c r="C155" s="637"/>
      <c r="D155" s="637"/>
      <c r="E155" s="637"/>
      <c r="F155" s="637"/>
      <c r="G155" s="637"/>
      <c r="H155" s="637"/>
      <c r="I155" s="637"/>
      <c r="J155" s="637"/>
      <c r="K155" s="637"/>
      <c r="L155" s="338"/>
    </row>
    <row r="156" spans="1:12" x14ac:dyDescent="0.2">
      <c r="A156" s="637"/>
      <c r="B156" s="637"/>
      <c r="C156" s="637"/>
      <c r="D156" s="637"/>
      <c r="E156" s="637"/>
      <c r="F156" s="637"/>
      <c r="G156" s="637"/>
      <c r="H156" s="637"/>
      <c r="I156" s="637"/>
      <c r="J156" s="637"/>
      <c r="K156" s="637"/>
      <c r="L156" s="338"/>
    </row>
    <row r="157" spans="1:12" x14ac:dyDescent="0.2">
      <c r="A157" s="637"/>
      <c r="B157" s="637"/>
      <c r="C157" s="637"/>
      <c r="D157" s="637"/>
      <c r="E157" s="637"/>
      <c r="F157" s="637"/>
      <c r="G157" s="637"/>
      <c r="H157" s="637"/>
      <c r="I157" s="637"/>
      <c r="J157" s="637"/>
      <c r="K157" s="637"/>
      <c r="L157" s="338"/>
    </row>
    <row r="158" spans="1:12" x14ac:dyDescent="0.2">
      <c r="A158" s="637"/>
      <c r="B158" s="637"/>
      <c r="C158" s="637"/>
      <c r="D158" s="637"/>
      <c r="E158" s="637"/>
      <c r="F158" s="637"/>
      <c r="G158" s="637"/>
      <c r="H158" s="637"/>
      <c r="I158" s="637"/>
      <c r="J158" s="637"/>
      <c r="K158" s="637"/>
      <c r="L158" s="338"/>
    </row>
    <row r="159" spans="1:12" x14ac:dyDescent="0.2">
      <c r="A159" s="637"/>
      <c r="B159" s="637"/>
      <c r="C159" s="637"/>
      <c r="D159" s="637"/>
      <c r="E159" s="637"/>
      <c r="F159" s="637"/>
      <c r="G159" s="637"/>
      <c r="H159" s="637"/>
      <c r="I159" s="637"/>
      <c r="J159" s="637"/>
      <c r="K159" s="637"/>
      <c r="L159" s="338"/>
    </row>
    <row r="160" spans="1:12" x14ac:dyDescent="0.2">
      <c r="A160" s="637"/>
      <c r="B160" s="637"/>
      <c r="C160" s="637"/>
      <c r="D160" s="637"/>
      <c r="E160" s="637"/>
      <c r="F160" s="637"/>
      <c r="G160" s="637"/>
      <c r="H160" s="637"/>
      <c r="I160" s="637"/>
      <c r="J160" s="637"/>
      <c r="K160" s="637"/>
      <c r="L160" s="338"/>
    </row>
    <row r="161" spans="1:12" x14ac:dyDescent="0.2">
      <c r="A161" s="637"/>
      <c r="B161" s="637"/>
      <c r="C161" s="637"/>
      <c r="D161" s="637"/>
      <c r="E161" s="637"/>
      <c r="F161" s="637"/>
      <c r="G161" s="637"/>
      <c r="H161" s="637"/>
      <c r="I161" s="637"/>
      <c r="J161" s="637"/>
      <c r="K161" s="637"/>
      <c r="L161" s="338"/>
    </row>
    <row r="162" spans="1:12" x14ac:dyDescent="0.2">
      <c r="A162" s="637"/>
      <c r="B162" s="637"/>
      <c r="C162" s="637"/>
      <c r="D162" s="637"/>
      <c r="E162" s="637"/>
      <c r="F162" s="637"/>
      <c r="G162" s="637"/>
      <c r="H162" s="637"/>
      <c r="I162" s="637"/>
      <c r="J162" s="637"/>
      <c r="K162" s="637"/>
      <c r="L162" s="338"/>
    </row>
    <row r="163" spans="1:12" x14ac:dyDescent="0.2">
      <c r="A163" s="637"/>
      <c r="B163" s="637"/>
      <c r="C163" s="637"/>
      <c r="D163" s="637"/>
      <c r="E163" s="637"/>
      <c r="F163" s="637"/>
      <c r="G163" s="637"/>
      <c r="H163" s="637"/>
      <c r="I163" s="637"/>
      <c r="J163" s="637"/>
      <c r="K163" s="637"/>
      <c r="L163" s="338"/>
    </row>
    <row r="164" spans="1:12" x14ac:dyDescent="0.2">
      <c r="A164" s="637"/>
      <c r="B164" s="637"/>
      <c r="C164" s="637"/>
      <c r="D164" s="637"/>
      <c r="E164" s="637"/>
      <c r="F164" s="637"/>
      <c r="G164" s="637"/>
      <c r="H164" s="637"/>
      <c r="I164" s="637"/>
      <c r="J164" s="637"/>
      <c r="K164" s="637"/>
      <c r="L164" s="338"/>
    </row>
    <row r="165" spans="1:12" x14ac:dyDescent="0.2">
      <c r="A165" s="637"/>
      <c r="B165" s="637"/>
      <c r="C165" s="637"/>
      <c r="D165" s="637"/>
      <c r="E165" s="637"/>
      <c r="F165" s="637"/>
      <c r="G165" s="637"/>
      <c r="H165" s="637"/>
      <c r="I165" s="637"/>
      <c r="J165" s="637"/>
      <c r="K165" s="637"/>
      <c r="L165" s="338"/>
    </row>
    <row r="166" spans="1:12" x14ac:dyDescent="0.2">
      <c r="A166" s="637"/>
      <c r="B166" s="637"/>
      <c r="C166" s="637"/>
      <c r="D166" s="637"/>
      <c r="E166" s="637"/>
      <c r="F166" s="637"/>
      <c r="G166" s="637"/>
      <c r="H166" s="637"/>
      <c r="I166" s="637"/>
      <c r="J166" s="637"/>
      <c r="K166" s="637"/>
      <c r="L166" s="338"/>
    </row>
    <row r="167" spans="1:12" x14ac:dyDescent="0.2">
      <c r="A167" s="637"/>
      <c r="B167" s="637"/>
      <c r="C167" s="637"/>
      <c r="D167" s="637"/>
      <c r="E167" s="637"/>
      <c r="F167" s="637"/>
      <c r="G167" s="637"/>
      <c r="H167" s="637"/>
      <c r="I167" s="637"/>
      <c r="J167" s="637"/>
      <c r="K167" s="637"/>
      <c r="L167" s="338"/>
    </row>
    <row r="168" spans="1:12" x14ac:dyDescent="0.2">
      <c r="A168" s="637"/>
      <c r="B168" s="637"/>
      <c r="C168" s="637"/>
      <c r="D168" s="637"/>
      <c r="E168" s="637"/>
      <c r="F168" s="637"/>
      <c r="G168" s="637"/>
      <c r="H168" s="637"/>
      <c r="I168" s="637"/>
      <c r="J168" s="637"/>
      <c r="K168" s="637"/>
      <c r="L168" s="338"/>
    </row>
    <row r="169" spans="1:12" x14ac:dyDescent="0.2">
      <c r="A169" s="637"/>
      <c r="B169" s="637"/>
      <c r="C169" s="637"/>
      <c r="D169" s="637"/>
      <c r="E169" s="637"/>
      <c r="F169" s="637"/>
      <c r="G169" s="637"/>
      <c r="H169" s="637"/>
      <c r="I169" s="637"/>
      <c r="J169" s="637"/>
      <c r="K169" s="637"/>
      <c r="L169" s="338"/>
    </row>
    <row r="170" spans="1:12" x14ac:dyDescent="0.2">
      <c r="A170" s="637"/>
      <c r="B170" s="637"/>
      <c r="C170" s="637"/>
      <c r="D170" s="637"/>
      <c r="E170" s="637"/>
      <c r="F170" s="637"/>
      <c r="G170" s="637"/>
      <c r="H170" s="637"/>
      <c r="I170" s="637"/>
      <c r="J170" s="637"/>
      <c r="K170" s="637"/>
      <c r="L170" s="338"/>
    </row>
    <row r="171" spans="1:12" x14ac:dyDescent="0.2">
      <c r="A171" s="637"/>
      <c r="B171" s="637"/>
      <c r="C171" s="637"/>
      <c r="D171" s="637"/>
      <c r="E171" s="637"/>
      <c r="F171" s="637"/>
      <c r="G171" s="637"/>
      <c r="H171" s="637"/>
      <c r="I171" s="637"/>
      <c r="J171" s="637"/>
      <c r="K171" s="637"/>
      <c r="L171" s="338"/>
    </row>
    <row r="172" spans="1:12" x14ac:dyDescent="0.2">
      <c r="A172" s="637"/>
      <c r="B172" s="637"/>
      <c r="C172" s="637"/>
      <c r="D172" s="637"/>
      <c r="E172" s="637"/>
      <c r="F172" s="637"/>
      <c r="G172" s="637"/>
      <c r="H172" s="637"/>
      <c r="I172" s="637"/>
      <c r="J172" s="637"/>
      <c r="K172" s="637"/>
      <c r="L172" s="338"/>
    </row>
    <row r="173" spans="1:12" x14ac:dyDescent="0.2">
      <c r="A173" s="637"/>
      <c r="B173" s="637"/>
      <c r="C173" s="637"/>
      <c r="D173" s="637"/>
      <c r="E173" s="637"/>
      <c r="F173" s="637"/>
      <c r="G173" s="637"/>
      <c r="H173" s="637"/>
      <c r="I173" s="637"/>
      <c r="J173" s="637"/>
      <c r="K173" s="637"/>
      <c r="L173" s="338"/>
    </row>
    <row r="174" spans="1:12" x14ac:dyDescent="0.2">
      <c r="A174" s="637"/>
      <c r="B174" s="637"/>
      <c r="C174" s="637"/>
      <c r="D174" s="637"/>
      <c r="E174" s="637"/>
      <c r="F174" s="637"/>
      <c r="G174" s="637"/>
      <c r="H174" s="637"/>
      <c r="I174" s="637"/>
      <c r="J174" s="637"/>
      <c r="K174" s="637"/>
      <c r="L174" s="338"/>
    </row>
    <row r="175" spans="1:12" x14ac:dyDescent="0.2">
      <c r="A175" s="637"/>
      <c r="B175" s="637"/>
      <c r="C175" s="637"/>
      <c r="D175" s="637"/>
      <c r="E175" s="637"/>
      <c r="F175" s="637"/>
      <c r="G175" s="637"/>
      <c r="H175" s="637"/>
      <c r="I175" s="637"/>
      <c r="J175" s="637"/>
      <c r="K175" s="637"/>
      <c r="L175" s="338"/>
    </row>
    <row r="176" spans="1:12" x14ac:dyDescent="0.2">
      <c r="A176" s="637"/>
      <c r="B176" s="637"/>
      <c r="C176" s="637"/>
      <c r="D176" s="637"/>
      <c r="E176" s="637"/>
      <c r="F176" s="637"/>
      <c r="G176" s="637"/>
      <c r="H176" s="637"/>
      <c r="I176" s="637"/>
      <c r="J176" s="637"/>
      <c r="K176" s="637"/>
      <c r="L176" s="338"/>
    </row>
    <row r="177" spans="1:12" x14ac:dyDescent="0.2">
      <c r="A177" s="637"/>
      <c r="B177" s="637"/>
      <c r="C177" s="637"/>
      <c r="D177" s="637"/>
      <c r="E177" s="637"/>
      <c r="F177" s="637"/>
      <c r="G177" s="637"/>
      <c r="H177" s="637"/>
      <c r="I177" s="637"/>
      <c r="J177" s="637"/>
      <c r="K177" s="637"/>
      <c r="L177" s="338"/>
    </row>
    <row r="178" spans="1:12" x14ac:dyDescent="0.2">
      <c r="A178" s="637"/>
      <c r="B178" s="637"/>
      <c r="C178" s="637"/>
      <c r="D178" s="637"/>
      <c r="E178" s="637"/>
      <c r="F178" s="637"/>
      <c r="G178" s="637"/>
      <c r="H178" s="637"/>
      <c r="I178" s="637"/>
      <c r="J178" s="637"/>
      <c r="K178" s="637"/>
      <c r="L178" s="338"/>
    </row>
    <row r="179" spans="1:12" x14ac:dyDescent="0.2">
      <c r="A179" s="637"/>
      <c r="B179" s="637"/>
      <c r="C179" s="637"/>
      <c r="D179" s="637"/>
      <c r="E179" s="637"/>
      <c r="F179" s="637"/>
      <c r="G179" s="637"/>
      <c r="H179" s="637"/>
      <c r="I179" s="637"/>
      <c r="J179" s="637"/>
      <c r="K179" s="637"/>
      <c r="L179" s="338"/>
    </row>
    <row r="180" spans="1:12" x14ac:dyDescent="0.2">
      <c r="A180" s="637"/>
      <c r="B180" s="637"/>
      <c r="C180" s="637"/>
      <c r="D180" s="637"/>
      <c r="E180" s="637"/>
      <c r="F180" s="637"/>
      <c r="G180" s="637"/>
      <c r="H180" s="637"/>
      <c r="I180" s="637"/>
      <c r="J180" s="637"/>
      <c r="K180" s="637"/>
      <c r="L180" s="338"/>
    </row>
    <row r="181" spans="1:12" x14ac:dyDescent="0.2">
      <c r="A181" s="637"/>
      <c r="B181" s="637"/>
      <c r="C181" s="637"/>
      <c r="D181" s="637"/>
      <c r="E181" s="637"/>
      <c r="F181" s="637"/>
      <c r="G181" s="637"/>
      <c r="H181" s="637"/>
      <c r="I181" s="637"/>
      <c r="J181" s="637"/>
      <c r="K181" s="637"/>
      <c r="L181" s="338"/>
    </row>
    <row r="182" spans="1:12" x14ac:dyDescent="0.2">
      <c r="A182" s="637"/>
      <c r="B182" s="637"/>
      <c r="C182" s="637"/>
      <c r="D182" s="637"/>
      <c r="E182" s="637"/>
      <c r="F182" s="637"/>
      <c r="G182" s="637"/>
      <c r="H182" s="637"/>
      <c r="I182" s="637"/>
      <c r="J182" s="637"/>
      <c r="K182" s="637"/>
      <c r="L182" s="338"/>
    </row>
    <row r="183" spans="1:12" x14ac:dyDescent="0.2">
      <c r="A183" s="637"/>
      <c r="B183" s="637"/>
      <c r="C183" s="637"/>
      <c r="D183" s="637"/>
      <c r="E183" s="637"/>
      <c r="F183" s="637"/>
      <c r="G183" s="637"/>
      <c r="H183" s="637"/>
      <c r="I183" s="637"/>
      <c r="J183" s="637"/>
      <c r="K183" s="637"/>
      <c r="L183" s="338"/>
    </row>
    <row r="184" spans="1:12" x14ac:dyDescent="0.2">
      <c r="A184" s="637"/>
      <c r="B184" s="637"/>
      <c r="C184" s="637"/>
      <c r="D184" s="637"/>
      <c r="E184" s="637"/>
      <c r="F184" s="637"/>
      <c r="G184" s="637"/>
      <c r="H184" s="637"/>
      <c r="I184" s="637"/>
      <c r="J184" s="637"/>
      <c r="K184" s="637"/>
      <c r="L184" s="338"/>
    </row>
    <row r="185" spans="1:12" x14ac:dyDescent="0.2">
      <c r="A185" s="637"/>
      <c r="B185" s="637"/>
      <c r="C185" s="637"/>
      <c r="D185" s="637"/>
      <c r="E185" s="637"/>
      <c r="F185" s="637"/>
      <c r="G185" s="637"/>
      <c r="H185" s="637"/>
      <c r="I185" s="637"/>
      <c r="J185" s="637"/>
      <c r="K185" s="637"/>
      <c r="L185" s="338"/>
    </row>
    <row r="186" spans="1:12" x14ac:dyDescent="0.2">
      <c r="A186" s="637"/>
      <c r="B186" s="637"/>
      <c r="C186" s="637"/>
      <c r="D186" s="637"/>
      <c r="E186" s="637"/>
      <c r="F186" s="637"/>
      <c r="G186" s="637"/>
      <c r="H186" s="637"/>
      <c r="I186" s="637"/>
      <c r="J186" s="637"/>
      <c r="K186" s="637"/>
      <c r="L186" s="338"/>
    </row>
    <row r="187" spans="1:12" x14ac:dyDescent="0.2">
      <c r="A187" s="637"/>
      <c r="B187" s="637"/>
      <c r="C187" s="637"/>
      <c r="D187" s="637"/>
      <c r="E187" s="637"/>
      <c r="F187" s="637"/>
      <c r="G187" s="637"/>
      <c r="H187" s="637"/>
      <c r="I187" s="637"/>
      <c r="J187" s="637"/>
      <c r="K187" s="637"/>
      <c r="L187" s="338"/>
    </row>
    <row r="188" spans="1:12" x14ac:dyDescent="0.2">
      <c r="A188" s="637"/>
      <c r="B188" s="637"/>
      <c r="C188" s="637"/>
      <c r="D188" s="637"/>
      <c r="E188" s="637"/>
      <c r="F188" s="637"/>
      <c r="G188" s="637"/>
      <c r="H188" s="637"/>
      <c r="I188" s="637"/>
      <c r="J188" s="637"/>
      <c r="K188" s="637"/>
      <c r="L188" s="338"/>
    </row>
    <row r="189" spans="1:12" x14ac:dyDescent="0.2">
      <c r="A189" s="637"/>
      <c r="B189" s="637"/>
      <c r="C189" s="637"/>
      <c r="D189" s="637"/>
      <c r="E189" s="637"/>
      <c r="F189" s="637"/>
      <c r="G189" s="637"/>
      <c r="H189" s="637"/>
      <c r="I189" s="637"/>
      <c r="J189" s="637"/>
      <c r="K189" s="637"/>
      <c r="L189" s="338"/>
    </row>
    <row r="190" spans="1:12" x14ac:dyDescent="0.2">
      <c r="A190" s="637"/>
      <c r="B190" s="637"/>
      <c r="C190" s="637"/>
      <c r="D190" s="637"/>
      <c r="E190" s="637"/>
      <c r="F190" s="637"/>
      <c r="G190" s="637"/>
      <c r="H190" s="637"/>
      <c r="I190" s="637"/>
      <c r="J190" s="637"/>
      <c r="K190" s="637"/>
      <c r="L190" s="338"/>
    </row>
    <row r="191" spans="1:12" x14ac:dyDescent="0.2">
      <c r="A191" s="637"/>
      <c r="B191" s="637"/>
      <c r="C191" s="637"/>
      <c r="D191" s="637"/>
      <c r="E191" s="637"/>
      <c r="F191" s="637"/>
      <c r="G191" s="637"/>
      <c r="H191" s="637"/>
      <c r="I191" s="637"/>
      <c r="J191" s="637"/>
      <c r="K191" s="637"/>
      <c r="L191" s="338"/>
    </row>
    <row r="192" spans="1:12" x14ac:dyDescent="0.2">
      <c r="A192" s="637"/>
      <c r="B192" s="637"/>
      <c r="C192" s="637"/>
      <c r="D192" s="637"/>
      <c r="E192" s="637"/>
      <c r="F192" s="637"/>
      <c r="G192" s="637"/>
      <c r="H192" s="637"/>
      <c r="I192" s="637"/>
      <c r="J192" s="637"/>
      <c r="K192" s="637"/>
      <c r="L192" s="338"/>
    </row>
    <row r="193" spans="1:12" x14ac:dyDescent="0.2">
      <c r="A193" s="637"/>
      <c r="B193" s="637"/>
      <c r="C193" s="637"/>
      <c r="D193" s="637"/>
      <c r="E193" s="637"/>
      <c r="F193" s="637"/>
      <c r="G193" s="637"/>
      <c r="H193" s="637"/>
      <c r="I193" s="637"/>
      <c r="J193" s="637"/>
      <c r="K193" s="637"/>
      <c r="L193" s="338"/>
    </row>
    <row r="194" spans="1:12" x14ac:dyDescent="0.2">
      <c r="A194" s="637"/>
      <c r="B194" s="637"/>
      <c r="C194" s="637"/>
      <c r="D194" s="637"/>
      <c r="E194" s="637"/>
      <c r="F194" s="637"/>
      <c r="G194" s="637"/>
      <c r="H194" s="637"/>
      <c r="I194" s="637"/>
      <c r="J194" s="637"/>
      <c r="K194" s="637"/>
      <c r="L194" s="338"/>
    </row>
    <row r="195" spans="1:12" x14ac:dyDescent="0.2">
      <c r="A195" s="637"/>
      <c r="B195" s="637"/>
      <c r="C195" s="637"/>
      <c r="D195" s="637"/>
      <c r="E195" s="637"/>
      <c r="F195" s="637"/>
      <c r="G195" s="637"/>
      <c r="H195" s="637"/>
      <c r="I195" s="637"/>
      <c r="J195" s="637"/>
      <c r="K195" s="637"/>
      <c r="L195" s="338"/>
    </row>
    <row r="196" spans="1:12" x14ac:dyDescent="0.2">
      <c r="A196" s="637"/>
      <c r="B196" s="637"/>
      <c r="C196" s="637"/>
      <c r="D196" s="637"/>
      <c r="E196" s="637"/>
      <c r="F196" s="637"/>
      <c r="G196" s="637"/>
      <c r="H196" s="637"/>
      <c r="I196" s="637"/>
      <c r="J196" s="637"/>
      <c r="K196" s="637"/>
      <c r="L196" s="338"/>
    </row>
    <row r="197" spans="1:12" x14ac:dyDescent="0.2">
      <c r="A197" s="637"/>
      <c r="B197" s="637"/>
      <c r="C197" s="637"/>
      <c r="D197" s="637"/>
      <c r="E197" s="637"/>
      <c r="F197" s="637"/>
      <c r="G197" s="637"/>
      <c r="H197" s="637"/>
      <c r="I197" s="637"/>
      <c r="J197" s="637"/>
      <c r="K197" s="637"/>
      <c r="L197" s="338"/>
    </row>
    <row r="198" spans="1:12" x14ac:dyDescent="0.2">
      <c r="A198" s="637"/>
      <c r="B198" s="637"/>
      <c r="C198" s="637"/>
      <c r="D198" s="637"/>
      <c r="E198" s="637"/>
      <c r="F198" s="637"/>
      <c r="G198" s="637"/>
      <c r="H198" s="637"/>
      <c r="I198" s="637"/>
      <c r="J198" s="637"/>
      <c r="K198" s="637"/>
      <c r="L198" s="338"/>
    </row>
    <row r="199" spans="1:12" x14ac:dyDescent="0.2">
      <c r="A199" s="637"/>
      <c r="B199" s="637"/>
      <c r="C199" s="637"/>
      <c r="D199" s="637"/>
      <c r="E199" s="637"/>
      <c r="F199" s="637"/>
      <c r="G199" s="637"/>
      <c r="H199" s="637"/>
      <c r="I199" s="637"/>
      <c r="J199" s="637"/>
      <c r="K199" s="637"/>
      <c r="L199" s="338"/>
    </row>
    <row r="200" spans="1:12" x14ac:dyDescent="0.2">
      <c r="A200" s="637"/>
      <c r="B200" s="637"/>
      <c r="C200" s="637"/>
      <c r="D200" s="637"/>
      <c r="E200" s="637"/>
      <c r="F200" s="637"/>
      <c r="G200" s="637"/>
      <c r="H200" s="637"/>
      <c r="I200" s="637"/>
      <c r="J200" s="637"/>
      <c r="K200" s="637"/>
      <c r="L200" s="338"/>
    </row>
  </sheetData>
  <mergeCells count="8">
    <mergeCell ref="I2:J3"/>
    <mergeCell ref="K10:K11"/>
    <mergeCell ref="C6:E6"/>
    <mergeCell ref="B10:E11"/>
    <mergeCell ref="G10:G11"/>
    <mergeCell ref="H10:H11"/>
    <mergeCell ref="I10:I11"/>
    <mergeCell ref="J10:J11"/>
  </mergeCells>
  <dataValidations count="1">
    <dataValidation type="list" allowBlank="1" showInputMessage="1" showErrorMessage="1" promptTitle="Nom du client" prompt="Choisir le client concerné par la simulation" sqref="C2" xr:uid="{0396C558-7121-4D0F-A96B-A8BCBFF07BC8}">
      <formula1>OFFSET(Noms_Clients,MATCH(A2&amp;"*",Noms_Clients,0)-1,,COUNTIF(Noms_Clients,A2&amp;"*"))</formula1>
    </dataValidation>
  </dataValidations>
  <pageMargins left="0.7" right="0.7" top="0.75" bottom="0.75" header="0.3" footer="0.3"/>
  <pageSetup paperSize="9" scale="51" orientation="portrait" r:id="rId1"/>
  <colBreaks count="1" manualBreakCount="1">
    <brk id="1"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Feuil55">
    <pageSetUpPr fitToPage="1"/>
  </sheetPr>
  <dimension ref="A1:N43"/>
  <sheetViews>
    <sheetView zoomScale="110" zoomScaleNormal="110" workbookViewId="0">
      <pane ySplit="11" topLeftCell="A12" activePane="bottomLeft" state="frozen"/>
      <selection activeCell="K17" sqref="K17:P44"/>
      <selection pane="bottomLeft" activeCell="N5" sqref="N5"/>
    </sheetView>
  </sheetViews>
  <sheetFormatPr baseColWidth="10" defaultRowHeight="14.25" x14ac:dyDescent="0.2"/>
  <cols>
    <col min="1" max="1" width="4.125" customWidth="1"/>
    <col min="2" max="2" width="66.625" customWidth="1"/>
    <col min="3" max="3" width="6.125" customWidth="1"/>
    <col min="4" max="4" width="9.625" customWidth="1"/>
    <col min="5" max="5" width="8.625" customWidth="1"/>
    <col min="6" max="6" width="0.5" customWidth="1"/>
    <col min="7" max="7" width="11.625" customWidth="1"/>
    <col min="8" max="8" width="2.125" customWidth="1"/>
    <col min="9" max="9" width="6.625" customWidth="1"/>
    <col min="10" max="11" width="10.125" bestFit="1" customWidth="1"/>
  </cols>
  <sheetData>
    <row r="1" spans="1:14" ht="41.25" customHeight="1" x14ac:dyDescent="0.2">
      <c r="A1" s="338"/>
      <c r="B1" s="579" t="s">
        <v>1669</v>
      </c>
      <c r="C1" s="577" t="s">
        <v>1542</v>
      </c>
      <c r="D1" s="576"/>
      <c r="E1" s="576"/>
      <c r="F1" s="576"/>
      <c r="G1" s="345"/>
      <c r="H1" s="338"/>
      <c r="I1" s="338"/>
      <c r="J1" s="338"/>
      <c r="K1" s="338"/>
      <c r="L1" s="338"/>
      <c r="M1" s="338"/>
      <c r="N1" s="345" t="s">
        <v>1706</v>
      </c>
    </row>
    <row r="2" spans="1:14" ht="15" x14ac:dyDescent="0.25">
      <c r="A2" s="338"/>
      <c r="B2" s="578" t="s">
        <v>1544</v>
      </c>
      <c r="C2" s="578" t="s">
        <v>1768</v>
      </c>
      <c r="D2" s="338"/>
      <c r="E2" s="578" t="str">
        <f>VLOOKUP($C$2,[3]Clients!$B$2:$N$1000,2,0)</f>
        <v>Jean-Philippe</v>
      </c>
      <c r="F2" s="338"/>
      <c r="G2" s="338"/>
      <c r="H2" s="345"/>
      <c r="I2" s="575"/>
      <c r="J2" s="338"/>
      <c r="K2" s="338"/>
      <c r="L2" s="338"/>
      <c r="M2" s="338"/>
      <c r="N2" s="345" t="s">
        <v>1695</v>
      </c>
    </row>
    <row r="3" spans="1:14" x14ac:dyDescent="0.2">
      <c r="A3" s="338"/>
      <c r="B3" s="575" t="s">
        <v>1543</v>
      </c>
      <c r="C3" s="575" t="str">
        <f>VLOOKUP($C$2,[3]Clients!$B$2:$N$721,5,0)</f>
        <v>Le Gruer</v>
      </c>
      <c r="D3" s="338"/>
      <c r="E3" s="338"/>
      <c r="F3" s="338"/>
      <c r="G3" s="575"/>
      <c r="H3" s="575"/>
      <c r="I3" s="575"/>
      <c r="J3" s="338"/>
      <c r="K3" s="338"/>
      <c r="L3" s="338"/>
      <c r="M3" s="338"/>
      <c r="N3" s="345"/>
    </row>
    <row r="4" spans="1:14" x14ac:dyDescent="0.2">
      <c r="A4" s="338"/>
      <c r="B4" s="575" t="s">
        <v>1737</v>
      </c>
      <c r="C4" s="575" t="str">
        <f>VLOOKUP($C$2,[3]Clients!$B$2:$N$721,4,0)&amp;" "&amp;VLOOKUP($C$2,[3]Clients!$B$2:$N$721,3,0)</f>
        <v>35120 Boussac (La)</v>
      </c>
      <c r="D4" s="338"/>
      <c r="E4" s="338"/>
      <c r="F4" s="338"/>
      <c r="G4" s="575"/>
      <c r="H4" s="575"/>
      <c r="I4" s="575"/>
      <c r="J4" s="338"/>
      <c r="K4" s="338"/>
      <c r="L4" s="338"/>
      <c r="M4" s="338"/>
      <c r="N4" s="345"/>
    </row>
    <row r="5" spans="1:14" x14ac:dyDescent="0.2">
      <c r="A5" s="338"/>
      <c r="B5" s="575" t="s">
        <v>1738</v>
      </c>
      <c r="C5" s="575"/>
      <c r="D5" s="338"/>
      <c r="E5" s="338"/>
      <c r="F5" s="338"/>
      <c r="G5" s="575"/>
      <c r="H5" s="575"/>
      <c r="I5" s="575"/>
      <c r="J5" s="338"/>
      <c r="K5" s="338"/>
      <c r="L5" s="338"/>
      <c r="M5" s="338"/>
      <c r="N5" s="345"/>
    </row>
    <row r="6" spans="1:14" x14ac:dyDescent="0.2">
      <c r="A6" s="338"/>
      <c r="B6" s="575" t="s">
        <v>1545</v>
      </c>
      <c r="C6" s="1521" t="str">
        <f>IF(VLOOKUP($C$2,[3]Clients!$B$2:$N$721,7,0)=0,"",VLOOKUP($C$2,[3]Clients!$B$2:$N$721,7,0))</f>
        <v/>
      </c>
      <c r="D6" s="1521"/>
      <c r="E6" s="1521"/>
      <c r="F6" s="338"/>
      <c r="G6" s="575"/>
      <c r="H6" s="575"/>
      <c r="I6" s="575"/>
      <c r="J6" s="338"/>
      <c r="K6" s="338"/>
      <c r="L6" s="338"/>
      <c r="M6" s="338"/>
      <c r="N6" s="345"/>
    </row>
    <row r="7" spans="1:14" x14ac:dyDescent="0.2">
      <c r="A7" s="338"/>
      <c r="B7" s="575" t="s">
        <v>1546</v>
      </c>
      <c r="C7" s="575" t="str">
        <f>VLOOKUP($C$2,[3]Clients!$B$2:$N$721,8,0)</f>
        <v>lorenzato.jean-philippe@orange.fr</v>
      </c>
      <c r="D7" s="338"/>
      <c r="E7" s="338"/>
      <c r="F7" s="338"/>
      <c r="G7" s="1134"/>
      <c r="H7" s="575"/>
      <c r="I7" s="575"/>
      <c r="J7" s="338"/>
      <c r="K7" s="338"/>
      <c r="L7" s="338"/>
      <c r="M7" s="338"/>
      <c r="N7" s="345"/>
    </row>
    <row r="8" spans="1:14" x14ac:dyDescent="0.2">
      <c r="A8" s="338"/>
      <c r="B8" s="338"/>
      <c r="C8" s="338"/>
      <c r="D8" s="338"/>
      <c r="E8" s="338"/>
      <c r="F8" s="338"/>
      <c r="G8" s="338"/>
      <c r="H8" s="338"/>
      <c r="I8" s="338"/>
      <c r="J8" s="338"/>
      <c r="K8" s="338"/>
      <c r="L8" s="338"/>
      <c r="M8" s="338"/>
      <c r="N8" s="345"/>
    </row>
    <row r="9" spans="1:14" x14ac:dyDescent="0.2">
      <c r="A9" s="338"/>
      <c r="B9" s="338"/>
      <c r="C9" s="338"/>
      <c r="D9" s="338"/>
      <c r="E9" s="338"/>
      <c r="F9" s="338"/>
      <c r="G9" s="338"/>
      <c r="H9" s="338"/>
      <c r="I9" s="338"/>
      <c r="J9" s="338"/>
      <c r="K9" s="338"/>
      <c r="L9" s="338"/>
      <c r="M9" s="338"/>
      <c r="N9" s="345"/>
    </row>
    <row r="10" spans="1:14" x14ac:dyDescent="0.2">
      <c r="A10" s="338"/>
      <c r="B10" s="1522" t="s">
        <v>1512</v>
      </c>
      <c r="C10" s="1522"/>
      <c r="D10" s="1522"/>
      <c r="E10" s="1522"/>
      <c r="F10" s="338"/>
      <c r="G10" s="1524" t="s">
        <v>622</v>
      </c>
      <c r="H10" s="1533"/>
      <c r="I10" s="1535"/>
      <c r="J10" s="1537"/>
      <c r="K10" s="1531"/>
      <c r="L10" s="338"/>
      <c r="M10" s="338"/>
      <c r="N10" s="345"/>
    </row>
    <row r="11" spans="1:14" x14ac:dyDescent="0.2">
      <c r="A11" s="338"/>
      <c r="B11" s="1523"/>
      <c r="C11" s="1523"/>
      <c r="D11" s="1523"/>
      <c r="E11" s="1523"/>
      <c r="F11" s="338"/>
      <c r="G11" s="1525"/>
      <c r="H11" s="1534"/>
      <c r="I11" s="1536"/>
      <c r="J11" s="1537"/>
      <c r="K11" s="1532"/>
      <c r="L11" s="338"/>
      <c r="M11" s="338"/>
      <c r="N11" s="345"/>
    </row>
    <row r="12" spans="1:14" x14ac:dyDescent="0.2">
      <c r="A12" s="338"/>
      <c r="B12" s="1086"/>
      <c r="C12" s="657"/>
      <c r="D12" s="658"/>
      <c r="E12" s="818"/>
      <c r="F12" s="818"/>
      <c r="G12" s="798"/>
      <c r="H12" s="338"/>
      <c r="I12" s="338"/>
      <c r="J12" s="338"/>
      <c r="K12" s="338"/>
      <c r="L12" s="338"/>
      <c r="M12" s="338"/>
      <c r="N12" s="338"/>
    </row>
    <row r="13" spans="1:14" x14ac:dyDescent="0.2">
      <c r="A13" s="637"/>
      <c r="B13" s="1105" t="s">
        <v>1686</v>
      </c>
      <c r="C13" s="657"/>
      <c r="D13" s="658"/>
      <c r="E13" s="673"/>
      <c r="F13" s="673"/>
      <c r="G13" s="781">
        <v>526.21968749999996</v>
      </c>
      <c r="H13" s="637"/>
      <c r="I13" s="637"/>
      <c r="J13" s="637"/>
      <c r="K13" s="637"/>
      <c r="L13" s="338"/>
      <c r="M13" s="338"/>
    </row>
    <row r="14" spans="1:14" ht="22.5" x14ac:dyDescent="0.2">
      <c r="A14" s="637"/>
      <c r="B14" s="796" t="s">
        <v>1705</v>
      </c>
      <c r="C14" s="657"/>
      <c r="D14" s="658"/>
      <c r="E14" s="818"/>
      <c r="F14" s="818"/>
      <c r="G14" s="781">
        <v>200</v>
      </c>
      <c r="H14" s="637"/>
      <c r="I14" s="637"/>
      <c r="J14" s="637"/>
      <c r="K14" s="637"/>
      <c r="L14" s="338"/>
      <c r="M14" s="338"/>
    </row>
    <row r="15" spans="1:14" x14ac:dyDescent="0.2">
      <c r="A15" s="637"/>
      <c r="B15" s="1082" t="s">
        <v>1673</v>
      </c>
      <c r="C15" s="838"/>
      <c r="D15" s="838"/>
      <c r="E15" s="838"/>
      <c r="F15" s="804"/>
      <c r="G15" s="831">
        <v>726.21968749999996</v>
      </c>
      <c r="H15" s="637"/>
      <c r="I15" s="637"/>
      <c r="J15" s="637"/>
      <c r="K15" s="637"/>
      <c r="L15" s="338"/>
      <c r="M15" s="338"/>
    </row>
    <row r="16" spans="1:14" x14ac:dyDescent="0.2">
      <c r="A16" s="637"/>
      <c r="B16" s="846" t="s">
        <v>1581</v>
      </c>
      <c r="C16" s="657"/>
      <c r="D16" s="658"/>
      <c r="E16" s="822"/>
      <c r="F16" s="822"/>
      <c r="G16" s="845"/>
      <c r="H16" s="637"/>
      <c r="I16" s="637"/>
      <c r="J16" s="637"/>
      <c r="K16" s="637"/>
      <c r="L16" s="338"/>
      <c r="M16" s="338"/>
    </row>
    <row r="17" spans="1:13" x14ac:dyDescent="0.2">
      <c r="A17" s="637"/>
      <c r="B17" s="860" t="s">
        <v>1515</v>
      </c>
      <c r="C17" s="657"/>
      <c r="D17" s="658"/>
      <c r="E17" s="658"/>
      <c r="F17" s="658"/>
      <c r="G17" s="854">
        <v>1438.4879999999998</v>
      </c>
      <c r="H17" s="637"/>
      <c r="I17" s="637"/>
      <c r="J17" s="637"/>
      <c r="K17" s="637"/>
      <c r="L17" s="338"/>
      <c r="M17" s="338"/>
    </row>
    <row r="18" spans="1:13" ht="15" thickBot="1" x14ac:dyDescent="0.25">
      <c r="A18" s="637"/>
      <c r="B18" s="1088" t="s">
        <v>1581</v>
      </c>
      <c r="C18" s="657"/>
      <c r="D18" s="658"/>
      <c r="E18" s="658"/>
      <c r="F18" s="658"/>
      <c r="G18" s="862"/>
      <c r="H18" s="637"/>
      <c r="I18" s="637"/>
      <c r="J18" s="637"/>
      <c r="K18" s="637"/>
      <c r="L18" s="338"/>
      <c r="M18" s="338"/>
    </row>
    <row r="19" spans="1:13" ht="15.75" thickTop="1" thickBot="1" x14ac:dyDescent="0.25">
      <c r="A19" s="637"/>
      <c r="B19" s="1078" t="s">
        <v>1670</v>
      </c>
      <c r="C19" s="1075" t="s">
        <v>1531</v>
      </c>
      <c r="D19" s="1076" t="s">
        <v>1533</v>
      </c>
      <c r="E19" s="1077" t="s">
        <v>1532</v>
      </c>
      <c r="F19" s="689"/>
      <c r="G19" s="882"/>
      <c r="H19" s="637"/>
      <c r="I19" s="637"/>
      <c r="J19" s="637"/>
      <c r="K19" s="637"/>
      <c r="L19" s="338"/>
      <c r="M19" s="338"/>
    </row>
    <row r="20" spans="1:13" ht="15" thickTop="1" x14ac:dyDescent="0.2">
      <c r="A20" s="637"/>
      <c r="B20" s="898" t="s">
        <v>1534</v>
      </c>
      <c r="C20" s="902" t="s">
        <v>1181</v>
      </c>
      <c r="D20" s="903" t="s">
        <v>1769</v>
      </c>
      <c r="E20" s="904" t="s">
        <v>1770</v>
      </c>
      <c r="F20" s="689"/>
      <c r="G20" s="893">
        <v>5257.7675000000008</v>
      </c>
      <c r="H20" s="637"/>
      <c r="I20" s="637"/>
      <c r="J20" s="637"/>
      <c r="K20" s="637"/>
      <c r="L20" s="338"/>
      <c r="M20" s="338"/>
    </row>
    <row r="21" spans="1:13" x14ac:dyDescent="0.2">
      <c r="A21" s="637"/>
      <c r="B21" s="898" t="s">
        <v>1650</v>
      </c>
      <c r="C21" s="658"/>
      <c r="D21" s="658"/>
      <c r="E21" s="658"/>
      <c r="F21" s="658"/>
      <c r="G21" s="893">
        <v>1518.04</v>
      </c>
      <c r="H21" s="637"/>
      <c r="I21" s="637"/>
      <c r="J21" s="637"/>
      <c r="K21" s="637"/>
      <c r="L21" s="338"/>
      <c r="M21" s="338"/>
    </row>
    <row r="22" spans="1:13" x14ac:dyDescent="0.2">
      <c r="A22" s="637"/>
      <c r="B22" s="1079" t="s">
        <v>1671</v>
      </c>
      <c r="C22" s="658"/>
      <c r="D22" s="658"/>
      <c r="E22" s="658"/>
      <c r="F22" s="658"/>
      <c r="G22" s="845"/>
      <c r="H22" s="637"/>
      <c r="I22" s="637"/>
      <c r="J22" s="637"/>
      <c r="K22" s="637"/>
      <c r="L22" s="338"/>
      <c r="M22" s="338"/>
    </row>
    <row r="23" spans="1:13" x14ac:dyDescent="0.2">
      <c r="A23" s="637"/>
      <c r="B23" s="1080" t="s">
        <v>1672</v>
      </c>
      <c r="C23" s="657"/>
      <c r="D23" s="658"/>
      <c r="E23" s="658"/>
      <c r="F23" s="658"/>
      <c r="G23" s="882"/>
      <c r="H23" s="637"/>
      <c r="I23" s="637"/>
      <c r="J23" s="637"/>
      <c r="K23" s="637"/>
      <c r="L23" s="338"/>
      <c r="M23" s="338"/>
    </row>
    <row r="24" spans="1:13" x14ac:dyDescent="0.2">
      <c r="A24" s="637"/>
      <c r="B24" s="837" t="s">
        <v>1513</v>
      </c>
      <c r="C24" s="838"/>
      <c r="D24" s="838"/>
      <c r="E24" s="838"/>
      <c r="F24" s="689"/>
      <c r="G24" s="918">
        <v>8214.2955000000002</v>
      </c>
      <c r="H24" s="637"/>
      <c r="I24" s="637"/>
      <c r="J24" s="637"/>
      <c r="K24" s="637"/>
      <c r="L24" s="338"/>
      <c r="M24" s="338"/>
    </row>
    <row r="25" spans="1:13" x14ac:dyDescent="0.2">
      <c r="A25" s="637"/>
      <c r="B25" s="846" t="s">
        <v>1582</v>
      </c>
      <c r="C25" s="930"/>
      <c r="D25" s="931"/>
      <c r="E25" s="658"/>
      <c r="F25" s="658"/>
      <c r="G25" s="926"/>
      <c r="H25" s="637"/>
      <c r="I25" s="637"/>
      <c r="J25" s="637"/>
      <c r="K25" s="637"/>
      <c r="L25" s="338"/>
      <c r="M25" s="338"/>
    </row>
    <row r="26" spans="1:13" x14ac:dyDescent="0.2">
      <c r="A26" s="637"/>
      <c r="B26" s="950" t="s">
        <v>1530</v>
      </c>
      <c r="C26" s="930"/>
      <c r="D26" s="931"/>
      <c r="E26" s="658"/>
      <c r="F26" s="658"/>
      <c r="G26" s="893">
        <v>303.08960000000002</v>
      </c>
      <c r="H26" s="637"/>
      <c r="I26" s="637"/>
      <c r="J26" s="637"/>
      <c r="K26" s="637"/>
      <c r="L26" s="338"/>
      <c r="M26" s="338"/>
    </row>
    <row r="27" spans="1:13" x14ac:dyDescent="0.2">
      <c r="A27" s="637"/>
      <c r="B27" s="964" t="s">
        <v>1771</v>
      </c>
      <c r="C27" s="965"/>
      <c r="D27" s="965"/>
      <c r="E27" s="965"/>
      <c r="F27" s="658"/>
      <c r="G27" s="963">
        <v>303.08960000000002</v>
      </c>
      <c r="H27" s="637"/>
      <c r="I27" s="637"/>
      <c r="J27" s="637"/>
      <c r="K27" s="637"/>
      <c r="L27" s="338"/>
      <c r="M27" s="338"/>
    </row>
    <row r="28" spans="1:13" ht="15" thickBot="1" x14ac:dyDescent="0.25">
      <c r="A28" s="637"/>
      <c r="B28" s="846" t="s">
        <v>1772</v>
      </c>
      <c r="C28" s="930"/>
      <c r="D28" s="931"/>
      <c r="E28" s="658"/>
      <c r="F28" s="658"/>
      <c r="G28" s="966"/>
      <c r="H28" s="637"/>
      <c r="I28" s="637"/>
      <c r="J28" s="637"/>
      <c r="K28" s="637"/>
      <c r="L28" s="338"/>
      <c r="M28" s="338"/>
    </row>
    <row r="29" spans="1:13" ht="15.75" thickTop="1" thickBot="1" x14ac:dyDescent="0.25">
      <c r="A29" s="637"/>
      <c r="B29" s="984" t="s">
        <v>1583</v>
      </c>
      <c r="C29" s="985" t="s">
        <v>1533</v>
      </c>
      <c r="D29" s="658"/>
      <c r="E29" s="658"/>
      <c r="F29" s="658"/>
      <c r="G29" s="982"/>
      <c r="H29" s="637"/>
      <c r="I29" s="637"/>
      <c r="J29" s="637"/>
      <c r="K29" s="637"/>
      <c r="L29" s="338"/>
      <c r="M29" s="338"/>
    </row>
    <row r="30" spans="1:13" ht="15" thickTop="1" x14ac:dyDescent="0.2">
      <c r="A30" s="637"/>
      <c r="B30" s="898" t="s">
        <v>1451</v>
      </c>
      <c r="C30" s="993" t="s">
        <v>1773</v>
      </c>
      <c r="D30" s="994"/>
      <c r="E30" s="658"/>
      <c r="F30" s="658"/>
      <c r="G30" s="991">
        <v>1090.9987200000003</v>
      </c>
      <c r="H30" s="637"/>
      <c r="I30" s="637"/>
      <c r="J30" s="637"/>
      <c r="K30" s="637"/>
      <c r="L30" s="338"/>
      <c r="M30" s="338"/>
    </row>
    <row r="31" spans="1:13" x14ac:dyDescent="0.2">
      <c r="A31" s="637"/>
      <c r="B31" s="964" t="s">
        <v>1766</v>
      </c>
      <c r="C31" s="965"/>
      <c r="D31" s="965"/>
      <c r="E31" s="965"/>
      <c r="F31" s="658"/>
      <c r="G31" s="1004">
        <v>1090.9987200000003</v>
      </c>
      <c r="H31" s="637"/>
      <c r="I31" s="637"/>
      <c r="J31" s="637"/>
      <c r="K31" s="637"/>
      <c r="L31" s="338"/>
      <c r="M31" s="338"/>
    </row>
    <row r="32" spans="1:13" x14ac:dyDescent="0.2">
      <c r="A32" s="637"/>
      <c r="B32" s="846" t="s">
        <v>1767</v>
      </c>
      <c r="C32" s="651"/>
      <c r="D32" s="689"/>
      <c r="E32" s="689"/>
      <c r="F32" s="658"/>
      <c r="G32" s="995"/>
      <c r="H32" s="637"/>
      <c r="I32" s="637"/>
      <c r="J32" s="637"/>
      <c r="K32" s="637"/>
      <c r="L32" s="338"/>
      <c r="M32" s="338"/>
    </row>
    <row r="33" spans="1:13" x14ac:dyDescent="0.2">
      <c r="A33" s="637"/>
      <c r="B33" s="898" t="s">
        <v>1685</v>
      </c>
      <c r="C33" s="651"/>
      <c r="D33" s="689"/>
      <c r="E33" s="689"/>
      <c r="F33" s="658"/>
      <c r="G33" s="991">
        <v>252.75699999999998</v>
      </c>
      <c r="H33" s="637"/>
      <c r="I33" s="637"/>
      <c r="J33" s="637"/>
      <c r="K33" s="637"/>
      <c r="L33" s="338"/>
      <c r="M33" s="338"/>
    </row>
    <row r="34" spans="1:13" x14ac:dyDescent="0.2">
      <c r="A34" s="637"/>
      <c r="B34" s="898" t="s">
        <v>1694</v>
      </c>
      <c r="C34" s="651"/>
      <c r="D34" s="689"/>
      <c r="E34" s="689"/>
      <c r="F34" s="658"/>
      <c r="G34" s="991">
        <v>534.83799999999997</v>
      </c>
      <c r="H34" s="637"/>
      <c r="I34" s="637"/>
      <c r="J34" s="637"/>
      <c r="K34" s="637"/>
      <c r="L34" s="338"/>
      <c r="M34" s="338"/>
    </row>
    <row r="35" spans="1:13" ht="24" x14ac:dyDescent="0.2">
      <c r="A35" s="637"/>
      <c r="B35" s="964" t="s">
        <v>1516</v>
      </c>
      <c r="C35" s="965"/>
      <c r="D35" s="965"/>
      <c r="E35" s="965"/>
      <c r="F35" s="658"/>
      <c r="G35" s="1010">
        <v>787.59499999999991</v>
      </c>
      <c r="H35" s="637"/>
      <c r="I35" s="637"/>
      <c r="J35" s="637"/>
      <c r="K35" s="637"/>
      <c r="L35" s="338"/>
      <c r="M35" s="338"/>
    </row>
    <row r="36" spans="1:13" x14ac:dyDescent="0.2">
      <c r="A36" s="637"/>
      <c r="B36" s="846" t="s">
        <v>1583</v>
      </c>
      <c r="C36" s="657"/>
      <c r="D36" s="658"/>
      <c r="E36" s="658"/>
      <c r="F36" s="658"/>
      <c r="G36" s="986"/>
      <c r="H36" s="637"/>
      <c r="I36" s="637"/>
      <c r="J36" s="637"/>
      <c r="K36" s="637"/>
      <c r="L36" s="338"/>
      <c r="M36" s="338"/>
    </row>
    <row r="37" spans="1:13" ht="22.5" x14ac:dyDescent="0.2">
      <c r="A37" s="637"/>
      <c r="B37" s="898" t="s">
        <v>1774</v>
      </c>
      <c r="C37" s="657"/>
      <c r="D37" s="658"/>
      <c r="E37" s="658"/>
      <c r="F37" s="658"/>
      <c r="G37" s="1018">
        <v>2401.9290000000001</v>
      </c>
      <c r="H37" s="637"/>
      <c r="I37" s="637"/>
      <c r="J37" s="637"/>
      <c r="K37" s="637"/>
      <c r="L37" s="338"/>
      <c r="M37" s="338"/>
    </row>
    <row r="38" spans="1:13" x14ac:dyDescent="0.2">
      <c r="A38" s="637"/>
      <c r="B38" s="898" t="s">
        <v>1775</v>
      </c>
      <c r="C38" s="825"/>
      <c r="D38" s="826"/>
      <c r="E38" s="826"/>
      <c r="F38" s="658"/>
      <c r="G38" s="781">
        <v>2079.2550000000001</v>
      </c>
      <c r="H38" s="637"/>
      <c r="I38" s="637"/>
      <c r="J38" s="637"/>
      <c r="K38" s="637"/>
      <c r="L38" s="338"/>
      <c r="M38" s="338"/>
    </row>
    <row r="39" spans="1:13" x14ac:dyDescent="0.2">
      <c r="A39" s="637"/>
      <c r="B39" s="964" t="s">
        <v>1514</v>
      </c>
      <c r="C39" s="965"/>
      <c r="D39" s="965"/>
      <c r="E39" s="965"/>
      <c r="F39" s="658"/>
      <c r="G39" s="1031">
        <v>4481.1840000000002</v>
      </c>
      <c r="H39" s="637"/>
      <c r="I39" s="637"/>
      <c r="J39" s="637"/>
      <c r="K39" s="637"/>
      <c r="L39" s="338"/>
      <c r="M39" s="338"/>
    </row>
    <row r="40" spans="1:13" ht="15" thickBot="1" x14ac:dyDescent="0.25">
      <c r="A40" s="637"/>
      <c r="B40" s="1040" t="s">
        <v>1584</v>
      </c>
      <c r="C40" s="1041"/>
      <c r="D40" s="900"/>
      <c r="E40" s="900"/>
      <c r="F40" s="900"/>
      <c r="G40" s="1037"/>
      <c r="H40" s="637"/>
      <c r="I40" s="637"/>
      <c r="J40" s="637"/>
      <c r="K40" s="637"/>
      <c r="L40" s="338"/>
      <c r="M40" s="338"/>
    </row>
    <row r="41" spans="1:13" ht="20.100000000000001" customHeight="1" thickTop="1" thickBot="1" x14ac:dyDescent="0.25">
      <c r="A41" s="637"/>
      <c r="B41" s="1043" t="s">
        <v>629</v>
      </c>
      <c r="C41" s="1043"/>
      <c r="D41" s="1043"/>
      <c r="E41" s="1043"/>
      <c r="F41" s="1044"/>
      <c r="G41" s="1042">
        <v>15603.382507499999</v>
      </c>
      <c r="H41" s="637"/>
      <c r="I41" s="637"/>
      <c r="J41" s="637"/>
      <c r="K41" s="637"/>
      <c r="L41" s="338"/>
      <c r="M41" s="338"/>
    </row>
    <row r="42" spans="1:13" ht="20.100000000000001" customHeight="1" thickTop="1" x14ac:dyDescent="0.2">
      <c r="A42" s="637"/>
      <c r="B42" s="1054" t="s">
        <v>630</v>
      </c>
      <c r="C42" s="1055" t="s">
        <v>1776</v>
      </c>
      <c r="D42" s="1056"/>
      <c r="E42" s="1057">
        <v>3120.6765014999983</v>
      </c>
      <c r="F42" s="658"/>
      <c r="G42" s="1045">
        <v>18724.059008999997</v>
      </c>
      <c r="H42" s="637"/>
      <c r="I42" s="637"/>
      <c r="J42" s="637"/>
      <c r="K42" s="637"/>
      <c r="L42" s="338"/>
      <c r="M42" s="338"/>
    </row>
    <row r="43" spans="1:13" ht="20.100000000000001" customHeight="1" x14ac:dyDescent="0.2">
      <c r="A43" s="637"/>
      <c r="B43" s="846" t="s">
        <v>225</v>
      </c>
      <c r="C43" s="657"/>
      <c r="D43" s="658"/>
      <c r="E43" s="658"/>
      <c r="F43" s="658"/>
      <c r="G43" s="1217"/>
      <c r="H43" s="637"/>
      <c r="I43" s="637"/>
      <c r="J43" s="637"/>
      <c r="K43" s="637"/>
      <c r="L43" s="338"/>
      <c r="M43" s="338"/>
    </row>
  </sheetData>
  <mergeCells count="7">
    <mergeCell ref="C6:E6"/>
    <mergeCell ref="K10:K11"/>
    <mergeCell ref="B10:E11"/>
    <mergeCell ref="G10:G11"/>
    <mergeCell ref="H10:H11"/>
    <mergeCell ref="I10:I11"/>
    <mergeCell ref="J10:J11"/>
  </mergeCells>
  <dataValidations count="1">
    <dataValidation type="list" allowBlank="1" showInputMessage="1" showErrorMessage="1" promptTitle="Nom du client" prompt="Choisir le client concerné par la simulation" sqref="C2" xr:uid="{00000000-0002-0000-3100-000000000000}">
      <formula1>OFFSET(Noms_Clients,MATCH(A2&amp;"*",Noms_Clients,0)-1,,COUNTIF(Noms_Clients,A2&amp;"*"))</formula1>
    </dataValidation>
  </dataValidations>
  <hyperlinks>
    <hyperlink ref="B7" r:id="rId1" xr:uid="{00000000-0004-0000-3100-000000000000}"/>
  </hyperlinks>
  <pageMargins left="0.7" right="0.7" top="0.75" bottom="0.75" header="0.3" footer="0.3"/>
  <pageSetup paperSize="9" scale="69" orientation="portrait" r:id="rId2"/>
  <colBreaks count="1" manualBreakCount="1">
    <brk id="1" max="1048575" man="1"/>
  </colBreaks>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ublished="0" codeName="Feuil47"/>
  <dimension ref="A1:J41"/>
  <sheetViews>
    <sheetView workbookViewId="0">
      <selection activeCell="P6" sqref="P6"/>
    </sheetView>
  </sheetViews>
  <sheetFormatPr baseColWidth="10" defaultRowHeight="14.25" x14ac:dyDescent="0.2"/>
  <cols>
    <col min="2" max="2" width="28.625" customWidth="1"/>
    <col min="4" max="4" width="13.5" customWidth="1"/>
    <col min="8" max="9" width="15" customWidth="1"/>
  </cols>
  <sheetData>
    <row r="1" spans="1:10" x14ac:dyDescent="0.2">
      <c r="H1" s="345"/>
      <c r="I1" s="345"/>
    </row>
    <row r="2" spans="1:10" ht="57" customHeight="1" x14ac:dyDescent="0.2">
      <c r="B2" s="319" t="s">
        <v>1083</v>
      </c>
      <c r="C2" s="1544" t="s">
        <v>1084</v>
      </c>
      <c r="D2" s="1545"/>
      <c r="E2" s="1546"/>
      <c r="H2" s="345" t="s">
        <v>1138</v>
      </c>
      <c r="I2" s="345" t="s">
        <v>1139</v>
      </c>
    </row>
    <row r="3" spans="1:10" ht="18.75" x14ac:dyDescent="0.2">
      <c r="B3" s="319" t="s">
        <v>1085</v>
      </c>
      <c r="C3" s="396" t="s">
        <v>1086</v>
      </c>
      <c r="D3" s="397" t="s">
        <v>1135</v>
      </c>
      <c r="E3" s="396" t="s">
        <v>1087</v>
      </c>
      <c r="F3" s="398" t="s">
        <v>1134</v>
      </c>
      <c r="G3" s="396" t="s">
        <v>1136</v>
      </c>
      <c r="H3" s="396" t="s">
        <v>1137</v>
      </c>
      <c r="I3" s="396" t="s">
        <v>1137</v>
      </c>
      <c r="J3" s="396" t="s">
        <v>1122</v>
      </c>
    </row>
    <row r="4" spans="1:10" ht="30.75" customHeight="1" x14ac:dyDescent="0.2">
      <c r="B4" s="395" t="s">
        <v>1088</v>
      </c>
      <c r="C4" s="322">
        <v>4.1500000000000004</v>
      </c>
      <c r="D4" s="322">
        <v>3.9</v>
      </c>
      <c r="E4" s="322"/>
      <c r="F4" s="399">
        <f>AVERAGE(C4:E4)</f>
        <v>4.0250000000000004</v>
      </c>
      <c r="G4" s="322">
        <v>1</v>
      </c>
      <c r="H4" s="322">
        <v>10.39</v>
      </c>
      <c r="I4" s="322">
        <v>5.2</v>
      </c>
      <c r="J4" s="322">
        <v>0.2</v>
      </c>
    </row>
    <row r="5" spans="1:10" ht="25.35" customHeight="1" x14ac:dyDescent="0.2">
      <c r="B5" s="395" t="s">
        <v>1089</v>
      </c>
      <c r="C5" s="322"/>
      <c r="D5" s="322">
        <v>6.35</v>
      </c>
      <c r="E5" s="322">
        <v>6.35</v>
      </c>
      <c r="F5" s="399">
        <f t="shared" ref="F5:F28" si="0">AVERAGE(C5:E5)</f>
        <v>6.35</v>
      </c>
      <c r="G5" s="322">
        <v>1</v>
      </c>
      <c r="H5" s="322">
        <v>10.39</v>
      </c>
      <c r="I5" s="322">
        <v>5.2</v>
      </c>
      <c r="J5" s="322">
        <v>0.2</v>
      </c>
    </row>
    <row r="6" spans="1:10" ht="45.75" customHeight="1" x14ac:dyDescent="0.2">
      <c r="B6" s="395" t="s">
        <v>1090</v>
      </c>
      <c r="C6" s="322">
        <v>17.8</v>
      </c>
      <c r="D6" s="322">
        <v>13.9</v>
      </c>
      <c r="E6" s="322">
        <v>13.9</v>
      </c>
      <c r="F6" s="399">
        <f t="shared" si="0"/>
        <v>15.200000000000001</v>
      </c>
      <c r="G6" s="322">
        <v>1</v>
      </c>
      <c r="H6" s="322">
        <v>10.39</v>
      </c>
      <c r="I6" s="322">
        <v>5.2</v>
      </c>
      <c r="J6" s="322">
        <v>0.2</v>
      </c>
    </row>
    <row r="7" spans="1:10" ht="48" customHeight="1" x14ac:dyDescent="0.2">
      <c r="A7" s="1538" t="s">
        <v>1091</v>
      </c>
      <c r="B7" s="395" t="s">
        <v>1092</v>
      </c>
      <c r="C7" s="322">
        <v>4.95</v>
      </c>
      <c r="D7" s="322">
        <v>4.8</v>
      </c>
      <c r="E7" s="322">
        <v>5.95</v>
      </c>
      <c r="F7" s="399">
        <f t="shared" si="0"/>
        <v>5.2333333333333334</v>
      </c>
      <c r="G7" s="322">
        <v>1</v>
      </c>
      <c r="H7" s="322">
        <v>10.39</v>
      </c>
      <c r="I7" s="322">
        <v>5.2</v>
      </c>
      <c r="J7" s="322">
        <v>0.2</v>
      </c>
    </row>
    <row r="8" spans="1:10" ht="30.75" customHeight="1" x14ac:dyDescent="0.2">
      <c r="A8" s="1539"/>
      <c r="B8" s="395" t="s">
        <v>1093</v>
      </c>
      <c r="C8" s="322">
        <v>4.75</v>
      </c>
      <c r="D8" s="322">
        <v>4.75</v>
      </c>
      <c r="E8" s="322">
        <v>5.9</v>
      </c>
      <c r="F8" s="399">
        <f t="shared" si="0"/>
        <v>5.1333333333333337</v>
      </c>
      <c r="G8" s="322">
        <v>1</v>
      </c>
      <c r="H8" s="322">
        <v>10.39</v>
      </c>
      <c r="I8" s="322">
        <v>5.2</v>
      </c>
      <c r="J8" s="322">
        <v>0.2</v>
      </c>
    </row>
    <row r="9" spans="1:10" ht="48" customHeight="1" x14ac:dyDescent="0.2">
      <c r="A9" s="1539"/>
      <c r="B9" s="395" t="s">
        <v>1094</v>
      </c>
      <c r="C9" s="322">
        <v>5.95</v>
      </c>
      <c r="D9" s="322">
        <v>5.85</v>
      </c>
      <c r="E9" s="322"/>
      <c r="F9" s="399">
        <f t="shared" si="0"/>
        <v>5.9</v>
      </c>
      <c r="G9" s="322">
        <v>1</v>
      </c>
      <c r="H9" s="322">
        <v>10.39</v>
      </c>
      <c r="I9" s="322">
        <v>5.2</v>
      </c>
      <c r="J9" s="322">
        <v>0.2</v>
      </c>
    </row>
    <row r="10" spans="1:10" ht="48" customHeight="1" x14ac:dyDescent="0.2">
      <c r="A10" s="1539"/>
      <c r="B10" s="395" t="s">
        <v>1095</v>
      </c>
      <c r="C10" s="322">
        <v>6.05</v>
      </c>
      <c r="D10" s="322">
        <v>5.9</v>
      </c>
      <c r="E10" s="322"/>
      <c r="F10" s="399">
        <f t="shared" si="0"/>
        <v>5.9749999999999996</v>
      </c>
      <c r="G10" s="322">
        <v>1</v>
      </c>
      <c r="H10" s="400">
        <v>10.39</v>
      </c>
      <c r="I10" s="322">
        <v>5.2</v>
      </c>
      <c r="J10" s="322">
        <v>0.2</v>
      </c>
    </row>
    <row r="11" spans="1:10" ht="48" customHeight="1" x14ac:dyDescent="0.2">
      <c r="A11" s="1539"/>
      <c r="B11" s="395" t="s">
        <v>1096</v>
      </c>
      <c r="C11" s="322"/>
      <c r="D11" s="322"/>
      <c r="E11" s="322">
        <v>6.9</v>
      </c>
      <c r="F11" s="399">
        <f t="shared" si="0"/>
        <v>6.9</v>
      </c>
      <c r="G11" s="322">
        <v>1</v>
      </c>
      <c r="H11" s="400">
        <v>10.39</v>
      </c>
      <c r="I11" s="322">
        <v>5.2</v>
      </c>
      <c r="J11" s="322">
        <v>0.2</v>
      </c>
    </row>
    <row r="12" spans="1:10" ht="30.75" customHeight="1" x14ac:dyDescent="0.2">
      <c r="A12" s="1539"/>
      <c r="B12" s="395" t="s">
        <v>1097</v>
      </c>
      <c r="C12" s="322"/>
      <c r="D12" s="322">
        <v>6.95</v>
      </c>
      <c r="E12" s="322">
        <v>6.95</v>
      </c>
      <c r="F12" s="399">
        <f t="shared" si="0"/>
        <v>6.95</v>
      </c>
      <c r="G12" s="322">
        <v>1</v>
      </c>
      <c r="H12" s="400">
        <v>10.39</v>
      </c>
      <c r="I12" s="322">
        <v>5.2</v>
      </c>
      <c r="J12" s="322">
        <v>0.2</v>
      </c>
    </row>
    <row r="13" spans="1:10" ht="30.75" customHeight="1" x14ac:dyDescent="0.2">
      <c r="A13" s="1540"/>
      <c r="B13" s="395" t="s">
        <v>1098</v>
      </c>
      <c r="C13" s="322"/>
      <c r="D13" s="322">
        <v>6.95</v>
      </c>
      <c r="E13" s="322"/>
      <c r="F13" s="399">
        <f t="shared" si="0"/>
        <v>6.95</v>
      </c>
      <c r="G13" s="322">
        <v>1</v>
      </c>
      <c r="H13" s="400">
        <v>10.39</v>
      </c>
      <c r="I13" s="322">
        <v>5.2</v>
      </c>
      <c r="J13" s="322">
        <v>0.2</v>
      </c>
    </row>
    <row r="14" spans="1:10" ht="45.75" customHeight="1" x14ac:dyDescent="0.2">
      <c r="A14" s="1538" t="s">
        <v>1099</v>
      </c>
      <c r="B14" s="395" t="s">
        <v>1100</v>
      </c>
      <c r="C14" s="322">
        <v>9.5</v>
      </c>
      <c r="D14" s="322"/>
      <c r="E14" s="322"/>
      <c r="F14" s="399">
        <f t="shared" si="0"/>
        <v>9.5</v>
      </c>
      <c r="G14" s="322">
        <v>1</v>
      </c>
      <c r="H14" s="400">
        <v>10.39</v>
      </c>
      <c r="I14" s="322">
        <v>5.2</v>
      </c>
      <c r="J14" s="322">
        <v>0.2</v>
      </c>
    </row>
    <row r="15" spans="1:10" ht="63.75" customHeight="1" x14ac:dyDescent="0.2">
      <c r="A15" s="1539"/>
      <c r="B15" s="395" t="s">
        <v>1101</v>
      </c>
      <c r="C15" s="322">
        <v>7.75</v>
      </c>
      <c r="D15" s="322">
        <v>7.95</v>
      </c>
      <c r="E15" s="322"/>
      <c r="F15" s="399">
        <f t="shared" si="0"/>
        <v>7.85</v>
      </c>
      <c r="G15" s="322">
        <v>1</v>
      </c>
      <c r="H15" s="400">
        <v>10.39</v>
      </c>
      <c r="I15" s="322">
        <v>5.2</v>
      </c>
      <c r="J15" s="322">
        <v>0.2</v>
      </c>
    </row>
    <row r="16" spans="1:10" ht="30.75" customHeight="1" x14ac:dyDescent="0.2">
      <c r="A16" s="1539"/>
      <c r="B16" s="395" t="s">
        <v>1102</v>
      </c>
      <c r="C16" s="322">
        <v>8.1999999999999993</v>
      </c>
      <c r="D16" s="322">
        <v>8.1999999999999993</v>
      </c>
      <c r="E16" s="322"/>
      <c r="F16" s="399">
        <f t="shared" si="0"/>
        <v>8.1999999999999993</v>
      </c>
      <c r="G16" s="322">
        <v>1</v>
      </c>
      <c r="H16" s="400">
        <v>10.39</v>
      </c>
      <c r="I16" s="322">
        <v>5.2</v>
      </c>
      <c r="J16" s="322">
        <v>0.2</v>
      </c>
    </row>
    <row r="17" spans="1:10" ht="30.75" customHeight="1" x14ac:dyDescent="0.2">
      <c r="A17" s="1539"/>
      <c r="B17" s="395" t="s">
        <v>1103</v>
      </c>
      <c r="C17" s="322">
        <v>7.65</v>
      </c>
      <c r="D17" s="322">
        <v>7.65</v>
      </c>
      <c r="E17" s="322">
        <v>7.65</v>
      </c>
      <c r="F17" s="399">
        <f t="shared" si="0"/>
        <v>7.6500000000000012</v>
      </c>
      <c r="G17" s="322">
        <v>1</v>
      </c>
      <c r="H17" s="400">
        <v>10.39</v>
      </c>
      <c r="I17" s="322">
        <v>5.2</v>
      </c>
      <c r="J17" s="322">
        <v>0.2</v>
      </c>
    </row>
    <row r="18" spans="1:10" ht="30.75" customHeight="1" x14ac:dyDescent="0.2">
      <c r="A18" s="1539"/>
      <c r="B18" s="395" t="s">
        <v>1104</v>
      </c>
      <c r="C18" s="322">
        <v>7.25</v>
      </c>
      <c r="D18" s="322">
        <v>7.25</v>
      </c>
      <c r="E18" s="322">
        <v>7.25</v>
      </c>
      <c r="F18" s="399">
        <f t="shared" si="0"/>
        <v>7.25</v>
      </c>
      <c r="G18" s="322">
        <v>1</v>
      </c>
      <c r="H18" s="400">
        <v>10.39</v>
      </c>
      <c r="I18" s="322">
        <v>5.2</v>
      </c>
      <c r="J18" s="322">
        <v>0.2</v>
      </c>
    </row>
    <row r="19" spans="1:10" ht="15" customHeight="1" x14ac:dyDescent="0.2">
      <c r="A19" s="1539"/>
      <c r="B19" s="395" t="s">
        <v>1105</v>
      </c>
      <c r="C19" s="322">
        <v>9.0500000000000007</v>
      </c>
      <c r="D19" s="322">
        <v>9.0500000000000007</v>
      </c>
      <c r="E19" s="322"/>
      <c r="F19" s="399">
        <f t="shared" si="0"/>
        <v>9.0500000000000007</v>
      </c>
      <c r="G19" s="322">
        <v>1</v>
      </c>
      <c r="H19" s="400">
        <v>10.39</v>
      </c>
      <c r="I19" s="322">
        <v>5.2</v>
      </c>
      <c r="J19" s="322">
        <v>0.2</v>
      </c>
    </row>
    <row r="20" spans="1:10" ht="15" customHeight="1" x14ac:dyDescent="0.2">
      <c r="A20" s="1539"/>
      <c r="B20" s="395" t="s">
        <v>1106</v>
      </c>
      <c r="C20" s="322">
        <v>9.0500000000000007</v>
      </c>
      <c r="D20" s="322">
        <v>9.0500000000000007</v>
      </c>
      <c r="E20" s="322">
        <v>9.0500000000000007</v>
      </c>
      <c r="F20" s="399">
        <f t="shared" si="0"/>
        <v>9.0500000000000007</v>
      </c>
      <c r="G20" s="322">
        <v>1</v>
      </c>
      <c r="H20" s="400">
        <v>10.39</v>
      </c>
      <c r="I20" s="322">
        <v>5.2</v>
      </c>
      <c r="J20" s="322">
        <v>0.2</v>
      </c>
    </row>
    <row r="21" spans="1:10" ht="32.25" customHeight="1" x14ac:dyDescent="0.2">
      <c r="A21" s="1540"/>
      <c r="B21" s="395" t="s">
        <v>1107</v>
      </c>
      <c r="C21" s="322">
        <v>9.35</v>
      </c>
      <c r="D21" s="322">
        <v>9.35</v>
      </c>
      <c r="E21" s="322"/>
      <c r="F21" s="399">
        <f t="shared" si="0"/>
        <v>9.35</v>
      </c>
      <c r="G21" s="322">
        <v>1</v>
      </c>
      <c r="H21" s="400">
        <v>10.39</v>
      </c>
      <c r="I21" s="322">
        <v>5.2</v>
      </c>
      <c r="J21" s="322">
        <v>0.2</v>
      </c>
    </row>
    <row r="22" spans="1:10" ht="45.75" customHeight="1" x14ac:dyDescent="0.2">
      <c r="A22" s="1541" t="s">
        <v>1108</v>
      </c>
      <c r="B22" s="395" t="s">
        <v>1109</v>
      </c>
      <c r="C22" s="322">
        <v>17.55</v>
      </c>
      <c r="D22" s="322"/>
      <c r="E22" s="322"/>
      <c r="F22" s="399">
        <f t="shared" si="0"/>
        <v>17.55</v>
      </c>
      <c r="G22" s="322">
        <v>1</v>
      </c>
      <c r="H22" s="400">
        <v>10.39</v>
      </c>
      <c r="I22" s="322">
        <v>5.2</v>
      </c>
      <c r="J22" s="322">
        <v>0.2</v>
      </c>
    </row>
    <row r="23" spans="1:10" ht="45.75" customHeight="1" x14ac:dyDescent="0.2">
      <c r="A23" s="1542"/>
      <c r="B23" s="395" t="s">
        <v>1110</v>
      </c>
      <c r="C23" s="322">
        <v>13.4</v>
      </c>
      <c r="D23" s="322">
        <v>12.8</v>
      </c>
      <c r="E23" s="322"/>
      <c r="F23" s="399">
        <f t="shared" si="0"/>
        <v>13.100000000000001</v>
      </c>
      <c r="G23" s="322">
        <v>1</v>
      </c>
      <c r="H23" s="400">
        <v>10.39</v>
      </c>
      <c r="I23" s="322">
        <v>5.2</v>
      </c>
      <c r="J23" s="322">
        <v>0.2</v>
      </c>
    </row>
    <row r="24" spans="1:10" ht="32.25" customHeight="1" x14ac:dyDescent="0.2">
      <c r="A24" s="1542"/>
      <c r="B24" s="395" t="s">
        <v>1111</v>
      </c>
      <c r="C24" s="322">
        <v>17.75</v>
      </c>
      <c r="D24" s="322"/>
      <c r="E24" s="322"/>
      <c r="F24" s="399">
        <f t="shared" si="0"/>
        <v>17.75</v>
      </c>
      <c r="G24" s="322">
        <v>1</v>
      </c>
      <c r="H24" s="400">
        <v>10.39</v>
      </c>
      <c r="I24" s="322">
        <v>5.2</v>
      </c>
      <c r="J24" s="322">
        <v>0.2</v>
      </c>
    </row>
    <row r="25" spans="1:10" ht="32.25" customHeight="1" x14ac:dyDescent="0.2">
      <c r="A25" s="1542"/>
      <c r="B25" s="395" t="s">
        <v>1112</v>
      </c>
      <c r="C25" s="322">
        <v>13.4</v>
      </c>
      <c r="D25" s="322">
        <v>12.8</v>
      </c>
      <c r="E25" s="322"/>
      <c r="F25" s="399">
        <f t="shared" si="0"/>
        <v>13.100000000000001</v>
      </c>
      <c r="G25" s="322">
        <v>1</v>
      </c>
      <c r="H25" s="400">
        <v>10.39</v>
      </c>
      <c r="I25" s="322">
        <v>5.2</v>
      </c>
      <c r="J25" s="322">
        <v>0.2</v>
      </c>
    </row>
    <row r="26" spans="1:10" ht="48" customHeight="1" x14ac:dyDescent="0.2">
      <c r="A26" s="1542"/>
      <c r="B26" s="395" t="s">
        <v>1113</v>
      </c>
      <c r="C26" s="322">
        <v>13.4</v>
      </c>
      <c r="D26" s="322">
        <v>12.8</v>
      </c>
      <c r="E26" s="322">
        <v>13.95</v>
      </c>
      <c r="F26" s="399">
        <f t="shared" si="0"/>
        <v>13.383333333333335</v>
      </c>
      <c r="G26" s="322">
        <v>1</v>
      </c>
      <c r="H26" s="400">
        <v>10.39</v>
      </c>
      <c r="I26" s="322">
        <v>5.2</v>
      </c>
      <c r="J26" s="322">
        <v>0.2</v>
      </c>
    </row>
    <row r="27" spans="1:10" ht="32.25" customHeight="1" x14ac:dyDescent="0.2">
      <c r="A27" s="1542"/>
      <c r="B27" s="395" t="s">
        <v>1114</v>
      </c>
      <c r="C27" s="322">
        <v>13.4</v>
      </c>
      <c r="D27" s="322">
        <v>12.8</v>
      </c>
      <c r="E27" s="322">
        <v>13.95</v>
      </c>
      <c r="F27" s="399">
        <f t="shared" si="0"/>
        <v>13.383333333333335</v>
      </c>
      <c r="G27" s="322">
        <v>1</v>
      </c>
      <c r="H27" s="400">
        <v>10.39</v>
      </c>
      <c r="I27" s="322">
        <v>5.2</v>
      </c>
      <c r="J27" s="322">
        <v>0.2</v>
      </c>
    </row>
    <row r="28" spans="1:10" ht="45.75" customHeight="1" x14ac:dyDescent="0.2">
      <c r="A28" s="1542"/>
      <c r="B28" s="395" t="s">
        <v>1115</v>
      </c>
      <c r="C28" s="322">
        <v>13.4</v>
      </c>
      <c r="D28" s="322">
        <v>12.8</v>
      </c>
      <c r="E28" s="322"/>
      <c r="F28" s="399">
        <f t="shared" si="0"/>
        <v>13.100000000000001</v>
      </c>
      <c r="G28" s="322">
        <v>1</v>
      </c>
      <c r="H28" s="400">
        <v>10.39</v>
      </c>
      <c r="I28" s="322">
        <v>5.2</v>
      </c>
      <c r="J28" s="322">
        <v>0.2</v>
      </c>
    </row>
    <row r="29" spans="1:10" ht="60.75" customHeight="1" x14ac:dyDescent="0.2">
      <c r="A29" s="1542"/>
      <c r="B29" s="395" t="s">
        <v>1116</v>
      </c>
      <c r="C29" s="322">
        <v>23.6</v>
      </c>
      <c r="D29" s="322"/>
      <c r="E29" s="322">
        <v>23.6</v>
      </c>
      <c r="F29" s="399"/>
      <c r="G29" s="322">
        <v>1</v>
      </c>
      <c r="H29" s="400">
        <v>10.39</v>
      </c>
      <c r="I29" s="322">
        <v>5.2</v>
      </c>
      <c r="J29" s="322">
        <v>0.2</v>
      </c>
    </row>
    <row r="30" spans="1:10" ht="63.75" customHeight="1" x14ac:dyDescent="0.2">
      <c r="A30" s="1542"/>
      <c r="B30" s="395" t="s">
        <v>1117</v>
      </c>
      <c r="C30" s="322">
        <v>25.9</v>
      </c>
      <c r="D30" s="322"/>
      <c r="E30" s="322">
        <v>25.9</v>
      </c>
      <c r="F30" s="399"/>
      <c r="G30" s="322">
        <v>1</v>
      </c>
      <c r="H30" s="400">
        <v>10.39</v>
      </c>
      <c r="I30" s="322">
        <v>5.2</v>
      </c>
      <c r="J30" s="322">
        <v>0.2</v>
      </c>
    </row>
    <row r="31" spans="1:10" ht="60.75" customHeight="1" x14ac:dyDescent="0.2">
      <c r="A31" s="1542"/>
      <c r="B31" s="395" t="s">
        <v>1118</v>
      </c>
      <c r="C31" s="322"/>
      <c r="D31" s="322"/>
      <c r="E31" s="322">
        <v>25.9</v>
      </c>
      <c r="F31" s="399"/>
      <c r="G31" s="322">
        <v>1</v>
      </c>
      <c r="H31" s="400">
        <v>10.39</v>
      </c>
      <c r="I31" s="322">
        <v>5.2</v>
      </c>
      <c r="J31" s="322">
        <v>0.2</v>
      </c>
    </row>
    <row r="32" spans="1:10" ht="30.75" customHeight="1" x14ac:dyDescent="0.2">
      <c r="A32" s="1542"/>
      <c r="B32" s="395" t="s">
        <v>1119</v>
      </c>
      <c r="C32" s="322"/>
      <c r="D32" s="322">
        <v>30.25</v>
      </c>
      <c r="E32" s="322">
        <v>30.25</v>
      </c>
      <c r="F32" s="399"/>
      <c r="G32" s="322">
        <v>1</v>
      </c>
      <c r="H32" s="400">
        <v>10.39</v>
      </c>
      <c r="I32" s="322">
        <v>5.2</v>
      </c>
      <c r="J32" s="322">
        <v>0.2</v>
      </c>
    </row>
    <row r="33" spans="1:10" ht="30.75" customHeight="1" x14ac:dyDescent="0.2">
      <c r="A33" s="1543"/>
      <c r="B33" s="395" t="s">
        <v>1120</v>
      </c>
      <c r="C33" s="322"/>
      <c r="D33" s="322">
        <v>34.35</v>
      </c>
      <c r="E33" s="322">
        <v>34.35</v>
      </c>
      <c r="F33" s="399"/>
      <c r="G33" s="322">
        <v>1</v>
      </c>
      <c r="H33" s="400">
        <v>10.39</v>
      </c>
      <c r="I33" s="322">
        <v>5.2</v>
      </c>
      <c r="J33" s="322">
        <v>0.2</v>
      </c>
    </row>
    <row r="34" spans="1:10" x14ac:dyDescent="0.2">
      <c r="B34" s="395"/>
      <c r="C34" s="322"/>
      <c r="D34" s="322"/>
      <c r="E34" s="322"/>
      <c r="F34" s="399"/>
      <c r="G34" s="322"/>
      <c r="H34" s="400">
        <v>10.39</v>
      </c>
      <c r="I34" s="322">
        <v>5.2</v>
      </c>
      <c r="J34" s="322"/>
    </row>
    <row r="35" spans="1:10" x14ac:dyDescent="0.2">
      <c r="B35" s="395" t="s">
        <v>1121</v>
      </c>
      <c r="C35" s="322">
        <v>4.8</v>
      </c>
      <c r="D35" s="322">
        <v>5.8</v>
      </c>
      <c r="E35" s="322">
        <v>4.2</v>
      </c>
      <c r="F35" s="399"/>
      <c r="G35" s="322"/>
      <c r="H35" s="400">
        <v>10.39</v>
      </c>
      <c r="I35" s="322">
        <v>5.2</v>
      </c>
      <c r="J35" s="322"/>
    </row>
    <row r="36" spans="1:10" x14ac:dyDescent="0.2">
      <c r="B36" s="395" t="s">
        <v>1122</v>
      </c>
      <c r="C36" s="322">
        <v>0.2</v>
      </c>
      <c r="D36" s="322">
        <v>0.2</v>
      </c>
      <c r="E36" s="322">
        <v>0.2</v>
      </c>
      <c r="F36" s="399"/>
      <c r="G36" s="322"/>
      <c r="H36" s="400">
        <v>10.39</v>
      </c>
      <c r="I36" s="322">
        <v>5.2</v>
      </c>
      <c r="J36" s="322"/>
    </row>
    <row r="37" spans="1:10" x14ac:dyDescent="0.2">
      <c r="B37" s="395" t="s">
        <v>1123</v>
      </c>
      <c r="C37" s="322"/>
      <c r="D37" s="322"/>
      <c r="E37" s="322"/>
      <c r="F37" s="399"/>
      <c r="G37" s="322"/>
      <c r="H37" s="400">
        <v>10.39</v>
      </c>
      <c r="I37" s="322">
        <v>5.2</v>
      </c>
      <c r="J37" s="322"/>
    </row>
    <row r="38" spans="1:10" ht="60.75" customHeight="1" x14ac:dyDescent="0.2">
      <c r="B38" s="394" t="s">
        <v>1124</v>
      </c>
      <c r="C38" s="322" t="s">
        <v>1125</v>
      </c>
      <c r="D38" s="322"/>
      <c r="E38" s="322" t="s">
        <v>1126</v>
      </c>
      <c r="F38" s="399"/>
      <c r="G38" s="322"/>
      <c r="H38" s="322"/>
      <c r="I38" s="322"/>
      <c r="J38" s="322"/>
    </row>
    <row r="39" spans="1:10" ht="60.75" customHeight="1" x14ac:dyDescent="0.2">
      <c r="B39" s="394" t="s">
        <v>1124</v>
      </c>
      <c r="C39" s="322" t="s">
        <v>1127</v>
      </c>
      <c r="D39" s="322"/>
      <c r="E39" s="322" t="s">
        <v>1128</v>
      </c>
      <c r="F39" s="399"/>
      <c r="G39" s="322"/>
      <c r="H39" s="322"/>
      <c r="I39" s="322"/>
      <c r="J39" s="322"/>
    </row>
    <row r="40" spans="1:10" ht="60.75" customHeight="1" x14ac:dyDescent="0.2">
      <c r="B40" s="394" t="s">
        <v>1124</v>
      </c>
      <c r="C40" s="322" t="s">
        <v>1129</v>
      </c>
      <c r="D40" s="322"/>
      <c r="E40" s="322" t="s">
        <v>1130</v>
      </c>
      <c r="F40" s="399"/>
      <c r="G40" s="322"/>
      <c r="H40" s="322"/>
      <c r="I40" s="322"/>
      <c r="J40" s="322"/>
    </row>
    <row r="41" spans="1:10" ht="60.75" customHeight="1" x14ac:dyDescent="0.2">
      <c r="B41" s="394" t="s">
        <v>1131</v>
      </c>
      <c r="C41" s="322" t="s">
        <v>1132</v>
      </c>
      <c r="D41" s="322"/>
      <c r="E41" s="322" t="s">
        <v>1133</v>
      </c>
      <c r="F41" s="399"/>
      <c r="G41" s="322"/>
      <c r="H41" s="322"/>
      <c r="I41" s="322"/>
      <c r="J41" s="322"/>
    </row>
  </sheetData>
  <mergeCells count="4">
    <mergeCell ref="A14:A21"/>
    <mergeCell ref="A7:A13"/>
    <mergeCell ref="A22:A33"/>
    <mergeCell ref="C2:E2"/>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ublished="0" codeName="Feuil4"/>
  <dimension ref="A1:K585"/>
  <sheetViews>
    <sheetView zoomScale="60" zoomScaleNormal="60" workbookViewId="0">
      <pane ySplit="1" topLeftCell="A370" activePane="bottomLeft" state="frozen"/>
      <selection pane="bottomLeft" activeCell="D394" sqref="D394"/>
    </sheetView>
  </sheetViews>
  <sheetFormatPr baseColWidth="10" defaultRowHeight="14.25" x14ac:dyDescent="0.2"/>
  <cols>
    <col min="1" max="1" width="56.125" bestFit="1" customWidth="1"/>
    <col min="2" max="2" width="30.125" customWidth="1"/>
    <col min="3" max="3" width="23.5" bestFit="1" customWidth="1"/>
    <col min="4" max="4" width="25.625" bestFit="1" customWidth="1"/>
    <col min="5" max="5" width="25.625" customWidth="1"/>
    <col min="6" max="6" width="41.125" customWidth="1"/>
    <col min="7" max="7" width="20.125" customWidth="1"/>
    <col min="8" max="8" width="11" customWidth="1"/>
    <col min="9" max="9" width="46.625" customWidth="1"/>
    <col min="10" max="10" width="30.125" customWidth="1"/>
    <col min="11" max="228" width="11" customWidth="1"/>
  </cols>
  <sheetData>
    <row r="1" spans="1:11" ht="119.1" customHeight="1" x14ac:dyDescent="0.2">
      <c r="A1" s="319" t="s">
        <v>234</v>
      </c>
      <c r="B1" s="319" t="s">
        <v>235</v>
      </c>
      <c r="C1" s="320" t="s">
        <v>237</v>
      </c>
      <c r="D1" s="328" t="s">
        <v>950</v>
      </c>
      <c r="E1" s="344" t="s">
        <v>1061</v>
      </c>
      <c r="F1" s="333" t="s">
        <v>949</v>
      </c>
      <c r="G1" s="333" t="s">
        <v>948</v>
      </c>
      <c r="H1" s="567" t="s">
        <v>960</v>
      </c>
      <c r="I1" s="567" t="s">
        <v>1511</v>
      </c>
      <c r="J1" s="319" t="s">
        <v>235</v>
      </c>
    </row>
    <row r="2" spans="1:11" ht="15" x14ac:dyDescent="0.2">
      <c r="A2" s="326" t="s">
        <v>697</v>
      </c>
      <c r="B2" s="322" t="s">
        <v>1142</v>
      </c>
      <c r="C2" s="323" t="s">
        <v>685</v>
      </c>
      <c r="D2" s="331">
        <v>4.74</v>
      </c>
      <c r="E2" s="331" t="s">
        <v>42</v>
      </c>
      <c r="F2" s="325" t="s">
        <v>959</v>
      </c>
      <c r="G2" s="325">
        <v>4.74</v>
      </c>
      <c r="H2" s="135"/>
      <c r="I2" s="135"/>
      <c r="J2" s="322" t="s">
        <v>1142</v>
      </c>
      <c r="K2">
        <v>1</v>
      </c>
    </row>
    <row r="3" spans="1:11" ht="15" x14ac:dyDescent="0.2">
      <c r="A3" s="326" t="s">
        <v>698</v>
      </c>
      <c r="B3" s="322" t="s">
        <v>1142</v>
      </c>
      <c r="C3" s="323" t="s">
        <v>685</v>
      </c>
      <c r="D3" s="331">
        <v>6.11</v>
      </c>
      <c r="E3" s="331" t="s">
        <v>42</v>
      </c>
      <c r="F3" s="325" t="s">
        <v>959</v>
      </c>
      <c r="G3" s="325">
        <v>6.11</v>
      </c>
      <c r="H3" s="154"/>
      <c r="I3" s="350"/>
      <c r="J3" s="322" t="s">
        <v>727</v>
      </c>
      <c r="K3" s="345">
        <v>2</v>
      </c>
    </row>
    <row r="4" spans="1:11" ht="15" x14ac:dyDescent="0.2">
      <c r="A4" s="326" t="s">
        <v>699</v>
      </c>
      <c r="B4" s="322" t="s">
        <v>1142</v>
      </c>
      <c r="C4" s="323" t="s">
        <v>685</v>
      </c>
      <c r="D4" s="331">
        <v>5.18</v>
      </c>
      <c r="E4" s="331" t="s">
        <v>42</v>
      </c>
      <c r="F4" s="325" t="s">
        <v>959</v>
      </c>
      <c r="G4" s="325">
        <v>5.18</v>
      </c>
      <c r="H4" s="154"/>
      <c r="I4" s="350"/>
      <c r="J4" s="322" t="s">
        <v>1068</v>
      </c>
      <c r="K4" s="345">
        <v>3</v>
      </c>
    </row>
    <row r="5" spans="1:11" ht="15" x14ac:dyDescent="0.2">
      <c r="A5" s="326" t="s">
        <v>700</v>
      </c>
      <c r="B5" s="322" t="s">
        <v>1142</v>
      </c>
      <c r="C5" s="323" t="s">
        <v>685</v>
      </c>
      <c r="D5" s="331">
        <v>7.02</v>
      </c>
      <c r="E5" s="331" t="s">
        <v>42</v>
      </c>
      <c r="F5" s="325" t="s">
        <v>959</v>
      </c>
      <c r="G5" s="325">
        <v>7.02</v>
      </c>
      <c r="H5" s="154"/>
      <c r="I5" s="350"/>
      <c r="J5" s="322" t="s">
        <v>377</v>
      </c>
      <c r="K5" s="345">
        <v>4</v>
      </c>
    </row>
    <row r="6" spans="1:11" ht="15" x14ac:dyDescent="0.2">
      <c r="A6" s="326" t="s">
        <v>693</v>
      </c>
      <c r="B6" s="322" t="s">
        <v>1142</v>
      </c>
      <c r="C6" s="323" t="s">
        <v>685</v>
      </c>
      <c r="D6" s="331">
        <v>2.93</v>
      </c>
      <c r="E6" s="331" t="s">
        <v>42</v>
      </c>
      <c r="F6" s="325" t="s">
        <v>959</v>
      </c>
      <c r="G6" s="325">
        <v>2.93</v>
      </c>
      <c r="H6" s="135"/>
      <c r="I6" s="135"/>
      <c r="J6" s="322" t="s">
        <v>239</v>
      </c>
      <c r="K6" s="345">
        <v>5</v>
      </c>
    </row>
    <row r="7" spans="1:11" ht="15" x14ac:dyDescent="0.2">
      <c r="A7" s="326" t="s">
        <v>701</v>
      </c>
      <c r="B7" s="322" t="s">
        <v>1142</v>
      </c>
      <c r="C7" s="323" t="s">
        <v>685</v>
      </c>
      <c r="D7" s="331">
        <v>3.56</v>
      </c>
      <c r="E7" s="331" t="s">
        <v>42</v>
      </c>
      <c r="F7" s="325" t="s">
        <v>959</v>
      </c>
      <c r="G7" s="325">
        <v>3.56</v>
      </c>
      <c r="H7" s="135"/>
      <c r="I7" s="135"/>
      <c r="J7" s="322" t="s">
        <v>791</v>
      </c>
      <c r="K7" s="345">
        <v>6</v>
      </c>
    </row>
    <row r="8" spans="1:11" ht="15" x14ac:dyDescent="0.2">
      <c r="A8" s="326" t="s">
        <v>702</v>
      </c>
      <c r="B8" s="322" t="s">
        <v>1142</v>
      </c>
      <c r="C8" s="323" t="s">
        <v>685</v>
      </c>
      <c r="D8" s="331">
        <v>3.12</v>
      </c>
      <c r="E8" s="331" t="s">
        <v>42</v>
      </c>
      <c r="F8" s="325" t="s">
        <v>959</v>
      </c>
      <c r="G8" s="325">
        <v>3.12</v>
      </c>
      <c r="H8" s="135"/>
      <c r="I8" s="322"/>
      <c r="J8" s="322" t="s">
        <v>736</v>
      </c>
      <c r="K8" s="345">
        <v>7</v>
      </c>
    </row>
    <row r="9" spans="1:11" ht="15" x14ac:dyDescent="0.2">
      <c r="A9" s="326" t="s">
        <v>703</v>
      </c>
      <c r="B9" s="322" t="s">
        <v>1142</v>
      </c>
      <c r="C9" s="323" t="s">
        <v>685</v>
      </c>
      <c r="D9" s="331">
        <v>3.34</v>
      </c>
      <c r="E9" s="331" t="s">
        <v>42</v>
      </c>
      <c r="F9" s="325" t="s">
        <v>959</v>
      </c>
      <c r="G9" s="325">
        <v>3.34</v>
      </c>
      <c r="H9" s="135"/>
      <c r="I9" s="322"/>
      <c r="J9" s="322" t="s">
        <v>1696</v>
      </c>
      <c r="K9" s="345">
        <v>8</v>
      </c>
    </row>
    <row r="10" spans="1:11" ht="15" x14ac:dyDescent="0.2">
      <c r="A10" s="326" t="s">
        <v>704</v>
      </c>
      <c r="B10" s="322" t="s">
        <v>1142</v>
      </c>
      <c r="C10" s="323" t="s">
        <v>685</v>
      </c>
      <c r="D10" s="331">
        <v>3.82</v>
      </c>
      <c r="E10" s="331" t="s">
        <v>42</v>
      </c>
      <c r="F10" s="325" t="s">
        <v>959</v>
      </c>
      <c r="G10" s="325">
        <v>3.82</v>
      </c>
      <c r="H10" s="135"/>
      <c r="I10" s="322"/>
      <c r="J10" s="322" t="s">
        <v>1149</v>
      </c>
      <c r="K10" s="345">
        <v>9</v>
      </c>
    </row>
    <row r="11" spans="1:11" ht="15" x14ac:dyDescent="0.2">
      <c r="A11" s="326" t="s">
        <v>705</v>
      </c>
      <c r="B11" s="322" t="s">
        <v>1142</v>
      </c>
      <c r="C11" s="323" t="s">
        <v>685</v>
      </c>
      <c r="D11" s="331">
        <v>4.21</v>
      </c>
      <c r="E11" s="331" t="s">
        <v>42</v>
      </c>
      <c r="F11" s="325" t="s">
        <v>959</v>
      </c>
      <c r="G11" s="325">
        <v>4.21</v>
      </c>
      <c r="H11" s="135"/>
      <c r="I11" s="135"/>
      <c r="J11" s="322" t="s">
        <v>1148</v>
      </c>
      <c r="K11" s="345">
        <v>10</v>
      </c>
    </row>
    <row r="12" spans="1:11" ht="15" x14ac:dyDescent="0.2">
      <c r="A12" s="326" t="s">
        <v>706</v>
      </c>
      <c r="B12" s="322" t="s">
        <v>1142</v>
      </c>
      <c r="C12" s="323" t="s">
        <v>685</v>
      </c>
      <c r="D12" s="331">
        <v>5.43</v>
      </c>
      <c r="E12" s="331" t="s">
        <v>42</v>
      </c>
      <c r="F12" s="325" t="s">
        <v>959</v>
      </c>
      <c r="G12" s="325">
        <v>5.43</v>
      </c>
      <c r="H12" s="135"/>
      <c r="I12" s="135"/>
      <c r="J12" s="322" t="s">
        <v>1141</v>
      </c>
      <c r="K12" s="345">
        <v>11</v>
      </c>
    </row>
    <row r="13" spans="1:11" ht="15" x14ac:dyDescent="0.2">
      <c r="A13" s="326" t="s">
        <v>707</v>
      </c>
      <c r="B13" s="322" t="s">
        <v>1142</v>
      </c>
      <c r="C13" s="323" t="s">
        <v>685</v>
      </c>
      <c r="D13" s="331">
        <v>4.21</v>
      </c>
      <c r="E13" s="331" t="s">
        <v>42</v>
      </c>
      <c r="F13" s="325" t="s">
        <v>959</v>
      </c>
      <c r="G13" s="325">
        <v>4.21</v>
      </c>
      <c r="H13" s="135"/>
      <c r="I13" s="135"/>
      <c r="J13" s="322" t="s">
        <v>782</v>
      </c>
      <c r="K13" s="345">
        <v>12</v>
      </c>
    </row>
    <row r="14" spans="1:11" ht="15" x14ac:dyDescent="0.2">
      <c r="A14" s="326" t="s">
        <v>708</v>
      </c>
      <c r="B14" s="322" t="s">
        <v>1142</v>
      </c>
      <c r="C14" s="323" t="s">
        <v>685</v>
      </c>
      <c r="D14" s="331">
        <v>4.12</v>
      </c>
      <c r="E14" s="331" t="s">
        <v>42</v>
      </c>
      <c r="F14" s="325" t="s">
        <v>959</v>
      </c>
      <c r="G14" s="325">
        <v>4.12</v>
      </c>
      <c r="H14" s="135"/>
      <c r="I14" s="135"/>
      <c r="J14" s="322" t="s">
        <v>1062</v>
      </c>
      <c r="K14" s="345">
        <v>13</v>
      </c>
    </row>
    <row r="15" spans="1:11" ht="15" x14ac:dyDescent="0.2">
      <c r="A15" s="326" t="s">
        <v>709</v>
      </c>
      <c r="B15" s="322" t="s">
        <v>1142</v>
      </c>
      <c r="C15" s="323" t="s">
        <v>685</v>
      </c>
      <c r="D15" s="331">
        <v>1.49</v>
      </c>
      <c r="E15" s="331" t="s">
        <v>42</v>
      </c>
      <c r="F15" s="325" t="s">
        <v>959</v>
      </c>
      <c r="G15" s="325">
        <v>1.49</v>
      </c>
      <c r="H15" s="135"/>
      <c r="I15" s="135"/>
      <c r="J15" s="322" t="s">
        <v>1556</v>
      </c>
      <c r="K15" s="345">
        <v>14</v>
      </c>
    </row>
    <row r="16" spans="1:11" ht="15" x14ac:dyDescent="0.2">
      <c r="A16" s="326" t="s">
        <v>710</v>
      </c>
      <c r="B16" s="322" t="s">
        <v>1142</v>
      </c>
      <c r="C16" s="323" t="s">
        <v>685</v>
      </c>
      <c r="D16" s="331">
        <v>2.17</v>
      </c>
      <c r="E16" s="331" t="s">
        <v>42</v>
      </c>
      <c r="F16" s="325" t="s">
        <v>959</v>
      </c>
      <c r="G16" s="325">
        <v>2.17</v>
      </c>
      <c r="H16" s="135"/>
      <c r="I16" s="135"/>
      <c r="J16" s="322" t="s">
        <v>1064</v>
      </c>
      <c r="K16" s="345">
        <v>15</v>
      </c>
    </row>
    <row r="17" spans="1:11" ht="15" x14ac:dyDescent="0.2">
      <c r="A17" s="326" t="s">
        <v>711</v>
      </c>
      <c r="B17" s="322" t="s">
        <v>1142</v>
      </c>
      <c r="C17" s="323" t="s">
        <v>685</v>
      </c>
      <c r="D17" s="331">
        <v>3.12</v>
      </c>
      <c r="E17" s="331" t="s">
        <v>42</v>
      </c>
      <c r="F17" s="325" t="s">
        <v>959</v>
      </c>
      <c r="G17" s="325">
        <v>3.12</v>
      </c>
      <c r="H17" s="135"/>
      <c r="I17" s="135"/>
      <c r="J17" s="322" t="s">
        <v>268</v>
      </c>
      <c r="K17" s="345">
        <v>16</v>
      </c>
    </row>
    <row r="18" spans="1:11" ht="15" x14ac:dyDescent="0.2">
      <c r="A18" s="326" t="s">
        <v>728</v>
      </c>
      <c r="B18" s="322" t="s">
        <v>727</v>
      </c>
      <c r="C18" s="323" t="s">
        <v>685</v>
      </c>
      <c r="D18" s="331">
        <v>1.7</v>
      </c>
      <c r="E18" s="331" t="s">
        <v>42</v>
      </c>
      <c r="F18" s="325" t="s">
        <v>959</v>
      </c>
      <c r="G18" s="325">
        <v>1.7</v>
      </c>
      <c r="H18" s="135"/>
      <c r="I18" s="135"/>
      <c r="J18" s="322" t="s">
        <v>1069</v>
      </c>
      <c r="K18" s="345">
        <v>17</v>
      </c>
    </row>
    <row r="19" spans="1:11" ht="15" x14ac:dyDescent="0.2">
      <c r="A19" s="326" t="s">
        <v>729</v>
      </c>
      <c r="B19" s="322" t="s">
        <v>727</v>
      </c>
      <c r="C19" s="323" t="s">
        <v>685</v>
      </c>
      <c r="D19" s="331">
        <v>1.76</v>
      </c>
      <c r="E19" s="331" t="s">
        <v>42</v>
      </c>
      <c r="F19" s="325" t="s">
        <v>959</v>
      </c>
      <c r="G19" s="325">
        <v>1.76</v>
      </c>
      <c r="H19" s="135"/>
      <c r="I19" s="135"/>
      <c r="J19" s="322" t="s">
        <v>1140</v>
      </c>
      <c r="K19" s="345">
        <v>18</v>
      </c>
    </row>
    <row r="20" spans="1:11" ht="15" x14ac:dyDescent="0.2">
      <c r="A20" s="326" t="s">
        <v>730</v>
      </c>
      <c r="B20" s="322" t="s">
        <v>727</v>
      </c>
      <c r="C20" s="323" t="s">
        <v>685</v>
      </c>
      <c r="D20" s="331">
        <v>2.62</v>
      </c>
      <c r="E20" s="331" t="s">
        <v>42</v>
      </c>
      <c r="F20" s="325" t="s">
        <v>959</v>
      </c>
      <c r="G20" s="325">
        <v>2.62</v>
      </c>
      <c r="H20" s="135"/>
      <c r="I20" s="135"/>
      <c r="J20" s="322" t="s">
        <v>1070</v>
      </c>
      <c r="K20" s="345">
        <v>19</v>
      </c>
    </row>
    <row r="21" spans="1:11" ht="15" x14ac:dyDescent="0.2">
      <c r="A21" s="326" t="s">
        <v>732</v>
      </c>
      <c r="B21" s="322" t="s">
        <v>727</v>
      </c>
      <c r="C21" s="323" t="s">
        <v>685</v>
      </c>
      <c r="D21" s="331">
        <v>5.85</v>
      </c>
      <c r="E21" s="331" t="s">
        <v>42</v>
      </c>
      <c r="F21" s="325" t="s">
        <v>959</v>
      </c>
      <c r="G21" s="325">
        <v>5.85</v>
      </c>
      <c r="H21" s="135"/>
      <c r="I21" s="135"/>
      <c r="J21" s="322" t="s">
        <v>1063</v>
      </c>
      <c r="K21" s="345">
        <v>20</v>
      </c>
    </row>
    <row r="22" spans="1:11" ht="15" x14ac:dyDescent="0.2">
      <c r="A22" s="326" t="s">
        <v>733</v>
      </c>
      <c r="B22" s="322" t="s">
        <v>727</v>
      </c>
      <c r="C22" s="323" t="s">
        <v>685</v>
      </c>
      <c r="D22" s="331">
        <v>1.36</v>
      </c>
      <c r="E22" s="331" t="s">
        <v>42</v>
      </c>
      <c r="F22" s="325" t="s">
        <v>959</v>
      </c>
      <c r="G22" s="325">
        <v>1.36</v>
      </c>
      <c r="H22" s="135"/>
      <c r="I22" s="135"/>
      <c r="J22" s="322" t="s">
        <v>1071</v>
      </c>
      <c r="K22" s="345">
        <v>21</v>
      </c>
    </row>
    <row r="23" spans="1:11" ht="15" x14ac:dyDescent="0.2">
      <c r="A23" s="326" t="s">
        <v>734</v>
      </c>
      <c r="B23" s="322" t="s">
        <v>727</v>
      </c>
      <c r="C23" s="323" t="s">
        <v>685</v>
      </c>
      <c r="D23" s="331">
        <v>2.36</v>
      </c>
      <c r="E23" s="331" t="s">
        <v>42</v>
      </c>
      <c r="F23" s="325" t="s">
        <v>959</v>
      </c>
      <c r="G23" s="325">
        <v>2.36</v>
      </c>
      <c r="H23" s="135"/>
      <c r="I23" s="135"/>
      <c r="J23" s="322" t="s">
        <v>1072</v>
      </c>
      <c r="K23" s="345">
        <v>22</v>
      </c>
    </row>
    <row r="24" spans="1:11" ht="15" x14ac:dyDescent="0.2">
      <c r="A24" s="326" t="s">
        <v>735</v>
      </c>
      <c r="B24" s="322" t="s">
        <v>727</v>
      </c>
      <c r="C24" s="323" t="s">
        <v>685</v>
      </c>
      <c r="D24" s="331">
        <v>2.36</v>
      </c>
      <c r="E24" s="331" t="s">
        <v>42</v>
      </c>
      <c r="F24" s="325" t="s">
        <v>959</v>
      </c>
      <c r="G24" s="325">
        <v>2.36</v>
      </c>
      <c r="H24" s="135"/>
      <c r="I24" s="135"/>
      <c r="J24" s="322" t="s">
        <v>1073</v>
      </c>
      <c r="K24" s="345">
        <v>23</v>
      </c>
    </row>
    <row r="25" spans="1:11" ht="15" x14ac:dyDescent="0.2">
      <c r="A25" s="326" t="s">
        <v>242</v>
      </c>
      <c r="B25" s="322" t="s">
        <v>1068</v>
      </c>
      <c r="C25" s="323" t="s">
        <v>240</v>
      </c>
      <c r="D25" s="331">
        <v>6.02</v>
      </c>
      <c r="E25" s="331" t="s">
        <v>42</v>
      </c>
      <c r="F25" s="325" t="s">
        <v>959</v>
      </c>
      <c r="G25" s="325" t="s">
        <v>959</v>
      </c>
      <c r="H25" s="135"/>
      <c r="I25" s="135"/>
      <c r="J25" s="322" t="s">
        <v>1074</v>
      </c>
      <c r="K25" s="345">
        <v>24</v>
      </c>
    </row>
    <row r="26" spans="1:11" ht="15" x14ac:dyDescent="0.2">
      <c r="A26" s="326" t="s">
        <v>243</v>
      </c>
      <c r="B26" s="322" t="s">
        <v>1068</v>
      </c>
      <c r="C26" s="323" t="s">
        <v>240</v>
      </c>
      <c r="D26" s="331">
        <v>6.08</v>
      </c>
      <c r="E26" s="331" t="s">
        <v>42</v>
      </c>
      <c r="F26" s="325" t="s">
        <v>959</v>
      </c>
      <c r="G26" s="325" t="s">
        <v>959</v>
      </c>
      <c r="H26" s="135"/>
      <c r="I26" s="135"/>
      <c r="J26" s="322" t="s">
        <v>1075</v>
      </c>
      <c r="K26" s="345">
        <v>25</v>
      </c>
    </row>
    <row r="27" spans="1:11" ht="15" x14ac:dyDescent="0.2">
      <c r="A27" s="326" t="s">
        <v>250</v>
      </c>
      <c r="B27" s="322" t="s">
        <v>1068</v>
      </c>
      <c r="C27" s="323" t="s">
        <v>240</v>
      </c>
      <c r="D27" s="331">
        <v>2.84</v>
      </c>
      <c r="E27" s="331" t="s">
        <v>42</v>
      </c>
      <c r="F27" s="325" t="s">
        <v>959</v>
      </c>
      <c r="G27" s="325" t="s">
        <v>959</v>
      </c>
      <c r="H27" s="135"/>
      <c r="I27" s="135"/>
      <c r="J27" s="322"/>
      <c r="K27" s="345">
        <v>26</v>
      </c>
    </row>
    <row r="28" spans="1:11" ht="15" x14ac:dyDescent="0.2">
      <c r="A28" s="326" t="s">
        <v>251</v>
      </c>
      <c r="B28" s="322" t="s">
        <v>1068</v>
      </c>
      <c r="C28" s="323" t="s">
        <v>240</v>
      </c>
      <c r="D28" s="331">
        <v>3.2</v>
      </c>
      <c r="E28" s="331" t="s">
        <v>42</v>
      </c>
      <c r="F28" s="325" t="s">
        <v>959</v>
      </c>
      <c r="G28" s="325" t="s">
        <v>959</v>
      </c>
      <c r="H28" s="135"/>
      <c r="I28" s="135"/>
      <c r="J28" s="322" t="s">
        <v>764</v>
      </c>
      <c r="K28" s="345">
        <v>27</v>
      </c>
    </row>
    <row r="29" spans="1:11" x14ac:dyDescent="0.2">
      <c r="A29" s="346" t="s">
        <v>1561</v>
      </c>
      <c r="B29" s="322" t="s">
        <v>1068</v>
      </c>
      <c r="C29" s="323" t="s">
        <v>240</v>
      </c>
      <c r="D29" s="347">
        <v>1.1200000000000001</v>
      </c>
      <c r="E29" s="348" t="s">
        <v>52</v>
      </c>
      <c r="F29" s="159"/>
      <c r="G29" s="159"/>
      <c r="H29" s="574"/>
      <c r="I29" s="574"/>
      <c r="J29" s="322" t="s">
        <v>712</v>
      </c>
      <c r="K29" s="345">
        <v>28</v>
      </c>
    </row>
    <row r="30" spans="1:11" ht="15" x14ac:dyDescent="0.2">
      <c r="A30" s="326" t="s">
        <v>252</v>
      </c>
      <c r="B30" s="322" t="s">
        <v>1068</v>
      </c>
      <c r="C30" s="323" t="s">
        <v>240</v>
      </c>
      <c r="D30" s="331">
        <v>3.25</v>
      </c>
      <c r="E30" s="331" t="s">
        <v>42</v>
      </c>
      <c r="F30" s="325" t="s">
        <v>959</v>
      </c>
      <c r="G30" s="325" t="s">
        <v>959</v>
      </c>
      <c r="H30" s="135"/>
      <c r="I30" s="135"/>
      <c r="J30" s="322" t="s">
        <v>1076</v>
      </c>
      <c r="K30" s="345">
        <v>29</v>
      </c>
    </row>
    <row r="31" spans="1:11" ht="15" x14ac:dyDescent="0.2">
      <c r="A31" s="326" t="s">
        <v>253</v>
      </c>
      <c r="B31" s="322" t="s">
        <v>1068</v>
      </c>
      <c r="C31" s="323" t="s">
        <v>240</v>
      </c>
      <c r="D31" s="331">
        <v>3.99</v>
      </c>
      <c r="E31" s="331" t="s">
        <v>42</v>
      </c>
      <c r="F31" s="325" t="s">
        <v>959</v>
      </c>
      <c r="G31" s="325" t="s">
        <v>959</v>
      </c>
      <c r="H31" s="135"/>
      <c r="I31" s="135"/>
      <c r="J31" s="322" t="s">
        <v>1077</v>
      </c>
      <c r="K31" s="345">
        <v>30</v>
      </c>
    </row>
    <row r="32" spans="1:11" ht="15" x14ac:dyDescent="0.2">
      <c r="A32" s="326" t="s">
        <v>254</v>
      </c>
      <c r="B32" s="322" t="s">
        <v>1068</v>
      </c>
      <c r="C32" s="323" t="s">
        <v>240</v>
      </c>
      <c r="D32" s="331">
        <v>4.3600000000000003</v>
      </c>
      <c r="E32" s="331" t="s">
        <v>42</v>
      </c>
      <c r="F32" s="325" t="s">
        <v>959</v>
      </c>
      <c r="G32" s="325" t="s">
        <v>959</v>
      </c>
      <c r="H32" s="135"/>
      <c r="I32" s="135"/>
      <c r="J32" s="322" t="s">
        <v>249</v>
      </c>
      <c r="K32" s="345">
        <v>31</v>
      </c>
    </row>
    <row r="33" spans="1:11" ht="15" x14ac:dyDescent="0.2">
      <c r="A33" s="326" t="s">
        <v>255</v>
      </c>
      <c r="B33" s="322" t="s">
        <v>1068</v>
      </c>
      <c r="C33" s="323" t="s">
        <v>240</v>
      </c>
      <c r="D33" s="331">
        <v>4.42</v>
      </c>
      <c r="E33" s="331" t="s">
        <v>42</v>
      </c>
      <c r="F33" s="325" t="s">
        <v>959</v>
      </c>
      <c r="G33" s="325" t="s">
        <v>959</v>
      </c>
      <c r="H33" s="135"/>
      <c r="I33" s="135"/>
      <c r="J33" s="322" t="s">
        <v>719</v>
      </c>
      <c r="K33" s="345">
        <v>32</v>
      </c>
    </row>
    <row r="34" spans="1:11" ht="15" x14ac:dyDescent="0.2">
      <c r="A34" s="326" t="s">
        <v>256</v>
      </c>
      <c r="B34" s="322" t="s">
        <v>1068</v>
      </c>
      <c r="C34" s="323" t="s">
        <v>240</v>
      </c>
      <c r="D34" s="331">
        <v>4.42</v>
      </c>
      <c r="E34" s="331" t="s">
        <v>42</v>
      </c>
      <c r="F34" s="325" t="s">
        <v>959</v>
      </c>
      <c r="G34" s="325" t="s">
        <v>959</v>
      </c>
      <c r="H34" s="135"/>
      <c r="I34" s="135"/>
      <c r="J34" s="322" t="s">
        <v>127</v>
      </c>
      <c r="K34" s="345">
        <v>33</v>
      </c>
    </row>
    <row r="35" spans="1:11" ht="15" x14ac:dyDescent="0.2">
      <c r="A35" s="326" t="s">
        <v>257</v>
      </c>
      <c r="B35" s="322" t="s">
        <v>1068</v>
      </c>
      <c r="C35" s="323" t="s">
        <v>240</v>
      </c>
      <c r="D35" s="331">
        <v>5.03</v>
      </c>
      <c r="E35" s="331" t="s">
        <v>42</v>
      </c>
      <c r="F35" s="325" t="s">
        <v>959</v>
      </c>
      <c r="G35" s="325" t="s">
        <v>959</v>
      </c>
      <c r="H35" s="135"/>
      <c r="I35" s="135"/>
      <c r="J35" s="322" t="s">
        <v>1763</v>
      </c>
      <c r="K35" s="345">
        <v>34</v>
      </c>
    </row>
    <row r="36" spans="1:11" ht="15" x14ac:dyDescent="0.2">
      <c r="A36" s="326" t="s">
        <v>258</v>
      </c>
      <c r="B36" s="322" t="s">
        <v>1068</v>
      </c>
      <c r="C36" s="323" t="s">
        <v>240</v>
      </c>
      <c r="D36" s="331">
        <v>5.43</v>
      </c>
      <c r="E36" s="331" t="s">
        <v>42</v>
      </c>
      <c r="F36" s="325" t="s">
        <v>959</v>
      </c>
      <c r="G36" s="325" t="s">
        <v>959</v>
      </c>
      <c r="H36" s="135"/>
      <c r="I36" s="135"/>
      <c r="J36" s="322" t="s">
        <v>1838</v>
      </c>
      <c r="K36" s="345">
        <v>35</v>
      </c>
    </row>
    <row r="37" spans="1:11" ht="15" x14ac:dyDescent="0.2">
      <c r="A37" s="326" t="s">
        <v>259</v>
      </c>
      <c r="B37" s="322" t="s">
        <v>1068</v>
      </c>
      <c r="C37" s="323" t="s">
        <v>240</v>
      </c>
      <c r="D37" s="331">
        <v>6.72</v>
      </c>
      <c r="E37" s="331" t="s">
        <v>42</v>
      </c>
      <c r="F37" s="325" t="s">
        <v>959</v>
      </c>
      <c r="G37" s="325" t="s">
        <v>959</v>
      </c>
      <c r="H37" s="135"/>
      <c r="I37" s="135"/>
      <c r="K37" s="345">
        <v>36</v>
      </c>
    </row>
    <row r="38" spans="1:11" ht="15" x14ac:dyDescent="0.2">
      <c r="A38" s="326" t="s">
        <v>261</v>
      </c>
      <c r="B38" s="322" t="s">
        <v>1068</v>
      </c>
      <c r="C38" s="323" t="s">
        <v>240</v>
      </c>
      <c r="D38" s="331">
        <v>19.89</v>
      </c>
      <c r="E38" s="331" t="s">
        <v>42</v>
      </c>
      <c r="F38" s="325" t="s">
        <v>959</v>
      </c>
      <c r="G38" s="325" t="s">
        <v>959</v>
      </c>
      <c r="H38" s="135"/>
      <c r="I38" s="135"/>
      <c r="K38" s="345">
        <v>37</v>
      </c>
    </row>
    <row r="39" spans="1:11" ht="15" x14ac:dyDescent="0.2">
      <c r="A39" s="326" t="s">
        <v>263</v>
      </c>
      <c r="B39" s="322" t="s">
        <v>1068</v>
      </c>
      <c r="C39" s="323" t="s">
        <v>240</v>
      </c>
      <c r="D39" s="331">
        <v>29.12</v>
      </c>
      <c r="E39" s="331" t="s">
        <v>42</v>
      </c>
      <c r="F39" s="325" t="s">
        <v>959</v>
      </c>
      <c r="G39" s="325" t="s">
        <v>959</v>
      </c>
      <c r="H39" s="135"/>
      <c r="I39" s="135"/>
      <c r="K39" s="345">
        <v>38</v>
      </c>
    </row>
    <row r="40" spans="1:11" ht="15" x14ac:dyDescent="0.2">
      <c r="A40" s="326" t="s">
        <v>277</v>
      </c>
      <c r="B40" s="322" t="s">
        <v>1068</v>
      </c>
      <c r="C40" s="323" t="s">
        <v>240</v>
      </c>
      <c r="D40" s="331">
        <v>73.67</v>
      </c>
      <c r="E40" s="331" t="s">
        <v>42</v>
      </c>
      <c r="F40" s="325" t="s">
        <v>959</v>
      </c>
      <c r="G40" s="325" t="s">
        <v>959</v>
      </c>
      <c r="H40" s="135"/>
      <c r="I40" s="135"/>
      <c r="K40" s="345">
        <v>39</v>
      </c>
    </row>
    <row r="41" spans="1:11" ht="15" x14ac:dyDescent="0.2">
      <c r="A41" s="326" t="s">
        <v>278</v>
      </c>
      <c r="B41" s="322" t="s">
        <v>1068</v>
      </c>
      <c r="C41" s="323" t="s">
        <v>240</v>
      </c>
      <c r="D41" s="331">
        <v>76.38</v>
      </c>
      <c r="E41" s="331" t="s">
        <v>42</v>
      </c>
      <c r="F41" s="325" t="s">
        <v>959</v>
      </c>
      <c r="G41" s="325" t="s">
        <v>959</v>
      </c>
      <c r="H41" s="135"/>
      <c r="I41" s="135"/>
      <c r="K41" s="345">
        <v>40</v>
      </c>
    </row>
    <row r="42" spans="1:11" ht="15" x14ac:dyDescent="0.2">
      <c r="A42" s="326" t="s">
        <v>279</v>
      </c>
      <c r="B42" s="322" t="s">
        <v>1068</v>
      </c>
      <c r="C42" s="323" t="s">
        <v>240</v>
      </c>
      <c r="D42" s="331">
        <v>91.45</v>
      </c>
      <c r="E42" s="331" t="s">
        <v>42</v>
      </c>
      <c r="F42" s="325" t="s">
        <v>959</v>
      </c>
      <c r="G42" s="325" t="s">
        <v>959</v>
      </c>
      <c r="H42" s="135"/>
      <c r="I42" s="135"/>
      <c r="K42" s="345">
        <v>41</v>
      </c>
    </row>
    <row r="43" spans="1:11" ht="15" x14ac:dyDescent="0.2">
      <c r="A43" s="326" t="s">
        <v>317</v>
      </c>
      <c r="B43" s="322" t="s">
        <v>1068</v>
      </c>
      <c r="C43" s="323" t="s">
        <v>240</v>
      </c>
      <c r="D43" s="331">
        <v>522</v>
      </c>
      <c r="E43" s="331" t="s">
        <v>42</v>
      </c>
      <c r="F43" s="325" t="s">
        <v>959</v>
      </c>
      <c r="G43" s="325" t="s">
        <v>959</v>
      </c>
      <c r="H43" s="135"/>
      <c r="I43" s="135"/>
      <c r="K43" s="345">
        <v>42</v>
      </c>
    </row>
    <row r="44" spans="1:11" ht="15" x14ac:dyDescent="0.2">
      <c r="A44" s="326" t="s">
        <v>319</v>
      </c>
      <c r="B44" s="322" t="s">
        <v>1068</v>
      </c>
      <c r="C44" s="323" t="s">
        <v>240</v>
      </c>
      <c r="D44" s="331">
        <v>549</v>
      </c>
      <c r="E44" s="331" t="s">
        <v>42</v>
      </c>
      <c r="F44" s="325" t="s">
        <v>959</v>
      </c>
      <c r="G44" s="325" t="s">
        <v>959</v>
      </c>
      <c r="H44" s="135"/>
      <c r="I44" s="135"/>
      <c r="K44" s="345">
        <v>43</v>
      </c>
    </row>
    <row r="45" spans="1:11" ht="15" x14ac:dyDescent="0.2">
      <c r="A45" s="326" t="s">
        <v>269</v>
      </c>
      <c r="B45" s="322" t="s">
        <v>377</v>
      </c>
      <c r="C45" s="323" t="s">
        <v>240</v>
      </c>
      <c r="D45" s="331">
        <v>37.049999999999997</v>
      </c>
      <c r="E45" s="331" t="s">
        <v>42</v>
      </c>
      <c r="F45" s="325" t="s">
        <v>959</v>
      </c>
      <c r="G45" s="325" t="s">
        <v>959</v>
      </c>
      <c r="H45" s="135"/>
      <c r="I45" s="135"/>
      <c r="K45" s="345">
        <v>44</v>
      </c>
    </row>
    <row r="46" spans="1:11" ht="15" x14ac:dyDescent="0.2">
      <c r="A46" s="326" t="s">
        <v>273</v>
      </c>
      <c r="B46" s="322" t="s">
        <v>377</v>
      </c>
      <c r="C46" s="323" t="s">
        <v>240</v>
      </c>
      <c r="D46" s="331">
        <v>45.5</v>
      </c>
      <c r="E46" s="331" t="s">
        <v>42</v>
      </c>
      <c r="F46" s="325" t="s">
        <v>959</v>
      </c>
      <c r="G46" s="325" t="s">
        <v>959</v>
      </c>
      <c r="H46" s="135"/>
      <c r="I46" s="135"/>
      <c r="K46" s="345">
        <v>45</v>
      </c>
    </row>
    <row r="47" spans="1:11" ht="15" x14ac:dyDescent="0.2">
      <c r="A47" s="326" t="s">
        <v>94</v>
      </c>
      <c r="B47" s="322" t="s">
        <v>377</v>
      </c>
      <c r="C47" s="323" t="s">
        <v>240</v>
      </c>
      <c r="D47" s="331">
        <v>757.27</v>
      </c>
      <c r="E47" s="331" t="s">
        <v>42</v>
      </c>
      <c r="F47" s="325" t="s">
        <v>959</v>
      </c>
      <c r="G47" s="325" t="s">
        <v>959</v>
      </c>
      <c r="H47" s="135"/>
      <c r="I47" s="135"/>
      <c r="K47" s="345">
        <v>46</v>
      </c>
    </row>
    <row r="48" spans="1:11" ht="15" x14ac:dyDescent="0.2">
      <c r="A48" s="326" t="s">
        <v>334</v>
      </c>
      <c r="B48" s="322" t="s">
        <v>377</v>
      </c>
      <c r="C48" s="323" t="s">
        <v>240</v>
      </c>
      <c r="D48" s="331">
        <v>781.24</v>
      </c>
      <c r="E48" s="331" t="s">
        <v>42</v>
      </c>
      <c r="F48" s="325" t="s">
        <v>959</v>
      </c>
      <c r="G48" s="325" t="s">
        <v>959</v>
      </c>
      <c r="H48" s="135"/>
      <c r="I48" s="135"/>
      <c r="K48" s="345">
        <v>47</v>
      </c>
    </row>
    <row r="49" spans="1:11" ht="15" x14ac:dyDescent="0.2">
      <c r="A49" s="326" t="s">
        <v>95</v>
      </c>
      <c r="B49" s="322" t="s">
        <v>377</v>
      </c>
      <c r="C49" s="323" t="s">
        <v>240</v>
      </c>
      <c r="D49" s="331">
        <v>812.89</v>
      </c>
      <c r="E49" s="331" t="s">
        <v>42</v>
      </c>
      <c r="F49" s="325" t="s">
        <v>959</v>
      </c>
      <c r="G49" s="325" t="s">
        <v>959</v>
      </c>
      <c r="H49" s="135"/>
      <c r="I49" s="135"/>
      <c r="K49" s="345">
        <v>48</v>
      </c>
    </row>
    <row r="50" spans="1:11" ht="15" x14ac:dyDescent="0.2">
      <c r="A50" s="326" t="s">
        <v>348</v>
      </c>
      <c r="B50" s="322" t="s">
        <v>377</v>
      </c>
      <c r="C50" s="323" t="s">
        <v>240</v>
      </c>
      <c r="D50" s="331">
        <v>953.98</v>
      </c>
      <c r="E50" s="331" t="s">
        <v>42</v>
      </c>
      <c r="F50" s="325" t="s">
        <v>959</v>
      </c>
      <c r="G50" s="325" t="s">
        <v>959</v>
      </c>
      <c r="H50" s="135"/>
      <c r="I50" s="135"/>
      <c r="K50" s="345">
        <v>49</v>
      </c>
    </row>
    <row r="51" spans="1:11" ht="15" x14ac:dyDescent="0.2">
      <c r="A51" s="326" t="s">
        <v>362</v>
      </c>
      <c r="B51" s="322" t="s">
        <v>377</v>
      </c>
      <c r="C51" s="323" t="s">
        <v>240</v>
      </c>
      <c r="D51" s="331">
        <v>1625.78</v>
      </c>
      <c r="E51" s="331" t="s">
        <v>42</v>
      </c>
      <c r="F51" s="325" t="s">
        <v>959</v>
      </c>
      <c r="G51" s="325" t="s">
        <v>959</v>
      </c>
      <c r="H51" s="135"/>
      <c r="I51" s="135"/>
      <c r="K51" s="345">
        <v>50</v>
      </c>
    </row>
    <row r="52" spans="1:11" ht="15" x14ac:dyDescent="0.2">
      <c r="A52" s="326" t="s">
        <v>363</v>
      </c>
      <c r="B52" s="322" t="s">
        <v>377</v>
      </c>
      <c r="C52" s="323" t="s">
        <v>240</v>
      </c>
      <c r="D52" s="331">
        <v>1907.96</v>
      </c>
      <c r="E52" s="331" t="s">
        <v>42</v>
      </c>
      <c r="F52" s="325" t="s">
        <v>959</v>
      </c>
      <c r="G52" s="325" t="s">
        <v>959</v>
      </c>
      <c r="H52" s="135"/>
      <c r="I52" s="135"/>
      <c r="K52" s="345">
        <v>51</v>
      </c>
    </row>
    <row r="53" spans="1:11" ht="15" x14ac:dyDescent="0.2">
      <c r="A53" s="326" t="s">
        <v>364</v>
      </c>
      <c r="B53" s="322" t="s">
        <v>377</v>
      </c>
      <c r="C53" s="323" t="s">
        <v>240</v>
      </c>
      <c r="D53" s="331">
        <v>3251.56</v>
      </c>
      <c r="E53" s="331" t="s">
        <v>42</v>
      </c>
      <c r="F53" s="325" t="s">
        <v>959</v>
      </c>
      <c r="G53" s="325" t="s">
        <v>959</v>
      </c>
      <c r="H53" s="135"/>
      <c r="I53" s="135"/>
      <c r="K53" s="345">
        <v>52</v>
      </c>
    </row>
    <row r="54" spans="1:11" ht="15" x14ac:dyDescent="0.2">
      <c r="A54" s="326" t="s">
        <v>365</v>
      </c>
      <c r="B54" s="322" t="s">
        <v>377</v>
      </c>
      <c r="C54" s="323" t="s">
        <v>240</v>
      </c>
      <c r="D54" s="331">
        <v>3815.92</v>
      </c>
      <c r="E54" s="331" t="s">
        <v>42</v>
      </c>
      <c r="F54" s="325" t="s">
        <v>959</v>
      </c>
      <c r="G54" s="325" t="s">
        <v>959</v>
      </c>
      <c r="H54" s="135"/>
      <c r="I54" s="135"/>
      <c r="K54" s="345">
        <v>53</v>
      </c>
    </row>
    <row r="55" spans="1:11" ht="15" x14ac:dyDescent="0.2">
      <c r="A55" s="326" t="s">
        <v>366</v>
      </c>
      <c r="B55" s="322" t="s">
        <v>377</v>
      </c>
      <c r="C55" s="323" t="s">
        <v>240</v>
      </c>
      <c r="D55" s="331">
        <v>6503.12</v>
      </c>
      <c r="E55" s="331" t="s">
        <v>42</v>
      </c>
      <c r="F55" s="325" t="s">
        <v>959</v>
      </c>
      <c r="G55" s="325" t="s">
        <v>959</v>
      </c>
      <c r="H55" s="135"/>
      <c r="I55" s="135"/>
      <c r="K55" s="345">
        <v>54</v>
      </c>
    </row>
    <row r="56" spans="1:11" ht="15" x14ac:dyDescent="0.2">
      <c r="A56" s="326" t="s">
        <v>1050</v>
      </c>
      <c r="B56" s="322" t="s">
        <v>239</v>
      </c>
      <c r="C56" s="323"/>
      <c r="D56" s="331">
        <v>7</v>
      </c>
      <c r="E56" s="331" t="s">
        <v>52</v>
      </c>
      <c r="F56" s="325" t="s">
        <v>959</v>
      </c>
      <c r="G56" s="325" t="s">
        <v>959</v>
      </c>
      <c r="H56" s="135"/>
      <c r="I56" s="135"/>
      <c r="K56" s="345">
        <v>55</v>
      </c>
    </row>
    <row r="57" spans="1:11" x14ac:dyDescent="0.2">
      <c r="A57" s="346" t="s">
        <v>1214</v>
      </c>
      <c r="B57" s="322" t="s">
        <v>239</v>
      </c>
      <c r="C57" s="323"/>
      <c r="D57" s="347">
        <v>9</v>
      </c>
      <c r="E57" s="348" t="s">
        <v>52</v>
      </c>
      <c r="F57" s="159"/>
      <c r="G57" s="159"/>
      <c r="H57" s="135"/>
      <c r="I57" s="135"/>
      <c r="K57" s="345">
        <v>56</v>
      </c>
    </row>
    <row r="58" spans="1:11" ht="15" x14ac:dyDescent="0.2">
      <c r="A58" s="326" t="s">
        <v>119</v>
      </c>
      <c r="B58" s="322" t="s">
        <v>239</v>
      </c>
      <c r="C58" s="323"/>
      <c r="D58" s="331">
        <f>2000*0.04*0.22*1.06*1.1</f>
        <v>20.521600000000003</v>
      </c>
      <c r="E58" s="331" t="s">
        <v>52</v>
      </c>
      <c r="F58" s="325" t="s">
        <v>959</v>
      </c>
      <c r="G58" s="325" t="s">
        <v>959</v>
      </c>
      <c r="H58" s="135"/>
      <c r="I58" s="135"/>
      <c r="K58" s="345">
        <v>57</v>
      </c>
    </row>
    <row r="59" spans="1:11" ht="15" x14ac:dyDescent="0.2">
      <c r="A59" s="326" t="s">
        <v>770</v>
      </c>
      <c r="B59" s="322" t="s">
        <v>239</v>
      </c>
      <c r="C59" s="323" t="s">
        <v>771</v>
      </c>
      <c r="D59" s="331">
        <v>2</v>
      </c>
      <c r="E59" s="331" t="s">
        <v>52</v>
      </c>
      <c r="F59" s="325" t="s">
        <v>959</v>
      </c>
      <c r="G59" s="325">
        <v>2</v>
      </c>
      <c r="H59" s="135"/>
      <c r="I59" s="135"/>
      <c r="K59" s="345">
        <v>58</v>
      </c>
    </row>
    <row r="60" spans="1:11" ht="15" x14ac:dyDescent="0.2">
      <c r="A60" s="326" t="s">
        <v>772</v>
      </c>
      <c r="B60" s="322" t="s">
        <v>239</v>
      </c>
      <c r="C60" s="323" t="s">
        <v>773</v>
      </c>
      <c r="D60" s="331">
        <v>5.5814400000000006</v>
      </c>
      <c r="E60" s="331" t="s">
        <v>52</v>
      </c>
      <c r="F60" s="325" t="s">
        <v>959</v>
      </c>
      <c r="G60" s="325">
        <v>5.5814400000000006</v>
      </c>
      <c r="H60" s="135"/>
      <c r="I60" s="135"/>
      <c r="K60" s="345">
        <v>59</v>
      </c>
    </row>
    <row r="61" spans="1:11" ht="15" x14ac:dyDescent="0.2">
      <c r="A61" s="326" t="s">
        <v>774</v>
      </c>
      <c r="B61" s="322" t="s">
        <v>239</v>
      </c>
      <c r="C61" s="323" t="s">
        <v>773</v>
      </c>
      <c r="D61" s="331">
        <v>1.4364000000000001</v>
      </c>
      <c r="E61" s="331" t="s">
        <v>52</v>
      </c>
      <c r="F61" s="325" t="s">
        <v>959</v>
      </c>
      <c r="G61" s="325">
        <v>1.4364000000000001</v>
      </c>
      <c r="H61" s="135"/>
      <c r="I61" s="135"/>
      <c r="K61" s="345">
        <v>60</v>
      </c>
    </row>
    <row r="62" spans="1:11" ht="15" x14ac:dyDescent="0.2">
      <c r="A62" s="326" t="s">
        <v>775</v>
      </c>
      <c r="B62" s="322" t="s">
        <v>239</v>
      </c>
      <c r="C62" s="323" t="s">
        <v>773</v>
      </c>
      <c r="D62" s="331">
        <v>1.026</v>
      </c>
      <c r="E62" s="331" t="s">
        <v>52</v>
      </c>
      <c r="F62" s="325" t="s">
        <v>959</v>
      </c>
      <c r="G62" s="325">
        <v>1.026</v>
      </c>
      <c r="H62" s="135"/>
      <c r="I62" s="135"/>
      <c r="K62" s="345">
        <v>61</v>
      </c>
    </row>
    <row r="63" spans="1:11" ht="15" x14ac:dyDescent="0.2">
      <c r="A63" s="326" t="s">
        <v>776</v>
      </c>
      <c r="B63" s="322" t="s">
        <v>239</v>
      </c>
      <c r="C63" s="323" t="s">
        <v>777</v>
      </c>
      <c r="D63" s="331">
        <v>16.2</v>
      </c>
      <c r="E63" s="331" t="s">
        <v>74</v>
      </c>
      <c r="F63" s="325" t="s">
        <v>959</v>
      </c>
      <c r="G63" s="325">
        <v>16.2</v>
      </c>
      <c r="H63" s="135"/>
      <c r="I63" s="135"/>
      <c r="K63" s="345">
        <v>62</v>
      </c>
    </row>
    <row r="64" spans="1:11" ht="15" x14ac:dyDescent="0.2">
      <c r="A64" s="326" t="s">
        <v>778</v>
      </c>
      <c r="B64" s="322" t="s">
        <v>239</v>
      </c>
      <c r="C64" s="323" t="s">
        <v>777</v>
      </c>
      <c r="D64" s="331">
        <v>6.85</v>
      </c>
      <c r="E64" s="331" t="s">
        <v>74</v>
      </c>
      <c r="F64" s="325" t="s">
        <v>959</v>
      </c>
      <c r="G64" s="325">
        <v>6.85</v>
      </c>
      <c r="H64" s="135"/>
      <c r="I64" s="135"/>
      <c r="K64" s="345">
        <v>63</v>
      </c>
    </row>
    <row r="65" spans="1:11" ht="15" x14ac:dyDescent="0.2">
      <c r="A65" s="326" t="s">
        <v>779</v>
      </c>
      <c r="B65" s="322" t="s">
        <v>239</v>
      </c>
      <c r="C65" s="323" t="s">
        <v>777</v>
      </c>
      <c r="D65" s="331">
        <v>1.89</v>
      </c>
      <c r="E65" s="331" t="s">
        <v>52</v>
      </c>
      <c r="F65" s="325" t="s">
        <v>959</v>
      </c>
      <c r="G65" s="325">
        <v>1.89</v>
      </c>
      <c r="H65" s="135"/>
      <c r="I65" s="135"/>
      <c r="K65" s="345">
        <v>64</v>
      </c>
    </row>
    <row r="66" spans="1:11" ht="15" x14ac:dyDescent="0.2">
      <c r="A66" s="326" t="s">
        <v>780</v>
      </c>
      <c r="B66" s="322" t="s">
        <v>239</v>
      </c>
      <c r="C66" s="323" t="s">
        <v>777</v>
      </c>
      <c r="D66" s="331">
        <v>2.4500000000000002</v>
      </c>
      <c r="E66" s="331" t="s">
        <v>52</v>
      </c>
      <c r="F66" s="325" t="s">
        <v>959</v>
      </c>
      <c r="G66" s="325">
        <v>2.4500000000000002</v>
      </c>
      <c r="H66" s="135"/>
      <c r="I66" s="135"/>
      <c r="K66" s="345">
        <v>65</v>
      </c>
    </row>
    <row r="67" spans="1:11" ht="14.1" customHeight="1" x14ac:dyDescent="0.2">
      <c r="A67" s="326" t="s">
        <v>792</v>
      </c>
      <c r="B67" s="322" t="s">
        <v>791</v>
      </c>
      <c r="C67" s="323" t="s">
        <v>783</v>
      </c>
      <c r="D67" s="331">
        <v>3.9</v>
      </c>
      <c r="E67" s="331" t="s">
        <v>42</v>
      </c>
      <c r="F67" s="325" t="s">
        <v>959</v>
      </c>
      <c r="G67" s="325">
        <v>3.9</v>
      </c>
      <c r="H67" s="135"/>
      <c r="I67" s="135"/>
      <c r="K67" s="345">
        <v>66</v>
      </c>
    </row>
    <row r="68" spans="1:11" ht="15" x14ac:dyDescent="0.2">
      <c r="A68" s="326" t="s">
        <v>792</v>
      </c>
      <c r="B68" s="322" t="s">
        <v>791</v>
      </c>
      <c r="C68" s="323" t="s">
        <v>783</v>
      </c>
      <c r="D68" s="331">
        <v>7.02</v>
      </c>
      <c r="E68" s="331" t="s">
        <v>42</v>
      </c>
      <c r="F68" s="325" t="s">
        <v>959</v>
      </c>
      <c r="G68" s="325">
        <v>7.02</v>
      </c>
      <c r="H68" s="135"/>
      <c r="I68" s="135"/>
      <c r="K68" s="345">
        <v>67</v>
      </c>
    </row>
    <row r="69" spans="1:11" ht="15" x14ac:dyDescent="0.2">
      <c r="A69" s="326" t="s">
        <v>792</v>
      </c>
      <c r="B69" s="322" t="s">
        <v>791</v>
      </c>
      <c r="C69" s="323" t="s">
        <v>783</v>
      </c>
      <c r="D69" s="331">
        <v>12.48</v>
      </c>
      <c r="E69" s="331" t="s">
        <v>42</v>
      </c>
      <c r="F69" s="325" t="s">
        <v>959</v>
      </c>
      <c r="G69" s="325">
        <v>12.48</v>
      </c>
      <c r="H69" s="135"/>
      <c r="I69" s="135"/>
      <c r="K69" s="345">
        <v>68</v>
      </c>
    </row>
    <row r="70" spans="1:11" ht="15" x14ac:dyDescent="0.2">
      <c r="A70" s="326" t="s">
        <v>792</v>
      </c>
      <c r="B70" s="322" t="s">
        <v>791</v>
      </c>
      <c r="C70" s="323" t="s">
        <v>783</v>
      </c>
      <c r="D70" s="331">
        <v>31.2</v>
      </c>
      <c r="E70" s="331" t="s">
        <v>42</v>
      </c>
      <c r="F70" s="325" t="s">
        <v>959</v>
      </c>
      <c r="G70" s="325">
        <v>31.2</v>
      </c>
      <c r="H70" s="135"/>
      <c r="I70" s="135"/>
      <c r="K70" s="345">
        <v>69</v>
      </c>
    </row>
    <row r="71" spans="1:11" ht="15" x14ac:dyDescent="0.2">
      <c r="A71" s="326"/>
      <c r="B71" s="322" t="s">
        <v>791</v>
      </c>
      <c r="C71" s="323"/>
      <c r="D71" s="331"/>
      <c r="E71" s="331" t="s">
        <v>42</v>
      </c>
      <c r="F71" s="325" t="s">
        <v>959</v>
      </c>
      <c r="G71" s="325"/>
      <c r="H71" s="135"/>
      <c r="I71" s="135"/>
      <c r="K71" s="345">
        <v>70</v>
      </c>
    </row>
    <row r="72" spans="1:11" ht="15" x14ac:dyDescent="0.2">
      <c r="A72" s="326" t="s">
        <v>793</v>
      </c>
      <c r="B72" s="322" t="s">
        <v>791</v>
      </c>
      <c r="C72" s="323" t="s">
        <v>794</v>
      </c>
      <c r="D72" s="331">
        <v>2.9751999999999996</v>
      </c>
      <c r="E72" s="331" t="s">
        <v>42</v>
      </c>
      <c r="F72" s="325" t="s">
        <v>959</v>
      </c>
      <c r="G72" s="325">
        <v>2.9751999999999996</v>
      </c>
      <c r="H72" s="135"/>
      <c r="I72" s="135"/>
      <c r="K72" s="345">
        <v>71</v>
      </c>
    </row>
    <row r="73" spans="1:11" ht="15" x14ac:dyDescent="0.2">
      <c r="A73" s="326" t="s">
        <v>795</v>
      </c>
      <c r="B73" s="322" t="s">
        <v>791</v>
      </c>
      <c r="C73" s="323"/>
      <c r="D73" s="331">
        <v>1.79</v>
      </c>
      <c r="E73" s="331" t="s">
        <v>42</v>
      </c>
      <c r="F73" s="325" t="s">
        <v>959</v>
      </c>
      <c r="G73" s="325">
        <v>1.79</v>
      </c>
      <c r="H73" s="135"/>
      <c r="I73" s="135"/>
      <c r="K73" s="345">
        <v>72</v>
      </c>
    </row>
    <row r="74" spans="1:11" ht="15" x14ac:dyDescent="0.2">
      <c r="A74" s="326"/>
      <c r="B74" s="322" t="s">
        <v>791</v>
      </c>
      <c r="C74" s="323"/>
      <c r="D74" s="331"/>
      <c r="E74" s="331" t="s">
        <v>42</v>
      </c>
      <c r="F74" s="325" t="s">
        <v>959</v>
      </c>
      <c r="G74" s="325"/>
      <c r="H74" s="135"/>
      <c r="I74" s="135"/>
      <c r="K74" s="345">
        <v>73</v>
      </c>
    </row>
    <row r="75" spans="1:11" ht="15" x14ac:dyDescent="0.2">
      <c r="A75" s="326" t="s">
        <v>796</v>
      </c>
      <c r="B75" s="322" t="s">
        <v>791</v>
      </c>
      <c r="C75" s="323" t="s">
        <v>797</v>
      </c>
      <c r="D75" s="331">
        <v>12.64</v>
      </c>
      <c r="E75" s="331" t="s">
        <v>42</v>
      </c>
      <c r="F75" s="325" t="s">
        <v>959</v>
      </c>
      <c r="G75" s="325">
        <v>12.64</v>
      </c>
      <c r="H75" s="135"/>
      <c r="I75" s="135"/>
      <c r="K75" s="345">
        <v>74</v>
      </c>
    </row>
    <row r="76" spans="1:11" ht="15" x14ac:dyDescent="0.2">
      <c r="A76" s="326"/>
      <c r="B76" s="322" t="s">
        <v>791</v>
      </c>
      <c r="C76" s="323"/>
      <c r="D76" s="331"/>
      <c r="E76" s="331" t="s">
        <v>42</v>
      </c>
      <c r="F76" s="325" t="s">
        <v>959</v>
      </c>
      <c r="G76" s="325"/>
      <c r="H76" s="135"/>
      <c r="I76" s="135"/>
      <c r="K76" s="345">
        <v>75</v>
      </c>
    </row>
    <row r="77" spans="1:11" ht="15" x14ac:dyDescent="0.2">
      <c r="A77" s="326" t="s">
        <v>798</v>
      </c>
      <c r="B77" s="322" t="s">
        <v>791</v>
      </c>
      <c r="C77" s="323" t="s">
        <v>945</v>
      </c>
      <c r="D77" s="331">
        <v>1.1000000000000001</v>
      </c>
      <c r="E77" s="331" t="s">
        <v>42</v>
      </c>
      <c r="F77" s="325" t="s">
        <v>959</v>
      </c>
      <c r="G77" s="325">
        <v>1.1000000000000001</v>
      </c>
      <c r="H77" s="135"/>
      <c r="I77" s="135"/>
      <c r="K77" s="345">
        <v>76</v>
      </c>
    </row>
    <row r="78" spans="1:11" ht="15" x14ac:dyDescent="0.2">
      <c r="A78" s="326"/>
      <c r="B78" s="322" t="s">
        <v>791</v>
      </c>
      <c r="C78" s="323"/>
      <c r="D78" s="331"/>
      <c r="E78" s="331" t="s">
        <v>42</v>
      </c>
      <c r="F78" s="325" t="s">
        <v>959</v>
      </c>
      <c r="G78" s="325"/>
      <c r="H78" s="135"/>
      <c r="I78" s="135"/>
      <c r="K78" s="345">
        <v>77</v>
      </c>
    </row>
    <row r="79" spans="1:11" ht="15" x14ac:dyDescent="0.2">
      <c r="A79" s="326" t="s">
        <v>799</v>
      </c>
      <c r="B79" s="322" t="s">
        <v>791</v>
      </c>
      <c r="C79" s="323" t="s">
        <v>946</v>
      </c>
      <c r="D79" s="331">
        <v>3.9</v>
      </c>
      <c r="E79" s="331" t="s">
        <v>42</v>
      </c>
      <c r="F79" s="325" t="s">
        <v>959</v>
      </c>
      <c r="G79" s="325">
        <v>3.9</v>
      </c>
      <c r="H79" s="135"/>
      <c r="I79" s="135"/>
      <c r="K79" s="345">
        <v>78</v>
      </c>
    </row>
    <row r="80" spans="1:11" ht="15" x14ac:dyDescent="0.2">
      <c r="A80" s="326" t="s">
        <v>737</v>
      </c>
      <c r="B80" s="322" t="s">
        <v>736</v>
      </c>
      <c r="C80" s="323" t="s">
        <v>685</v>
      </c>
      <c r="D80" s="331">
        <v>0.76560000000000006</v>
      </c>
      <c r="E80" s="331" t="s">
        <v>42</v>
      </c>
      <c r="F80" s="325" t="s">
        <v>959</v>
      </c>
      <c r="G80" s="325">
        <v>0.76560000000000006</v>
      </c>
      <c r="H80" s="135"/>
      <c r="I80" s="135"/>
      <c r="K80" s="345">
        <v>79</v>
      </c>
    </row>
    <row r="81" spans="1:11" ht="15" x14ac:dyDescent="0.2">
      <c r="A81" s="326" t="s">
        <v>738</v>
      </c>
      <c r="B81" s="322" t="s">
        <v>736</v>
      </c>
      <c r="C81" s="323" t="s">
        <v>685</v>
      </c>
      <c r="D81" s="331">
        <v>0.68459999999999999</v>
      </c>
      <c r="E81" s="331" t="s">
        <v>42</v>
      </c>
      <c r="F81" s="325" t="s">
        <v>959</v>
      </c>
      <c r="G81" s="325">
        <v>0.68459999999999999</v>
      </c>
      <c r="H81" s="135"/>
      <c r="I81" s="135"/>
      <c r="K81" s="345">
        <v>80</v>
      </c>
    </row>
    <row r="82" spans="1:11" ht="15" x14ac:dyDescent="0.2">
      <c r="A82" s="326" t="s">
        <v>739</v>
      </c>
      <c r="B82" s="322" t="s">
        <v>736</v>
      </c>
      <c r="C82" s="323" t="s">
        <v>685</v>
      </c>
      <c r="D82" s="331">
        <v>2.2915000000000001</v>
      </c>
      <c r="E82" s="331" t="s">
        <v>42</v>
      </c>
      <c r="F82" s="325" t="s">
        <v>959</v>
      </c>
      <c r="G82" s="325">
        <v>2.2915000000000001</v>
      </c>
      <c r="H82" s="135"/>
      <c r="I82" s="135"/>
      <c r="K82" s="345">
        <v>81</v>
      </c>
    </row>
    <row r="83" spans="1:11" ht="15" x14ac:dyDescent="0.2">
      <c r="A83" s="326" t="s">
        <v>740</v>
      </c>
      <c r="B83" s="322" t="s">
        <v>736</v>
      </c>
      <c r="C83" s="323" t="s">
        <v>685</v>
      </c>
      <c r="D83" s="331">
        <v>1.34</v>
      </c>
      <c r="E83" s="331" t="s">
        <v>42</v>
      </c>
      <c r="F83" s="325" t="s">
        <v>959</v>
      </c>
      <c r="G83" s="325">
        <v>1.34</v>
      </c>
      <c r="H83" s="135"/>
      <c r="I83" s="135"/>
      <c r="K83" s="345">
        <v>82</v>
      </c>
    </row>
    <row r="84" spans="1:11" ht="15" x14ac:dyDescent="0.2">
      <c r="A84" s="326" t="s">
        <v>741</v>
      </c>
      <c r="B84" s="322" t="s">
        <v>736</v>
      </c>
      <c r="C84" s="323" t="s">
        <v>685</v>
      </c>
      <c r="D84" s="331">
        <v>17.27</v>
      </c>
      <c r="E84" s="331" t="s">
        <v>42</v>
      </c>
      <c r="F84" s="325" t="s">
        <v>959</v>
      </c>
      <c r="G84" s="325">
        <v>17.27</v>
      </c>
      <c r="H84" s="135"/>
      <c r="I84" s="135"/>
      <c r="K84" s="345">
        <v>83</v>
      </c>
    </row>
    <row r="85" spans="1:11" ht="15" x14ac:dyDescent="0.2">
      <c r="A85" s="326" t="s">
        <v>742</v>
      </c>
      <c r="B85" s="322" t="s">
        <v>736</v>
      </c>
      <c r="C85" s="323" t="s">
        <v>685</v>
      </c>
      <c r="D85" s="331">
        <v>21.77</v>
      </c>
      <c r="E85" s="331" t="s">
        <v>42</v>
      </c>
      <c r="F85" s="325" t="s">
        <v>959</v>
      </c>
      <c r="G85" s="325">
        <v>21.77</v>
      </c>
      <c r="H85" s="135"/>
      <c r="I85" s="135"/>
      <c r="K85" s="345">
        <v>84</v>
      </c>
    </row>
    <row r="86" spans="1:11" ht="15" x14ac:dyDescent="0.2">
      <c r="A86" s="326" t="s">
        <v>1432</v>
      </c>
      <c r="B86" s="322" t="s">
        <v>736</v>
      </c>
      <c r="C86" s="323" t="s">
        <v>685</v>
      </c>
      <c r="D86" s="331">
        <v>15.29</v>
      </c>
      <c r="E86" s="331" t="s">
        <v>42</v>
      </c>
      <c r="F86" s="325" t="s">
        <v>1433</v>
      </c>
      <c r="G86" s="325">
        <v>0</v>
      </c>
      <c r="H86" s="135"/>
      <c r="I86" s="135"/>
      <c r="K86" s="345">
        <v>85</v>
      </c>
    </row>
    <row r="87" spans="1:11" ht="15" x14ac:dyDescent="0.2">
      <c r="A87" s="326" t="s">
        <v>743</v>
      </c>
      <c r="B87" s="322" t="s">
        <v>736</v>
      </c>
      <c r="C87" s="323" t="s">
        <v>685</v>
      </c>
      <c r="D87" s="331">
        <v>95</v>
      </c>
      <c r="E87" s="331" t="s">
        <v>42</v>
      </c>
      <c r="F87" s="325" t="s">
        <v>959</v>
      </c>
      <c r="G87" s="325">
        <v>95</v>
      </c>
      <c r="H87" s="135"/>
      <c r="I87" s="135"/>
      <c r="K87" s="345">
        <v>86</v>
      </c>
    </row>
    <row r="88" spans="1:11" ht="15" x14ac:dyDescent="0.2">
      <c r="A88" s="326" t="s">
        <v>744</v>
      </c>
      <c r="B88" s="322" t="s">
        <v>736</v>
      </c>
      <c r="C88" s="323" t="s">
        <v>685</v>
      </c>
      <c r="D88" s="331">
        <v>0.95120000000000005</v>
      </c>
      <c r="E88" s="331" t="s">
        <v>42</v>
      </c>
      <c r="F88" s="325" t="s">
        <v>959</v>
      </c>
      <c r="G88" s="325">
        <v>0.95120000000000005</v>
      </c>
      <c r="H88" s="135"/>
      <c r="I88" s="135"/>
      <c r="K88" s="345">
        <v>87</v>
      </c>
    </row>
    <row r="89" spans="1:11" ht="15" x14ac:dyDescent="0.2">
      <c r="A89" s="326" t="s">
        <v>108</v>
      </c>
      <c r="B89" s="322" t="s">
        <v>736</v>
      </c>
      <c r="C89" s="323" t="s">
        <v>240</v>
      </c>
      <c r="D89" s="331">
        <v>3.25</v>
      </c>
      <c r="E89" s="331" t="s">
        <v>52</v>
      </c>
      <c r="F89" s="325" t="s">
        <v>959</v>
      </c>
      <c r="G89" s="325" t="s">
        <v>959</v>
      </c>
      <c r="H89" s="135"/>
      <c r="I89" s="135"/>
      <c r="K89" s="345">
        <v>88</v>
      </c>
    </row>
    <row r="90" spans="1:11" ht="15" x14ac:dyDescent="0.2">
      <c r="A90" s="441" t="s">
        <v>1204</v>
      </c>
      <c r="B90" s="442" t="s">
        <v>736</v>
      </c>
      <c r="C90" s="443"/>
      <c r="D90" s="444">
        <v>2</v>
      </c>
      <c r="E90" s="331" t="s">
        <v>52</v>
      </c>
      <c r="F90" s="325" t="s">
        <v>959</v>
      </c>
      <c r="G90" s="325"/>
      <c r="H90" s="135"/>
      <c r="I90" s="135"/>
      <c r="K90" s="345">
        <v>89</v>
      </c>
    </row>
    <row r="91" spans="1:11" ht="15" x14ac:dyDescent="0.2">
      <c r="A91" s="326" t="s">
        <v>745</v>
      </c>
      <c r="B91" s="322" t="s">
        <v>736</v>
      </c>
      <c r="C91" s="323" t="s">
        <v>685</v>
      </c>
      <c r="D91" s="331">
        <v>0.12</v>
      </c>
      <c r="E91" s="331" t="s">
        <v>42</v>
      </c>
      <c r="F91" s="325" t="s">
        <v>959</v>
      </c>
      <c r="G91" s="325">
        <v>0.12</v>
      </c>
      <c r="H91" s="135"/>
      <c r="I91" s="135"/>
      <c r="K91" s="345">
        <v>90</v>
      </c>
    </row>
    <row r="92" spans="1:11" ht="15" x14ac:dyDescent="0.2">
      <c r="A92" s="326" t="s">
        <v>746</v>
      </c>
      <c r="B92" s="322" t="s">
        <v>736</v>
      </c>
      <c r="C92" s="323" t="s">
        <v>685</v>
      </c>
      <c r="D92" s="331">
        <v>0.12</v>
      </c>
      <c r="E92" s="331" t="s">
        <v>42</v>
      </c>
      <c r="F92" s="325" t="s">
        <v>959</v>
      </c>
      <c r="G92" s="325">
        <v>0.12</v>
      </c>
      <c r="H92" s="135"/>
      <c r="I92" s="135"/>
      <c r="K92" s="345">
        <v>91</v>
      </c>
    </row>
    <row r="93" spans="1:11" ht="15" x14ac:dyDescent="0.2">
      <c r="A93" s="326" t="s">
        <v>747</v>
      </c>
      <c r="B93" s="322" t="s">
        <v>736</v>
      </c>
      <c r="C93" s="323" t="s">
        <v>685</v>
      </c>
      <c r="D93" s="331">
        <v>0.18729999999999999</v>
      </c>
      <c r="E93" s="331" t="s">
        <v>42</v>
      </c>
      <c r="F93" s="325" t="s">
        <v>959</v>
      </c>
      <c r="G93" s="325">
        <v>0.18729999999999999</v>
      </c>
      <c r="H93" s="135"/>
      <c r="I93" s="135"/>
      <c r="K93" s="345">
        <v>92</v>
      </c>
    </row>
    <row r="94" spans="1:11" x14ac:dyDescent="0.2">
      <c r="A94" s="346" t="s">
        <v>1697</v>
      </c>
      <c r="B94" s="322" t="s">
        <v>1696</v>
      </c>
      <c r="C94" s="323" t="s">
        <v>240</v>
      </c>
      <c r="D94" s="347">
        <v>0.46</v>
      </c>
      <c r="E94" s="348" t="s">
        <v>401</v>
      </c>
      <c r="F94" s="159"/>
      <c r="G94" s="159"/>
      <c r="H94" s="574"/>
      <c r="I94" s="574"/>
      <c r="K94" s="345">
        <v>93</v>
      </c>
    </row>
    <row r="95" spans="1:11" ht="15" x14ac:dyDescent="0.2">
      <c r="A95" s="326" t="s">
        <v>246</v>
      </c>
      <c r="B95" s="322" t="s">
        <v>1149</v>
      </c>
      <c r="C95" s="323" t="str">
        <f>"SASKIT"</f>
        <v>SASKIT</v>
      </c>
      <c r="D95" s="331">
        <v>624.32000000000005</v>
      </c>
      <c r="E95" s="331" t="s">
        <v>42</v>
      </c>
      <c r="F95" s="325" t="s">
        <v>959</v>
      </c>
      <c r="G95" s="325" t="s">
        <v>959</v>
      </c>
      <c r="H95" s="135"/>
      <c r="I95" s="135"/>
      <c r="K95" s="345">
        <v>94</v>
      </c>
    </row>
    <row r="96" spans="1:11" ht="15" x14ac:dyDescent="0.2">
      <c r="A96" s="326" t="s">
        <v>288</v>
      </c>
      <c r="B96" s="322" t="s">
        <v>1149</v>
      </c>
      <c r="C96" s="323" t="s">
        <v>240</v>
      </c>
      <c r="D96" s="331">
        <v>162.08000000000001</v>
      </c>
      <c r="E96" s="331" t="s">
        <v>42</v>
      </c>
      <c r="F96" s="325" t="s">
        <v>959</v>
      </c>
      <c r="G96" s="325" t="s">
        <v>959</v>
      </c>
      <c r="H96" s="135"/>
      <c r="I96" s="135"/>
      <c r="K96" s="345">
        <v>95</v>
      </c>
    </row>
    <row r="97" spans="1:11" ht="15" x14ac:dyDescent="0.2">
      <c r="A97" s="326" t="s">
        <v>294</v>
      </c>
      <c r="B97" s="322" t="s">
        <v>1149</v>
      </c>
      <c r="C97" s="323" t="s">
        <v>240</v>
      </c>
      <c r="D97" s="331">
        <v>216.92</v>
      </c>
      <c r="E97" s="331" t="s">
        <v>42</v>
      </c>
      <c r="F97" s="325" t="s">
        <v>959</v>
      </c>
      <c r="G97" s="325" t="s">
        <v>959</v>
      </c>
      <c r="H97" s="135"/>
      <c r="I97" s="135"/>
      <c r="K97" s="345">
        <v>96</v>
      </c>
    </row>
    <row r="98" spans="1:11" ht="15" x14ac:dyDescent="0.2">
      <c r="A98" s="326" t="s">
        <v>295</v>
      </c>
      <c r="B98" s="322" t="s">
        <v>1149</v>
      </c>
      <c r="C98" s="323" t="s">
        <v>240</v>
      </c>
      <c r="D98" s="331">
        <v>232.5</v>
      </c>
      <c r="E98" s="331" t="s">
        <v>42</v>
      </c>
      <c r="F98" s="325" t="s">
        <v>959</v>
      </c>
      <c r="G98" s="325" t="s">
        <v>959</v>
      </c>
      <c r="H98" s="135"/>
      <c r="I98" s="135"/>
      <c r="K98" s="345">
        <v>97</v>
      </c>
    </row>
    <row r="99" spans="1:11" ht="15" x14ac:dyDescent="0.2">
      <c r="A99" s="326" t="s">
        <v>297</v>
      </c>
      <c r="B99" s="322" t="s">
        <v>1149</v>
      </c>
      <c r="C99" s="323" t="s">
        <v>240</v>
      </c>
      <c r="D99" s="331">
        <v>271.89</v>
      </c>
      <c r="E99" s="331" t="s">
        <v>42</v>
      </c>
      <c r="F99" s="325" t="s">
        <v>959</v>
      </c>
      <c r="G99" s="325" t="s">
        <v>959</v>
      </c>
      <c r="H99" s="135"/>
      <c r="I99" s="135"/>
      <c r="K99" s="345">
        <v>98</v>
      </c>
    </row>
    <row r="100" spans="1:11" ht="15" x14ac:dyDescent="0.2">
      <c r="A100" s="326" t="s">
        <v>303</v>
      </c>
      <c r="B100" s="322" t="s">
        <v>1149</v>
      </c>
      <c r="C100" s="323" t="s">
        <v>240</v>
      </c>
      <c r="D100" s="331">
        <v>373.61</v>
      </c>
      <c r="E100" s="331" t="s">
        <v>42</v>
      </c>
      <c r="F100" s="325" t="s">
        <v>959</v>
      </c>
      <c r="G100" s="325" t="s">
        <v>959</v>
      </c>
      <c r="H100" s="135"/>
      <c r="I100" s="135"/>
      <c r="K100" s="345">
        <v>99</v>
      </c>
    </row>
    <row r="101" spans="1:11" ht="15" x14ac:dyDescent="0.2">
      <c r="A101" s="326" t="s">
        <v>306</v>
      </c>
      <c r="B101" s="322" t="s">
        <v>1149</v>
      </c>
      <c r="C101" s="323" t="s">
        <v>240</v>
      </c>
      <c r="D101" s="331">
        <v>399.73</v>
      </c>
      <c r="E101" s="331" t="s">
        <v>42</v>
      </c>
      <c r="F101" s="325" t="s">
        <v>959</v>
      </c>
      <c r="G101" s="325" t="s">
        <v>959</v>
      </c>
      <c r="H101" s="135"/>
      <c r="I101" s="135"/>
      <c r="K101" s="345">
        <v>100</v>
      </c>
    </row>
    <row r="102" spans="1:11" ht="15" x14ac:dyDescent="0.2">
      <c r="A102" s="326" t="s">
        <v>309</v>
      </c>
      <c r="B102" s="322" t="s">
        <v>1149</v>
      </c>
      <c r="C102" s="323" t="s">
        <v>240</v>
      </c>
      <c r="D102" s="331">
        <v>465.01</v>
      </c>
      <c r="E102" s="331" t="s">
        <v>42</v>
      </c>
      <c r="F102" s="325" t="s">
        <v>959</v>
      </c>
      <c r="G102" s="325" t="s">
        <v>959</v>
      </c>
      <c r="H102" s="135"/>
      <c r="I102" s="135"/>
      <c r="K102" s="345">
        <v>101</v>
      </c>
    </row>
    <row r="103" spans="1:11" ht="15" x14ac:dyDescent="0.2">
      <c r="A103" s="326" t="s">
        <v>311</v>
      </c>
      <c r="B103" s="322" t="s">
        <v>1149</v>
      </c>
      <c r="C103" s="323" t="s">
        <v>240</v>
      </c>
      <c r="D103" s="331">
        <v>488.52</v>
      </c>
      <c r="E103" s="331" t="s">
        <v>42</v>
      </c>
      <c r="F103" s="325" t="s">
        <v>959</v>
      </c>
      <c r="G103" s="325" t="s">
        <v>959</v>
      </c>
      <c r="H103" s="135"/>
      <c r="I103" s="135"/>
      <c r="K103" s="345">
        <v>102</v>
      </c>
    </row>
    <row r="104" spans="1:11" ht="15" x14ac:dyDescent="0.2">
      <c r="A104" s="326" t="s">
        <v>318</v>
      </c>
      <c r="B104" s="322" t="s">
        <v>1149</v>
      </c>
      <c r="C104" s="323" t="s">
        <v>240</v>
      </c>
      <c r="D104" s="331">
        <v>540.75</v>
      </c>
      <c r="E104" s="331" t="s">
        <v>42</v>
      </c>
      <c r="F104" s="325" t="s">
        <v>959</v>
      </c>
      <c r="G104" s="325" t="s">
        <v>959</v>
      </c>
      <c r="H104" s="135"/>
      <c r="I104" s="135"/>
      <c r="K104" s="345">
        <v>103</v>
      </c>
    </row>
    <row r="105" spans="1:11" ht="15" x14ac:dyDescent="0.2">
      <c r="A105" s="326" t="s">
        <v>326</v>
      </c>
      <c r="B105" s="322" t="s">
        <v>1149</v>
      </c>
      <c r="C105" s="323" t="s">
        <v>240</v>
      </c>
      <c r="D105" s="331">
        <v>660.88</v>
      </c>
      <c r="E105" s="331" t="s">
        <v>42</v>
      </c>
      <c r="F105" s="325" t="s">
        <v>959</v>
      </c>
      <c r="G105" s="325" t="s">
        <v>959</v>
      </c>
      <c r="H105" s="135"/>
      <c r="I105" s="135"/>
      <c r="K105" s="345">
        <v>104</v>
      </c>
    </row>
    <row r="106" spans="1:11" ht="15" x14ac:dyDescent="0.2">
      <c r="A106" s="326" t="s">
        <v>335</v>
      </c>
      <c r="B106" s="322" t="s">
        <v>1149</v>
      </c>
      <c r="C106" s="323" t="s">
        <v>240</v>
      </c>
      <c r="D106" s="331">
        <v>765.99</v>
      </c>
      <c r="E106" s="331" t="s">
        <v>42</v>
      </c>
      <c r="F106" s="325" t="s">
        <v>959</v>
      </c>
      <c r="G106" s="325" t="s">
        <v>959</v>
      </c>
      <c r="H106" s="135"/>
      <c r="I106" s="135"/>
      <c r="K106" s="345">
        <v>105</v>
      </c>
    </row>
    <row r="107" spans="1:11" ht="15" x14ac:dyDescent="0.2">
      <c r="A107" s="326" t="s">
        <v>354</v>
      </c>
      <c r="B107" s="322" t="s">
        <v>1149</v>
      </c>
      <c r="C107" s="323" t="s">
        <v>240</v>
      </c>
      <c r="D107" s="331">
        <v>967.73</v>
      </c>
      <c r="E107" s="331" t="s">
        <v>42</v>
      </c>
      <c r="F107" s="325" t="s">
        <v>959</v>
      </c>
      <c r="G107" s="325" t="s">
        <v>959</v>
      </c>
      <c r="H107" s="135"/>
      <c r="I107" s="135"/>
      <c r="K107" s="345">
        <v>106</v>
      </c>
    </row>
    <row r="108" spans="1:11" ht="15" x14ac:dyDescent="0.2">
      <c r="A108" s="326" t="s">
        <v>355</v>
      </c>
      <c r="B108" s="322" t="s">
        <v>1149</v>
      </c>
      <c r="C108" s="323" t="s">
        <v>240</v>
      </c>
      <c r="D108" s="331">
        <v>970.99</v>
      </c>
      <c r="E108" s="331" t="s">
        <v>42</v>
      </c>
      <c r="F108" s="325" t="s">
        <v>959</v>
      </c>
      <c r="G108" s="325" t="s">
        <v>959</v>
      </c>
      <c r="H108" s="135"/>
      <c r="I108" s="135"/>
      <c r="K108" s="345">
        <v>107</v>
      </c>
    </row>
    <row r="109" spans="1:11" ht="15" x14ac:dyDescent="0.2">
      <c r="A109" s="326" t="s">
        <v>247</v>
      </c>
      <c r="B109" s="322" t="s">
        <v>1148</v>
      </c>
      <c r="C109" s="323" t="s">
        <v>240</v>
      </c>
      <c r="D109" s="331">
        <v>723.89</v>
      </c>
      <c r="E109" s="331" t="s">
        <v>42</v>
      </c>
      <c r="F109" s="325" t="s">
        <v>959</v>
      </c>
      <c r="G109" s="325" t="s">
        <v>959</v>
      </c>
      <c r="H109" s="135"/>
      <c r="I109" s="135"/>
      <c r="K109" s="345">
        <v>108</v>
      </c>
    </row>
    <row r="110" spans="1:11" x14ac:dyDescent="0.2">
      <c r="A110" s="326" t="s">
        <v>1808</v>
      </c>
      <c r="B110" s="322" t="s">
        <v>1148</v>
      </c>
      <c r="C110" s="323" t="s">
        <v>240</v>
      </c>
      <c r="D110" s="331">
        <v>302.83999999999997</v>
      </c>
      <c r="E110" s="331" t="s">
        <v>42</v>
      </c>
      <c r="F110" s="159"/>
      <c r="G110" s="159"/>
      <c r="H110" s="135"/>
      <c r="I110" s="135"/>
      <c r="K110" s="345">
        <v>379</v>
      </c>
    </row>
    <row r="111" spans="1:11" x14ac:dyDescent="0.2">
      <c r="A111" s="326" t="s">
        <v>1809</v>
      </c>
      <c r="B111" s="322" t="s">
        <v>1148</v>
      </c>
      <c r="C111" s="323" t="s">
        <v>240</v>
      </c>
      <c r="D111" s="331">
        <v>587.95000000000005</v>
      </c>
      <c r="E111" s="331" t="s">
        <v>42</v>
      </c>
      <c r="F111" s="159"/>
      <c r="G111" s="159"/>
      <c r="H111" s="135"/>
      <c r="I111" s="135"/>
      <c r="K111" s="345">
        <v>380</v>
      </c>
    </row>
    <row r="112" spans="1:11" x14ac:dyDescent="0.2">
      <c r="A112" s="326" t="s">
        <v>1810</v>
      </c>
      <c r="B112" s="322" t="s">
        <v>1148</v>
      </c>
      <c r="C112" s="323" t="s">
        <v>240</v>
      </c>
      <c r="D112" s="331">
        <v>722.17</v>
      </c>
      <c r="E112" s="331" t="s">
        <v>42</v>
      </c>
      <c r="F112" s="159"/>
      <c r="G112" s="159"/>
      <c r="H112" s="135"/>
      <c r="I112" s="135"/>
      <c r="K112" s="345">
        <v>381</v>
      </c>
    </row>
    <row r="113" spans="1:11" x14ac:dyDescent="0.2">
      <c r="A113" s="326" t="s">
        <v>1811</v>
      </c>
      <c r="B113" s="322" t="s">
        <v>1148</v>
      </c>
      <c r="C113" s="323" t="s">
        <v>240</v>
      </c>
      <c r="D113" s="331">
        <v>822.01</v>
      </c>
      <c r="E113" s="331" t="s">
        <v>42</v>
      </c>
      <c r="F113" s="159"/>
      <c r="G113" s="159"/>
      <c r="H113" s="135"/>
      <c r="I113" s="135"/>
      <c r="K113" s="345">
        <v>382</v>
      </c>
    </row>
    <row r="114" spans="1:11" x14ac:dyDescent="0.2">
      <c r="A114" s="326" t="s">
        <v>1812</v>
      </c>
      <c r="B114" s="322" t="s">
        <v>1148</v>
      </c>
      <c r="C114" s="323" t="s">
        <v>240</v>
      </c>
      <c r="D114" s="331">
        <v>1027.73</v>
      </c>
      <c r="E114" s="331" t="s">
        <v>42</v>
      </c>
      <c r="F114" s="159"/>
      <c r="G114" s="159"/>
      <c r="H114" s="135"/>
      <c r="I114" s="135"/>
      <c r="K114" s="345">
        <v>383</v>
      </c>
    </row>
    <row r="115" spans="1:11" x14ac:dyDescent="0.2">
      <c r="A115" s="326" t="s">
        <v>1813</v>
      </c>
      <c r="B115" s="322" t="s">
        <v>1148</v>
      </c>
      <c r="C115" s="323" t="s">
        <v>240</v>
      </c>
      <c r="D115" s="331">
        <v>1079.77</v>
      </c>
      <c r="E115" s="331" t="s">
        <v>42</v>
      </c>
      <c r="F115" s="159"/>
      <c r="G115" s="159"/>
      <c r="H115" s="135"/>
      <c r="I115" s="135"/>
      <c r="K115" s="345">
        <v>384</v>
      </c>
    </row>
    <row r="116" spans="1:11" x14ac:dyDescent="0.2">
      <c r="A116" s="326" t="s">
        <v>1814</v>
      </c>
      <c r="B116" s="322" t="s">
        <v>1148</v>
      </c>
      <c r="C116" s="323" t="s">
        <v>240</v>
      </c>
      <c r="D116" s="331">
        <v>1332.32</v>
      </c>
      <c r="E116" s="331" t="s">
        <v>42</v>
      </c>
      <c r="F116" s="159"/>
      <c r="G116" s="159"/>
      <c r="H116" s="135"/>
      <c r="I116" s="135"/>
      <c r="K116" s="345">
        <v>385</v>
      </c>
    </row>
    <row r="117" spans="1:11" x14ac:dyDescent="0.2">
      <c r="A117" s="326" t="s">
        <v>1815</v>
      </c>
      <c r="B117" s="322" t="s">
        <v>1148</v>
      </c>
      <c r="C117" s="323" t="s">
        <v>240</v>
      </c>
      <c r="D117" s="331">
        <v>1384.36</v>
      </c>
      <c r="E117" s="331" t="s">
        <v>42</v>
      </c>
      <c r="F117" s="159"/>
      <c r="G117" s="159"/>
      <c r="H117" s="135"/>
      <c r="I117" s="135"/>
      <c r="K117" s="345">
        <v>386</v>
      </c>
    </row>
    <row r="118" spans="1:11" x14ac:dyDescent="0.2">
      <c r="A118" s="326" t="s">
        <v>1816</v>
      </c>
      <c r="B118" s="322" t="s">
        <v>1148</v>
      </c>
      <c r="C118" s="323" t="s">
        <v>240</v>
      </c>
      <c r="D118" s="331">
        <v>1497.76</v>
      </c>
      <c r="E118" s="331" t="s">
        <v>42</v>
      </c>
      <c r="F118" s="159"/>
      <c r="G118" s="159"/>
      <c r="H118" s="135"/>
      <c r="I118" s="135"/>
      <c r="K118" s="345">
        <v>387</v>
      </c>
    </row>
    <row r="119" spans="1:11" x14ac:dyDescent="0.2">
      <c r="A119" s="326" t="s">
        <v>1817</v>
      </c>
      <c r="B119" s="322" t="s">
        <v>1148</v>
      </c>
      <c r="C119" s="323" t="s">
        <v>240</v>
      </c>
      <c r="D119" s="331">
        <v>1863.68</v>
      </c>
      <c r="E119" s="331" t="s">
        <v>42</v>
      </c>
      <c r="F119" s="159"/>
      <c r="G119" s="159"/>
      <c r="H119" s="135"/>
      <c r="I119" s="135"/>
      <c r="K119" s="345">
        <v>388</v>
      </c>
    </row>
    <row r="120" spans="1:11" x14ac:dyDescent="0.2">
      <c r="A120" s="326" t="s">
        <v>1818</v>
      </c>
      <c r="B120" s="322" t="s">
        <v>1148</v>
      </c>
      <c r="C120" s="323" t="s">
        <v>240</v>
      </c>
      <c r="D120" s="331">
        <v>2214.81</v>
      </c>
      <c r="E120" s="331" t="s">
        <v>42</v>
      </c>
      <c r="F120" s="159"/>
      <c r="G120" s="159"/>
      <c r="H120" s="135"/>
      <c r="I120" s="135"/>
      <c r="K120" s="345">
        <v>389</v>
      </c>
    </row>
    <row r="121" spans="1:11" x14ac:dyDescent="0.2">
      <c r="A121" s="326" t="s">
        <v>1819</v>
      </c>
      <c r="B121" s="322" t="s">
        <v>1148</v>
      </c>
      <c r="C121" s="323" t="s">
        <v>240</v>
      </c>
      <c r="D121" s="331">
        <v>2467.48</v>
      </c>
      <c r="E121" s="331" t="s">
        <v>42</v>
      </c>
      <c r="F121" s="159"/>
      <c r="G121" s="159"/>
      <c r="H121" s="135"/>
      <c r="I121" s="135"/>
      <c r="K121" s="345">
        <v>390</v>
      </c>
    </row>
    <row r="122" spans="1:11" x14ac:dyDescent="0.2">
      <c r="A122" s="326" t="s">
        <v>1820</v>
      </c>
      <c r="B122" s="322" t="s">
        <v>1148</v>
      </c>
      <c r="C122" s="323" t="s">
        <v>240</v>
      </c>
      <c r="D122" s="331">
        <v>2573.5100000000002</v>
      </c>
      <c r="E122" s="331" t="s">
        <v>42</v>
      </c>
      <c r="F122" s="159"/>
      <c r="G122" s="159"/>
      <c r="H122" s="135"/>
      <c r="I122" s="135"/>
      <c r="K122" s="345">
        <v>391</v>
      </c>
    </row>
    <row r="123" spans="1:11" x14ac:dyDescent="0.2">
      <c r="A123" s="326" t="s">
        <v>1821</v>
      </c>
      <c r="B123" s="322" t="s">
        <v>1148</v>
      </c>
      <c r="C123" s="323" t="s">
        <v>240</v>
      </c>
      <c r="D123" s="331">
        <v>2827.75</v>
      </c>
      <c r="E123" s="331" t="s">
        <v>42</v>
      </c>
      <c r="F123" s="159"/>
      <c r="G123" s="159"/>
      <c r="H123" s="135"/>
      <c r="I123" s="135"/>
      <c r="K123" s="345">
        <v>392</v>
      </c>
    </row>
    <row r="124" spans="1:11" ht="15" x14ac:dyDescent="0.2">
      <c r="A124" s="326" t="s">
        <v>296</v>
      </c>
      <c r="B124" s="322" t="s">
        <v>1148</v>
      </c>
      <c r="C124" s="323" t="s">
        <v>240</v>
      </c>
      <c r="D124" s="331">
        <v>247.94</v>
      </c>
      <c r="E124" s="331" t="s">
        <v>42</v>
      </c>
      <c r="F124" s="325" t="s">
        <v>959</v>
      </c>
      <c r="G124" s="325" t="s">
        <v>959</v>
      </c>
      <c r="H124" s="135"/>
      <c r="I124" s="135"/>
      <c r="K124" s="345">
        <v>109</v>
      </c>
    </row>
    <row r="125" spans="1:11" ht="15" x14ac:dyDescent="0.25">
      <c r="A125" s="326" t="s">
        <v>298</v>
      </c>
      <c r="B125" s="322" t="s">
        <v>1148</v>
      </c>
      <c r="C125" s="323" t="s">
        <v>240</v>
      </c>
      <c r="D125" s="331">
        <v>283.85000000000002</v>
      </c>
      <c r="E125" s="331" t="s">
        <v>42</v>
      </c>
      <c r="F125" s="325" t="s">
        <v>959</v>
      </c>
      <c r="G125" s="325" t="s">
        <v>959</v>
      </c>
      <c r="H125" s="156"/>
      <c r="I125" s="156"/>
      <c r="K125" s="345">
        <v>110</v>
      </c>
    </row>
    <row r="126" spans="1:11" ht="15" x14ac:dyDescent="0.25">
      <c r="A126" s="326" t="s">
        <v>301</v>
      </c>
      <c r="B126" s="322" t="s">
        <v>1148</v>
      </c>
      <c r="C126" s="323" t="s">
        <v>240</v>
      </c>
      <c r="D126" s="331">
        <v>342.6</v>
      </c>
      <c r="E126" s="331" t="s">
        <v>42</v>
      </c>
      <c r="F126" s="325" t="s">
        <v>959</v>
      </c>
      <c r="G126" s="325" t="s">
        <v>959</v>
      </c>
      <c r="H126" s="157"/>
      <c r="I126" s="157"/>
      <c r="K126" s="345">
        <v>111</v>
      </c>
    </row>
    <row r="127" spans="1:11" ht="15" x14ac:dyDescent="0.25">
      <c r="A127" s="326" t="s">
        <v>304</v>
      </c>
      <c r="B127" s="322" t="s">
        <v>1148</v>
      </c>
      <c r="C127" s="323" t="s">
        <v>240</v>
      </c>
      <c r="D127" s="331">
        <v>378.51</v>
      </c>
      <c r="E127" s="331" t="s">
        <v>42</v>
      </c>
      <c r="F127" s="325" t="s">
        <v>959</v>
      </c>
      <c r="G127" s="325" t="s">
        <v>959</v>
      </c>
      <c r="H127" s="135"/>
      <c r="I127" s="157"/>
      <c r="K127" s="345">
        <v>112</v>
      </c>
    </row>
    <row r="128" spans="1:11" ht="15" x14ac:dyDescent="0.2">
      <c r="A128" s="326" t="s">
        <v>308</v>
      </c>
      <c r="B128" s="322" t="s">
        <v>1148</v>
      </c>
      <c r="C128" s="323" t="s">
        <v>240</v>
      </c>
      <c r="D128" s="331">
        <v>463.39</v>
      </c>
      <c r="E128" s="331" t="s">
        <v>42</v>
      </c>
      <c r="F128" s="325" t="s">
        <v>959</v>
      </c>
      <c r="G128" s="325" t="s">
        <v>959</v>
      </c>
      <c r="H128" s="135"/>
      <c r="I128" s="135"/>
      <c r="K128" s="345">
        <v>113</v>
      </c>
    </row>
    <row r="129" spans="1:11" ht="15" x14ac:dyDescent="0.2">
      <c r="A129" s="326" t="s">
        <v>310</v>
      </c>
      <c r="B129" s="322" t="s">
        <v>1148</v>
      </c>
      <c r="C129" s="323" t="s">
        <v>240</v>
      </c>
      <c r="D129" s="331">
        <v>479.06</v>
      </c>
      <c r="E129" s="331" t="s">
        <v>42</v>
      </c>
      <c r="F129" s="325" t="s">
        <v>959</v>
      </c>
      <c r="G129" s="325" t="s">
        <v>959</v>
      </c>
      <c r="H129" s="135"/>
      <c r="I129" s="135"/>
      <c r="K129" s="345">
        <v>114</v>
      </c>
    </row>
    <row r="130" spans="1:11" ht="15" x14ac:dyDescent="0.2">
      <c r="A130" s="326" t="s">
        <v>314</v>
      </c>
      <c r="B130" s="322" t="s">
        <v>1148</v>
      </c>
      <c r="C130" s="323" t="s">
        <v>240</v>
      </c>
      <c r="D130" s="331">
        <v>507.78</v>
      </c>
      <c r="E130" s="331" t="s">
        <v>42</v>
      </c>
      <c r="F130" s="325" t="s">
        <v>959</v>
      </c>
      <c r="G130" s="325" t="s">
        <v>959</v>
      </c>
      <c r="H130" s="135"/>
      <c r="I130" s="135"/>
      <c r="K130" s="345">
        <v>115</v>
      </c>
    </row>
    <row r="131" spans="1:11" ht="15" x14ac:dyDescent="0.2">
      <c r="A131" s="326" t="s">
        <v>315</v>
      </c>
      <c r="B131" s="322" t="s">
        <v>1148</v>
      </c>
      <c r="C131" s="323" t="s">
        <v>240</v>
      </c>
      <c r="D131" s="331">
        <v>513</v>
      </c>
      <c r="E131" s="331" t="s">
        <v>42</v>
      </c>
      <c r="F131" s="325" t="s">
        <v>959</v>
      </c>
      <c r="G131" s="325" t="s">
        <v>959</v>
      </c>
      <c r="H131" s="135"/>
      <c r="I131" s="135"/>
      <c r="K131" s="345">
        <v>116</v>
      </c>
    </row>
    <row r="132" spans="1:11" ht="15" x14ac:dyDescent="0.2">
      <c r="A132" s="326" t="s">
        <v>320</v>
      </c>
      <c r="B132" s="322" t="s">
        <v>1148</v>
      </c>
      <c r="C132" s="323" t="s">
        <v>240</v>
      </c>
      <c r="D132" s="331">
        <v>552.17999999999995</v>
      </c>
      <c r="E132" s="331" t="s">
        <v>42</v>
      </c>
      <c r="F132" s="325" t="s">
        <v>959</v>
      </c>
      <c r="G132" s="325" t="s">
        <v>959</v>
      </c>
      <c r="H132" s="135"/>
      <c r="I132" s="135"/>
      <c r="K132" s="345">
        <v>117</v>
      </c>
    </row>
    <row r="133" spans="1:11" ht="15" x14ac:dyDescent="0.25">
      <c r="A133" s="326" t="s">
        <v>321</v>
      </c>
      <c r="B133" s="322" t="s">
        <v>1148</v>
      </c>
      <c r="C133" s="323" t="s">
        <v>240</v>
      </c>
      <c r="D133" s="331">
        <v>552.17999999999995</v>
      </c>
      <c r="E133" s="331" t="s">
        <v>42</v>
      </c>
      <c r="F133" s="325" t="s">
        <v>959</v>
      </c>
      <c r="G133" s="325" t="s">
        <v>959</v>
      </c>
      <c r="H133" s="157"/>
      <c r="I133" s="157"/>
      <c r="K133" s="345">
        <v>118</v>
      </c>
    </row>
    <row r="134" spans="1:11" ht="15" x14ac:dyDescent="0.25">
      <c r="A134" s="326" t="s">
        <v>323</v>
      </c>
      <c r="B134" s="322" t="s">
        <v>1148</v>
      </c>
      <c r="C134" s="323" t="s">
        <v>240</v>
      </c>
      <c r="D134" s="331">
        <v>583.51</v>
      </c>
      <c r="E134" s="331" t="s">
        <v>42</v>
      </c>
      <c r="F134" s="325" t="s">
        <v>959</v>
      </c>
      <c r="G134" s="325" t="s">
        <v>959</v>
      </c>
      <c r="H134" s="157"/>
      <c r="I134" s="157"/>
      <c r="K134" s="345">
        <v>119</v>
      </c>
    </row>
    <row r="135" spans="1:11" ht="15" x14ac:dyDescent="0.25">
      <c r="A135" s="326" t="s">
        <v>324</v>
      </c>
      <c r="B135" s="322" t="s">
        <v>1148</v>
      </c>
      <c r="C135" s="323" t="s">
        <v>240</v>
      </c>
      <c r="D135" s="331">
        <v>595.85</v>
      </c>
      <c r="E135" s="331" t="s">
        <v>42</v>
      </c>
      <c r="F135" s="325" t="s">
        <v>959</v>
      </c>
      <c r="G135" s="325" t="s">
        <v>959</v>
      </c>
      <c r="H135" s="157"/>
      <c r="I135" s="157"/>
      <c r="K135" s="345">
        <v>120</v>
      </c>
    </row>
    <row r="136" spans="1:11" ht="15" x14ac:dyDescent="0.25">
      <c r="A136" s="326" t="s">
        <v>325</v>
      </c>
      <c r="B136" s="322" t="s">
        <v>1148</v>
      </c>
      <c r="C136" s="323" t="s">
        <v>240</v>
      </c>
      <c r="D136" s="331">
        <v>641.71</v>
      </c>
      <c r="E136" s="331" t="s">
        <v>42</v>
      </c>
      <c r="F136" s="325" t="s">
        <v>959</v>
      </c>
      <c r="G136" s="325" t="s">
        <v>959</v>
      </c>
      <c r="H136" s="157"/>
      <c r="I136" s="157"/>
      <c r="K136" s="345">
        <v>121</v>
      </c>
    </row>
    <row r="137" spans="1:11" ht="15" x14ac:dyDescent="0.25">
      <c r="A137" s="326" t="s">
        <v>329</v>
      </c>
      <c r="B137" s="322" t="s">
        <v>1148</v>
      </c>
      <c r="C137" s="323" t="s">
        <v>240</v>
      </c>
      <c r="D137" s="331">
        <v>704.95</v>
      </c>
      <c r="E137" s="331" t="s">
        <v>42</v>
      </c>
      <c r="F137" s="325" t="s">
        <v>959</v>
      </c>
      <c r="G137" s="325" t="s">
        <v>959</v>
      </c>
      <c r="H137" s="157"/>
      <c r="I137" s="157"/>
      <c r="K137" s="345">
        <v>122</v>
      </c>
    </row>
    <row r="138" spans="1:11" ht="15" x14ac:dyDescent="0.25">
      <c r="A138" s="326" t="s">
        <v>336</v>
      </c>
      <c r="B138" s="322" t="s">
        <v>1148</v>
      </c>
      <c r="C138" s="323" t="s">
        <v>240</v>
      </c>
      <c r="D138" s="331">
        <v>782.6</v>
      </c>
      <c r="E138" s="331" t="s">
        <v>42</v>
      </c>
      <c r="F138" s="325" t="s">
        <v>959</v>
      </c>
      <c r="G138" s="325" t="s">
        <v>959</v>
      </c>
      <c r="H138" s="157"/>
      <c r="I138" s="157"/>
      <c r="K138" s="345">
        <v>123</v>
      </c>
    </row>
    <row r="139" spans="1:11" ht="15" x14ac:dyDescent="0.2">
      <c r="A139" s="326" t="s">
        <v>337</v>
      </c>
      <c r="B139" s="322" t="s">
        <v>1148</v>
      </c>
      <c r="C139" s="323" t="s">
        <v>240</v>
      </c>
      <c r="D139" s="331">
        <v>783.3</v>
      </c>
      <c r="E139" s="331" t="s">
        <v>42</v>
      </c>
      <c r="F139" s="325" t="s">
        <v>959</v>
      </c>
      <c r="G139" s="325" t="s">
        <v>959</v>
      </c>
      <c r="H139" s="135"/>
      <c r="I139" s="135"/>
      <c r="K139" s="345">
        <v>124</v>
      </c>
    </row>
    <row r="140" spans="1:11" ht="15" x14ac:dyDescent="0.2">
      <c r="A140" s="326" t="s">
        <v>341</v>
      </c>
      <c r="B140" s="322" t="s">
        <v>1148</v>
      </c>
      <c r="C140" s="323" t="s">
        <v>240</v>
      </c>
      <c r="D140" s="331">
        <v>802.88</v>
      </c>
      <c r="E140" s="331" t="s">
        <v>42</v>
      </c>
      <c r="F140" s="325" t="s">
        <v>959</v>
      </c>
      <c r="G140" s="325" t="s">
        <v>959</v>
      </c>
      <c r="H140" s="135"/>
      <c r="I140" s="135"/>
      <c r="K140" s="345">
        <v>125</v>
      </c>
    </row>
    <row r="141" spans="1:11" ht="15" x14ac:dyDescent="0.2">
      <c r="A141" s="326" t="s">
        <v>344</v>
      </c>
      <c r="B141" s="322" t="s">
        <v>1148</v>
      </c>
      <c r="C141" s="323" t="s">
        <v>240</v>
      </c>
      <c r="D141" s="331">
        <v>841.31</v>
      </c>
      <c r="E141" s="331" t="s">
        <v>42</v>
      </c>
      <c r="F141" s="325" t="s">
        <v>959</v>
      </c>
      <c r="G141" s="325" t="s">
        <v>959</v>
      </c>
      <c r="H141" s="135"/>
      <c r="I141" s="135"/>
      <c r="K141" s="345">
        <v>126</v>
      </c>
    </row>
    <row r="142" spans="1:11" ht="15" x14ac:dyDescent="0.2">
      <c r="A142" s="326" t="s">
        <v>357</v>
      </c>
      <c r="B142" s="322" t="s">
        <v>1148</v>
      </c>
      <c r="C142" s="323" t="s">
        <v>240</v>
      </c>
      <c r="D142" s="331">
        <v>1038.8800000000001</v>
      </c>
      <c r="E142" s="331" t="s">
        <v>42</v>
      </c>
      <c r="F142" s="325" t="s">
        <v>959</v>
      </c>
      <c r="G142" s="325" t="s">
        <v>959</v>
      </c>
      <c r="H142" s="135"/>
      <c r="I142" s="135"/>
      <c r="K142" s="345">
        <v>127</v>
      </c>
    </row>
    <row r="143" spans="1:11" ht="15" x14ac:dyDescent="0.2">
      <c r="A143" s="326" t="s">
        <v>359</v>
      </c>
      <c r="B143" s="322" t="s">
        <v>1148</v>
      </c>
      <c r="C143" s="323" t="s">
        <v>240</v>
      </c>
      <c r="D143" s="331">
        <v>1068.33</v>
      </c>
      <c r="E143" s="331" t="s">
        <v>42</v>
      </c>
      <c r="F143" s="325" t="s">
        <v>959</v>
      </c>
      <c r="G143" s="325" t="s">
        <v>959</v>
      </c>
      <c r="H143" s="135"/>
      <c r="I143" s="135"/>
      <c r="K143" s="345">
        <v>128</v>
      </c>
    </row>
    <row r="144" spans="1:11" ht="15" x14ac:dyDescent="0.2">
      <c r="A144" s="326" t="s">
        <v>360</v>
      </c>
      <c r="B144" s="322" t="s">
        <v>1148</v>
      </c>
      <c r="C144" s="323" t="s">
        <v>240</v>
      </c>
      <c r="D144" s="331">
        <v>1069.33</v>
      </c>
      <c r="E144" s="331" t="s">
        <v>42</v>
      </c>
      <c r="F144" s="325" t="s">
        <v>959</v>
      </c>
      <c r="G144" s="325" t="s">
        <v>959</v>
      </c>
      <c r="H144" s="135"/>
      <c r="I144" s="135"/>
      <c r="K144" s="345">
        <v>129</v>
      </c>
    </row>
    <row r="145" spans="1:11" ht="15" x14ac:dyDescent="0.2">
      <c r="A145" s="326" t="s">
        <v>361</v>
      </c>
      <c r="B145" s="322" t="s">
        <v>1148</v>
      </c>
      <c r="C145" s="323" t="s">
        <v>240</v>
      </c>
      <c r="D145" s="331">
        <v>1120.44</v>
      </c>
      <c r="E145" s="331" t="s">
        <v>42</v>
      </c>
      <c r="F145" s="325" t="s">
        <v>959</v>
      </c>
      <c r="G145" s="325" t="s">
        <v>959</v>
      </c>
      <c r="H145" s="135"/>
      <c r="I145" s="135"/>
      <c r="K145" s="345">
        <v>130</v>
      </c>
    </row>
    <row r="146" spans="1:11" ht="15" x14ac:dyDescent="0.2">
      <c r="A146" s="326" t="s">
        <v>690</v>
      </c>
      <c r="B146" s="322" t="s">
        <v>1141</v>
      </c>
      <c r="C146" s="323" t="s">
        <v>685</v>
      </c>
      <c r="D146" s="331">
        <v>2.14</v>
      </c>
      <c r="E146" s="331" t="s">
        <v>42</v>
      </c>
      <c r="F146" s="325" t="s">
        <v>959</v>
      </c>
      <c r="G146" s="325">
        <v>2.14</v>
      </c>
      <c r="H146" s="135"/>
      <c r="I146" s="135"/>
      <c r="K146" s="345">
        <v>131</v>
      </c>
    </row>
    <row r="147" spans="1:11" ht="15" x14ac:dyDescent="0.2">
      <c r="A147" s="326" t="s">
        <v>691</v>
      </c>
      <c r="B147" s="322" t="s">
        <v>1141</v>
      </c>
      <c r="C147" s="323" t="s">
        <v>685</v>
      </c>
      <c r="D147" s="331">
        <v>0.73</v>
      </c>
      <c r="E147" s="331" t="s">
        <v>42</v>
      </c>
      <c r="F147" s="325" t="s">
        <v>959</v>
      </c>
      <c r="G147" s="325">
        <v>0.73</v>
      </c>
      <c r="H147" s="135"/>
      <c r="I147" s="135"/>
      <c r="K147" s="345">
        <v>132</v>
      </c>
    </row>
    <row r="148" spans="1:11" ht="15" x14ac:dyDescent="0.2">
      <c r="A148" s="326" t="s">
        <v>692</v>
      </c>
      <c r="B148" s="322" t="s">
        <v>1141</v>
      </c>
      <c r="C148" s="323" t="s">
        <v>685</v>
      </c>
      <c r="D148" s="331">
        <v>1.1599999999999999</v>
      </c>
      <c r="E148" s="331" t="s">
        <v>42</v>
      </c>
      <c r="F148" s="325" t="s">
        <v>959</v>
      </c>
      <c r="G148" s="325">
        <v>1.1599999999999999</v>
      </c>
      <c r="H148" s="135"/>
      <c r="I148" s="135"/>
      <c r="K148" s="345">
        <v>133</v>
      </c>
    </row>
    <row r="149" spans="1:11" ht="15" x14ac:dyDescent="0.2">
      <c r="A149" s="326" t="s">
        <v>693</v>
      </c>
      <c r="B149" s="322" t="s">
        <v>1141</v>
      </c>
      <c r="C149" s="323" t="s">
        <v>685</v>
      </c>
      <c r="D149" s="331">
        <v>1.08</v>
      </c>
      <c r="E149" s="331" t="s">
        <v>42</v>
      </c>
      <c r="F149" s="325" t="s">
        <v>959</v>
      </c>
      <c r="G149" s="325">
        <v>1.08</v>
      </c>
      <c r="H149" s="135"/>
      <c r="I149" s="135"/>
      <c r="K149" s="345">
        <v>134</v>
      </c>
    </row>
    <row r="150" spans="1:11" ht="15" x14ac:dyDescent="0.2">
      <c r="A150" s="326" t="s">
        <v>694</v>
      </c>
      <c r="B150" s="322" t="s">
        <v>1141</v>
      </c>
      <c r="C150" s="323" t="s">
        <v>685</v>
      </c>
      <c r="D150" s="331">
        <v>1.42</v>
      </c>
      <c r="E150" s="331" t="s">
        <v>42</v>
      </c>
      <c r="F150" s="325" t="s">
        <v>959</v>
      </c>
      <c r="G150" s="325">
        <v>1.42</v>
      </c>
      <c r="H150" s="135"/>
      <c r="I150" s="135"/>
      <c r="K150" s="345">
        <v>135</v>
      </c>
    </row>
    <row r="151" spans="1:11" ht="15" x14ac:dyDescent="0.2">
      <c r="A151" s="326" t="s">
        <v>695</v>
      </c>
      <c r="B151" s="322" t="s">
        <v>1141</v>
      </c>
      <c r="C151" s="323" t="s">
        <v>685</v>
      </c>
      <c r="D151" s="331">
        <v>2.93</v>
      </c>
      <c r="E151" s="331" t="s">
        <v>42</v>
      </c>
      <c r="F151" s="325" t="s">
        <v>959</v>
      </c>
      <c r="G151" s="325">
        <v>2.93</v>
      </c>
      <c r="H151" s="135"/>
      <c r="I151" s="135"/>
      <c r="K151" s="345">
        <v>136</v>
      </c>
    </row>
    <row r="152" spans="1:11" ht="15" x14ac:dyDescent="0.2">
      <c r="A152" s="326" t="s">
        <v>696</v>
      </c>
      <c r="B152" s="322" t="s">
        <v>1141</v>
      </c>
      <c r="C152" s="323" t="s">
        <v>685</v>
      </c>
      <c r="D152" s="331">
        <v>2.95</v>
      </c>
      <c r="E152" s="331" t="s">
        <v>42</v>
      </c>
      <c r="F152" s="325" t="s">
        <v>959</v>
      </c>
      <c r="G152" s="325">
        <v>2.95</v>
      </c>
      <c r="H152" s="135"/>
      <c r="I152" s="135"/>
      <c r="K152" s="345">
        <v>137</v>
      </c>
    </row>
    <row r="153" spans="1:11" ht="15" x14ac:dyDescent="0.2">
      <c r="A153" s="326" t="s">
        <v>781</v>
      </c>
      <c r="B153" s="322" t="s">
        <v>782</v>
      </c>
      <c r="C153" s="323" t="s">
        <v>783</v>
      </c>
      <c r="D153" s="331">
        <v>64.739999999999995</v>
      </c>
      <c r="E153" s="331" t="s">
        <v>42</v>
      </c>
      <c r="F153" s="325" t="s">
        <v>959</v>
      </c>
      <c r="G153" s="325">
        <v>64.739999999999995</v>
      </c>
      <c r="H153" s="135"/>
      <c r="I153" s="135"/>
      <c r="K153" s="345">
        <v>138</v>
      </c>
    </row>
    <row r="154" spans="1:11" ht="15" x14ac:dyDescent="0.2">
      <c r="A154" s="326" t="s">
        <v>784</v>
      </c>
      <c r="B154" s="322" t="s">
        <v>782</v>
      </c>
      <c r="C154" s="323" t="s">
        <v>783</v>
      </c>
      <c r="D154" s="331">
        <v>21.06</v>
      </c>
      <c r="E154" s="331" t="s">
        <v>42</v>
      </c>
      <c r="F154" s="325" t="s">
        <v>959</v>
      </c>
      <c r="G154" s="325">
        <v>21.06</v>
      </c>
      <c r="H154" s="135"/>
      <c r="I154" s="135"/>
      <c r="K154" s="345">
        <v>139</v>
      </c>
    </row>
    <row r="155" spans="1:11" ht="15" x14ac:dyDescent="0.2">
      <c r="A155" s="326" t="s">
        <v>785</v>
      </c>
      <c r="B155" s="322" t="s">
        <v>782</v>
      </c>
      <c r="C155" s="323" t="s">
        <v>783</v>
      </c>
      <c r="D155" s="331">
        <v>33.54</v>
      </c>
      <c r="E155" s="331" t="s">
        <v>42</v>
      </c>
      <c r="F155" s="325" t="s">
        <v>959</v>
      </c>
      <c r="G155" s="325">
        <v>33.54</v>
      </c>
      <c r="H155" s="135"/>
      <c r="I155" s="135"/>
      <c r="K155" s="345">
        <v>140</v>
      </c>
    </row>
    <row r="156" spans="1:11" ht="15" x14ac:dyDescent="0.2">
      <c r="A156" s="326" t="s">
        <v>786</v>
      </c>
      <c r="B156" s="322" t="s">
        <v>782</v>
      </c>
      <c r="C156" s="323" t="s">
        <v>783</v>
      </c>
      <c r="D156" s="331">
        <v>54.6</v>
      </c>
      <c r="E156" s="331" t="s">
        <v>42</v>
      </c>
      <c r="F156" s="325" t="s">
        <v>959</v>
      </c>
      <c r="G156" s="325">
        <v>54.6</v>
      </c>
      <c r="H156" s="135"/>
      <c r="I156" s="135"/>
      <c r="K156" s="345">
        <v>141</v>
      </c>
    </row>
    <row r="157" spans="1:11" ht="15" x14ac:dyDescent="0.2">
      <c r="A157" s="326" t="s">
        <v>787</v>
      </c>
      <c r="B157" s="322" t="s">
        <v>782</v>
      </c>
      <c r="C157" s="323" t="s">
        <v>783</v>
      </c>
      <c r="D157" s="331">
        <v>67.86</v>
      </c>
      <c r="E157" s="331" t="s">
        <v>42</v>
      </c>
      <c r="F157" s="325" t="s">
        <v>959</v>
      </c>
      <c r="G157" s="325">
        <v>67.86</v>
      </c>
      <c r="H157" s="135"/>
      <c r="I157" s="135"/>
      <c r="K157" s="345">
        <v>142</v>
      </c>
    </row>
    <row r="158" spans="1:11" ht="15" x14ac:dyDescent="0.2">
      <c r="A158" s="326" t="s">
        <v>788</v>
      </c>
      <c r="B158" s="322" t="s">
        <v>782</v>
      </c>
      <c r="C158" s="323" t="s">
        <v>783</v>
      </c>
      <c r="D158" s="331">
        <v>14.82</v>
      </c>
      <c r="E158" s="331" t="s">
        <v>42</v>
      </c>
      <c r="F158" s="325" t="s">
        <v>959</v>
      </c>
      <c r="G158" s="325">
        <v>14.82</v>
      </c>
      <c r="H158" s="154"/>
      <c r="I158" s="154"/>
      <c r="K158" s="345">
        <v>143</v>
      </c>
    </row>
    <row r="159" spans="1:11" ht="14.85" customHeight="1" x14ac:dyDescent="0.2">
      <c r="A159" s="326" t="s">
        <v>789</v>
      </c>
      <c r="B159" s="322" t="s">
        <v>782</v>
      </c>
      <c r="C159" s="323" t="s">
        <v>783</v>
      </c>
      <c r="D159" s="331">
        <v>9.36</v>
      </c>
      <c r="E159" s="331" t="s">
        <v>42</v>
      </c>
      <c r="F159" s="325" t="s">
        <v>959</v>
      </c>
      <c r="G159" s="325">
        <v>9.36</v>
      </c>
      <c r="H159" s="135"/>
      <c r="I159" s="135"/>
      <c r="K159" s="345">
        <v>144</v>
      </c>
    </row>
    <row r="160" spans="1:11" ht="14.85" customHeight="1" x14ac:dyDescent="0.2">
      <c r="A160" s="326" t="s">
        <v>790</v>
      </c>
      <c r="B160" s="322" t="s">
        <v>782</v>
      </c>
      <c r="C160" s="323"/>
      <c r="D160" s="331" t="s">
        <v>959</v>
      </c>
      <c r="E160" s="331" t="s">
        <v>42</v>
      </c>
      <c r="F160" s="325" t="s">
        <v>959</v>
      </c>
      <c r="G160" s="325" t="s">
        <v>959</v>
      </c>
      <c r="H160" s="135"/>
      <c r="I160" s="135"/>
      <c r="K160" s="345">
        <v>145</v>
      </c>
    </row>
    <row r="161" spans="1:11" ht="14.1" customHeight="1" x14ac:dyDescent="0.2">
      <c r="A161" s="326" t="s">
        <v>684</v>
      </c>
      <c r="B161" s="322" t="s">
        <v>1062</v>
      </c>
      <c r="C161" s="323" t="s">
        <v>685</v>
      </c>
      <c r="D161" s="331">
        <v>12</v>
      </c>
      <c r="E161" s="331" t="s">
        <v>42</v>
      </c>
      <c r="F161" s="325" t="s">
        <v>959</v>
      </c>
      <c r="G161" s="325">
        <v>12</v>
      </c>
      <c r="H161" s="135"/>
      <c r="I161" s="135"/>
      <c r="K161" s="345">
        <v>146</v>
      </c>
    </row>
    <row r="162" spans="1:11" ht="14.85" customHeight="1" x14ac:dyDescent="0.2">
      <c r="A162" s="326" t="s">
        <v>686</v>
      </c>
      <c r="B162" s="322" t="s">
        <v>1062</v>
      </c>
      <c r="C162" s="323" t="s">
        <v>685</v>
      </c>
      <c r="D162" s="331">
        <v>11</v>
      </c>
      <c r="E162" s="331" t="s">
        <v>42</v>
      </c>
      <c r="F162" s="325" t="s">
        <v>959</v>
      </c>
      <c r="G162" s="325">
        <v>11</v>
      </c>
      <c r="H162" s="135"/>
      <c r="I162" s="135"/>
      <c r="K162" s="345">
        <v>147</v>
      </c>
    </row>
    <row r="163" spans="1:11" ht="14.1" customHeight="1" x14ac:dyDescent="0.2">
      <c r="A163" s="326" t="s">
        <v>687</v>
      </c>
      <c r="B163" s="322" t="s">
        <v>1062</v>
      </c>
      <c r="C163" s="323" t="s">
        <v>685</v>
      </c>
      <c r="D163" s="331">
        <v>39.97</v>
      </c>
      <c r="E163" s="331" t="s">
        <v>42</v>
      </c>
      <c r="F163" s="325" t="s">
        <v>959</v>
      </c>
      <c r="G163" s="325">
        <v>39.97</v>
      </c>
      <c r="H163" s="135"/>
      <c r="I163" s="135"/>
      <c r="K163" s="345">
        <v>148</v>
      </c>
    </row>
    <row r="164" spans="1:11" ht="14.1" customHeight="1" x14ac:dyDescent="0.2">
      <c r="A164" s="326" t="s">
        <v>688</v>
      </c>
      <c r="B164" s="322" t="s">
        <v>1062</v>
      </c>
      <c r="C164" s="323" t="s">
        <v>685</v>
      </c>
      <c r="D164" s="331">
        <v>1.03</v>
      </c>
      <c r="E164" s="331" t="s">
        <v>42</v>
      </c>
      <c r="F164" s="325" t="s">
        <v>959</v>
      </c>
      <c r="G164" s="325">
        <v>1.03</v>
      </c>
      <c r="H164" s="135"/>
      <c r="I164" s="135"/>
      <c r="K164" s="345">
        <v>149</v>
      </c>
    </row>
    <row r="165" spans="1:11" ht="14.1" customHeight="1" x14ac:dyDescent="0.2">
      <c r="A165" s="326" t="s">
        <v>689</v>
      </c>
      <c r="B165" s="322" t="s">
        <v>1062</v>
      </c>
      <c r="C165" s="323" t="s">
        <v>685</v>
      </c>
      <c r="D165" s="331">
        <v>4.63</v>
      </c>
      <c r="E165" s="331" t="s">
        <v>42</v>
      </c>
      <c r="F165" s="325" t="s">
        <v>959</v>
      </c>
      <c r="G165" s="325">
        <v>4.63</v>
      </c>
      <c r="H165" s="135"/>
      <c r="I165" s="135"/>
      <c r="K165" s="345">
        <v>150</v>
      </c>
    </row>
    <row r="166" spans="1:11" ht="14.1" customHeight="1" x14ac:dyDescent="0.2">
      <c r="A166" s="346" t="s">
        <v>1781</v>
      </c>
      <c r="B166" s="322" t="s">
        <v>1556</v>
      </c>
      <c r="C166" s="323" t="s">
        <v>240</v>
      </c>
      <c r="D166" s="347">
        <v>650</v>
      </c>
      <c r="E166" s="331" t="s">
        <v>42</v>
      </c>
      <c r="F166" s="159"/>
      <c r="G166" s="159"/>
      <c r="H166" s="574"/>
      <c r="I166" s="574"/>
      <c r="K166" s="345">
        <v>151</v>
      </c>
    </row>
    <row r="167" spans="1:11" ht="14.1" customHeight="1" x14ac:dyDescent="0.2">
      <c r="A167" s="346" t="s">
        <v>1782</v>
      </c>
      <c r="B167" s="322" t="s">
        <v>1556</v>
      </c>
      <c r="C167" s="323" t="s">
        <v>240</v>
      </c>
      <c r="D167" s="347">
        <v>980</v>
      </c>
      <c r="E167" s="331" t="s">
        <v>42</v>
      </c>
      <c r="F167" s="159"/>
      <c r="G167" s="159"/>
      <c r="H167" s="574"/>
      <c r="I167" s="574"/>
      <c r="K167" s="345">
        <v>152</v>
      </c>
    </row>
    <row r="168" spans="1:11" ht="14.1" customHeight="1" x14ac:dyDescent="0.2">
      <c r="A168" s="346" t="s">
        <v>1557</v>
      </c>
      <c r="B168" s="322" t="s">
        <v>1556</v>
      </c>
      <c r="C168" s="323" t="s">
        <v>240</v>
      </c>
      <c r="D168" s="347">
        <v>1035</v>
      </c>
      <c r="E168" s="331" t="s">
        <v>42</v>
      </c>
      <c r="F168" s="159"/>
      <c r="G168" s="159"/>
      <c r="H168" s="574"/>
      <c r="I168" s="574"/>
      <c r="K168" s="345">
        <v>153</v>
      </c>
    </row>
    <row r="169" spans="1:11" ht="14.1" customHeight="1" x14ac:dyDescent="0.2">
      <c r="A169" s="346" t="s">
        <v>1558</v>
      </c>
      <c r="B169" s="322" t="s">
        <v>1556</v>
      </c>
      <c r="C169" s="323" t="s">
        <v>240</v>
      </c>
      <c r="D169" s="347">
        <v>1265</v>
      </c>
      <c r="E169" s="331" t="s">
        <v>42</v>
      </c>
      <c r="F169" s="159"/>
      <c r="G169" s="159"/>
      <c r="H169" s="574"/>
      <c r="I169" s="574"/>
      <c r="K169" s="345">
        <v>154</v>
      </c>
    </row>
    <row r="170" spans="1:11" ht="14.1" customHeight="1" x14ac:dyDescent="0.2">
      <c r="A170" s="346" t="s">
        <v>1559</v>
      </c>
      <c r="B170" s="322" t="s">
        <v>1556</v>
      </c>
      <c r="C170" s="323" t="s">
        <v>240</v>
      </c>
      <c r="D170" s="347">
        <v>2758</v>
      </c>
      <c r="E170" s="331" t="s">
        <v>42</v>
      </c>
      <c r="F170" s="159"/>
      <c r="G170" s="159"/>
      <c r="H170" s="574"/>
      <c r="I170" s="574"/>
      <c r="K170" s="345">
        <v>155</v>
      </c>
    </row>
    <row r="171" spans="1:11" ht="14.1" customHeight="1" x14ac:dyDescent="0.2">
      <c r="A171" s="326" t="s">
        <v>748</v>
      </c>
      <c r="B171" s="322" t="s">
        <v>1064</v>
      </c>
      <c r="C171" s="323" t="s">
        <v>685</v>
      </c>
      <c r="D171" s="331">
        <v>0.67459999999999998</v>
      </c>
      <c r="E171" s="331" t="s">
        <v>74</v>
      </c>
      <c r="F171" s="325" t="s">
        <v>959</v>
      </c>
      <c r="G171" s="325">
        <v>0.67459999999999998</v>
      </c>
      <c r="H171" s="135"/>
      <c r="I171" s="135"/>
      <c r="K171" s="345">
        <v>156</v>
      </c>
    </row>
    <row r="172" spans="1:11" ht="14.1" customHeight="1" x14ac:dyDescent="0.2">
      <c r="A172" s="346" t="s">
        <v>1430</v>
      </c>
      <c r="B172" s="322" t="s">
        <v>1064</v>
      </c>
      <c r="C172" s="323" t="s">
        <v>685</v>
      </c>
      <c r="D172" s="347">
        <v>0.83</v>
      </c>
      <c r="E172" s="348" t="s">
        <v>74</v>
      </c>
      <c r="F172" s="159"/>
      <c r="G172" s="159"/>
      <c r="H172" s="135"/>
      <c r="I172" s="135"/>
      <c r="K172" s="345">
        <v>157</v>
      </c>
    </row>
    <row r="173" spans="1:11" ht="14.85" customHeight="1" x14ac:dyDescent="0.2">
      <c r="A173" s="326" t="s">
        <v>749</v>
      </c>
      <c r="B173" s="322" t="s">
        <v>1064</v>
      </c>
      <c r="C173" s="323" t="s">
        <v>685</v>
      </c>
      <c r="D173" s="331">
        <v>1.2863999999999998</v>
      </c>
      <c r="E173" s="331" t="s">
        <v>74</v>
      </c>
      <c r="F173" s="325" t="s">
        <v>959</v>
      </c>
      <c r="G173" s="325">
        <v>1.2863999999999998</v>
      </c>
      <c r="H173" s="135"/>
      <c r="I173" s="135"/>
      <c r="K173" s="345">
        <v>158</v>
      </c>
    </row>
    <row r="174" spans="1:11" ht="14.1" customHeight="1" x14ac:dyDescent="0.2">
      <c r="A174" s="326" t="s">
        <v>750</v>
      </c>
      <c r="B174" s="322" t="s">
        <v>1064</v>
      </c>
      <c r="C174" s="323" t="s">
        <v>685</v>
      </c>
      <c r="D174" s="331">
        <v>2.6439999999999997</v>
      </c>
      <c r="E174" s="331" t="s">
        <v>74</v>
      </c>
      <c r="F174" s="325" t="s">
        <v>959</v>
      </c>
      <c r="G174" s="325">
        <v>2.6439999999999997</v>
      </c>
      <c r="H174" s="135"/>
      <c r="I174" s="135"/>
      <c r="K174" s="345">
        <v>159</v>
      </c>
    </row>
    <row r="175" spans="1:11" ht="14.1" customHeight="1" x14ac:dyDescent="0.2">
      <c r="A175" s="326" t="s">
        <v>267</v>
      </c>
      <c r="B175" s="322" t="s">
        <v>268</v>
      </c>
      <c r="C175" s="323" t="s">
        <v>240</v>
      </c>
      <c r="D175" s="331">
        <v>36.29</v>
      </c>
      <c r="E175" s="331" t="s">
        <v>42</v>
      </c>
      <c r="F175" s="325" t="s">
        <v>959</v>
      </c>
      <c r="G175" s="325" t="s">
        <v>959</v>
      </c>
      <c r="H175" s="135"/>
      <c r="I175" s="135"/>
      <c r="K175" s="345">
        <v>160</v>
      </c>
    </row>
    <row r="176" spans="1:11" ht="14.1" customHeight="1" x14ac:dyDescent="0.2">
      <c r="A176" s="326" t="s">
        <v>271</v>
      </c>
      <c r="B176" s="322" t="s">
        <v>268</v>
      </c>
      <c r="C176" s="323" t="s">
        <v>240</v>
      </c>
      <c r="D176" s="331">
        <v>37.409999999999997</v>
      </c>
      <c r="E176" s="331" t="s">
        <v>42</v>
      </c>
      <c r="F176" s="325" t="s">
        <v>959</v>
      </c>
      <c r="G176" s="325" t="s">
        <v>959</v>
      </c>
      <c r="H176" s="135"/>
      <c r="I176" s="135"/>
      <c r="K176" s="345">
        <v>161</v>
      </c>
    </row>
    <row r="177" spans="1:11" ht="14.1" customHeight="1" x14ac:dyDescent="0.2">
      <c r="A177" s="326" t="s">
        <v>756</v>
      </c>
      <c r="B177" s="322" t="s">
        <v>1069</v>
      </c>
      <c r="C177" s="323" t="s">
        <v>757</v>
      </c>
      <c r="D177" s="331">
        <v>32.18</v>
      </c>
      <c r="E177" s="331" t="s">
        <v>42</v>
      </c>
      <c r="F177" s="325" t="s">
        <v>959</v>
      </c>
      <c r="G177" s="325">
        <v>32.18</v>
      </c>
      <c r="H177" s="135"/>
      <c r="I177" s="135"/>
      <c r="K177" s="345">
        <v>162</v>
      </c>
    </row>
    <row r="178" spans="1:11" ht="14.1" customHeight="1" x14ac:dyDescent="0.2">
      <c r="A178" s="326" t="s">
        <v>758</v>
      </c>
      <c r="B178" s="322" t="s">
        <v>1069</v>
      </c>
      <c r="C178" s="323" t="s">
        <v>757</v>
      </c>
      <c r="D178" s="331">
        <v>7.11</v>
      </c>
      <c r="E178" s="331" t="s">
        <v>42</v>
      </c>
      <c r="F178" s="325" t="s">
        <v>959</v>
      </c>
      <c r="G178" s="325">
        <v>7.11</v>
      </c>
      <c r="H178" s="135"/>
      <c r="I178" s="135"/>
      <c r="K178" s="345">
        <v>163</v>
      </c>
    </row>
    <row r="179" spans="1:11" ht="14.1" customHeight="1" x14ac:dyDescent="0.2">
      <c r="A179" s="326" t="s">
        <v>752</v>
      </c>
      <c r="B179" s="322" t="s">
        <v>1069</v>
      </c>
      <c r="C179" s="323" t="s">
        <v>757</v>
      </c>
      <c r="D179" s="331">
        <v>8.93</v>
      </c>
      <c r="E179" s="331" t="s">
        <v>42</v>
      </c>
      <c r="F179" s="325" t="s">
        <v>959</v>
      </c>
      <c r="G179" s="325" t="s">
        <v>959</v>
      </c>
      <c r="H179" s="135"/>
      <c r="I179" s="135"/>
      <c r="K179" s="345">
        <v>164</v>
      </c>
    </row>
    <row r="180" spans="1:11" ht="14.1" customHeight="1" x14ac:dyDescent="0.2">
      <c r="A180" s="326" t="s">
        <v>759</v>
      </c>
      <c r="B180" s="322" t="s">
        <v>1069</v>
      </c>
      <c r="C180" s="323" t="s">
        <v>757</v>
      </c>
      <c r="D180" s="331">
        <v>3.13</v>
      </c>
      <c r="E180" s="331" t="s">
        <v>42</v>
      </c>
      <c r="F180" s="325" t="s">
        <v>959</v>
      </c>
      <c r="G180" s="325">
        <v>3.13</v>
      </c>
      <c r="H180" s="135"/>
      <c r="I180" s="135"/>
      <c r="K180" s="345">
        <v>165</v>
      </c>
    </row>
    <row r="181" spans="1:11" ht="14.1" customHeight="1" x14ac:dyDescent="0.2">
      <c r="A181" s="326" t="s">
        <v>760</v>
      </c>
      <c r="B181" s="322" t="s">
        <v>1069</v>
      </c>
      <c r="C181" s="323" t="s">
        <v>757</v>
      </c>
      <c r="D181" s="331">
        <v>4.415</v>
      </c>
      <c r="E181" s="331" t="s">
        <v>52</v>
      </c>
      <c r="F181" s="325" t="s">
        <v>959</v>
      </c>
      <c r="G181" s="325">
        <v>4.415</v>
      </c>
      <c r="H181" s="135"/>
      <c r="I181" s="135"/>
      <c r="K181" s="345">
        <v>166</v>
      </c>
    </row>
    <row r="182" spans="1:11" ht="14.1" customHeight="1" x14ac:dyDescent="0.2">
      <c r="A182" s="326" t="s">
        <v>761</v>
      </c>
      <c r="B182" s="322" t="s">
        <v>1069</v>
      </c>
      <c r="C182" s="323" t="s">
        <v>757</v>
      </c>
      <c r="D182" s="331">
        <v>6.74</v>
      </c>
      <c r="E182" s="331" t="s">
        <v>52</v>
      </c>
      <c r="F182" s="325" t="s">
        <v>959</v>
      </c>
      <c r="G182" s="325">
        <v>6.74</v>
      </c>
      <c r="H182" s="135"/>
      <c r="I182" s="135"/>
      <c r="K182" s="345">
        <v>167</v>
      </c>
    </row>
    <row r="183" spans="1:11" ht="14.1" customHeight="1" x14ac:dyDescent="0.2">
      <c r="A183" s="326" t="s">
        <v>762</v>
      </c>
      <c r="B183" s="322" t="s">
        <v>1069</v>
      </c>
      <c r="C183" s="323" t="s">
        <v>757</v>
      </c>
      <c r="D183" s="331">
        <v>7.93</v>
      </c>
      <c r="E183" s="331" t="s">
        <v>42</v>
      </c>
      <c r="F183" s="325" t="s">
        <v>959</v>
      </c>
      <c r="G183" s="325">
        <v>7.93</v>
      </c>
      <c r="H183" s="135"/>
      <c r="I183" s="135"/>
      <c r="K183" s="345">
        <v>168</v>
      </c>
    </row>
    <row r="184" spans="1:11" ht="14.1" customHeight="1" x14ac:dyDescent="0.2">
      <c r="A184" s="346" t="s">
        <v>1429</v>
      </c>
      <c r="B184" s="322" t="s">
        <v>1069</v>
      </c>
      <c r="C184" s="323" t="s">
        <v>757</v>
      </c>
      <c r="D184" s="347">
        <v>6</v>
      </c>
      <c r="E184" s="348" t="s">
        <v>52</v>
      </c>
      <c r="F184" s="159"/>
      <c r="G184" s="159"/>
      <c r="H184" s="135"/>
      <c r="I184" s="135"/>
      <c r="K184" s="345">
        <v>169</v>
      </c>
    </row>
    <row r="185" spans="1:11" ht="14.1" customHeight="1" x14ac:dyDescent="0.2">
      <c r="A185" s="326" t="s">
        <v>763</v>
      </c>
      <c r="B185" s="322" t="s">
        <v>1069</v>
      </c>
      <c r="C185" s="323" t="s">
        <v>757</v>
      </c>
      <c r="D185" s="331">
        <v>7.52</v>
      </c>
      <c r="E185" s="331" t="s">
        <v>42</v>
      </c>
      <c r="F185" s="325" t="s">
        <v>959</v>
      </c>
      <c r="G185" s="325">
        <v>7.52</v>
      </c>
      <c r="H185" s="135"/>
      <c r="I185" s="135"/>
      <c r="K185" s="345">
        <v>170</v>
      </c>
    </row>
    <row r="186" spans="1:11" ht="14.1" customHeight="1" x14ac:dyDescent="0.2">
      <c r="A186" s="326" t="s">
        <v>801</v>
      </c>
      <c r="B186" s="322" t="s">
        <v>1140</v>
      </c>
      <c r="C186" s="323" t="s">
        <v>947</v>
      </c>
      <c r="D186" s="331">
        <v>1.65</v>
      </c>
      <c r="E186" s="331" t="s">
        <v>42</v>
      </c>
      <c r="F186" s="325" t="s">
        <v>802</v>
      </c>
      <c r="G186" s="325"/>
      <c r="H186" s="135"/>
      <c r="I186" s="135"/>
      <c r="K186" s="345">
        <v>171</v>
      </c>
    </row>
    <row r="187" spans="1:11" ht="14.1" customHeight="1" x14ac:dyDescent="0.2">
      <c r="A187" s="326" t="s">
        <v>803</v>
      </c>
      <c r="B187" s="322" t="s">
        <v>1140</v>
      </c>
      <c r="C187" s="323" t="s">
        <v>947</v>
      </c>
      <c r="D187" s="331">
        <v>1.65</v>
      </c>
      <c r="E187" s="331" t="s">
        <v>42</v>
      </c>
      <c r="F187" s="325" t="s">
        <v>804</v>
      </c>
      <c r="G187" s="325"/>
      <c r="H187" s="135"/>
      <c r="I187" s="135"/>
      <c r="K187" s="345">
        <v>172</v>
      </c>
    </row>
    <row r="188" spans="1:11" ht="45" x14ac:dyDescent="0.2">
      <c r="A188" s="326" t="s">
        <v>805</v>
      </c>
      <c r="B188" s="322" t="s">
        <v>1140</v>
      </c>
      <c r="C188" s="323" t="s">
        <v>947</v>
      </c>
      <c r="D188" s="331">
        <v>1.65</v>
      </c>
      <c r="E188" s="331" t="s">
        <v>42</v>
      </c>
      <c r="F188" s="325" t="s">
        <v>951</v>
      </c>
      <c r="G188" s="325"/>
      <c r="H188" s="135"/>
      <c r="I188" s="135"/>
      <c r="K188" s="345">
        <v>173</v>
      </c>
    </row>
    <row r="189" spans="1:11" ht="15" x14ac:dyDescent="0.2">
      <c r="A189" s="326" t="s">
        <v>806</v>
      </c>
      <c r="B189" s="322" t="s">
        <v>1140</v>
      </c>
      <c r="C189" s="323" t="s">
        <v>947</v>
      </c>
      <c r="D189" s="331">
        <v>1.65</v>
      </c>
      <c r="E189" s="331" t="s">
        <v>42</v>
      </c>
      <c r="F189" s="325" t="s">
        <v>807</v>
      </c>
      <c r="G189" s="325"/>
      <c r="H189" s="135"/>
      <c r="I189" s="135"/>
      <c r="K189" s="345">
        <v>174</v>
      </c>
    </row>
    <row r="190" spans="1:11" ht="45" x14ac:dyDescent="0.2">
      <c r="A190" s="326" t="s">
        <v>808</v>
      </c>
      <c r="B190" s="322" t="s">
        <v>1140</v>
      </c>
      <c r="C190" s="323" t="s">
        <v>947</v>
      </c>
      <c r="D190" s="331">
        <v>1.65</v>
      </c>
      <c r="E190" s="331" t="s">
        <v>42</v>
      </c>
      <c r="F190" s="325" t="s">
        <v>952</v>
      </c>
      <c r="G190" s="325"/>
      <c r="H190" s="135"/>
      <c r="I190" s="135"/>
      <c r="K190" s="345">
        <v>175</v>
      </c>
    </row>
    <row r="191" spans="1:11" ht="15" x14ac:dyDescent="0.2">
      <c r="A191" s="326" t="s">
        <v>809</v>
      </c>
      <c r="B191" s="322" t="s">
        <v>1140</v>
      </c>
      <c r="C191" s="323" t="s">
        <v>947</v>
      </c>
      <c r="D191" s="331">
        <v>1.65</v>
      </c>
      <c r="E191" s="331" t="s">
        <v>42</v>
      </c>
      <c r="F191" s="325" t="s">
        <v>810</v>
      </c>
      <c r="G191" s="325"/>
      <c r="H191" s="135"/>
      <c r="I191" s="135"/>
      <c r="K191" s="345">
        <v>176</v>
      </c>
    </row>
    <row r="192" spans="1:11" ht="15" x14ac:dyDescent="0.2">
      <c r="A192" s="326" t="s">
        <v>811</v>
      </c>
      <c r="B192" s="322" t="s">
        <v>1140</v>
      </c>
      <c r="C192" s="323" t="s">
        <v>947</v>
      </c>
      <c r="D192" s="331">
        <v>1.65</v>
      </c>
      <c r="E192" s="331" t="s">
        <v>42</v>
      </c>
      <c r="F192" s="325" t="s">
        <v>812</v>
      </c>
      <c r="G192" s="325"/>
      <c r="H192" s="135"/>
      <c r="I192" s="135"/>
      <c r="K192" s="345">
        <v>177</v>
      </c>
    </row>
    <row r="193" spans="1:11" ht="30" x14ac:dyDescent="0.2">
      <c r="A193" s="326" t="s">
        <v>813</v>
      </c>
      <c r="B193" s="322" t="s">
        <v>1140</v>
      </c>
      <c r="C193" s="323" t="s">
        <v>947</v>
      </c>
      <c r="D193" s="331">
        <v>1.65</v>
      </c>
      <c r="E193" s="331" t="s">
        <v>42</v>
      </c>
      <c r="F193" s="325" t="s">
        <v>953</v>
      </c>
      <c r="G193" s="325"/>
      <c r="H193" s="135"/>
      <c r="I193" s="135"/>
      <c r="K193" s="345">
        <v>178</v>
      </c>
    </row>
    <row r="194" spans="1:11" ht="15" x14ac:dyDescent="0.2">
      <c r="A194" s="326" t="s">
        <v>814</v>
      </c>
      <c r="B194" s="322" t="s">
        <v>1140</v>
      </c>
      <c r="C194" s="323" t="s">
        <v>947</v>
      </c>
      <c r="D194" s="331">
        <v>1.65</v>
      </c>
      <c r="E194" s="331" t="s">
        <v>42</v>
      </c>
      <c r="F194" s="325" t="s">
        <v>815</v>
      </c>
      <c r="G194" s="325"/>
      <c r="H194" s="135"/>
      <c r="I194" s="135"/>
      <c r="K194" s="345">
        <v>179</v>
      </c>
    </row>
    <row r="195" spans="1:11" ht="15" x14ac:dyDescent="0.2">
      <c r="A195" s="326" t="s">
        <v>816</v>
      </c>
      <c r="B195" s="322" t="s">
        <v>1140</v>
      </c>
      <c r="C195" s="323" t="s">
        <v>947</v>
      </c>
      <c r="D195" s="331">
        <v>1.65</v>
      </c>
      <c r="E195" s="331" t="s">
        <v>42</v>
      </c>
      <c r="F195" s="325" t="s">
        <v>817</v>
      </c>
      <c r="G195" s="325"/>
      <c r="H195" s="135"/>
      <c r="I195" s="135"/>
      <c r="K195" s="345">
        <v>180</v>
      </c>
    </row>
    <row r="196" spans="1:11" ht="15" x14ac:dyDescent="0.2">
      <c r="A196" s="326" t="s">
        <v>818</v>
      </c>
      <c r="B196" s="322" t="s">
        <v>1140</v>
      </c>
      <c r="C196" s="323" t="s">
        <v>947</v>
      </c>
      <c r="D196" s="331">
        <v>1.65</v>
      </c>
      <c r="E196" s="331" t="s">
        <v>42</v>
      </c>
      <c r="F196" s="325" t="s">
        <v>819</v>
      </c>
      <c r="G196" s="325"/>
      <c r="H196" s="135"/>
      <c r="I196" s="135"/>
      <c r="K196" s="345">
        <v>181</v>
      </c>
    </row>
    <row r="197" spans="1:11" ht="15" x14ac:dyDescent="0.2">
      <c r="A197" s="326" t="s">
        <v>820</v>
      </c>
      <c r="B197" s="322" t="s">
        <v>1140</v>
      </c>
      <c r="C197" s="323" t="s">
        <v>947</v>
      </c>
      <c r="D197" s="331">
        <v>1.65</v>
      </c>
      <c r="E197" s="331" t="s">
        <v>42</v>
      </c>
      <c r="F197" s="325" t="s">
        <v>821</v>
      </c>
      <c r="G197" s="325"/>
      <c r="H197" s="135"/>
      <c r="I197" s="135"/>
      <c r="K197" s="345">
        <v>182</v>
      </c>
    </row>
    <row r="198" spans="1:11" ht="15" x14ac:dyDescent="0.2">
      <c r="A198" s="326" t="s">
        <v>822</v>
      </c>
      <c r="B198" s="322" t="s">
        <v>1140</v>
      </c>
      <c r="C198" s="323" t="s">
        <v>947</v>
      </c>
      <c r="D198" s="331">
        <v>1.65</v>
      </c>
      <c r="E198" s="331" t="s">
        <v>42</v>
      </c>
      <c r="F198" s="325" t="s">
        <v>823</v>
      </c>
      <c r="G198" s="325"/>
      <c r="H198" s="135"/>
      <c r="I198" s="135"/>
      <c r="K198" s="345">
        <v>183</v>
      </c>
    </row>
    <row r="199" spans="1:11" ht="15" x14ac:dyDescent="0.2">
      <c r="A199" s="326" t="s">
        <v>824</v>
      </c>
      <c r="B199" s="322" t="s">
        <v>1140</v>
      </c>
      <c r="C199" s="323" t="s">
        <v>947</v>
      </c>
      <c r="D199" s="331">
        <v>1.65</v>
      </c>
      <c r="E199" s="331" t="s">
        <v>42</v>
      </c>
      <c r="F199" s="325" t="s">
        <v>825</v>
      </c>
      <c r="G199" s="325"/>
      <c r="H199" s="135"/>
      <c r="I199" s="135"/>
      <c r="K199" s="345">
        <v>184</v>
      </c>
    </row>
    <row r="200" spans="1:11" ht="15" x14ac:dyDescent="0.2">
      <c r="A200" s="326" t="s">
        <v>826</v>
      </c>
      <c r="B200" s="322" t="s">
        <v>1140</v>
      </c>
      <c r="C200" s="323" t="s">
        <v>947</v>
      </c>
      <c r="D200" s="331">
        <v>1.65</v>
      </c>
      <c r="E200" s="331" t="s">
        <v>42</v>
      </c>
      <c r="F200" s="325" t="s">
        <v>827</v>
      </c>
      <c r="G200" s="325"/>
      <c r="H200" s="135"/>
      <c r="I200" s="135"/>
      <c r="K200" s="345">
        <v>185</v>
      </c>
    </row>
    <row r="201" spans="1:11" ht="15" x14ac:dyDescent="0.2">
      <c r="A201" s="326" t="s">
        <v>828</v>
      </c>
      <c r="B201" s="322" t="s">
        <v>1140</v>
      </c>
      <c r="C201" s="323" t="s">
        <v>947</v>
      </c>
      <c r="D201" s="331">
        <v>1.65</v>
      </c>
      <c r="E201" s="331" t="s">
        <v>42</v>
      </c>
      <c r="F201" s="325" t="s">
        <v>829</v>
      </c>
      <c r="G201" s="325"/>
      <c r="H201" s="135"/>
      <c r="I201" s="135"/>
      <c r="K201" s="345">
        <v>186</v>
      </c>
    </row>
    <row r="202" spans="1:11" ht="15" x14ac:dyDescent="0.2">
      <c r="A202" s="326" t="s">
        <v>830</v>
      </c>
      <c r="B202" s="322" t="s">
        <v>1140</v>
      </c>
      <c r="C202" s="323" t="s">
        <v>947</v>
      </c>
      <c r="D202" s="331">
        <v>1.65</v>
      </c>
      <c r="E202" s="331" t="s">
        <v>42</v>
      </c>
      <c r="F202" s="325" t="s">
        <v>831</v>
      </c>
      <c r="G202" s="325"/>
      <c r="H202" s="135"/>
      <c r="I202" s="135"/>
      <c r="K202" s="345">
        <v>187</v>
      </c>
    </row>
    <row r="203" spans="1:11" ht="15" x14ac:dyDescent="0.2">
      <c r="A203" s="326" t="s">
        <v>832</v>
      </c>
      <c r="B203" s="322" t="s">
        <v>1140</v>
      </c>
      <c r="C203" s="323" t="s">
        <v>947</v>
      </c>
      <c r="D203" s="331">
        <v>1.65</v>
      </c>
      <c r="E203" s="331" t="s">
        <v>42</v>
      </c>
      <c r="F203" s="325" t="s">
        <v>833</v>
      </c>
      <c r="G203" s="325"/>
      <c r="H203" s="135"/>
      <c r="I203" s="135"/>
      <c r="K203" s="345">
        <v>188</v>
      </c>
    </row>
    <row r="204" spans="1:11" ht="15" x14ac:dyDescent="0.2">
      <c r="A204" s="326" t="s">
        <v>834</v>
      </c>
      <c r="B204" s="322" t="s">
        <v>1140</v>
      </c>
      <c r="C204" s="323" t="s">
        <v>947</v>
      </c>
      <c r="D204" s="331">
        <v>1.65</v>
      </c>
      <c r="E204" s="331" t="s">
        <v>42</v>
      </c>
      <c r="F204" s="325" t="s">
        <v>835</v>
      </c>
      <c r="G204" s="325"/>
      <c r="H204" s="135"/>
      <c r="I204" s="135"/>
      <c r="K204" s="345">
        <v>189</v>
      </c>
    </row>
    <row r="205" spans="1:11" ht="15" x14ac:dyDescent="0.2">
      <c r="A205" s="326" t="s">
        <v>836</v>
      </c>
      <c r="B205" s="322" t="s">
        <v>1140</v>
      </c>
      <c r="C205" s="323" t="s">
        <v>947</v>
      </c>
      <c r="D205" s="331">
        <v>1.65</v>
      </c>
      <c r="E205" s="331" t="s">
        <v>42</v>
      </c>
      <c r="F205" s="325" t="s">
        <v>837</v>
      </c>
      <c r="G205" s="325"/>
      <c r="H205" s="135"/>
      <c r="I205" s="135"/>
      <c r="K205" s="345">
        <v>190</v>
      </c>
    </row>
    <row r="206" spans="1:11" ht="30" x14ac:dyDescent="0.2">
      <c r="A206" s="326" t="s">
        <v>838</v>
      </c>
      <c r="B206" s="322" t="s">
        <v>1140</v>
      </c>
      <c r="C206" s="323" t="s">
        <v>947</v>
      </c>
      <c r="D206" s="331">
        <v>1.65</v>
      </c>
      <c r="E206" s="331" t="s">
        <v>42</v>
      </c>
      <c r="F206" s="325" t="s">
        <v>955</v>
      </c>
      <c r="G206" s="325"/>
      <c r="H206" s="135"/>
      <c r="I206" s="135"/>
      <c r="K206" s="345">
        <v>191</v>
      </c>
    </row>
    <row r="207" spans="1:11" ht="15" x14ac:dyDescent="0.2">
      <c r="A207" s="326" t="s">
        <v>839</v>
      </c>
      <c r="B207" s="322" t="s">
        <v>1140</v>
      </c>
      <c r="C207" s="323" t="s">
        <v>947</v>
      </c>
      <c r="D207" s="331">
        <v>1.65</v>
      </c>
      <c r="E207" s="331" t="s">
        <v>42</v>
      </c>
      <c r="F207" s="325" t="s">
        <v>840</v>
      </c>
      <c r="G207" s="325"/>
      <c r="H207" s="135"/>
      <c r="I207" s="135"/>
      <c r="K207" s="345">
        <v>192</v>
      </c>
    </row>
    <row r="208" spans="1:11" ht="30" x14ac:dyDescent="0.2">
      <c r="A208" s="326" t="s">
        <v>841</v>
      </c>
      <c r="B208" s="322" t="s">
        <v>1140</v>
      </c>
      <c r="C208" s="323" t="s">
        <v>947</v>
      </c>
      <c r="D208" s="331">
        <v>4.9000000000000004</v>
      </c>
      <c r="E208" s="331" t="s">
        <v>42</v>
      </c>
      <c r="F208" s="325" t="s">
        <v>954</v>
      </c>
      <c r="G208" s="325"/>
      <c r="H208" s="135"/>
      <c r="I208" s="135"/>
      <c r="K208" s="345">
        <v>193</v>
      </c>
    </row>
    <row r="209" spans="1:11" ht="15" x14ac:dyDescent="0.2">
      <c r="A209" s="326" t="s">
        <v>842</v>
      </c>
      <c r="B209" s="322" t="s">
        <v>1140</v>
      </c>
      <c r="C209" s="323" t="s">
        <v>947</v>
      </c>
      <c r="D209" s="331">
        <v>2.1</v>
      </c>
      <c r="E209" s="331" t="s">
        <v>42</v>
      </c>
      <c r="F209" s="325" t="s">
        <v>843</v>
      </c>
      <c r="G209" s="325"/>
      <c r="H209" s="135"/>
      <c r="I209" s="135"/>
      <c r="K209" s="345">
        <v>194</v>
      </c>
    </row>
    <row r="210" spans="1:11" ht="30" x14ac:dyDescent="0.2">
      <c r="A210" s="326" t="s">
        <v>844</v>
      </c>
      <c r="B210" s="322" t="s">
        <v>1140</v>
      </c>
      <c r="C210" s="323" t="s">
        <v>947</v>
      </c>
      <c r="D210" s="331">
        <v>4.9000000000000004</v>
      </c>
      <c r="E210" s="331" t="s">
        <v>42</v>
      </c>
      <c r="F210" s="325" t="s">
        <v>956</v>
      </c>
      <c r="G210" s="325"/>
      <c r="H210" s="135"/>
      <c r="I210" s="135"/>
      <c r="K210" s="345">
        <v>195</v>
      </c>
    </row>
    <row r="211" spans="1:11" ht="30" x14ac:dyDescent="0.2">
      <c r="A211" s="326" t="s">
        <v>845</v>
      </c>
      <c r="B211" s="322" t="s">
        <v>1140</v>
      </c>
      <c r="C211" s="323" t="s">
        <v>947</v>
      </c>
      <c r="D211" s="331">
        <v>1.65</v>
      </c>
      <c r="E211" s="331" t="s">
        <v>42</v>
      </c>
      <c r="F211" s="325" t="s">
        <v>846</v>
      </c>
      <c r="G211" s="325"/>
      <c r="H211" s="135"/>
      <c r="I211" s="135"/>
      <c r="K211" s="345">
        <v>196</v>
      </c>
    </row>
    <row r="212" spans="1:11" ht="30" x14ac:dyDescent="0.2">
      <c r="A212" s="326" t="s">
        <v>847</v>
      </c>
      <c r="B212" s="322" t="s">
        <v>1140</v>
      </c>
      <c r="C212" s="323" t="s">
        <v>947</v>
      </c>
      <c r="D212" s="331">
        <v>1.65</v>
      </c>
      <c r="E212" s="331" t="s">
        <v>42</v>
      </c>
      <c r="F212" s="325" t="s">
        <v>957</v>
      </c>
      <c r="G212" s="325"/>
      <c r="H212" s="135"/>
      <c r="I212" s="135"/>
      <c r="K212" s="345">
        <v>197</v>
      </c>
    </row>
    <row r="213" spans="1:11" ht="15" x14ac:dyDescent="0.2">
      <c r="A213" s="326" t="s">
        <v>848</v>
      </c>
      <c r="B213" s="322" t="s">
        <v>1140</v>
      </c>
      <c r="C213" s="323" t="s">
        <v>947</v>
      </c>
      <c r="D213" s="331">
        <v>1.65</v>
      </c>
      <c r="E213" s="331" t="s">
        <v>42</v>
      </c>
      <c r="F213" s="325" t="s">
        <v>849</v>
      </c>
      <c r="G213" s="325"/>
      <c r="H213" s="135"/>
      <c r="I213" s="135"/>
      <c r="K213" s="345">
        <v>198</v>
      </c>
    </row>
    <row r="214" spans="1:11" ht="15" x14ac:dyDescent="0.2">
      <c r="A214" s="326" t="s">
        <v>850</v>
      </c>
      <c r="B214" s="322" t="s">
        <v>1140</v>
      </c>
      <c r="C214" s="323" t="s">
        <v>947</v>
      </c>
      <c r="D214" s="331">
        <v>1.65</v>
      </c>
      <c r="E214" s="331" t="s">
        <v>42</v>
      </c>
      <c r="F214" s="325" t="s">
        <v>851</v>
      </c>
      <c r="G214" s="325"/>
      <c r="H214" s="135"/>
      <c r="I214" s="135"/>
      <c r="K214" s="345">
        <v>199</v>
      </c>
    </row>
    <row r="215" spans="1:11" ht="15" x14ac:dyDescent="0.2">
      <c r="A215" s="326" t="s">
        <v>852</v>
      </c>
      <c r="B215" s="322" t="s">
        <v>1140</v>
      </c>
      <c r="C215" s="323" t="s">
        <v>947</v>
      </c>
      <c r="D215" s="331">
        <v>1.65</v>
      </c>
      <c r="E215" s="331" t="s">
        <v>42</v>
      </c>
      <c r="F215" s="325" t="s">
        <v>851</v>
      </c>
      <c r="G215" s="325"/>
      <c r="H215" s="135"/>
      <c r="I215" s="135"/>
      <c r="K215" s="345">
        <v>200</v>
      </c>
    </row>
    <row r="216" spans="1:11" ht="15" x14ac:dyDescent="0.2">
      <c r="A216" s="326" t="s">
        <v>853</v>
      </c>
      <c r="B216" s="322" t="s">
        <v>1070</v>
      </c>
      <c r="C216" s="323" t="s">
        <v>947</v>
      </c>
      <c r="D216" s="331">
        <v>2.8</v>
      </c>
      <c r="E216" s="331" t="s">
        <v>42</v>
      </c>
      <c r="F216" s="325" t="s">
        <v>854</v>
      </c>
      <c r="G216" s="325"/>
      <c r="H216" s="135"/>
      <c r="I216" s="135"/>
      <c r="K216" s="345">
        <v>201</v>
      </c>
    </row>
    <row r="217" spans="1:11" ht="15" x14ac:dyDescent="0.2">
      <c r="A217" s="326" t="s">
        <v>855</v>
      </c>
      <c r="B217" s="322" t="s">
        <v>1070</v>
      </c>
      <c r="C217" s="323" t="s">
        <v>947</v>
      </c>
      <c r="D217" s="331">
        <v>3.85</v>
      </c>
      <c r="E217" s="331" t="s">
        <v>42</v>
      </c>
      <c r="F217" s="325" t="s">
        <v>856</v>
      </c>
      <c r="G217" s="325"/>
      <c r="H217" s="135"/>
      <c r="I217" s="135"/>
      <c r="K217" s="345">
        <v>202</v>
      </c>
    </row>
    <row r="218" spans="1:11" ht="15" x14ac:dyDescent="0.2">
      <c r="A218" s="326" t="s">
        <v>857</v>
      </c>
      <c r="B218" s="322" t="s">
        <v>1070</v>
      </c>
      <c r="C218" s="323" t="s">
        <v>947</v>
      </c>
      <c r="D218" s="331">
        <v>2.8</v>
      </c>
      <c r="E218" s="331" t="s">
        <v>42</v>
      </c>
      <c r="F218" s="325" t="s">
        <v>858</v>
      </c>
      <c r="G218" s="325"/>
      <c r="H218" s="135"/>
      <c r="I218" s="135"/>
      <c r="K218" s="345">
        <v>203</v>
      </c>
    </row>
    <row r="219" spans="1:11" ht="15" x14ac:dyDescent="0.2">
      <c r="A219" s="326" t="s">
        <v>859</v>
      </c>
      <c r="B219" s="322" t="s">
        <v>1070</v>
      </c>
      <c r="C219" s="323" t="s">
        <v>947</v>
      </c>
      <c r="D219" s="331">
        <v>2.8</v>
      </c>
      <c r="E219" s="331" t="s">
        <v>42</v>
      </c>
      <c r="F219" s="325" t="s">
        <v>860</v>
      </c>
      <c r="G219" s="325"/>
      <c r="H219" s="135"/>
      <c r="I219" s="135"/>
      <c r="K219" s="345">
        <v>204</v>
      </c>
    </row>
    <row r="220" spans="1:11" ht="15" x14ac:dyDescent="0.2">
      <c r="A220" s="326" t="s">
        <v>861</v>
      </c>
      <c r="B220" s="322" t="s">
        <v>1070</v>
      </c>
      <c r="C220" s="323" t="s">
        <v>947</v>
      </c>
      <c r="D220" s="331">
        <v>2.8</v>
      </c>
      <c r="E220" s="331" t="s">
        <v>42</v>
      </c>
      <c r="F220" s="325" t="s">
        <v>862</v>
      </c>
      <c r="G220" s="325"/>
      <c r="H220" s="135"/>
      <c r="I220" s="135"/>
      <c r="K220" s="345">
        <v>205</v>
      </c>
    </row>
    <row r="221" spans="1:11" ht="15" x14ac:dyDescent="0.2">
      <c r="A221" s="326" t="s">
        <v>863</v>
      </c>
      <c r="B221" s="322" t="s">
        <v>1070</v>
      </c>
      <c r="C221" s="323" t="s">
        <v>947</v>
      </c>
      <c r="D221" s="331">
        <v>2.8</v>
      </c>
      <c r="E221" s="331" t="s">
        <v>42</v>
      </c>
      <c r="F221" s="325" t="s">
        <v>864</v>
      </c>
      <c r="G221" s="325"/>
      <c r="H221" s="135"/>
      <c r="I221" s="135"/>
      <c r="K221" s="345">
        <v>206</v>
      </c>
    </row>
    <row r="222" spans="1:11" ht="15" x14ac:dyDescent="0.2">
      <c r="A222" s="326" t="s">
        <v>865</v>
      </c>
      <c r="B222" s="322" t="s">
        <v>1070</v>
      </c>
      <c r="C222" s="323" t="s">
        <v>947</v>
      </c>
      <c r="D222" s="331">
        <v>2.8</v>
      </c>
      <c r="E222" s="331" t="s">
        <v>42</v>
      </c>
      <c r="F222" s="325" t="s">
        <v>866</v>
      </c>
      <c r="G222" s="325"/>
      <c r="H222" s="135"/>
      <c r="I222" s="135"/>
      <c r="K222" s="345">
        <v>207</v>
      </c>
    </row>
    <row r="223" spans="1:11" ht="15" x14ac:dyDescent="0.2">
      <c r="A223" s="326" t="s">
        <v>867</v>
      </c>
      <c r="B223" s="322" t="s">
        <v>1070</v>
      </c>
      <c r="C223" s="323" t="s">
        <v>947</v>
      </c>
      <c r="D223" s="331">
        <v>2.8</v>
      </c>
      <c r="E223" s="331" t="s">
        <v>42</v>
      </c>
      <c r="F223" s="325" t="s">
        <v>868</v>
      </c>
      <c r="G223" s="325"/>
      <c r="H223" s="135"/>
      <c r="I223" s="135"/>
      <c r="K223" s="345">
        <v>208</v>
      </c>
    </row>
    <row r="224" spans="1:11" ht="15" x14ac:dyDescent="0.2">
      <c r="A224" s="326" t="s">
        <v>869</v>
      </c>
      <c r="B224" s="322" t="s">
        <v>1070</v>
      </c>
      <c r="C224" s="323" t="s">
        <v>947</v>
      </c>
      <c r="D224" s="331">
        <v>3.15</v>
      </c>
      <c r="E224" s="331" t="s">
        <v>42</v>
      </c>
      <c r="F224" s="325" t="s">
        <v>870</v>
      </c>
      <c r="G224" s="325"/>
      <c r="H224" s="135"/>
      <c r="I224" s="135"/>
      <c r="K224" s="345">
        <v>209</v>
      </c>
    </row>
    <row r="225" spans="1:11" ht="15" x14ac:dyDescent="0.2">
      <c r="A225" s="326" t="s">
        <v>871</v>
      </c>
      <c r="B225" s="322" t="s">
        <v>1070</v>
      </c>
      <c r="C225" s="323" t="s">
        <v>947</v>
      </c>
      <c r="D225" s="331">
        <v>2.8</v>
      </c>
      <c r="E225" s="331" t="s">
        <v>42</v>
      </c>
      <c r="F225" s="325" t="s">
        <v>872</v>
      </c>
      <c r="G225" s="325"/>
      <c r="H225" s="135"/>
      <c r="I225" s="135"/>
      <c r="K225" s="345">
        <v>210</v>
      </c>
    </row>
    <row r="226" spans="1:11" ht="15" x14ac:dyDescent="0.2">
      <c r="A226" s="326" t="s">
        <v>873</v>
      </c>
      <c r="B226" s="322" t="s">
        <v>1070</v>
      </c>
      <c r="C226" s="323" t="s">
        <v>947</v>
      </c>
      <c r="D226" s="331">
        <v>3.5</v>
      </c>
      <c r="E226" s="331" t="s">
        <v>42</v>
      </c>
      <c r="F226" s="325" t="s">
        <v>874</v>
      </c>
      <c r="G226" s="325"/>
      <c r="H226" s="135"/>
      <c r="I226" s="135"/>
      <c r="K226" s="345">
        <v>211</v>
      </c>
    </row>
    <row r="227" spans="1:11" ht="15" x14ac:dyDescent="0.2">
      <c r="A227" s="326" t="s">
        <v>875</v>
      </c>
      <c r="B227" s="322" t="s">
        <v>1070</v>
      </c>
      <c r="C227" s="323" t="s">
        <v>947</v>
      </c>
      <c r="D227" s="331">
        <v>14</v>
      </c>
      <c r="E227" s="331" t="s">
        <v>42</v>
      </c>
      <c r="F227" s="325" t="s">
        <v>876</v>
      </c>
      <c r="G227" s="325"/>
      <c r="H227" s="135"/>
      <c r="I227" s="135"/>
      <c r="K227" s="345">
        <v>212</v>
      </c>
    </row>
    <row r="228" spans="1:11" ht="15" x14ac:dyDescent="0.2">
      <c r="A228" s="326" t="s">
        <v>877</v>
      </c>
      <c r="B228" s="322" t="s">
        <v>1070</v>
      </c>
      <c r="C228" s="323" t="s">
        <v>947</v>
      </c>
      <c r="D228" s="331">
        <v>12.6</v>
      </c>
      <c r="E228" s="331" t="s">
        <v>42</v>
      </c>
      <c r="F228" s="325" t="s">
        <v>878</v>
      </c>
      <c r="G228" s="325"/>
      <c r="H228" s="135"/>
      <c r="I228" s="135"/>
      <c r="K228" s="345">
        <v>213</v>
      </c>
    </row>
    <row r="229" spans="1:11" ht="15" x14ac:dyDescent="0.2">
      <c r="A229" s="326" t="s">
        <v>879</v>
      </c>
      <c r="B229" s="322" t="s">
        <v>1070</v>
      </c>
      <c r="C229" s="323" t="s">
        <v>947</v>
      </c>
      <c r="D229" s="331">
        <v>14</v>
      </c>
      <c r="E229" s="331" t="s">
        <v>42</v>
      </c>
      <c r="F229" s="325" t="s">
        <v>880</v>
      </c>
      <c r="G229" s="325"/>
      <c r="H229" s="135"/>
      <c r="I229" s="135"/>
      <c r="K229" s="345">
        <v>214</v>
      </c>
    </row>
    <row r="230" spans="1:11" ht="15" x14ac:dyDescent="0.2">
      <c r="A230" s="326" t="s">
        <v>881</v>
      </c>
      <c r="B230" s="322" t="s">
        <v>1070</v>
      </c>
      <c r="C230" s="323" t="s">
        <v>947</v>
      </c>
      <c r="D230" s="331">
        <v>12.6</v>
      </c>
      <c r="E230" s="331" t="s">
        <v>42</v>
      </c>
      <c r="F230" s="325" t="s">
        <v>882</v>
      </c>
      <c r="G230" s="325"/>
      <c r="H230" s="135"/>
      <c r="I230" s="135"/>
      <c r="K230" s="345">
        <v>215</v>
      </c>
    </row>
    <row r="231" spans="1:11" ht="15" x14ac:dyDescent="0.2">
      <c r="A231" s="326" t="s">
        <v>883</v>
      </c>
      <c r="B231" s="322" t="s">
        <v>1070</v>
      </c>
      <c r="C231" s="323" t="s">
        <v>947</v>
      </c>
      <c r="D231" s="331">
        <v>2.8</v>
      </c>
      <c r="E231" s="331" t="s">
        <v>42</v>
      </c>
      <c r="F231" s="325" t="s">
        <v>884</v>
      </c>
      <c r="G231" s="325"/>
      <c r="H231" s="135"/>
      <c r="I231" s="135"/>
      <c r="K231" s="345">
        <v>216</v>
      </c>
    </row>
    <row r="232" spans="1:11" ht="15" x14ac:dyDescent="0.2">
      <c r="A232" s="326" t="s">
        <v>885</v>
      </c>
      <c r="B232" s="322" t="s">
        <v>1070</v>
      </c>
      <c r="C232" s="323" t="s">
        <v>947</v>
      </c>
      <c r="D232" s="331">
        <v>3.5</v>
      </c>
      <c r="E232" s="331" t="s">
        <v>42</v>
      </c>
      <c r="F232" s="325" t="s">
        <v>886</v>
      </c>
      <c r="G232" s="325"/>
      <c r="H232" s="135"/>
      <c r="I232" s="135"/>
      <c r="K232" s="345">
        <v>217</v>
      </c>
    </row>
    <row r="233" spans="1:11" ht="15" x14ac:dyDescent="0.2">
      <c r="A233" s="326" t="s">
        <v>887</v>
      </c>
      <c r="B233" s="322" t="s">
        <v>1070</v>
      </c>
      <c r="C233" s="323" t="s">
        <v>947</v>
      </c>
      <c r="D233" s="331">
        <v>3.15</v>
      </c>
      <c r="E233" s="331" t="s">
        <v>42</v>
      </c>
      <c r="F233" s="325" t="s">
        <v>888</v>
      </c>
      <c r="G233" s="325"/>
      <c r="H233" s="135"/>
      <c r="I233" s="135"/>
      <c r="K233" s="345">
        <v>218</v>
      </c>
    </row>
    <row r="234" spans="1:11" ht="15" x14ac:dyDescent="0.2">
      <c r="A234" s="326" t="s">
        <v>889</v>
      </c>
      <c r="B234" s="322" t="s">
        <v>1070</v>
      </c>
      <c r="C234" s="323" t="s">
        <v>947</v>
      </c>
      <c r="D234" s="331">
        <v>4.9000000000000004</v>
      </c>
      <c r="E234" s="331" t="s">
        <v>42</v>
      </c>
      <c r="F234" s="325" t="s">
        <v>890</v>
      </c>
      <c r="G234" s="325"/>
      <c r="H234" s="135"/>
      <c r="I234" s="135"/>
      <c r="K234" s="345">
        <v>219</v>
      </c>
    </row>
    <row r="235" spans="1:11" ht="37.5" x14ac:dyDescent="0.2">
      <c r="A235" s="326"/>
      <c r="B235" s="322" t="s">
        <v>1063</v>
      </c>
      <c r="C235" s="323"/>
      <c r="D235" s="331"/>
      <c r="E235" s="331" t="s">
        <v>42</v>
      </c>
      <c r="F235" s="332" t="s">
        <v>800</v>
      </c>
      <c r="G235" s="325"/>
      <c r="H235" s="135"/>
      <c r="I235" s="135"/>
      <c r="K235" s="345">
        <v>220</v>
      </c>
    </row>
    <row r="236" spans="1:11" ht="15" x14ac:dyDescent="0.2">
      <c r="A236" s="326" t="s">
        <v>923</v>
      </c>
      <c r="B236" s="322" t="s">
        <v>1071</v>
      </c>
      <c r="C236" s="323" t="s">
        <v>947</v>
      </c>
      <c r="D236" s="331">
        <v>3.15</v>
      </c>
      <c r="E236" s="331" t="s">
        <v>42</v>
      </c>
      <c r="F236" s="325" t="s">
        <v>924</v>
      </c>
      <c r="G236" s="325"/>
      <c r="H236" s="135"/>
      <c r="I236" s="135"/>
      <c r="K236" s="345">
        <v>221</v>
      </c>
    </row>
    <row r="237" spans="1:11" ht="15" x14ac:dyDescent="0.2">
      <c r="A237" s="326" t="s">
        <v>925</v>
      </c>
      <c r="B237" s="322" t="s">
        <v>1071</v>
      </c>
      <c r="C237" s="323" t="s">
        <v>947</v>
      </c>
      <c r="D237" s="331">
        <v>3.15</v>
      </c>
      <c r="E237" s="331" t="s">
        <v>42</v>
      </c>
      <c r="F237" s="325" t="s">
        <v>926</v>
      </c>
      <c r="G237" s="325"/>
      <c r="H237" s="135"/>
      <c r="I237" s="135"/>
      <c r="K237" s="345">
        <v>222</v>
      </c>
    </row>
    <row r="238" spans="1:11" ht="15" x14ac:dyDescent="0.2">
      <c r="A238" s="326" t="s">
        <v>927</v>
      </c>
      <c r="B238" s="322" t="s">
        <v>1071</v>
      </c>
      <c r="C238" s="323" t="s">
        <v>947</v>
      </c>
      <c r="D238" s="331">
        <v>3.15</v>
      </c>
      <c r="E238" s="331" t="s">
        <v>42</v>
      </c>
      <c r="F238" s="325" t="s">
        <v>928</v>
      </c>
      <c r="G238" s="325"/>
      <c r="H238" s="135"/>
      <c r="I238" s="135"/>
      <c r="K238" s="345">
        <v>223</v>
      </c>
    </row>
    <row r="239" spans="1:11" ht="15" x14ac:dyDescent="0.2">
      <c r="A239" s="326" t="s">
        <v>929</v>
      </c>
      <c r="B239" s="322" t="s">
        <v>1071</v>
      </c>
      <c r="C239" s="323" t="s">
        <v>947</v>
      </c>
      <c r="D239" s="331">
        <v>3.15</v>
      </c>
      <c r="E239" s="331" t="s">
        <v>42</v>
      </c>
      <c r="F239" s="325" t="s">
        <v>930</v>
      </c>
      <c r="G239" s="325"/>
      <c r="H239" s="135"/>
      <c r="I239" s="135"/>
      <c r="K239" s="345">
        <v>224</v>
      </c>
    </row>
    <row r="240" spans="1:11" ht="15" x14ac:dyDescent="0.2">
      <c r="A240" s="326" t="s">
        <v>931</v>
      </c>
      <c r="B240" s="322" t="s">
        <v>1071</v>
      </c>
      <c r="C240" s="323" t="s">
        <v>947</v>
      </c>
      <c r="D240" s="331">
        <v>2.8</v>
      </c>
      <c r="E240" s="331" t="s">
        <v>42</v>
      </c>
      <c r="F240" s="325" t="s">
        <v>932</v>
      </c>
      <c r="G240" s="325"/>
      <c r="H240" s="135"/>
      <c r="I240" s="135"/>
      <c r="K240" s="345">
        <v>225</v>
      </c>
    </row>
    <row r="241" spans="1:11" ht="15" x14ac:dyDescent="0.2">
      <c r="A241" s="326" t="s">
        <v>933</v>
      </c>
      <c r="B241" s="322" t="s">
        <v>1071</v>
      </c>
      <c r="C241" s="323" t="s">
        <v>947</v>
      </c>
      <c r="D241" s="331">
        <v>2.8</v>
      </c>
      <c r="E241" s="331" t="s">
        <v>42</v>
      </c>
      <c r="F241" s="325" t="s">
        <v>934</v>
      </c>
      <c r="G241" s="325"/>
      <c r="H241" s="135"/>
      <c r="I241" s="135"/>
      <c r="K241" s="345">
        <v>226</v>
      </c>
    </row>
    <row r="242" spans="1:11" ht="15" x14ac:dyDescent="0.2">
      <c r="A242" s="326" t="s">
        <v>935</v>
      </c>
      <c r="B242" s="322" t="s">
        <v>1071</v>
      </c>
      <c r="C242" s="323" t="s">
        <v>947</v>
      </c>
      <c r="D242" s="331">
        <v>2.8</v>
      </c>
      <c r="E242" s="331" t="s">
        <v>42</v>
      </c>
      <c r="F242" s="325" t="s">
        <v>936</v>
      </c>
      <c r="G242" s="325"/>
      <c r="H242" s="135"/>
      <c r="I242" s="135"/>
      <c r="K242" s="345">
        <v>227</v>
      </c>
    </row>
    <row r="243" spans="1:11" ht="15" x14ac:dyDescent="0.2">
      <c r="A243" s="326" t="s">
        <v>937</v>
      </c>
      <c r="B243" s="322" t="s">
        <v>1071</v>
      </c>
      <c r="C243" s="323" t="s">
        <v>947</v>
      </c>
      <c r="D243" s="331">
        <v>2.8</v>
      </c>
      <c r="E243" s="331" t="s">
        <v>42</v>
      </c>
      <c r="F243" s="325" t="s">
        <v>938</v>
      </c>
      <c r="G243" s="325"/>
      <c r="H243" s="135"/>
      <c r="I243" s="135"/>
      <c r="K243" s="345">
        <v>228</v>
      </c>
    </row>
    <row r="244" spans="1:11" ht="15" x14ac:dyDescent="0.2">
      <c r="A244" s="326" t="s">
        <v>939</v>
      </c>
      <c r="B244" s="322" t="s">
        <v>1071</v>
      </c>
      <c r="C244" s="323" t="s">
        <v>947</v>
      </c>
      <c r="D244" s="331">
        <v>2.8</v>
      </c>
      <c r="E244" s="331" t="s">
        <v>42</v>
      </c>
      <c r="F244" s="325" t="s">
        <v>940</v>
      </c>
      <c r="G244" s="325"/>
      <c r="H244" s="135"/>
      <c r="I244" s="135"/>
      <c r="K244" s="345">
        <v>229</v>
      </c>
    </row>
    <row r="245" spans="1:11" ht="15" x14ac:dyDescent="0.2">
      <c r="A245" s="326" t="s">
        <v>941</v>
      </c>
      <c r="B245" s="322" t="s">
        <v>1071</v>
      </c>
      <c r="C245" s="323" t="s">
        <v>947</v>
      </c>
      <c r="D245" s="331">
        <v>3.15</v>
      </c>
      <c r="E245" s="331" t="s">
        <v>42</v>
      </c>
      <c r="F245" s="325" t="s">
        <v>942</v>
      </c>
      <c r="G245" s="325"/>
      <c r="H245" s="135"/>
      <c r="I245" s="135"/>
      <c r="K245" s="345">
        <v>230</v>
      </c>
    </row>
    <row r="246" spans="1:11" ht="15" x14ac:dyDescent="0.2">
      <c r="A246" s="326" t="s">
        <v>943</v>
      </c>
      <c r="B246" s="322" t="s">
        <v>1071</v>
      </c>
      <c r="C246" s="323" t="s">
        <v>947</v>
      </c>
      <c r="D246" s="331">
        <v>3.15</v>
      </c>
      <c r="E246" s="331" t="s">
        <v>42</v>
      </c>
      <c r="F246" s="325" t="s">
        <v>944</v>
      </c>
      <c r="G246" s="325"/>
      <c r="H246" s="135"/>
      <c r="I246" s="135"/>
      <c r="K246" s="345">
        <v>231</v>
      </c>
    </row>
    <row r="247" spans="1:11" ht="30" x14ac:dyDescent="0.2">
      <c r="A247" s="326"/>
      <c r="B247" s="322" t="s">
        <v>1072</v>
      </c>
      <c r="C247" s="323"/>
      <c r="D247" s="331"/>
      <c r="E247" s="331" t="s">
        <v>42</v>
      </c>
      <c r="F247" s="341" t="s">
        <v>891</v>
      </c>
      <c r="G247" s="325"/>
      <c r="H247" s="135"/>
      <c r="I247" s="135"/>
      <c r="K247" s="345">
        <v>232</v>
      </c>
    </row>
    <row r="248" spans="1:11" ht="15" x14ac:dyDescent="0.2">
      <c r="A248" s="326" t="s">
        <v>892</v>
      </c>
      <c r="B248" s="322" t="s">
        <v>1072</v>
      </c>
      <c r="C248" s="323" t="s">
        <v>947</v>
      </c>
      <c r="D248" s="331">
        <v>3.15</v>
      </c>
      <c r="E248" s="331" t="s">
        <v>42</v>
      </c>
      <c r="F248" s="325" t="s">
        <v>893</v>
      </c>
      <c r="G248" s="325"/>
      <c r="H248" s="135"/>
      <c r="I248" s="135"/>
      <c r="K248" s="345">
        <v>233</v>
      </c>
    </row>
    <row r="249" spans="1:11" ht="15" x14ac:dyDescent="0.2">
      <c r="A249" s="326" t="s">
        <v>894</v>
      </c>
      <c r="B249" s="322" t="s">
        <v>1072</v>
      </c>
      <c r="C249" s="323" t="s">
        <v>947</v>
      </c>
      <c r="D249" s="331">
        <v>5.6</v>
      </c>
      <c r="E249" s="331" t="s">
        <v>42</v>
      </c>
      <c r="F249" s="325" t="s">
        <v>895</v>
      </c>
      <c r="G249" s="325"/>
      <c r="H249" s="135"/>
      <c r="I249" s="135"/>
      <c r="K249" s="345">
        <v>234</v>
      </c>
    </row>
    <row r="250" spans="1:11" ht="15" x14ac:dyDescent="0.2">
      <c r="A250" s="326" t="s">
        <v>896</v>
      </c>
      <c r="B250" s="322" t="s">
        <v>1072</v>
      </c>
      <c r="C250" s="323" t="s">
        <v>947</v>
      </c>
      <c r="D250" s="331"/>
      <c r="E250" s="331" t="s">
        <v>42</v>
      </c>
      <c r="F250" s="325" t="s">
        <v>897</v>
      </c>
      <c r="G250" s="325"/>
      <c r="H250" s="135"/>
      <c r="I250" s="135"/>
      <c r="K250" s="345">
        <v>235</v>
      </c>
    </row>
    <row r="251" spans="1:11" ht="15" x14ac:dyDescent="0.2">
      <c r="A251" s="326" t="s">
        <v>897</v>
      </c>
      <c r="B251" s="322" t="s">
        <v>1072</v>
      </c>
      <c r="C251" s="323" t="s">
        <v>947</v>
      </c>
      <c r="D251" s="331">
        <v>3.15</v>
      </c>
      <c r="E251" s="331" t="s">
        <v>42</v>
      </c>
      <c r="F251" s="325" t="s">
        <v>898</v>
      </c>
      <c r="G251" s="325"/>
      <c r="H251" s="135"/>
      <c r="I251" s="135"/>
      <c r="K251" s="345">
        <v>236</v>
      </c>
    </row>
    <row r="252" spans="1:11" ht="15" x14ac:dyDescent="0.2">
      <c r="A252" s="326" t="s">
        <v>899</v>
      </c>
      <c r="B252" s="322" t="s">
        <v>1072</v>
      </c>
      <c r="C252" s="323" t="s">
        <v>947</v>
      </c>
      <c r="D252" s="331">
        <v>2.8</v>
      </c>
      <c r="E252" s="331" t="s">
        <v>42</v>
      </c>
      <c r="F252" s="325" t="s">
        <v>900</v>
      </c>
      <c r="G252" s="325"/>
      <c r="H252" s="135"/>
      <c r="I252" s="135"/>
      <c r="K252" s="345">
        <v>237</v>
      </c>
    </row>
    <row r="253" spans="1:11" ht="15" x14ac:dyDescent="0.2">
      <c r="A253" s="326" t="s">
        <v>901</v>
      </c>
      <c r="B253" s="322" t="s">
        <v>1072</v>
      </c>
      <c r="C253" s="323" t="s">
        <v>947</v>
      </c>
      <c r="D253" s="331">
        <v>3.85</v>
      </c>
      <c r="E253" s="331" t="s">
        <v>42</v>
      </c>
      <c r="F253" s="325" t="s">
        <v>902</v>
      </c>
      <c r="G253" s="325"/>
      <c r="H253" s="135"/>
      <c r="I253" s="135"/>
      <c r="K253" s="345">
        <v>238</v>
      </c>
    </row>
    <row r="254" spans="1:11" ht="15" x14ac:dyDescent="0.2">
      <c r="A254" s="326" t="s">
        <v>903</v>
      </c>
      <c r="B254" s="322" t="s">
        <v>1072</v>
      </c>
      <c r="C254" s="323" t="s">
        <v>947</v>
      </c>
      <c r="D254" s="331">
        <v>3.85</v>
      </c>
      <c r="E254" s="331" t="s">
        <v>42</v>
      </c>
      <c r="F254" s="325" t="s">
        <v>904</v>
      </c>
      <c r="G254" s="325"/>
      <c r="H254" s="135"/>
      <c r="I254" s="135"/>
      <c r="K254" s="345">
        <v>239</v>
      </c>
    </row>
    <row r="255" spans="1:11" ht="15" x14ac:dyDescent="0.2">
      <c r="A255" s="326" t="s">
        <v>905</v>
      </c>
      <c r="B255" s="322" t="s">
        <v>1072</v>
      </c>
      <c r="C255" s="323" t="s">
        <v>947</v>
      </c>
      <c r="D255" s="331">
        <v>3.15</v>
      </c>
      <c r="E255" s="331" t="s">
        <v>42</v>
      </c>
      <c r="F255" s="325" t="s">
        <v>906</v>
      </c>
      <c r="G255" s="325"/>
      <c r="H255" s="135"/>
      <c r="I255" s="135"/>
      <c r="K255" s="345">
        <v>240</v>
      </c>
    </row>
    <row r="256" spans="1:11" ht="15" x14ac:dyDescent="0.2">
      <c r="A256" s="326" t="s">
        <v>907</v>
      </c>
      <c r="B256" s="322" t="s">
        <v>1072</v>
      </c>
      <c r="C256" s="323" t="s">
        <v>947</v>
      </c>
      <c r="D256" s="331">
        <v>3.5</v>
      </c>
      <c r="E256" s="331" t="s">
        <v>42</v>
      </c>
      <c r="F256" s="325" t="s">
        <v>908</v>
      </c>
      <c r="G256" s="325"/>
      <c r="H256" s="135"/>
      <c r="I256" s="135"/>
      <c r="K256" s="345">
        <v>241</v>
      </c>
    </row>
    <row r="257" spans="1:11" x14ac:dyDescent="0.2">
      <c r="A257" s="346" t="s">
        <v>1066</v>
      </c>
      <c r="B257" s="322" t="s">
        <v>1072</v>
      </c>
      <c r="C257" s="323"/>
      <c r="D257" s="347">
        <v>2</v>
      </c>
      <c r="E257" s="348" t="s">
        <v>50</v>
      </c>
      <c r="F257" s="159"/>
      <c r="G257" s="159"/>
      <c r="H257" s="135"/>
      <c r="I257" s="135"/>
      <c r="K257" s="345">
        <v>242</v>
      </c>
    </row>
    <row r="258" spans="1:11" ht="45" x14ac:dyDescent="0.2">
      <c r="A258" s="326" t="s">
        <v>909</v>
      </c>
      <c r="B258" s="322" t="s">
        <v>1072</v>
      </c>
      <c r="C258" s="323" t="s">
        <v>947</v>
      </c>
      <c r="D258" s="331">
        <v>3.5</v>
      </c>
      <c r="E258" s="331" t="s">
        <v>42</v>
      </c>
      <c r="F258" s="325" t="s">
        <v>958</v>
      </c>
      <c r="G258" s="325"/>
      <c r="H258" s="135"/>
      <c r="I258" s="135"/>
      <c r="K258" s="345">
        <v>243</v>
      </c>
    </row>
    <row r="259" spans="1:11" ht="15" x14ac:dyDescent="0.2">
      <c r="A259" s="326" t="s">
        <v>911</v>
      </c>
      <c r="B259" s="322" t="s">
        <v>1072</v>
      </c>
      <c r="C259" s="323" t="s">
        <v>947</v>
      </c>
      <c r="D259" s="331">
        <v>3.5</v>
      </c>
      <c r="E259" s="331" t="s">
        <v>42</v>
      </c>
      <c r="F259" s="325" t="s">
        <v>910</v>
      </c>
      <c r="G259" s="325"/>
      <c r="H259" s="135"/>
      <c r="I259" s="135"/>
      <c r="K259" s="345">
        <v>244</v>
      </c>
    </row>
    <row r="260" spans="1:11" ht="15" x14ac:dyDescent="0.2">
      <c r="A260" s="326" t="s">
        <v>912</v>
      </c>
      <c r="B260" s="322" t="s">
        <v>1072</v>
      </c>
      <c r="C260" s="323" t="s">
        <v>947</v>
      </c>
      <c r="D260" s="331"/>
      <c r="E260" s="331" t="s">
        <v>42</v>
      </c>
      <c r="F260" s="325" t="s">
        <v>913</v>
      </c>
      <c r="G260" s="325"/>
      <c r="H260" s="135"/>
      <c r="I260" s="135"/>
      <c r="K260" s="345">
        <v>245</v>
      </c>
    </row>
    <row r="261" spans="1:11" ht="15" x14ac:dyDescent="0.2">
      <c r="A261" s="326" t="s">
        <v>913</v>
      </c>
      <c r="B261" s="322" t="s">
        <v>1072</v>
      </c>
      <c r="C261" s="323" t="s">
        <v>947</v>
      </c>
      <c r="D261" s="331">
        <v>2.8</v>
      </c>
      <c r="E261" s="331" t="s">
        <v>42</v>
      </c>
      <c r="F261" s="325" t="s">
        <v>914</v>
      </c>
      <c r="G261" s="325"/>
      <c r="H261" s="135"/>
      <c r="I261" s="135"/>
      <c r="K261" s="345">
        <v>246</v>
      </c>
    </row>
    <row r="262" spans="1:11" ht="15" x14ac:dyDescent="0.2">
      <c r="A262" s="326" t="s">
        <v>915</v>
      </c>
      <c r="B262" s="322" t="s">
        <v>1072</v>
      </c>
      <c r="C262" s="323" t="s">
        <v>947</v>
      </c>
      <c r="D262" s="331">
        <v>2.8</v>
      </c>
      <c r="E262" s="331" t="s">
        <v>42</v>
      </c>
      <c r="F262" s="325" t="s">
        <v>916</v>
      </c>
      <c r="G262" s="325"/>
      <c r="H262" s="135"/>
      <c r="I262" s="135"/>
      <c r="K262" s="345">
        <v>247</v>
      </c>
    </row>
    <row r="263" spans="1:11" ht="15" x14ac:dyDescent="0.2">
      <c r="A263" s="326" t="s">
        <v>917</v>
      </c>
      <c r="B263" s="322" t="s">
        <v>1072</v>
      </c>
      <c r="C263" s="323" t="s">
        <v>947</v>
      </c>
      <c r="D263" s="331">
        <v>2.8</v>
      </c>
      <c r="E263" s="331" t="s">
        <v>42</v>
      </c>
      <c r="F263" s="325" t="s">
        <v>918</v>
      </c>
      <c r="G263" s="325"/>
      <c r="H263" s="135"/>
      <c r="I263" s="135"/>
      <c r="K263" s="345">
        <v>248</v>
      </c>
    </row>
    <row r="264" spans="1:11" ht="15" x14ac:dyDescent="0.2">
      <c r="A264" s="326" t="s">
        <v>919</v>
      </c>
      <c r="B264" s="322" t="s">
        <v>1072</v>
      </c>
      <c r="C264" s="323" t="s">
        <v>947</v>
      </c>
      <c r="D264" s="331">
        <v>3.5</v>
      </c>
      <c r="E264" s="331" t="s">
        <v>42</v>
      </c>
      <c r="F264" s="325" t="s">
        <v>920</v>
      </c>
      <c r="G264" s="325"/>
      <c r="H264" s="135"/>
      <c r="I264" s="135"/>
      <c r="K264" s="345">
        <v>249</v>
      </c>
    </row>
    <row r="265" spans="1:11" ht="15" x14ac:dyDescent="0.2">
      <c r="A265" s="326" t="s">
        <v>921</v>
      </c>
      <c r="B265" s="322" t="s">
        <v>1072</v>
      </c>
      <c r="C265" s="323" t="s">
        <v>947</v>
      </c>
      <c r="D265" s="331">
        <v>2.8</v>
      </c>
      <c r="E265" s="331" t="s">
        <v>42</v>
      </c>
      <c r="F265" s="325" t="s">
        <v>922</v>
      </c>
      <c r="G265" s="325"/>
      <c r="H265" s="135"/>
      <c r="I265" s="135"/>
      <c r="K265" s="345">
        <v>250</v>
      </c>
    </row>
    <row r="266" spans="1:11" ht="15" x14ac:dyDescent="0.2">
      <c r="A266" s="326" t="s">
        <v>241</v>
      </c>
      <c r="B266" s="322" t="s">
        <v>1073</v>
      </c>
      <c r="C266" s="323" t="s">
        <v>240</v>
      </c>
      <c r="D266" s="331">
        <v>0</v>
      </c>
      <c r="E266" s="331" t="s">
        <v>42</v>
      </c>
      <c r="F266" s="325" t="s">
        <v>959</v>
      </c>
      <c r="G266" s="325" t="s">
        <v>959</v>
      </c>
      <c r="H266" s="135"/>
      <c r="I266" s="135"/>
      <c r="K266" s="345">
        <v>251</v>
      </c>
    </row>
    <row r="267" spans="1:11" ht="15" x14ac:dyDescent="0.2">
      <c r="A267" s="326" t="s">
        <v>244</v>
      </c>
      <c r="B267" s="322" t="s">
        <v>1073</v>
      </c>
      <c r="C267" s="323" t="s">
        <v>240</v>
      </c>
      <c r="D267" s="331">
        <v>10.5</v>
      </c>
      <c r="E267" s="331" t="s">
        <v>42</v>
      </c>
      <c r="F267" s="325" t="s">
        <v>959</v>
      </c>
      <c r="G267" s="325" t="s">
        <v>959</v>
      </c>
      <c r="H267" s="135"/>
      <c r="I267" s="135"/>
      <c r="K267" s="345">
        <v>252</v>
      </c>
    </row>
    <row r="268" spans="1:11" ht="15" x14ac:dyDescent="0.2">
      <c r="A268" s="326" t="s">
        <v>260</v>
      </c>
      <c r="B268" s="322" t="s">
        <v>1073</v>
      </c>
      <c r="C268" s="323" t="s">
        <v>240</v>
      </c>
      <c r="D268" s="331">
        <v>15</v>
      </c>
      <c r="E268" s="331" t="s">
        <v>42</v>
      </c>
      <c r="F268" s="325" t="s">
        <v>959</v>
      </c>
      <c r="G268" s="325" t="s">
        <v>959</v>
      </c>
      <c r="H268" s="135"/>
      <c r="I268" s="135"/>
      <c r="K268" s="345">
        <v>253</v>
      </c>
    </row>
    <row r="269" spans="1:11" x14ac:dyDescent="0.2">
      <c r="A269" s="346" t="s">
        <v>1555</v>
      </c>
      <c r="B269" s="322" t="s">
        <v>1073</v>
      </c>
      <c r="C269" s="323" t="s">
        <v>240</v>
      </c>
      <c r="D269" s="347">
        <v>497.35</v>
      </c>
      <c r="E269" s="348" t="s">
        <v>42</v>
      </c>
      <c r="F269" s="159"/>
      <c r="G269" s="159"/>
      <c r="H269" s="574"/>
      <c r="I269" s="574"/>
      <c r="K269" s="345">
        <v>254</v>
      </c>
    </row>
    <row r="270" spans="1:11" ht="15" x14ac:dyDescent="0.2">
      <c r="A270" s="326" t="s">
        <v>282</v>
      </c>
      <c r="B270" s="322" t="s">
        <v>1073</v>
      </c>
      <c r="C270" s="323" t="s">
        <v>240</v>
      </c>
      <c r="D270" s="331">
        <v>111</v>
      </c>
      <c r="E270" s="331" t="s">
        <v>42</v>
      </c>
      <c r="F270" s="325" t="s">
        <v>959</v>
      </c>
      <c r="G270" s="325" t="s">
        <v>959</v>
      </c>
      <c r="H270" s="135"/>
      <c r="I270" s="135"/>
      <c r="K270" s="345">
        <v>255</v>
      </c>
    </row>
    <row r="271" spans="1:11" ht="15" x14ac:dyDescent="0.2">
      <c r="A271" s="326" t="s">
        <v>285</v>
      </c>
      <c r="B271" s="322" t="s">
        <v>1073</v>
      </c>
      <c r="C271" s="323" t="s">
        <v>240</v>
      </c>
      <c r="D271" s="331">
        <v>129</v>
      </c>
      <c r="E271" s="331" t="s">
        <v>42</v>
      </c>
      <c r="F271" s="325" t="s">
        <v>959</v>
      </c>
      <c r="G271" s="325" t="s">
        <v>959</v>
      </c>
      <c r="H271" s="135"/>
      <c r="I271" s="135"/>
      <c r="K271" s="345">
        <v>256</v>
      </c>
    </row>
    <row r="272" spans="1:11" ht="15" x14ac:dyDescent="0.2">
      <c r="A272" s="326" t="s">
        <v>286</v>
      </c>
      <c r="B272" s="322" t="s">
        <v>1073</v>
      </c>
      <c r="C272" s="323" t="s">
        <v>240</v>
      </c>
      <c r="D272" s="331">
        <v>130.5</v>
      </c>
      <c r="E272" s="331" t="s">
        <v>42</v>
      </c>
      <c r="F272" s="325" t="s">
        <v>959</v>
      </c>
      <c r="G272" s="325" t="s">
        <v>959</v>
      </c>
      <c r="H272" s="135"/>
      <c r="I272" s="135"/>
      <c r="K272" s="345">
        <v>257</v>
      </c>
    </row>
    <row r="273" spans="1:11" ht="15" x14ac:dyDescent="0.2">
      <c r="A273" s="326" t="s">
        <v>293</v>
      </c>
      <c r="B273" s="322" t="s">
        <v>1073</v>
      </c>
      <c r="C273" s="323" t="s">
        <v>240</v>
      </c>
      <c r="D273" s="331">
        <v>181.5</v>
      </c>
      <c r="E273" s="331" t="s">
        <v>42</v>
      </c>
      <c r="F273" s="325" t="s">
        <v>959</v>
      </c>
      <c r="G273" s="325" t="s">
        <v>959</v>
      </c>
      <c r="H273" s="135"/>
      <c r="I273" s="135"/>
      <c r="K273" s="345">
        <v>258</v>
      </c>
    </row>
    <row r="274" spans="1:11" ht="15" x14ac:dyDescent="0.2">
      <c r="A274" s="326" t="s">
        <v>293</v>
      </c>
      <c r="B274" s="322" t="s">
        <v>1073</v>
      </c>
      <c r="C274" s="323" t="s">
        <v>240</v>
      </c>
      <c r="D274" s="331">
        <v>225.4</v>
      </c>
      <c r="E274" s="331" t="s">
        <v>42</v>
      </c>
      <c r="F274" s="325" t="s">
        <v>959</v>
      </c>
      <c r="G274" s="325" t="s">
        <v>959</v>
      </c>
      <c r="H274" s="135"/>
      <c r="I274" s="135"/>
      <c r="K274" s="345">
        <v>259</v>
      </c>
    </row>
    <row r="275" spans="1:11" ht="28.5" x14ac:dyDescent="0.2">
      <c r="A275" s="326" t="s">
        <v>299</v>
      </c>
      <c r="B275" s="322" t="s">
        <v>1073</v>
      </c>
      <c r="C275" s="323" t="s">
        <v>240</v>
      </c>
      <c r="D275" s="331">
        <v>303.8</v>
      </c>
      <c r="E275" s="331" t="s">
        <v>42</v>
      </c>
      <c r="F275" s="325" t="s">
        <v>959</v>
      </c>
      <c r="G275" s="325" t="s">
        <v>959</v>
      </c>
      <c r="H275" s="135"/>
      <c r="I275" s="135"/>
      <c r="K275" s="345">
        <v>260</v>
      </c>
    </row>
    <row r="276" spans="1:11" ht="15" x14ac:dyDescent="0.2">
      <c r="A276" s="326" t="s">
        <v>300</v>
      </c>
      <c r="B276" s="322" t="s">
        <v>1073</v>
      </c>
      <c r="C276" s="323" t="s">
        <v>240</v>
      </c>
      <c r="D276" s="331">
        <v>339.55</v>
      </c>
      <c r="E276" s="331" t="s">
        <v>42</v>
      </c>
      <c r="F276" s="325" t="s">
        <v>959</v>
      </c>
      <c r="G276" s="325" t="s">
        <v>959</v>
      </c>
      <c r="H276" s="135"/>
      <c r="I276" s="135"/>
      <c r="K276" s="345">
        <v>261</v>
      </c>
    </row>
    <row r="277" spans="1:11" ht="28.5" x14ac:dyDescent="0.2">
      <c r="A277" s="326" t="s">
        <v>299</v>
      </c>
      <c r="B277" s="322" t="s">
        <v>1073</v>
      </c>
      <c r="C277" s="323" t="s">
        <v>240</v>
      </c>
      <c r="D277" s="331">
        <v>373.8</v>
      </c>
      <c r="E277" s="331" t="s">
        <v>42</v>
      </c>
      <c r="F277" s="325" t="s">
        <v>959</v>
      </c>
      <c r="G277" s="325" t="s">
        <v>959</v>
      </c>
      <c r="H277" s="135"/>
      <c r="I277" s="135"/>
      <c r="K277" s="345">
        <v>262</v>
      </c>
    </row>
    <row r="278" spans="1:11" ht="28.5" x14ac:dyDescent="0.2">
      <c r="A278" s="326" t="s">
        <v>299</v>
      </c>
      <c r="B278" s="322" t="s">
        <v>1073</v>
      </c>
      <c r="C278" s="323" t="s">
        <v>240</v>
      </c>
      <c r="D278" s="331">
        <v>414.4</v>
      </c>
      <c r="E278" s="331" t="s">
        <v>42</v>
      </c>
      <c r="F278" s="325" t="s">
        <v>959</v>
      </c>
      <c r="G278" s="325" t="s">
        <v>959</v>
      </c>
      <c r="H278" s="135"/>
      <c r="I278" s="135"/>
      <c r="K278" s="345">
        <v>263</v>
      </c>
    </row>
    <row r="279" spans="1:11" ht="15" x14ac:dyDescent="0.2">
      <c r="A279" s="326" t="s">
        <v>327</v>
      </c>
      <c r="B279" s="322" t="s">
        <v>1073</v>
      </c>
      <c r="C279" s="323" t="s">
        <v>240</v>
      </c>
      <c r="D279" s="331">
        <v>669</v>
      </c>
      <c r="E279" s="331" t="s">
        <v>42</v>
      </c>
      <c r="F279" s="325" t="s">
        <v>959</v>
      </c>
      <c r="G279" s="325" t="s">
        <v>959</v>
      </c>
      <c r="H279" s="135"/>
      <c r="I279" s="135"/>
      <c r="K279" s="345">
        <v>264</v>
      </c>
    </row>
    <row r="280" spans="1:11" ht="15" x14ac:dyDescent="0.2">
      <c r="A280" s="326" t="s">
        <v>331</v>
      </c>
      <c r="B280" s="322" t="s">
        <v>1073</v>
      </c>
      <c r="C280" s="323" t="s">
        <v>240</v>
      </c>
      <c r="D280" s="331">
        <v>755.67</v>
      </c>
      <c r="E280" s="331" t="s">
        <v>42</v>
      </c>
      <c r="F280" s="325" t="s">
        <v>959</v>
      </c>
      <c r="G280" s="325" t="s">
        <v>959</v>
      </c>
      <c r="H280" s="135"/>
      <c r="I280" s="135"/>
      <c r="K280" s="345">
        <v>265</v>
      </c>
    </row>
    <row r="281" spans="1:11" ht="15" x14ac:dyDescent="0.2">
      <c r="A281" s="326" t="s">
        <v>338</v>
      </c>
      <c r="B281" s="322" t="s">
        <v>1073</v>
      </c>
      <c r="C281" s="323" t="s">
        <v>240</v>
      </c>
      <c r="D281" s="331">
        <v>785.7</v>
      </c>
      <c r="E281" s="331" t="s">
        <v>42</v>
      </c>
      <c r="F281" s="325" t="s">
        <v>959</v>
      </c>
      <c r="G281" s="325" t="s">
        <v>959</v>
      </c>
      <c r="H281" s="135"/>
      <c r="I281" s="135"/>
      <c r="K281" s="345">
        <v>266</v>
      </c>
    </row>
    <row r="282" spans="1:11" ht="15" x14ac:dyDescent="0.2">
      <c r="A282" s="326" t="s">
        <v>349</v>
      </c>
      <c r="B282" s="322" t="s">
        <v>1073</v>
      </c>
      <c r="C282" s="323" t="s">
        <v>240</v>
      </c>
      <c r="D282" s="331">
        <v>899</v>
      </c>
      <c r="E282" s="331" t="s">
        <v>42</v>
      </c>
      <c r="F282" s="325" t="s">
        <v>959</v>
      </c>
      <c r="G282" s="325" t="s">
        <v>959</v>
      </c>
      <c r="H282" s="135"/>
      <c r="I282" s="135"/>
      <c r="K282" s="345">
        <v>267</v>
      </c>
    </row>
    <row r="283" spans="1:11" ht="15" x14ac:dyDescent="0.2">
      <c r="A283" s="326" t="s">
        <v>724</v>
      </c>
      <c r="B283" s="322" t="s">
        <v>1074</v>
      </c>
      <c r="C283" s="323" t="s">
        <v>685</v>
      </c>
      <c r="D283" s="331"/>
      <c r="E283" s="331" t="s">
        <v>42</v>
      </c>
      <c r="F283" s="325" t="s">
        <v>959</v>
      </c>
      <c r="G283" s="325"/>
      <c r="H283" s="135"/>
      <c r="I283" s="135"/>
      <c r="K283" s="345">
        <v>268</v>
      </c>
    </row>
    <row r="284" spans="1:11" ht="18.600000000000001" customHeight="1" x14ac:dyDescent="0.2">
      <c r="A284" s="326" t="s">
        <v>731</v>
      </c>
      <c r="B284" s="322" t="s">
        <v>1074</v>
      </c>
      <c r="C284" s="323" t="s">
        <v>685</v>
      </c>
      <c r="D284" s="331">
        <v>3.7383999999999999</v>
      </c>
      <c r="E284" s="331" t="s">
        <v>42</v>
      </c>
      <c r="F284" s="325" t="s">
        <v>959</v>
      </c>
      <c r="G284" s="325">
        <v>3.7383999999999999</v>
      </c>
      <c r="H284" s="135"/>
      <c r="I284" s="135"/>
      <c r="K284" s="345">
        <v>269</v>
      </c>
    </row>
    <row r="285" spans="1:11" ht="15" x14ac:dyDescent="0.2">
      <c r="A285" s="326" t="s">
        <v>725</v>
      </c>
      <c r="B285" s="322" t="s">
        <v>1074</v>
      </c>
      <c r="C285" s="323" t="s">
        <v>685</v>
      </c>
      <c r="D285" s="331"/>
      <c r="E285" s="331" t="s">
        <v>42</v>
      </c>
      <c r="F285" s="325" t="s">
        <v>959</v>
      </c>
      <c r="G285" s="325">
        <v>6.75</v>
      </c>
      <c r="H285" s="135"/>
      <c r="I285" s="135"/>
      <c r="K285" s="345">
        <v>270</v>
      </c>
    </row>
    <row r="286" spans="1:11" ht="15" x14ac:dyDescent="0.2">
      <c r="A286" s="326" t="s">
        <v>726</v>
      </c>
      <c r="B286" s="322" t="s">
        <v>1074</v>
      </c>
      <c r="C286" s="323" t="s">
        <v>685</v>
      </c>
      <c r="D286" s="331"/>
      <c r="E286" s="331" t="s">
        <v>42</v>
      </c>
      <c r="F286" s="325" t="s">
        <v>959</v>
      </c>
      <c r="G286" s="325">
        <v>9.02</v>
      </c>
      <c r="H286" s="135"/>
      <c r="I286" s="135"/>
      <c r="K286" s="345">
        <v>271</v>
      </c>
    </row>
    <row r="287" spans="1:11" ht="15" x14ac:dyDescent="0.2">
      <c r="A287" s="326" t="s">
        <v>1321</v>
      </c>
      <c r="B287" s="322" t="s">
        <v>1075</v>
      </c>
      <c r="C287" s="323" t="s">
        <v>240</v>
      </c>
      <c r="D287" s="331">
        <f>15.2*1.1</f>
        <v>16.72</v>
      </c>
      <c r="E287" s="331" t="s">
        <v>52</v>
      </c>
      <c r="F287" s="325" t="s">
        <v>959</v>
      </c>
      <c r="G287" s="325" t="s">
        <v>959</v>
      </c>
      <c r="H287" s="135"/>
      <c r="I287" s="135"/>
      <c r="K287" s="345">
        <v>272</v>
      </c>
    </row>
    <row r="288" spans="1:11" ht="15" x14ac:dyDescent="0.2">
      <c r="A288" s="326" t="s">
        <v>1320</v>
      </c>
      <c r="B288" s="322" t="s">
        <v>1075</v>
      </c>
      <c r="C288" s="323" t="s">
        <v>240</v>
      </c>
      <c r="D288" s="331">
        <f>16.8*1.1</f>
        <v>18.480000000000004</v>
      </c>
      <c r="E288" s="331" t="s">
        <v>52</v>
      </c>
      <c r="F288" s="325" t="s">
        <v>959</v>
      </c>
      <c r="G288" s="325" t="s">
        <v>959</v>
      </c>
      <c r="H288" s="135"/>
      <c r="I288" s="135"/>
      <c r="K288" s="345">
        <v>273</v>
      </c>
    </row>
    <row r="289" spans="1:11" x14ac:dyDescent="0.2">
      <c r="A289" s="346" t="s">
        <v>1322</v>
      </c>
      <c r="B289" s="322" t="s">
        <v>1075</v>
      </c>
      <c r="C289" s="323" t="s">
        <v>240</v>
      </c>
      <c r="D289" s="484">
        <v>20.5</v>
      </c>
      <c r="E289" s="348" t="s">
        <v>52</v>
      </c>
      <c r="F289" s="159"/>
      <c r="G289" s="159"/>
      <c r="H289" s="135"/>
      <c r="I289" s="135"/>
      <c r="K289" s="345">
        <v>274</v>
      </c>
    </row>
    <row r="290" spans="1:11" x14ac:dyDescent="0.2">
      <c r="A290" s="346" t="s">
        <v>1219</v>
      </c>
      <c r="B290" s="322" t="s">
        <v>1075</v>
      </c>
      <c r="C290" s="323"/>
      <c r="D290" s="347">
        <v>15</v>
      </c>
      <c r="E290" s="348" t="s">
        <v>52</v>
      </c>
      <c r="F290" s="159"/>
      <c r="G290" s="159"/>
      <c r="H290" s="135"/>
      <c r="I290" s="135"/>
      <c r="K290" s="345">
        <v>275</v>
      </c>
    </row>
    <row r="291" spans="1:11" ht="15" x14ac:dyDescent="0.2">
      <c r="A291" s="326" t="s">
        <v>135</v>
      </c>
      <c r="B291" s="322" t="s">
        <v>1075</v>
      </c>
      <c r="C291" s="323" t="s">
        <v>240</v>
      </c>
      <c r="D291" s="331">
        <f>21.9*1.1</f>
        <v>24.09</v>
      </c>
      <c r="E291" s="331" t="s">
        <v>42</v>
      </c>
      <c r="F291" s="325" t="s">
        <v>959</v>
      </c>
      <c r="G291" s="325" t="s">
        <v>959</v>
      </c>
      <c r="H291" s="135"/>
      <c r="I291" s="135"/>
      <c r="K291" s="345">
        <v>276</v>
      </c>
    </row>
    <row r="292" spans="1:11" ht="15" x14ac:dyDescent="0.2">
      <c r="A292" s="326" t="s">
        <v>136</v>
      </c>
      <c r="B292" s="322" t="s">
        <v>1075</v>
      </c>
      <c r="C292" s="323" t="s">
        <v>240</v>
      </c>
      <c r="D292" s="331">
        <f>27.27*1.1</f>
        <v>29.997000000000003</v>
      </c>
      <c r="E292" s="331" t="s">
        <v>42</v>
      </c>
      <c r="F292" s="325" t="s">
        <v>959</v>
      </c>
      <c r="G292" s="325" t="s">
        <v>959</v>
      </c>
      <c r="H292" s="135"/>
      <c r="I292" s="135"/>
      <c r="K292" s="345">
        <v>277</v>
      </c>
    </row>
    <row r="293" spans="1:11" x14ac:dyDescent="0.2">
      <c r="A293" s="326" t="s">
        <v>1497</v>
      </c>
      <c r="B293" s="322" t="s">
        <v>1075</v>
      </c>
      <c r="C293" s="323" t="s">
        <v>240</v>
      </c>
      <c r="D293" s="331">
        <v>221.69</v>
      </c>
      <c r="E293" s="331" t="s">
        <v>42</v>
      </c>
      <c r="F293" s="159"/>
      <c r="G293" s="159"/>
      <c r="H293" s="135"/>
      <c r="I293" s="135"/>
      <c r="K293" s="345">
        <v>278</v>
      </c>
    </row>
    <row r="294" spans="1:11" ht="15" x14ac:dyDescent="0.2">
      <c r="A294" s="326" t="s">
        <v>1496</v>
      </c>
      <c r="B294" s="322" t="s">
        <v>1075</v>
      </c>
      <c r="C294" s="323" t="s">
        <v>240</v>
      </c>
      <c r="D294" s="331">
        <v>279.92</v>
      </c>
      <c r="E294" s="331" t="s">
        <v>42</v>
      </c>
      <c r="F294" s="325" t="s">
        <v>959</v>
      </c>
      <c r="G294" s="325" t="s">
        <v>959</v>
      </c>
      <c r="H294" s="135"/>
      <c r="I294" s="135"/>
      <c r="K294" s="345">
        <v>279</v>
      </c>
    </row>
    <row r="295" spans="1:11" ht="15" x14ac:dyDescent="0.2">
      <c r="A295" s="326" t="s">
        <v>1498</v>
      </c>
      <c r="B295" s="322" t="s">
        <v>1075</v>
      </c>
      <c r="C295" s="323" t="s">
        <v>240</v>
      </c>
      <c r="D295" s="331">
        <v>332.96</v>
      </c>
      <c r="E295" s="331" t="s">
        <v>42</v>
      </c>
      <c r="F295" s="325" t="s">
        <v>959</v>
      </c>
      <c r="G295" s="325" t="s">
        <v>959</v>
      </c>
      <c r="H295" s="135"/>
      <c r="I295" s="135"/>
      <c r="K295" s="345">
        <v>280</v>
      </c>
    </row>
    <row r="296" spans="1:11" ht="15" x14ac:dyDescent="0.2">
      <c r="A296" s="326" t="s">
        <v>1499</v>
      </c>
      <c r="B296" s="322" t="s">
        <v>1075</v>
      </c>
      <c r="C296" s="323" t="s">
        <v>240</v>
      </c>
      <c r="D296" s="331">
        <v>445.36</v>
      </c>
      <c r="E296" s="331" t="s">
        <v>42</v>
      </c>
      <c r="F296" s="325" t="s">
        <v>959</v>
      </c>
      <c r="G296" s="325" t="s">
        <v>959</v>
      </c>
      <c r="H296" s="135"/>
      <c r="I296" s="135"/>
      <c r="K296" s="345">
        <v>281</v>
      </c>
    </row>
    <row r="297" spans="1:11" ht="15" x14ac:dyDescent="0.2">
      <c r="A297" s="326" t="s">
        <v>1500</v>
      </c>
      <c r="B297" s="322" t="s">
        <v>1075</v>
      </c>
      <c r="C297" s="323" t="s">
        <v>240</v>
      </c>
      <c r="D297" s="331">
        <v>584.74</v>
      </c>
      <c r="E297" s="331" t="s">
        <v>42</v>
      </c>
      <c r="F297" s="325" t="s">
        <v>959</v>
      </c>
      <c r="G297" s="325" t="s">
        <v>959</v>
      </c>
      <c r="H297" s="135"/>
      <c r="I297" s="135"/>
      <c r="K297" s="345">
        <v>282</v>
      </c>
    </row>
    <row r="298" spans="1:11" ht="15" x14ac:dyDescent="0.2">
      <c r="A298" s="326" t="s">
        <v>1501</v>
      </c>
      <c r="B298" s="322" t="s">
        <v>1075</v>
      </c>
      <c r="C298" s="323" t="s">
        <v>240</v>
      </c>
      <c r="D298" s="331">
        <v>497.4</v>
      </c>
      <c r="E298" s="331" t="s">
        <v>42</v>
      </c>
      <c r="F298" s="325" t="s">
        <v>959</v>
      </c>
      <c r="G298" s="325" t="s">
        <v>959</v>
      </c>
      <c r="H298" s="135"/>
      <c r="I298" s="135"/>
      <c r="K298" s="345">
        <v>283</v>
      </c>
    </row>
    <row r="299" spans="1:11" ht="15" x14ac:dyDescent="0.2">
      <c r="A299" s="326" t="s">
        <v>1502</v>
      </c>
      <c r="B299" s="322" t="s">
        <v>1075</v>
      </c>
      <c r="C299" s="323" t="s">
        <v>240</v>
      </c>
      <c r="D299" s="331">
        <v>610.79999999999995</v>
      </c>
      <c r="E299" s="331" t="s">
        <v>42</v>
      </c>
      <c r="F299" s="325" t="s">
        <v>959</v>
      </c>
      <c r="G299" s="325" t="s">
        <v>959</v>
      </c>
      <c r="H299" s="135"/>
      <c r="I299" s="135"/>
      <c r="K299" s="345">
        <v>284</v>
      </c>
    </row>
    <row r="300" spans="1:11" x14ac:dyDescent="0.2">
      <c r="A300" s="326" t="s">
        <v>1503</v>
      </c>
      <c r="B300" s="322" t="s">
        <v>1075</v>
      </c>
      <c r="C300" s="323" t="s">
        <v>240</v>
      </c>
      <c r="D300" s="331">
        <v>662.84</v>
      </c>
      <c r="E300" s="331" t="s">
        <v>42</v>
      </c>
      <c r="F300" s="159"/>
      <c r="G300" s="159"/>
      <c r="H300" s="135"/>
      <c r="I300" s="135"/>
      <c r="K300" s="345">
        <v>285</v>
      </c>
    </row>
    <row r="301" spans="1:11" x14ac:dyDescent="0.2">
      <c r="A301" s="326" t="s">
        <v>1504</v>
      </c>
      <c r="B301" s="322" t="s">
        <v>1075</v>
      </c>
      <c r="C301" s="323" t="s">
        <v>240</v>
      </c>
      <c r="D301" s="331">
        <v>776.24</v>
      </c>
      <c r="E301" s="331" t="s">
        <v>42</v>
      </c>
      <c r="F301" s="159"/>
      <c r="G301" s="159"/>
      <c r="H301" s="135"/>
      <c r="I301" s="135"/>
      <c r="K301" s="345">
        <v>286</v>
      </c>
    </row>
    <row r="302" spans="1:11" x14ac:dyDescent="0.2">
      <c r="A302" s="326" t="s">
        <v>1505</v>
      </c>
      <c r="B302" s="322" t="s">
        <v>1075</v>
      </c>
      <c r="C302" s="323" t="s">
        <v>240</v>
      </c>
      <c r="D302" s="331">
        <v>1002.06</v>
      </c>
      <c r="E302" s="331" t="s">
        <v>42</v>
      </c>
      <c r="F302" s="159"/>
      <c r="G302" s="159"/>
      <c r="H302" s="135"/>
      <c r="I302" s="135"/>
      <c r="K302" s="345">
        <v>287</v>
      </c>
    </row>
    <row r="303" spans="1:11" x14ac:dyDescent="0.2">
      <c r="A303" s="326" t="s">
        <v>1506</v>
      </c>
      <c r="B303" s="322" t="s">
        <v>1075</v>
      </c>
      <c r="C303" s="323" t="s">
        <v>240</v>
      </c>
      <c r="D303" s="331">
        <v>1160.3400000000001</v>
      </c>
      <c r="E303" s="331" t="s">
        <v>42</v>
      </c>
      <c r="F303" s="159"/>
      <c r="G303" s="159"/>
      <c r="H303" s="135"/>
      <c r="I303" s="135"/>
      <c r="K303" s="345">
        <v>288</v>
      </c>
    </row>
    <row r="304" spans="1:11" x14ac:dyDescent="0.2">
      <c r="A304" s="326" t="s">
        <v>1507</v>
      </c>
      <c r="B304" s="322" t="s">
        <v>1075</v>
      </c>
      <c r="C304" s="323" t="s">
        <v>240</v>
      </c>
      <c r="D304" s="331">
        <v>1055.68</v>
      </c>
      <c r="E304" s="331" t="s">
        <v>42</v>
      </c>
      <c r="F304" s="159"/>
      <c r="G304" s="159"/>
      <c r="H304" s="135"/>
      <c r="I304" s="135"/>
      <c r="K304" s="345">
        <v>289</v>
      </c>
    </row>
    <row r="305" spans="1:11" ht="15" x14ac:dyDescent="0.2">
      <c r="A305" s="326" t="s">
        <v>1508</v>
      </c>
      <c r="B305" s="322" t="s">
        <v>1075</v>
      </c>
      <c r="C305" s="323" t="s">
        <v>240</v>
      </c>
      <c r="D305" s="331">
        <v>1309.92</v>
      </c>
      <c r="E305" s="331" t="s">
        <v>42</v>
      </c>
      <c r="F305" s="325" t="s">
        <v>959</v>
      </c>
      <c r="G305" s="325" t="s">
        <v>959</v>
      </c>
      <c r="H305" s="135"/>
      <c r="I305" s="135"/>
      <c r="K305" s="345">
        <v>290</v>
      </c>
    </row>
    <row r="306" spans="1:11" ht="15" x14ac:dyDescent="0.2">
      <c r="A306" s="326" t="s">
        <v>1509</v>
      </c>
      <c r="B306" s="322" t="s">
        <v>1075</v>
      </c>
      <c r="C306" s="323" t="s">
        <v>240</v>
      </c>
      <c r="D306" s="331">
        <v>1416</v>
      </c>
      <c r="E306" s="331" t="s">
        <v>42</v>
      </c>
      <c r="F306" s="325" t="s">
        <v>959</v>
      </c>
      <c r="G306" s="325" t="s">
        <v>959</v>
      </c>
      <c r="H306" s="135"/>
      <c r="I306" s="135"/>
      <c r="K306" s="345">
        <v>291</v>
      </c>
    </row>
    <row r="307" spans="1:11" ht="15" x14ac:dyDescent="0.2">
      <c r="A307" s="326" t="s">
        <v>1510</v>
      </c>
      <c r="B307" s="322" t="s">
        <v>1075</v>
      </c>
      <c r="C307" s="323" t="s">
        <v>240</v>
      </c>
      <c r="D307" s="331">
        <v>1670.24</v>
      </c>
      <c r="E307" s="331" t="s">
        <v>42</v>
      </c>
      <c r="F307" s="325" t="s">
        <v>959</v>
      </c>
      <c r="G307" s="325" t="s">
        <v>959</v>
      </c>
      <c r="H307" s="135"/>
      <c r="I307" s="135"/>
      <c r="K307" s="345">
        <v>292</v>
      </c>
    </row>
    <row r="308" spans="1:11" ht="15" x14ac:dyDescent="0.2">
      <c r="A308" s="326"/>
      <c r="B308" s="322"/>
      <c r="C308" s="323"/>
      <c r="D308" s="331"/>
      <c r="E308" s="331"/>
      <c r="F308" s="325" t="s">
        <v>959</v>
      </c>
      <c r="G308" s="325" t="s">
        <v>959</v>
      </c>
      <c r="H308" s="135"/>
      <c r="I308" s="135"/>
      <c r="K308" s="345">
        <v>293</v>
      </c>
    </row>
    <row r="309" spans="1:11" ht="28.5" customHeight="1" x14ac:dyDescent="0.2">
      <c r="A309" s="326" t="s">
        <v>113</v>
      </c>
      <c r="B309" s="322" t="s">
        <v>764</v>
      </c>
      <c r="C309" s="323" t="s">
        <v>765</v>
      </c>
      <c r="D309" s="331">
        <v>0.37119999999999997</v>
      </c>
      <c r="E309" s="331" t="s">
        <v>42</v>
      </c>
      <c r="F309" s="325" t="s">
        <v>959</v>
      </c>
      <c r="G309" s="325">
        <v>0.37119999999999997</v>
      </c>
      <c r="H309" s="135"/>
      <c r="I309" s="135"/>
      <c r="K309" s="345">
        <v>294</v>
      </c>
    </row>
    <row r="310" spans="1:11" ht="42.75" customHeight="1" x14ac:dyDescent="0.2">
      <c r="A310" s="326" t="s">
        <v>766</v>
      </c>
      <c r="B310" s="322" t="s">
        <v>764</v>
      </c>
      <c r="C310" s="323" t="s">
        <v>765</v>
      </c>
      <c r="D310" s="331">
        <v>0.11515</v>
      </c>
      <c r="E310" s="331" t="s">
        <v>42</v>
      </c>
      <c r="F310" s="325" t="s">
        <v>959</v>
      </c>
      <c r="G310" s="325">
        <v>0.11515</v>
      </c>
      <c r="H310" s="135"/>
      <c r="I310" s="135"/>
      <c r="K310" s="345">
        <v>295</v>
      </c>
    </row>
    <row r="311" spans="1:11" ht="28.5" customHeight="1" x14ac:dyDescent="0.2">
      <c r="A311" s="326" t="s">
        <v>767</v>
      </c>
      <c r="B311" s="322" t="s">
        <v>764</v>
      </c>
      <c r="C311" s="323" t="s">
        <v>765</v>
      </c>
      <c r="D311" s="331">
        <v>0.187</v>
      </c>
      <c r="E311" s="331" t="s">
        <v>42</v>
      </c>
      <c r="F311" s="325" t="s">
        <v>959</v>
      </c>
      <c r="G311" s="325">
        <v>0.187</v>
      </c>
      <c r="H311" s="135"/>
      <c r="I311" s="135"/>
      <c r="K311" s="345">
        <v>296</v>
      </c>
    </row>
    <row r="312" spans="1:11" ht="28.5" customHeight="1" x14ac:dyDescent="0.2">
      <c r="A312" s="458" t="s">
        <v>1269</v>
      </c>
      <c r="B312" s="442" t="s">
        <v>764</v>
      </c>
      <c r="C312" s="443"/>
      <c r="D312" s="459">
        <v>0.15</v>
      </c>
      <c r="E312" s="460" t="s">
        <v>42</v>
      </c>
      <c r="F312" s="159"/>
      <c r="G312" s="159"/>
      <c r="H312" s="135"/>
      <c r="I312" s="135"/>
      <c r="K312" s="345">
        <v>297</v>
      </c>
    </row>
    <row r="313" spans="1:11" ht="28.5" customHeight="1" x14ac:dyDescent="0.2">
      <c r="A313" s="346" t="s">
        <v>1247</v>
      </c>
      <c r="B313" s="322" t="s">
        <v>764</v>
      </c>
      <c r="C313" s="323"/>
      <c r="D313" s="347">
        <v>0.6</v>
      </c>
      <c r="E313" s="348" t="s">
        <v>42</v>
      </c>
      <c r="F313" s="325" t="s">
        <v>959</v>
      </c>
      <c r="G313" s="159"/>
      <c r="H313" s="135"/>
      <c r="I313" s="135"/>
      <c r="K313" s="345">
        <v>298</v>
      </c>
    </row>
    <row r="314" spans="1:11" ht="28.5" customHeight="1" x14ac:dyDescent="0.2">
      <c r="A314" s="326" t="s">
        <v>768</v>
      </c>
      <c r="B314" s="322" t="s">
        <v>764</v>
      </c>
      <c r="C314" s="323" t="s">
        <v>765</v>
      </c>
      <c r="D314" s="331">
        <v>0.39483333333333337</v>
      </c>
      <c r="E314" s="331" t="s">
        <v>42</v>
      </c>
      <c r="F314" s="325" t="s">
        <v>959</v>
      </c>
      <c r="G314" s="325">
        <v>0.39483333333333337</v>
      </c>
      <c r="H314" s="135"/>
      <c r="I314" s="135"/>
      <c r="K314" s="345">
        <v>299</v>
      </c>
    </row>
    <row r="315" spans="1:11" ht="28.5" customHeight="1" x14ac:dyDescent="0.2">
      <c r="A315" s="326" t="s">
        <v>769</v>
      </c>
      <c r="B315" s="322" t="s">
        <v>764</v>
      </c>
      <c r="C315" s="323" t="s">
        <v>765</v>
      </c>
      <c r="D315" s="331">
        <v>0.4738</v>
      </c>
      <c r="E315" s="331" t="s">
        <v>42</v>
      </c>
      <c r="F315" s="325" t="s">
        <v>959</v>
      </c>
      <c r="G315" s="325">
        <v>0.4738</v>
      </c>
      <c r="H315" s="135"/>
      <c r="I315" s="135"/>
      <c r="K315" s="345">
        <v>300</v>
      </c>
    </row>
    <row r="316" spans="1:11" ht="28.5" customHeight="1" x14ac:dyDescent="0.2">
      <c r="A316" s="326" t="s">
        <v>713</v>
      </c>
      <c r="B316" s="322" t="s">
        <v>712</v>
      </c>
      <c r="C316" s="323" t="s">
        <v>685</v>
      </c>
      <c r="D316" s="331">
        <v>0.75</v>
      </c>
      <c r="E316" s="331" t="s">
        <v>42</v>
      </c>
      <c r="F316" s="325" t="s">
        <v>959</v>
      </c>
      <c r="G316" s="325">
        <v>0.75</v>
      </c>
      <c r="H316" s="135"/>
      <c r="I316" s="135"/>
      <c r="K316" s="345">
        <v>301</v>
      </c>
    </row>
    <row r="317" spans="1:11" ht="42.75" customHeight="1" x14ac:dyDescent="0.2">
      <c r="A317" s="326" t="s">
        <v>714</v>
      </c>
      <c r="B317" s="322" t="s">
        <v>712</v>
      </c>
      <c r="C317" s="323" t="s">
        <v>685</v>
      </c>
      <c r="D317" s="331">
        <v>3.04</v>
      </c>
      <c r="E317" s="331" t="s">
        <v>42</v>
      </c>
      <c r="F317" s="325" t="s">
        <v>959</v>
      </c>
      <c r="G317" s="325">
        <v>3.04</v>
      </c>
      <c r="H317" s="135"/>
      <c r="I317" s="135"/>
      <c r="K317" s="345">
        <v>302</v>
      </c>
    </row>
    <row r="318" spans="1:11" ht="28.5" customHeight="1" x14ac:dyDescent="0.2">
      <c r="A318" s="326" t="s">
        <v>715</v>
      </c>
      <c r="B318" s="322" t="s">
        <v>712</v>
      </c>
      <c r="C318" s="323" t="s">
        <v>685</v>
      </c>
      <c r="D318" s="331">
        <v>3.04</v>
      </c>
      <c r="E318" s="331" t="s">
        <v>42</v>
      </c>
      <c r="F318" s="325" t="s">
        <v>959</v>
      </c>
      <c r="G318" s="325">
        <v>3.04</v>
      </c>
      <c r="H318" s="135"/>
      <c r="I318" s="135"/>
      <c r="K318" s="345">
        <v>303</v>
      </c>
    </row>
    <row r="319" spans="1:11" ht="28.5" customHeight="1" x14ac:dyDescent="0.2">
      <c r="A319" s="326" t="s">
        <v>716</v>
      </c>
      <c r="B319" s="322" t="s">
        <v>712</v>
      </c>
      <c r="C319" s="323" t="s">
        <v>685</v>
      </c>
      <c r="D319" s="331">
        <v>3.6</v>
      </c>
      <c r="E319" s="331" t="s">
        <v>42</v>
      </c>
      <c r="F319" s="325" t="s">
        <v>959</v>
      </c>
      <c r="G319" s="325">
        <v>3.6</v>
      </c>
      <c r="H319" s="135"/>
      <c r="I319" s="135"/>
      <c r="K319" s="345">
        <v>304</v>
      </c>
    </row>
    <row r="320" spans="1:11" ht="15" x14ac:dyDescent="0.2">
      <c r="A320" s="326" t="s">
        <v>717</v>
      </c>
      <c r="B320" s="322" t="s">
        <v>712</v>
      </c>
      <c r="C320" s="323" t="s">
        <v>685</v>
      </c>
      <c r="D320" s="331">
        <v>3.21</v>
      </c>
      <c r="E320" s="331" t="s">
        <v>42</v>
      </c>
      <c r="F320" s="325" t="s">
        <v>959</v>
      </c>
      <c r="G320" s="325">
        <v>3.21</v>
      </c>
      <c r="H320" s="135"/>
      <c r="I320" s="135"/>
      <c r="K320" s="345">
        <v>305</v>
      </c>
    </row>
    <row r="321" spans="1:11" ht="15" x14ac:dyDescent="0.2">
      <c r="A321" s="326" t="s">
        <v>718</v>
      </c>
      <c r="B321" s="322" t="s">
        <v>712</v>
      </c>
      <c r="C321" s="323" t="s">
        <v>685</v>
      </c>
      <c r="D321" s="331">
        <v>4.03</v>
      </c>
      <c r="E321" s="331" t="s">
        <v>42</v>
      </c>
      <c r="F321" s="325" t="s">
        <v>959</v>
      </c>
      <c r="G321" s="325">
        <v>4.03</v>
      </c>
      <c r="H321" s="135"/>
      <c r="I321" s="135"/>
      <c r="K321" s="345">
        <v>306</v>
      </c>
    </row>
    <row r="322" spans="1:11" ht="28.5" customHeight="1" x14ac:dyDescent="0.2">
      <c r="A322" s="326" t="s">
        <v>751</v>
      </c>
      <c r="B322" s="322" t="s">
        <v>1076</v>
      </c>
      <c r="C322" s="323" t="s">
        <v>685</v>
      </c>
      <c r="D322" s="331">
        <v>10.98</v>
      </c>
      <c r="E322" s="331" t="s">
        <v>42</v>
      </c>
      <c r="F322" s="325" t="s">
        <v>959</v>
      </c>
      <c r="G322" s="325">
        <v>10.98</v>
      </c>
      <c r="H322" s="135"/>
      <c r="I322" s="135"/>
      <c r="K322" s="345">
        <v>307</v>
      </c>
    </row>
    <row r="323" spans="1:11" ht="28.5" customHeight="1" x14ac:dyDescent="0.2">
      <c r="A323" s="326" t="s">
        <v>752</v>
      </c>
      <c r="B323" s="322" t="s">
        <v>1076</v>
      </c>
      <c r="C323" s="323" t="s">
        <v>685</v>
      </c>
      <c r="D323" s="331">
        <v>8.93</v>
      </c>
      <c r="E323" s="331" t="s">
        <v>42</v>
      </c>
      <c r="F323" s="325" t="s">
        <v>959</v>
      </c>
      <c r="G323" s="325">
        <v>8.93</v>
      </c>
      <c r="H323" s="135"/>
      <c r="I323" s="135"/>
      <c r="K323" s="345">
        <v>308</v>
      </c>
    </row>
    <row r="324" spans="1:11" ht="28.5" customHeight="1" x14ac:dyDescent="0.2">
      <c r="A324" s="326" t="s">
        <v>753</v>
      </c>
      <c r="B324" s="322" t="s">
        <v>1076</v>
      </c>
      <c r="C324" s="323" t="s">
        <v>685</v>
      </c>
      <c r="D324" s="331">
        <v>4.2</v>
      </c>
      <c r="E324" s="331" t="s">
        <v>42</v>
      </c>
      <c r="F324" s="325" t="s">
        <v>959</v>
      </c>
      <c r="G324" s="325">
        <v>4.2</v>
      </c>
      <c r="H324" s="135"/>
      <c r="I324" s="135"/>
      <c r="K324" s="345">
        <v>309</v>
      </c>
    </row>
    <row r="325" spans="1:11" ht="28.5" customHeight="1" x14ac:dyDescent="0.2">
      <c r="A325" s="326" t="s">
        <v>754</v>
      </c>
      <c r="B325" s="322" t="s">
        <v>1076</v>
      </c>
      <c r="C325" s="323" t="s">
        <v>685</v>
      </c>
      <c r="D325" s="331">
        <v>13.28</v>
      </c>
      <c r="E325" s="331" t="s">
        <v>42</v>
      </c>
      <c r="F325" s="325" t="s">
        <v>959</v>
      </c>
      <c r="G325" s="325">
        <v>13.28</v>
      </c>
      <c r="H325" s="135"/>
      <c r="I325" s="135"/>
      <c r="K325" s="345">
        <v>310</v>
      </c>
    </row>
    <row r="326" spans="1:11" ht="28.5" customHeight="1" x14ac:dyDescent="0.2">
      <c r="A326" s="326" t="s">
        <v>755</v>
      </c>
      <c r="B326" s="322" t="s">
        <v>1076</v>
      </c>
      <c r="C326" s="323" t="s">
        <v>685</v>
      </c>
      <c r="D326" s="331">
        <v>4.8</v>
      </c>
      <c r="E326" s="331" t="s">
        <v>42</v>
      </c>
      <c r="F326" s="325" t="s">
        <v>959</v>
      </c>
      <c r="G326" s="325">
        <v>4.8</v>
      </c>
      <c r="H326" s="135"/>
      <c r="I326" s="135"/>
      <c r="K326" s="345">
        <v>311</v>
      </c>
    </row>
    <row r="327" spans="1:11" ht="28.5" customHeight="1" x14ac:dyDescent="0.2">
      <c r="A327" s="326" t="s">
        <v>245</v>
      </c>
      <c r="B327" s="322" t="s">
        <v>1077</v>
      </c>
      <c r="C327" s="323" t="s">
        <v>240</v>
      </c>
      <c r="D327" s="331">
        <v>177.23</v>
      </c>
      <c r="E327" s="331" t="s">
        <v>42</v>
      </c>
      <c r="F327" s="325" t="s">
        <v>959</v>
      </c>
      <c r="G327" s="325" t="s">
        <v>959</v>
      </c>
      <c r="H327" s="135"/>
      <c r="I327" s="135"/>
      <c r="K327" s="345">
        <v>312</v>
      </c>
    </row>
    <row r="328" spans="1:11" ht="28.5" customHeight="1" x14ac:dyDescent="0.2">
      <c r="A328" s="326" t="s">
        <v>262</v>
      </c>
      <c r="B328" s="322" t="s">
        <v>1077</v>
      </c>
      <c r="C328" s="323" t="s">
        <v>240</v>
      </c>
      <c r="D328" s="331">
        <v>20</v>
      </c>
      <c r="E328" s="331" t="s">
        <v>42</v>
      </c>
      <c r="F328" s="325" t="s">
        <v>959</v>
      </c>
      <c r="G328" s="325" t="s">
        <v>959</v>
      </c>
      <c r="H328" s="135"/>
      <c r="I328" s="135"/>
      <c r="K328" s="345">
        <v>313</v>
      </c>
    </row>
    <row r="329" spans="1:11" ht="42.75" customHeight="1" x14ac:dyDescent="0.2">
      <c r="A329" s="326" t="s">
        <v>264</v>
      </c>
      <c r="B329" s="322" t="s">
        <v>1077</v>
      </c>
      <c r="C329" s="323" t="s">
        <v>240</v>
      </c>
      <c r="D329" s="331">
        <v>30</v>
      </c>
      <c r="E329" s="331" t="s">
        <v>42</v>
      </c>
      <c r="F329" s="325" t="s">
        <v>959</v>
      </c>
      <c r="G329" s="325" t="s">
        <v>959</v>
      </c>
      <c r="H329" s="135"/>
      <c r="I329" s="135"/>
      <c r="K329" s="345">
        <v>314</v>
      </c>
    </row>
    <row r="330" spans="1:11" ht="42.75" customHeight="1" x14ac:dyDescent="0.2">
      <c r="A330" s="326" t="s">
        <v>265</v>
      </c>
      <c r="B330" s="322" t="s">
        <v>1077</v>
      </c>
      <c r="C330" s="323" t="s">
        <v>240</v>
      </c>
      <c r="D330" s="331">
        <v>34.200000000000003</v>
      </c>
      <c r="E330" s="331" t="s">
        <v>42</v>
      </c>
      <c r="F330" s="325" t="s">
        <v>959</v>
      </c>
      <c r="G330" s="325" t="s">
        <v>959</v>
      </c>
      <c r="H330" s="135"/>
      <c r="I330" s="135"/>
      <c r="K330" s="345">
        <v>315</v>
      </c>
    </row>
    <row r="331" spans="1:11" ht="28.5" customHeight="1" x14ac:dyDescent="0.2">
      <c r="A331" s="326" t="s">
        <v>266</v>
      </c>
      <c r="B331" s="322" t="s">
        <v>1077</v>
      </c>
      <c r="C331" s="323" t="s">
        <v>240</v>
      </c>
      <c r="D331" s="331">
        <v>36</v>
      </c>
      <c r="E331" s="331" t="s">
        <v>42</v>
      </c>
      <c r="F331" s="325" t="s">
        <v>959</v>
      </c>
      <c r="G331" s="325" t="s">
        <v>959</v>
      </c>
      <c r="H331" s="135"/>
      <c r="I331" s="135"/>
      <c r="K331" s="345">
        <v>316</v>
      </c>
    </row>
    <row r="332" spans="1:11" ht="28.5" customHeight="1" x14ac:dyDescent="0.2">
      <c r="A332" s="326" t="s">
        <v>272</v>
      </c>
      <c r="B332" s="322" t="s">
        <v>1077</v>
      </c>
      <c r="C332" s="323" t="s">
        <v>240</v>
      </c>
      <c r="D332" s="331">
        <v>37.5</v>
      </c>
      <c r="E332" s="331" t="s">
        <v>42</v>
      </c>
      <c r="F332" s="325" t="s">
        <v>959</v>
      </c>
      <c r="G332" s="325" t="s">
        <v>959</v>
      </c>
      <c r="H332" s="135"/>
      <c r="I332" s="135"/>
      <c r="K332" s="345">
        <v>317</v>
      </c>
    </row>
    <row r="333" spans="1:11" ht="28.5" customHeight="1" x14ac:dyDescent="0.2">
      <c r="A333" s="326" t="s">
        <v>274</v>
      </c>
      <c r="B333" s="322" t="s">
        <v>1077</v>
      </c>
      <c r="C333" s="323" t="s">
        <v>240</v>
      </c>
      <c r="D333" s="331">
        <v>50</v>
      </c>
      <c r="E333" s="331" t="s">
        <v>42</v>
      </c>
      <c r="F333" s="325" t="s">
        <v>959</v>
      </c>
      <c r="G333" s="325" t="s">
        <v>959</v>
      </c>
      <c r="H333" s="135"/>
      <c r="I333" s="135"/>
      <c r="K333" s="345">
        <v>318</v>
      </c>
    </row>
    <row r="334" spans="1:11" ht="28.5" customHeight="1" x14ac:dyDescent="0.2">
      <c r="A334" s="326" t="s">
        <v>275</v>
      </c>
      <c r="B334" s="322" t="s">
        <v>1077</v>
      </c>
      <c r="C334" s="323" t="s">
        <v>240</v>
      </c>
      <c r="D334" s="331">
        <v>50</v>
      </c>
      <c r="E334" s="331" t="s">
        <v>42</v>
      </c>
      <c r="F334" s="325" t="s">
        <v>959</v>
      </c>
      <c r="G334" s="325" t="s">
        <v>959</v>
      </c>
      <c r="H334" s="135"/>
      <c r="I334" s="135"/>
      <c r="K334" s="345">
        <v>319</v>
      </c>
    </row>
    <row r="335" spans="1:11" ht="42.75" customHeight="1" x14ac:dyDescent="0.2">
      <c r="A335" s="326" t="s">
        <v>276</v>
      </c>
      <c r="B335" s="322" t="s">
        <v>1077</v>
      </c>
      <c r="C335" s="323" t="s">
        <v>240</v>
      </c>
      <c r="D335" s="331">
        <v>66</v>
      </c>
      <c r="E335" s="331" t="s">
        <v>42</v>
      </c>
      <c r="F335" s="325" t="s">
        <v>959</v>
      </c>
      <c r="G335" s="325" t="s">
        <v>959</v>
      </c>
      <c r="H335" s="135"/>
      <c r="I335" s="135"/>
      <c r="K335" s="345">
        <v>320</v>
      </c>
    </row>
    <row r="336" spans="1:11" ht="42.75" customHeight="1" x14ac:dyDescent="0.2">
      <c r="A336" s="326" t="s">
        <v>280</v>
      </c>
      <c r="B336" s="322" t="s">
        <v>1077</v>
      </c>
      <c r="C336" s="323" t="s">
        <v>240</v>
      </c>
      <c r="D336" s="331">
        <v>91.8</v>
      </c>
      <c r="E336" s="331" t="s">
        <v>42</v>
      </c>
      <c r="F336" s="325" t="s">
        <v>959</v>
      </c>
      <c r="G336" s="325" t="s">
        <v>959</v>
      </c>
      <c r="H336" s="135"/>
      <c r="I336" s="135"/>
      <c r="K336" s="345">
        <v>321</v>
      </c>
    </row>
    <row r="337" spans="1:11" ht="28.5" customHeight="1" x14ac:dyDescent="0.2">
      <c r="A337" s="326" t="s">
        <v>281</v>
      </c>
      <c r="B337" s="322" t="s">
        <v>1077</v>
      </c>
      <c r="C337" s="323" t="s">
        <v>240</v>
      </c>
      <c r="D337" s="331">
        <v>99</v>
      </c>
      <c r="E337" s="331" t="s">
        <v>42</v>
      </c>
      <c r="F337" s="325" t="s">
        <v>959</v>
      </c>
      <c r="G337" s="325" t="s">
        <v>959</v>
      </c>
      <c r="H337" s="135"/>
      <c r="I337" s="135"/>
      <c r="K337" s="345">
        <v>322</v>
      </c>
    </row>
    <row r="338" spans="1:11" ht="28.5" customHeight="1" x14ac:dyDescent="0.2">
      <c r="A338" s="326" t="s">
        <v>283</v>
      </c>
      <c r="B338" s="322" t="s">
        <v>1077</v>
      </c>
      <c r="C338" s="323" t="s">
        <v>240</v>
      </c>
      <c r="D338" s="331">
        <v>112.15</v>
      </c>
      <c r="E338" s="331" t="s">
        <v>42</v>
      </c>
      <c r="F338" s="325" t="s">
        <v>959</v>
      </c>
      <c r="G338" s="325" t="s">
        <v>959</v>
      </c>
      <c r="H338" s="135"/>
      <c r="I338" s="135"/>
      <c r="K338" s="345">
        <v>323</v>
      </c>
    </row>
    <row r="339" spans="1:11" ht="15" x14ac:dyDescent="0.2">
      <c r="A339" s="326" t="s">
        <v>90</v>
      </c>
      <c r="B339" s="322" t="s">
        <v>1077</v>
      </c>
      <c r="C339" s="323" t="s">
        <v>240</v>
      </c>
      <c r="D339" s="331">
        <v>112.15</v>
      </c>
      <c r="E339" s="331" t="s">
        <v>42</v>
      </c>
      <c r="F339" s="325" t="s">
        <v>959</v>
      </c>
      <c r="G339" s="325" t="s">
        <v>959</v>
      </c>
      <c r="H339" s="135"/>
      <c r="I339" s="135"/>
      <c r="K339" s="345">
        <v>324</v>
      </c>
    </row>
    <row r="340" spans="1:11" ht="28.5" customHeight="1" x14ac:dyDescent="0.2">
      <c r="A340" s="326" t="s">
        <v>284</v>
      </c>
      <c r="B340" s="322" t="s">
        <v>1077</v>
      </c>
      <c r="C340" s="323" t="s">
        <v>240</v>
      </c>
      <c r="D340" s="331">
        <v>121.1</v>
      </c>
      <c r="E340" s="331" t="s">
        <v>42</v>
      </c>
      <c r="F340" s="325" t="s">
        <v>959</v>
      </c>
      <c r="G340" s="325" t="s">
        <v>959</v>
      </c>
      <c r="H340" s="135"/>
      <c r="I340" s="135"/>
      <c r="K340" s="345">
        <v>325</v>
      </c>
    </row>
    <row r="341" spans="1:11" ht="28.5" customHeight="1" x14ac:dyDescent="0.2">
      <c r="A341" s="326" t="s">
        <v>87</v>
      </c>
      <c r="B341" s="322" t="s">
        <v>1077</v>
      </c>
      <c r="C341" s="323" t="s">
        <v>240</v>
      </c>
      <c r="D341" s="331">
        <v>120.5</v>
      </c>
      <c r="E341" s="331" t="s">
        <v>42</v>
      </c>
      <c r="F341" s="325" t="s">
        <v>959</v>
      </c>
      <c r="G341" s="325" t="s">
        <v>959</v>
      </c>
      <c r="H341" s="135"/>
      <c r="I341" s="135"/>
      <c r="K341" s="345">
        <v>326</v>
      </c>
    </row>
    <row r="342" spans="1:11" ht="42.75" customHeight="1" x14ac:dyDescent="0.2">
      <c r="A342" s="326" t="s">
        <v>287</v>
      </c>
      <c r="B342" s="322" t="s">
        <v>1077</v>
      </c>
      <c r="C342" s="323" t="s">
        <v>240</v>
      </c>
      <c r="D342" s="331">
        <v>158.16999999999999</v>
      </c>
      <c r="E342" s="331" t="s">
        <v>42</v>
      </c>
      <c r="F342" s="325" t="s">
        <v>959</v>
      </c>
      <c r="G342" s="325" t="s">
        <v>959</v>
      </c>
      <c r="H342" s="135"/>
      <c r="I342" s="135"/>
      <c r="K342" s="345">
        <v>327</v>
      </c>
    </row>
    <row r="343" spans="1:11" ht="28.5" customHeight="1" x14ac:dyDescent="0.2">
      <c r="A343" s="326" t="s">
        <v>289</v>
      </c>
      <c r="B343" s="322" t="s">
        <v>1077</v>
      </c>
      <c r="C343" s="323" t="s">
        <v>240</v>
      </c>
      <c r="D343" s="331">
        <v>164.33</v>
      </c>
      <c r="E343" s="331" t="s">
        <v>42</v>
      </c>
      <c r="F343" s="325" t="s">
        <v>959</v>
      </c>
      <c r="G343" s="325" t="s">
        <v>959</v>
      </c>
      <c r="H343" s="135"/>
      <c r="I343" s="135"/>
      <c r="K343" s="345">
        <v>328</v>
      </c>
    </row>
    <row r="344" spans="1:11" ht="28.5" customHeight="1" x14ac:dyDescent="0.2">
      <c r="A344" s="326" t="s">
        <v>93</v>
      </c>
      <c r="B344" s="322" t="s">
        <v>1077</v>
      </c>
      <c r="C344" s="323" t="s">
        <v>240</v>
      </c>
      <c r="D344" s="331">
        <v>164.33</v>
      </c>
      <c r="E344" s="331" t="s">
        <v>42</v>
      </c>
      <c r="F344" s="325" t="s">
        <v>959</v>
      </c>
      <c r="G344" s="325" t="s">
        <v>959</v>
      </c>
      <c r="H344" s="135"/>
      <c r="I344" s="135"/>
      <c r="K344" s="345">
        <v>329</v>
      </c>
    </row>
    <row r="345" spans="1:11" ht="28.5" customHeight="1" x14ac:dyDescent="0.2">
      <c r="A345" s="326" t="s">
        <v>290</v>
      </c>
      <c r="B345" s="322" t="s">
        <v>1077</v>
      </c>
      <c r="C345" s="323" t="s">
        <v>240</v>
      </c>
      <c r="D345" s="331">
        <v>167.08</v>
      </c>
      <c r="E345" s="331" t="s">
        <v>42</v>
      </c>
      <c r="F345" s="325" t="s">
        <v>959</v>
      </c>
      <c r="G345" s="325" t="s">
        <v>959</v>
      </c>
      <c r="H345" s="135"/>
      <c r="I345" s="135"/>
      <c r="K345" s="345">
        <v>330</v>
      </c>
    </row>
    <row r="346" spans="1:11" ht="28.5" customHeight="1" x14ac:dyDescent="0.2">
      <c r="A346" s="326" t="s">
        <v>291</v>
      </c>
      <c r="B346" s="322" t="s">
        <v>1077</v>
      </c>
      <c r="C346" s="323" t="s">
        <v>240</v>
      </c>
      <c r="D346" s="331">
        <v>167.89</v>
      </c>
      <c r="E346" s="331" t="s">
        <v>42</v>
      </c>
      <c r="F346" s="325" t="s">
        <v>959</v>
      </c>
      <c r="G346" s="325" t="s">
        <v>959</v>
      </c>
      <c r="H346" s="135"/>
      <c r="I346" s="135"/>
      <c r="K346" s="345">
        <v>331</v>
      </c>
    </row>
    <row r="347" spans="1:11" ht="15" x14ac:dyDescent="0.2">
      <c r="A347" s="326" t="s">
        <v>292</v>
      </c>
      <c r="B347" s="322" t="s">
        <v>1077</v>
      </c>
      <c r="C347" s="323" t="s">
        <v>240</v>
      </c>
      <c r="D347" s="331">
        <v>174.48</v>
      </c>
      <c r="E347" s="331" t="s">
        <v>42</v>
      </c>
      <c r="F347" s="325" t="s">
        <v>959</v>
      </c>
      <c r="G347" s="325" t="s">
        <v>959</v>
      </c>
      <c r="H347" s="135"/>
      <c r="I347" s="135"/>
      <c r="K347" s="345">
        <v>332</v>
      </c>
    </row>
    <row r="348" spans="1:11" ht="42.75" customHeight="1" x14ac:dyDescent="0.2">
      <c r="A348" s="326" t="s">
        <v>312</v>
      </c>
      <c r="B348" s="322" t="s">
        <v>1077</v>
      </c>
      <c r="C348" s="323" t="s">
        <v>240</v>
      </c>
      <c r="D348" s="331">
        <v>494.11</v>
      </c>
      <c r="E348" s="331" t="s">
        <v>42</v>
      </c>
      <c r="F348" s="325" t="s">
        <v>959</v>
      </c>
      <c r="G348" s="325" t="s">
        <v>959</v>
      </c>
      <c r="H348" s="135"/>
      <c r="I348" s="135"/>
      <c r="K348" s="345">
        <v>333</v>
      </c>
    </row>
    <row r="349" spans="1:11" ht="28.5" customHeight="1" x14ac:dyDescent="0.2">
      <c r="A349" s="326" t="s">
        <v>316</v>
      </c>
      <c r="B349" s="322" t="s">
        <v>1077</v>
      </c>
      <c r="C349" s="323" t="s">
        <v>240</v>
      </c>
      <c r="D349" s="331">
        <v>520.05999999999995</v>
      </c>
      <c r="E349" s="331" t="s">
        <v>42</v>
      </c>
      <c r="F349" s="325" t="s">
        <v>959</v>
      </c>
      <c r="G349" s="325" t="s">
        <v>959</v>
      </c>
      <c r="H349" s="135"/>
      <c r="I349" s="135"/>
      <c r="K349" s="345">
        <v>334</v>
      </c>
    </row>
    <row r="350" spans="1:11" ht="28.5" customHeight="1" x14ac:dyDescent="0.2">
      <c r="A350" s="326" t="s">
        <v>248</v>
      </c>
      <c r="B350" s="322" t="s">
        <v>249</v>
      </c>
      <c r="C350" s="323" t="s">
        <v>240</v>
      </c>
      <c r="D350" s="331">
        <v>879</v>
      </c>
      <c r="E350" s="331" t="s">
        <v>42</v>
      </c>
      <c r="F350" s="325" t="s">
        <v>959</v>
      </c>
      <c r="G350" s="325" t="s">
        <v>959</v>
      </c>
      <c r="H350" s="135"/>
      <c r="I350" s="135"/>
      <c r="K350" s="345">
        <v>335</v>
      </c>
    </row>
    <row r="351" spans="1:11" ht="28.5" customHeight="1" x14ac:dyDescent="0.2">
      <c r="A351" s="326" t="s">
        <v>302</v>
      </c>
      <c r="B351" s="322" t="s">
        <v>249</v>
      </c>
      <c r="C351" s="323" t="s">
        <v>240</v>
      </c>
      <c r="D351" s="331">
        <v>369</v>
      </c>
      <c r="E351" s="331" t="s">
        <v>42</v>
      </c>
      <c r="F351" s="325" t="s">
        <v>959</v>
      </c>
      <c r="G351" s="325" t="s">
        <v>959</v>
      </c>
      <c r="H351" s="135"/>
      <c r="I351" s="135"/>
      <c r="K351" s="345">
        <v>336</v>
      </c>
    </row>
    <row r="352" spans="1:11" ht="15" x14ac:dyDescent="0.2">
      <c r="A352" s="326" t="s">
        <v>305</v>
      </c>
      <c r="B352" s="322" t="s">
        <v>249</v>
      </c>
      <c r="C352" s="323" t="s">
        <v>240</v>
      </c>
      <c r="D352" s="331">
        <v>399</v>
      </c>
      <c r="E352" s="331" t="s">
        <v>42</v>
      </c>
      <c r="F352" s="325" t="s">
        <v>959</v>
      </c>
      <c r="G352" s="325" t="s">
        <v>959</v>
      </c>
      <c r="H352" s="135"/>
      <c r="I352" s="135"/>
      <c r="K352" s="345">
        <v>337</v>
      </c>
    </row>
    <row r="353" spans="1:11" ht="28.5" customHeight="1" x14ac:dyDescent="0.2">
      <c r="A353" s="326" t="s">
        <v>307</v>
      </c>
      <c r="B353" s="322" t="s">
        <v>249</v>
      </c>
      <c r="C353" s="323" t="s">
        <v>240</v>
      </c>
      <c r="D353" s="331">
        <v>459</v>
      </c>
      <c r="E353" s="331" t="s">
        <v>42</v>
      </c>
      <c r="F353" s="325" t="s">
        <v>959</v>
      </c>
      <c r="G353" s="325" t="s">
        <v>959</v>
      </c>
      <c r="H353" s="135"/>
      <c r="I353" s="135"/>
      <c r="K353" s="345">
        <v>338</v>
      </c>
    </row>
    <row r="354" spans="1:11" ht="28.5" customHeight="1" x14ac:dyDescent="0.2">
      <c r="A354" s="326" t="s">
        <v>313</v>
      </c>
      <c r="B354" s="322" t="s">
        <v>249</v>
      </c>
      <c r="C354" s="323" t="s">
        <v>240</v>
      </c>
      <c r="D354" s="331">
        <v>499</v>
      </c>
      <c r="E354" s="331" t="s">
        <v>42</v>
      </c>
      <c r="F354" s="325" t="s">
        <v>959</v>
      </c>
      <c r="G354" s="325" t="s">
        <v>959</v>
      </c>
      <c r="H354" s="135"/>
      <c r="I354" s="135"/>
      <c r="K354" s="345">
        <v>339</v>
      </c>
    </row>
    <row r="355" spans="1:11" ht="28.5" customHeight="1" x14ac:dyDescent="0.2">
      <c r="A355" s="326" t="s">
        <v>322</v>
      </c>
      <c r="B355" s="322" t="s">
        <v>249</v>
      </c>
      <c r="C355" s="323" t="s">
        <v>240</v>
      </c>
      <c r="D355" s="331">
        <v>559</v>
      </c>
      <c r="E355" s="331" t="s">
        <v>42</v>
      </c>
      <c r="F355" s="325" t="s">
        <v>959</v>
      </c>
      <c r="G355" s="325" t="s">
        <v>959</v>
      </c>
      <c r="H355" s="135"/>
      <c r="I355" s="135"/>
      <c r="K355" s="345">
        <v>340</v>
      </c>
    </row>
    <row r="356" spans="1:11" ht="28.5" customHeight="1" x14ac:dyDescent="0.2">
      <c r="A356" s="326" t="s">
        <v>328</v>
      </c>
      <c r="B356" s="322" t="s">
        <v>249</v>
      </c>
      <c r="C356" s="323" t="s">
        <v>240</v>
      </c>
      <c r="D356" s="331">
        <v>669</v>
      </c>
      <c r="E356" s="331" t="s">
        <v>42</v>
      </c>
      <c r="F356" s="325" t="s">
        <v>959</v>
      </c>
      <c r="G356" s="325" t="s">
        <v>959</v>
      </c>
      <c r="H356" s="135"/>
      <c r="I356" s="135"/>
      <c r="K356" s="345">
        <v>341</v>
      </c>
    </row>
    <row r="357" spans="1:11" ht="28.5" customHeight="1" x14ac:dyDescent="0.2">
      <c r="A357" s="326" t="s">
        <v>330</v>
      </c>
      <c r="B357" s="322" t="s">
        <v>249</v>
      </c>
      <c r="C357" s="323" t="s">
        <v>240</v>
      </c>
      <c r="D357" s="331">
        <v>729</v>
      </c>
      <c r="E357" s="331" t="s">
        <v>42</v>
      </c>
      <c r="F357" s="325" t="s">
        <v>959</v>
      </c>
      <c r="G357" s="325" t="s">
        <v>959</v>
      </c>
      <c r="H357" s="135"/>
      <c r="I357" s="135"/>
      <c r="K357" s="345">
        <v>342</v>
      </c>
    </row>
    <row r="358" spans="1:11" ht="28.5" customHeight="1" x14ac:dyDescent="0.2">
      <c r="A358" s="346" t="s">
        <v>1431</v>
      </c>
      <c r="B358" s="322" t="s">
        <v>249</v>
      </c>
      <c r="C358" s="323" t="s">
        <v>240</v>
      </c>
      <c r="D358" s="331">
        <v>699</v>
      </c>
      <c r="E358" s="331" t="s">
        <v>42</v>
      </c>
      <c r="F358" s="159"/>
      <c r="G358" s="159"/>
      <c r="H358" s="135"/>
      <c r="I358" s="135"/>
      <c r="K358" s="345">
        <v>343</v>
      </c>
    </row>
    <row r="359" spans="1:11" ht="52.5" customHeight="1" x14ac:dyDescent="0.2">
      <c r="A359" s="326" t="s">
        <v>332</v>
      </c>
      <c r="B359" s="322" t="s">
        <v>249</v>
      </c>
      <c r="C359" s="323" t="s">
        <v>240</v>
      </c>
      <c r="D359" s="331">
        <v>755.67</v>
      </c>
      <c r="E359" s="331" t="s">
        <v>42</v>
      </c>
      <c r="F359" s="340" t="s">
        <v>959</v>
      </c>
      <c r="G359" s="325" t="s">
        <v>959</v>
      </c>
      <c r="H359" s="135"/>
      <c r="I359" s="135"/>
      <c r="K359" s="345">
        <v>344</v>
      </c>
    </row>
    <row r="360" spans="1:11" ht="28.5" customHeight="1" x14ac:dyDescent="0.2">
      <c r="A360" s="326" t="s">
        <v>333</v>
      </c>
      <c r="B360" s="322" t="s">
        <v>249</v>
      </c>
      <c r="C360" s="323" t="s">
        <v>240</v>
      </c>
      <c r="D360" s="331">
        <v>759</v>
      </c>
      <c r="E360" s="331" t="s">
        <v>42</v>
      </c>
      <c r="F360" s="325" t="s">
        <v>959</v>
      </c>
      <c r="G360" s="325" t="s">
        <v>959</v>
      </c>
      <c r="H360" s="135"/>
      <c r="I360" s="135"/>
      <c r="K360" s="345">
        <v>345</v>
      </c>
    </row>
    <row r="361" spans="1:11" ht="28.5" customHeight="1" x14ac:dyDescent="0.2">
      <c r="A361" s="326" t="s">
        <v>339</v>
      </c>
      <c r="B361" s="322" t="s">
        <v>249</v>
      </c>
      <c r="C361" s="323" t="s">
        <v>240</v>
      </c>
      <c r="D361" s="331">
        <v>785.7</v>
      </c>
      <c r="E361" s="331" t="s">
        <v>42</v>
      </c>
      <c r="F361" s="325" t="s">
        <v>959</v>
      </c>
      <c r="G361" s="325" t="s">
        <v>959</v>
      </c>
      <c r="H361" s="135"/>
      <c r="I361" s="135"/>
      <c r="K361" s="345">
        <v>346</v>
      </c>
    </row>
    <row r="362" spans="1:11" ht="28.5" customHeight="1" x14ac:dyDescent="0.2">
      <c r="A362" s="326" t="s">
        <v>340</v>
      </c>
      <c r="B362" s="322" t="s">
        <v>249</v>
      </c>
      <c r="C362" s="323" t="s">
        <v>240</v>
      </c>
      <c r="D362" s="331">
        <v>789</v>
      </c>
      <c r="E362" s="331" t="s">
        <v>42</v>
      </c>
      <c r="F362" s="325" t="s">
        <v>959</v>
      </c>
      <c r="G362" s="325" t="s">
        <v>959</v>
      </c>
      <c r="H362" s="135"/>
      <c r="I362" s="135"/>
      <c r="K362" s="345">
        <v>347</v>
      </c>
    </row>
    <row r="363" spans="1:11" ht="28.5" customHeight="1" x14ac:dyDescent="0.2">
      <c r="A363" s="326" t="s">
        <v>342</v>
      </c>
      <c r="B363" s="322" t="s">
        <v>249</v>
      </c>
      <c r="C363" s="323" t="s">
        <v>240</v>
      </c>
      <c r="D363" s="331">
        <v>815.3</v>
      </c>
      <c r="E363" s="331" t="s">
        <v>42</v>
      </c>
      <c r="F363" s="325" t="s">
        <v>959</v>
      </c>
      <c r="G363" s="325" t="s">
        <v>959</v>
      </c>
      <c r="H363" s="135"/>
      <c r="I363" s="135"/>
      <c r="K363" s="345">
        <v>348</v>
      </c>
    </row>
    <row r="364" spans="1:11" ht="28.5" customHeight="1" x14ac:dyDescent="0.2">
      <c r="A364" s="326" t="s">
        <v>343</v>
      </c>
      <c r="B364" s="322" t="s">
        <v>249</v>
      </c>
      <c r="C364" s="323" t="s">
        <v>240</v>
      </c>
      <c r="D364" s="331">
        <v>819</v>
      </c>
      <c r="E364" s="331" t="s">
        <v>42</v>
      </c>
      <c r="F364" s="325" t="s">
        <v>959</v>
      </c>
      <c r="G364" s="325" t="s">
        <v>959</v>
      </c>
      <c r="H364" s="135"/>
      <c r="I364" s="135"/>
      <c r="K364" s="345">
        <v>349</v>
      </c>
    </row>
    <row r="365" spans="1:11" ht="28.5" customHeight="1" x14ac:dyDescent="0.2">
      <c r="A365" s="326" t="s">
        <v>345</v>
      </c>
      <c r="B365" s="322" t="s">
        <v>249</v>
      </c>
      <c r="C365" s="323" t="s">
        <v>240</v>
      </c>
      <c r="D365" s="331">
        <v>849</v>
      </c>
      <c r="E365" s="331" t="s">
        <v>42</v>
      </c>
      <c r="F365" s="325" t="s">
        <v>959</v>
      </c>
      <c r="G365" s="325" t="s">
        <v>959</v>
      </c>
      <c r="H365" s="135"/>
      <c r="I365" s="135"/>
      <c r="K365" s="345">
        <v>350</v>
      </c>
    </row>
    <row r="366" spans="1:11" ht="28.5" customHeight="1" x14ac:dyDescent="0.2">
      <c r="A366" s="326" t="s">
        <v>346</v>
      </c>
      <c r="B366" s="322" t="s">
        <v>249</v>
      </c>
      <c r="C366" s="323" t="s">
        <v>240</v>
      </c>
      <c r="D366" s="331">
        <v>849</v>
      </c>
      <c r="E366" s="331" t="s">
        <v>42</v>
      </c>
      <c r="F366" s="325" t="s">
        <v>959</v>
      </c>
      <c r="G366" s="325" t="s">
        <v>959</v>
      </c>
      <c r="H366" s="135"/>
      <c r="I366" s="135"/>
      <c r="K366" s="345">
        <v>351</v>
      </c>
    </row>
    <row r="367" spans="1:11" ht="28.5" customHeight="1" x14ac:dyDescent="0.2">
      <c r="A367" s="326" t="s">
        <v>347</v>
      </c>
      <c r="B367" s="322" t="s">
        <v>249</v>
      </c>
      <c r="C367" s="323" t="s">
        <v>240</v>
      </c>
      <c r="D367" s="331">
        <v>879</v>
      </c>
      <c r="E367" s="331" t="s">
        <v>42</v>
      </c>
      <c r="F367" s="325" t="s">
        <v>959</v>
      </c>
      <c r="G367" s="325" t="s">
        <v>959</v>
      </c>
      <c r="H367" s="135"/>
      <c r="I367" s="135"/>
      <c r="K367" s="345">
        <v>352</v>
      </c>
    </row>
    <row r="368" spans="1:11" ht="28.5" customHeight="1" x14ac:dyDescent="0.2">
      <c r="A368" s="326" t="s">
        <v>350</v>
      </c>
      <c r="B368" s="322" t="s">
        <v>249</v>
      </c>
      <c r="C368" s="323" t="s">
        <v>240</v>
      </c>
      <c r="D368" s="331">
        <v>899</v>
      </c>
      <c r="E368" s="331" t="s">
        <v>42</v>
      </c>
      <c r="F368" s="325" t="s">
        <v>959</v>
      </c>
      <c r="G368" s="325" t="s">
        <v>959</v>
      </c>
      <c r="H368" s="135"/>
      <c r="I368" s="135"/>
      <c r="K368" s="345">
        <v>353</v>
      </c>
    </row>
    <row r="369" spans="1:11" ht="28.5" customHeight="1" x14ac:dyDescent="0.2">
      <c r="A369" s="326" t="s">
        <v>351</v>
      </c>
      <c r="B369" s="322" t="s">
        <v>249</v>
      </c>
      <c r="C369" s="323" t="s">
        <v>240</v>
      </c>
      <c r="D369" s="331">
        <v>909</v>
      </c>
      <c r="E369" s="331" t="s">
        <v>42</v>
      </c>
      <c r="F369" s="325" t="s">
        <v>959</v>
      </c>
      <c r="G369" s="325" t="s">
        <v>959</v>
      </c>
      <c r="H369" s="135"/>
      <c r="I369" s="135"/>
      <c r="K369" s="345">
        <v>354</v>
      </c>
    </row>
    <row r="370" spans="1:11" ht="28.5" customHeight="1" x14ac:dyDescent="0.2">
      <c r="A370" s="326" t="s">
        <v>352</v>
      </c>
      <c r="B370" s="322" t="s">
        <v>249</v>
      </c>
      <c r="C370" s="323" t="s">
        <v>240</v>
      </c>
      <c r="D370" s="331">
        <v>910</v>
      </c>
      <c r="E370" s="331" t="s">
        <v>42</v>
      </c>
      <c r="F370" s="325" t="s">
        <v>959</v>
      </c>
      <c r="G370" s="325" t="s">
        <v>959</v>
      </c>
      <c r="H370" s="135"/>
      <c r="I370" s="135"/>
      <c r="K370" s="345">
        <v>355</v>
      </c>
    </row>
    <row r="371" spans="1:11" ht="28.5" customHeight="1" x14ac:dyDescent="0.2">
      <c r="A371" s="326" t="s">
        <v>353</v>
      </c>
      <c r="B371" s="322" t="s">
        <v>249</v>
      </c>
      <c r="C371" s="323" t="s">
        <v>240</v>
      </c>
      <c r="D371" s="331">
        <v>929</v>
      </c>
      <c r="E371" s="331" t="s">
        <v>42</v>
      </c>
      <c r="F371" s="325" t="s">
        <v>959</v>
      </c>
      <c r="G371" s="325" t="s">
        <v>959</v>
      </c>
      <c r="H371" s="135"/>
      <c r="I371" s="135"/>
      <c r="K371" s="345">
        <v>356</v>
      </c>
    </row>
    <row r="372" spans="1:11" ht="28.5" customHeight="1" x14ac:dyDescent="0.2">
      <c r="A372" s="326" t="s">
        <v>356</v>
      </c>
      <c r="B372" s="322" t="s">
        <v>249</v>
      </c>
      <c r="C372" s="323" t="s">
        <v>240</v>
      </c>
      <c r="D372" s="331">
        <v>990</v>
      </c>
      <c r="E372" s="331" t="s">
        <v>42</v>
      </c>
      <c r="F372" s="325" t="s">
        <v>959</v>
      </c>
      <c r="G372" s="325" t="s">
        <v>959</v>
      </c>
      <c r="H372" s="135"/>
      <c r="I372" s="135"/>
      <c r="K372" s="345">
        <v>357</v>
      </c>
    </row>
    <row r="373" spans="1:11" ht="28.5" customHeight="1" x14ac:dyDescent="0.2">
      <c r="A373" s="326" t="s">
        <v>358</v>
      </c>
      <c r="B373" s="322" t="s">
        <v>249</v>
      </c>
      <c r="C373" s="323" t="s">
        <v>240</v>
      </c>
      <c r="D373" s="331">
        <v>1049</v>
      </c>
      <c r="E373" s="331" t="s">
        <v>42</v>
      </c>
      <c r="F373" s="325" t="s">
        <v>959</v>
      </c>
      <c r="G373" s="325" t="s">
        <v>959</v>
      </c>
      <c r="H373" s="135"/>
      <c r="I373" s="135"/>
      <c r="K373" s="345">
        <v>358</v>
      </c>
    </row>
    <row r="374" spans="1:11" ht="28.5" customHeight="1" x14ac:dyDescent="0.2">
      <c r="A374" s="322" t="s">
        <v>720</v>
      </c>
      <c r="B374" s="322" t="s">
        <v>719</v>
      </c>
      <c r="C374" s="402" t="s">
        <v>685</v>
      </c>
      <c r="D374" s="331">
        <v>1.99</v>
      </c>
      <c r="E374" s="331" t="s">
        <v>52</v>
      </c>
      <c r="F374" s="321" t="s">
        <v>959</v>
      </c>
      <c r="G374" s="321">
        <v>1.99</v>
      </c>
      <c r="H374" s="135"/>
      <c r="I374" s="135"/>
      <c r="K374" s="345">
        <v>359</v>
      </c>
    </row>
    <row r="375" spans="1:11" ht="15" x14ac:dyDescent="0.2">
      <c r="A375" s="326" t="s">
        <v>721</v>
      </c>
      <c r="B375" s="322" t="s">
        <v>719</v>
      </c>
      <c r="C375" s="323" t="s">
        <v>685</v>
      </c>
      <c r="D375" s="331">
        <v>1.89</v>
      </c>
      <c r="E375" s="331" t="s">
        <v>52</v>
      </c>
      <c r="F375" s="325" t="s">
        <v>959</v>
      </c>
      <c r="G375" s="325">
        <v>1.89</v>
      </c>
      <c r="H375" s="135"/>
      <c r="I375" s="135"/>
      <c r="K375" s="345">
        <v>360</v>
      </c>
    </row>
    <row r="376" spans="1:11" ht="13.5" customHeight="1" x14ac:dyDescent="0.2">
      <c r="A376" s="326" t="s">
        <v>722</v>
      </c>
      <c r="B376" s="322" t="s">
        <v>719</v>
      </c>
      <c r="C376" s="323" t="s">
        <v>685</v>
      </c>
      <c r="D376" s="331">
        <v>2.27</v>
      </c>
      <c r="E376" s="331" t="s">
        <v>52</v>
      </c>
      <c r="F376" s="325" t="s">
        <v>959</v>
      </c>
      <c r="G376" s="325">
        <v>2.27</v>
      </c>
      <c r="H376" s="135"/>
      <c r="I376" s="135"/>
      <c r="K376" s="345">
        <v>361</v>
      </c>
    </row>
    <row r="377" spans="1:11" ht="15" x14ac:dyDescent="0.2">
      <c r="A377" s="326" t="s">
        <v>723</v>
      </c>
      <c r="B377" s="322" t="s">
        <v>719</v>
      </c>
      <c r="C377" s="323" t="s">
        <v>685</v>
      </c>
      <c r="D377" s="331">
        <v>2.5</v>
      </c>
      <c r="E377" s="331" t="s">
        <v>52</v>
      </c>
      <c r="F377" s="325" t="s">
        <v>959</v>
      </c>
      <c r="G377" s="325">
        <v>2.5</v>
      </c>
      <c r="H377" s="135"/>
      <c r="I377" s="135"/>
      <c r="K377" s="345">
        <v>362</v>
      </c>
    </row>
    <row r="378" spans="1:11" ht="15" x14ac:dyDescent="0.2">
      <c r="A378" s="326" t="s">
        <v>100</v>
      </c>
      <c r="B378" s="322"/>
      <c r="C378" s="323" t="s">
        <v>240</v>
      </c>
      <c r="D378" s="331">
        <v>4.42</v>
      </c>
      <c r="E378" s="331" t="s">
        <v>42</v>
      </c>
      <c r="F378" s="325" t="s">
        <v>959</v>
      </c>
      <c r="G378" s="325" t="s">
        <v>959</v>
      </c>
      <c r="H378" s="135"/>
      <c r="I378" s="135"/>
      <c r="K378" s="345">
        <v>363</v>
      </c>
    </row>
    <row r="379" spans="1:11" ht="15" x14ac:dyDescent="0.2">
      <c r="A379" s="326" t="s">
        <v>99</v>
      </c>
      <c r="B379" s="322"/>
      <c r="C379" s="323" t="s">
        <v>240</v>
      </c>
      <c r="D379" s="331">
        <v>4.6100000000000003</v>
      </c>
      <c r="E379" s="331" t="s">
        <v>42</v>
      </c>
      <c r="F379" s="325" t="s">
        <v>959</v>
      </c>
      <c r="G379" s="325" t="s">
        <v>959</v>
      </c>
      <c r="H379" s="135"/>
      <c r="I379" s="135"/>
      <c r="K379" s="345">
        <v>364</v>
      </c>
    </row>
    <row r="380" spans="1:11" ht="15" x14ac:dyDescent="0.2">
      <c r="A380" s="325" t="s">
        <v>61</v>
      </c>
      <c r="B380" s="321"/>
      <c r="C380" s="323" t="s">
        <v>240</v>
      </c>
      <c r="D380" s="331">
        <v>5.85</v>
      </c>
      <c r="E380" s="331" t="s">
        <v>42</v>
      </c>
      <c r="F380" s="325" t="s">
        <v>959</v>
      </c>
      <c r="G380" s="325" t="s">
        <v>959</v>
      </c>
      <c r="H380" s="135"/>
      <c r="I380" s="135"/>
      <c r="K380" s="345">
        <v>365</v>
      </c>
    </row>
    <row r="381" spans="1:11" ht="15" x14ac:dyDescent="0.2">
      <c r="A381" s="326" t="s">
        <v>75</v>
      </c>
      <c r="B381" s="322"/>
      <c r="C381" s="323" t="s">
        <v>240</v>
      </c>
      <c r="D381" s="331">
        <v>6.2</v>
      </c>
      <c r="E381" s="331" t="s">
        <v>42</v>
      </c>
      <c r="F381" s="325" t="s">
        <v>959</v>
      </c>
      <c r="G381" s="325" t="s">
        <v>959</v>
      </c>
      <c r="H381" s="135"/>
      <c r="I381" s="135"/>
      <c r="K381" s="345">
        <v>366</v>
      </c>
    </row>
    <row r="382" spans="1:11" ht="15" x14ac:dyDescent="0.2">
      <c r="A382" s="326" t="s">
        <v>98</v>
      </c>
      <c r="B382" s="322"/>
      <c r="C382" s="323" t="s">
        <v>240</v>
      </c>
      <c r="D382" s="331">
        <v>12</v>
      </c>
      <c r="E382" s="331" t="s">
        <v>42</v>
      </c>
      <c r="F382" s="325" t="s">
        <v>959</v>
      </c>
      <c r="G382" s="325" t="s">
        <v>959</v>
      </c>
      <c r="H382" s="135"/>
      <c r="I382" s="135"/>
      <c r="K382" s="345">
        <v>367</v>
      </c>
    </row>
    <row r="383" spans="1:11" ht="15" x14ac:dyDescent="0.2">
      <c r="A383" s="325" t="s">
        <v>62</v>
      </c>
      <c r="B383" s="321"/>
      <c r="C383" s="323" t="s">
        <v>240</v>
      </c>
      <c r="D383" s="331">
        <v>15.77</v>
      </c>
      <c r="E383" s="331" t="s">
        <v>42</v>
      </c>
      <c r="F383" s="325" t="s">
        <v>959</v>
      </c>
      <c r="G383" s="325" t="s">
        <v>959</v>
      </c>
      <c r="H383" s="135"/>
      <c r="I383" s="135"/>
      <c r="K383" s="345">
        <v>368</v>
      </c>
    </row>
    <row r="384" spans="1:11" ht="15" x14ac:dyDescent="0.2">
      <c r="A384" s="325" t="s">
        <v>53</v>
      </c>
      <c r="B384" s="321"/>
      <c r="C384" s="323" t="s">
        <v>240</v>
      </c>
      <c r="D384" s="331">
        <v>19.27</v>
      </c>
      <c r="E384" s="331" t="s">
        <v>42</v>
      </c>
      <c r="F384" s="325" t="s">
        <v>959</v>
      </c>
      <c r="G384" s="325" t="s">
        <v>959</v>
      </c>
      <c r="H384" s="135"/>
      <c r="I384" s="135"/>
      <c r="K384" s="345">
        <v>369</v>
      </c>
    </row>
    <row r="385" spans="1:11" x14ac:dyDescent="0.2">
      <c r="A385" s="326" t="s">
        <v>1111</v>
      </c>
      <c r="B385" s="322" t="s">
        <v>127</v>
      </c>
      <c r="C385" s="323" t="s">
        <v>757</v>
      </c>
      <c r="D385" s="331">
        <v>40</v>
      </c>
      <c r="E385" s="343" t="s">
        <v>1146</v>
      </c>
      <c r="F385" s="159"/>
      <c r="G385" s="159"/>
      <c r="H385" s="135"/>
      <c r="I385" s="135"/>
      <c r="K385" s="345">
        <v>370</v>
      </c>
    </row>
    <row r="386" spans="1:11" x14ac:dyDescent="0.2">
      <c r="A386" s="326" t="s">
        <v>1112</v>
      </c>
      <c r="B386" s="322" t="s">
        <v>127</v>
      </c>
      <c r="C386" s="323" t="s">
        <v>757</v>
      </c>
      <c r="D386" s="331">
        <v>30</v>
      </c>
      <c r="E386" s="343" t="s">
        <v>1146</v>
      </c>
      <c r="F386" s="159"/>
      <c r="G386" s="159"/>
      <c r="H386" s="135"/>
      <c r="I386" s="135"/>
      <c r="K386" s="345">
        <v>371</v>
      </c>
    </row>
    <row r="387" spans="1:11" x14ac:dyDescent="0.2">
      <c r="A387" s="346" t="s">
        <v>1211</v>
      </c>
      <c r="B387" s="322" t="s">
        <v>127</v>
      </c>
      <c r="C387" s="323" t="s">
        <v>757</v>
      </c>
      <c r="D387" s="347">
        <v>50</v>
      </c>
      <c r="E387" s="343" t="s">
        <v>1146</v>
      </c>
      <c r="F387" s="159"/>
      <c r="G387" s="159"/>
      <c r="H387" s="135"/>
      <c r="I387" s="135"/>
      <c r="K387" s="345">
        <v>372</v>
      </c>
    </row>
    <row r="388" spans="1:11" x14ac:dyDescent="0.2">
      <c r="A388" s="346" t="s">
        <v>1210</v>
      </c>
      <c r="B388" s="322" t="s">
        <v>127</v>
      </c>
      <c r="C388" s="323" t="s">
        <v>757</v>
      </c>
      <c r="D388" s="347">
        <v>20</v>
      </c>
      <c r="E388" s="343" t="s">
        <v>1146</v>
      </c>
      <c r="F388" s="159"/>
      <c r="G388" s="159"/>
      <c r="H388" s="135"/>
      <c r="I388" s="135"/>
      <c r="K388" s="345">
        <v>373</v>
      </c>
    </row>
    <row r="389" spans="1:11" x14ac:dyDescent="0.2">
      <c r="A389" s="326" t="s">
        <v>1113</v>
      </c>
      <c r="B389" s="322" t="s">
        <v>127</v>
      </c>
      <c r="C389" s="323" t="s">
        <v>757</v>
      </c>
      <c r="D389" s="331">
        <v>30</v>
      </c>
      <c r="E389" s="343" t="s">
        <v>1146</v>
      </c>
      <c r="F389" s="159"/>
      <c r="G389" s="159"/>
      <c r="H389" s="135"/>
      <c r="I389" s="135"/>
      <c r="K389" s="345">
        <v>374</v>
      </c>
    </row>
    <row r="390" spans="1:11" x14ac:dyDescent="0.2">
      <c r="A390" s="326" t="s">
        <v>1209</v>
      </c>
      <c r="B390" s="322" t="s">
        <v>127</v>
      </c>
      <c r="C390" s="323" t="s">
        <v>757</v>
      </c>
      <c r="D390" s="331">
        <v>30</v>
      </c>
      <c r="E390" s="343" t="s">
        <v>1146</v>
      </c>
      <c r="F390" s="159"/>
      <c r="G390" s="159"/>
      <c r="H390" s="135"/>
      <c r="I390" s="135"/>
      <c r="K390" s="345">
        <v>375</v>
      </c>
    </row>
    <row r="391" spans="1:11" x14ac:dyDescent="0.2">
      <c r="A391" s="326" t="s">
        <v>1762</v>
      </c>
      <c r="B391" s="322" t="s">
        <v>1763</v>
      </c>
      <c r="C391" s="323" t="s">
        <v>757</v>
      </c>
      <c r="D391" s="331">
        <v>2</v>
      </c>
      <c r="E391" s="343" t="s">
        <v>42</v>
      </c>
      <c r="F391" s="159"/>
      <c r="G391" s="159"/>
      <c r="H391" s="135"/>
      <c r="I391" s="135"/>
      <c r="K391" s="345">
        <v>376</v>
      </c>
    </row>
    <row r="392" spans="1:11" x14ac:dyDescent="0.2">
      <c r="A392" s="326" t="s">
        <v>1764</v>
      </c>
      <c r="B392" s="322" t="s">
        <v>1763</v>
      </c>
      <c r="C392" s="323" t="s">
        <v>757</v>
      </c>
      <c r="D392" s="331">
        <v>2.1</v>
      </c>
      <c r="E392" s="343" t="s">
        <v>42</v>
      </c>
      <c r="F392" s="159"/>
      <c r="G392" s="159"/>
      <c r="H392" s="135"/>
      <c r="I392" s="135"/>
      <c r="K392" s="345">
        <v>377</v>
      </c>
    </row>
    <row r="393" spans="1:11" x14ac:dyDescent="0.2">
      <c r="A393" s="326" t="s">
        <v>1765</v>
      </c>
      <c r="B393" s="322" t="s">
        <v>1763</v>
      </c>
      <c r="C393" s="323" t="s">
        <v>757</v>
      </c>
      <c r="D393" s="331">
        <v>1.9</v>
      </c>
      <c r="E393" s="343" t="s">
        <v>42</v>
      </c>
      <c r="F393" s="159"/>
      <c r="G393" s="159"/>
      <c r="H393" s="135"/>
      <c r="I393" s="135"/>
      <c r="K393" s="345">
        <v>378</v>
      </c>
    </row>
    <row r="394" spans="1:11" x14ac:dyDescent="0.2">
      <c r="A394" s="326" t="s">
        <v>1839</v>
      </c>
      <c r="B394" s="322" t="s">
        <v>1838</v>
      </c>
      <c r="C394" s="323" t="s">
        <v>240</v>
      </c>
      <c r="D394" s="331">
        <v>5</v>
      </c>
      <c r="E394" s="343" t="s">
        <v>52</v>
      </c>
      <c r="F394" s="159"/>
      <c r="G394" s="159"/>
      <c r="H394" s="135"/>
      <c r="I394" s="135"/>
      <c r="K394" s="345">
        <v>393</v>
      </c>
    </row>
    <row r="395" spans="1:11" x14ac:dyDescent="0.2">
      <c r="A395" s="326" t="s">
        <v>1840</v>
      </c>
      <c r="B395" s="322" t="s">
        <v>1838</v>
      </c>
      <c r="C395" s="323" t="s">
        <v>240</v>
      </c>
      <c r="D395" s="331">
        <v>17</v>
      </c>
      <c r="E395" s="343" t="s">
        <v>52</v>
      </c>
      <c r="F395" s="159"/>
      <c r="G395" s="159"/>
      <c r="H395" s="135"/>
      <c r="I395" s="135"/>
      <c r="K395" s="345">
        <v>394</v>
      </c>
    </row>
    <row r="396" spans="1:11" x14ac:dyDescent="0.2">
      <c r="A396" s="326" t="s">
        <v>1841</v>
      </c>
      <c r="B396" s="322" t="s">
        <v>1838</v>
      </c>
      <c r="C396" s="323" t="s">
        <v>240</v>
      </c>
      <c r="D396" s="331">
        <v>5</v>
      </c>
      <c r="E396" s="343" t="s">
        <v>52</v>
      </c>
      <c r="F396" s="159"/>
      <c r="G396" s="159"/>
      <c r="H396" s="135"/>
      <c r="I396" s="135"/>
      <c r="K396" s="345">
        <v>395</v>
      </c>
    </row>
    <row r="397" spans="1:11" x14ac:dyDescent="0.2">
      <c r="A397" s="326"/>
      <c r="B397" s="322" t="s">
        <v>1838</v>
      </c>
      <c r="C397" s="323" t="s">
        <v>240</v>
      </c>
      <c r="D397" s="331"/>
      <c r="E397" s="343" t="s">
        <v>52</v>
      </c>
      <c r="F397" s="159"/>
      <c r="G397" s="159"/>
      <c r="H397" s="135"/>
      <c r="I397" s="135"/>
      <c r="K397" s="345">
        <v>396</v>
      </c>
    </row>
    <row r="398" spans="1:11" x14ac:dyDescent="0.2">
      <c r="A398" s="326"/>
      <c r="B398" s="322" t="s">
        <v>1838</v>
      </c>
      <c r="C398" s="323" t="s">
        <v>240</v>
      </c>
      <c r="D398" s="331"/>
      <c r="E398" s="343"/>
      <c r="F398" s="159"/>
      <c r="G398" s="159"/>
      <c r="H398" s="135"/>
      <c r="I398" s="135"/>
      <c r="K398" s="345">
        <v>397</v>
      </c>
    </row>
    <row r="399" spans="1:11" x14ac:dyDescent="0.2">
      <c r="A399" s="326"/>
      <c r="B399" s="322" t="s">
        <v>1838</v>
      </c>
      <c r="C399" s="323" t="s">
        <v>240</v>
      </c>
      <c r="D399" s="331"/>
      <c r="E399" s="343"/>
      <c r="F399" s="159"/>
      <c r="G399" s="159"/>
      <c r="H399" s="135"/>
      <c r="I399" s="135"/>
      <c r="K399" s="345">
        <v>398</v>
      </c>
    </row>
    <row r="400" spans="1:11" x14ac:dyDescent="0.2">
      <c r="A400" s="326"/>
      <c r="B400" s="322" t="s">
        <v>1838</v>
      </c>
      <c r="C400" s="323" t="s">
        <v>240</v>
      </c>
      <c r="D400" s="331"/>
      <c r="E400" s="343"/>
      <c r="F400" s="159"/>
      <c r="G400" s="159"/>
      <c r="H400" s="135"/>
      <c r="I400" s="135"/>
      <c r="K400" s="345">
        <v>399</v>
      </c>
    </row>
    <row r="401" spans="1:11" x14ac:dyDescent="0.2">
      <c r="A401" s="326"/>
      <c r="B401" s="322" t="s">
        <v>1838</v>
      </c>
      <c r="C401" s="323" t="s">
        <v>240</v>
      </c>
      <c r="D401" s="331"/>
      <c r="E401" s="343"/>
      <c r="F401" s="159"/>
      <c r="G401" s="159"/>
      <c r="H401" s="135"/>
      <c r="I401" s="135"/>
      <c r="K401" s="345">
        <v>400</v>
      </c>
    </row>
    <row r="402" spans="1:11" x14ac:dyDescent="0.2">
      <c r="A402" s="326"/>
      <c r="B402" s="322" t="s">
        <v>1838</v>
      </c>
      <c r="C402" s="323" t="s">
        <v>240</v>
      </c>
      <c r="D402" s="331"/>
      <c r="E402" s="343"/>
      <c r="F402" s="159"/>
      <c r="G402" s="159"/>
      <c r="H402" s="135"/>
      <c r="I402" s="135"/>
      <c r="K402" s="345">
        <v>401</v>
      </c>
    </row>
    <row r="403" spans="1:11" x14ac:dyDescent="0.2">
      <c r="A403" s="326"/>
      <c r="B403" s="322" t="s">
        <v>1838</v>
      </c>
      <c r="C403" s="323" t="s">
        <v>240</v>
      </c>
      <c r="D403" s="331"/>
      <c r="E403" s="343"/>
      <c r="F403" s="159"/>
      <c r="G403" s="159"/>
      <c r="H403" s="135"/>
      <c r="I403" s="135"/>
      <c r="K403" s="345">
        <v>402</v>
      </c>
    </row>
    <row r="404" spans="1:11" x14ac:dyDescent="0.2">
      <c r="A404" s="326"/>
      <c r="B404" s="322"/>
      <c r="C404" s="323"/>
      <c r="D404" s="331"/>
      <c r="E404" s="343"/>
      <c r="F404" s="159"/>
      <c r="G404" s="159"/>
      <c r="H404" s="135"/>
      <c r="I404" s="135"/>
      <c r="K404" s="345">
        <v>403</v>
      </c>
    </row>
    <row r="405" spans="1:11" x14ac:dyDescent="0.2">
      <c r="A405" s="326"/>
      <c r="B405" s="322"/>
      <c r="C405" s="323"/>
      <c r="D405" s="331"/>
      <c r="E405" s="343"/>
      <c r="F405" s="159"/>
      <c r="G405" s="159"/>
      <c r="H405" s="135"/>
      <c r="I405" s="135"/>
      <c r="K405" s="345">
        <v>404</v>
      </c>
    </row>
    <row r="406" spans="1:11" x14ac:dyDescent="0.2">
      <c r="A406" s="326"/>
      <c r="B406" s="322"/>
      <c r="C406" s="323"/>
      <c r="D406" s="331"/>
      <c r="E406" s="343"/>
      <c r="F406" s="159"/>
      <c r="G406" s="159"/>
      <c r="H406" s="135"/>
      <c r="I406" s="135"/>
      <c r="K406" s="345">
        <v>405</v>
      </c>
    </row>
    <row r="407" spans="1:11" x14ac:dyDescent="0.2">
      <c r="A407" s="326"/>
      <c r="B407" s="322"/>
      <c r="C407" s="323"/>
      <c r="D407" s="331"/>
      <c r="E407" s="343"/>
      <c r="F407" s="159"/>
      <c r="G407" s="159"/>
      <c r="H407" s="135"/>
      <c r="I407" s="135"/>
      <c r="K407" s="345">
        <v>406</v>
      </c>
    </row>
    <row r="408" spans="1:11" x14ac:dyDescent="0.2">
      <c r="A408" s="326"/>
      <c r="B408" s="322"/>
      <c r="C408" s="323"/>
      <c r="D408" s="331"/>
      <c r="E408" s="343"/>
      <c r="F408" s="159"/>
      <c r="G408" s="159"/>
      <c r="H408" s="135"/>
      <c r="I408" s="135"/>
      <c r="K408" s="345">
        <v>407</v>
      </c>
    </row>
    <row r="409" spans="1:11" x14ac:dyDescent="0.2">
      <c r="A409" s="326"/>
      <c r="B409" s="322"/>
      <c r="C409" s="323"/>
      <c r="D409" s="331"/>
      <c r="E409" s="343"/>
      <c r="F409" s="159"/>
      <c r="G409" s="159"/>
      <c r="H409" s="135"/>
      <c r="I409" s="135"/>
      <c r="K409" s="345">
        <v>408</v>
      </c>
    </row>
    <row r="410" spans="1:11" x14ac:dyDescent="0.2">
      <c r="A410" s="326"/>
      <c r="B410" s="322"/>
      <c r="C410" s="323"/>
      <c r="D410" s="331"/>
      <c r="E410" s="343"/>
      <c r="F410" s="159"/>
      <c r="G410" s="159"/>
      <c r="H410" s="135"/>
      <c r="I410" s="135"/>
      <c r="K410" s="345">
        <v>409</v>
      </c>
    </row>
    <row r="411" spans="1:11" x14ac:dyDescent="0.2">
      <c r="A411" s="326"/>
      <c r="B411" s="322"/>
      <c r="C411" s="323"/>
      <c r="D411" s="331"/>
      <c r="E411" s="343"/>
      <c r="F411" s="159"/>
      <c r="G411" s="159"/>
      <c r="H411" s="135"/>
      <c r="I411" s="135"/>
      <c r="K411" s="345">
        <v>410</v>
      </c>
    </row>
    <row r="412" spans="1:11" x14ac:dyDescent="0.2">
      <c r="A412" s="326"/>
      <c r="B412" s="322"/>
      <c r="C412" s="323"/>
      <c r="D412" s="331"/>
      <c r="E412" s="343"/>
      <c r="F412" s="159"/>
      <c r="G412" s="159"/>
      <c r="H412" s="135"/>
      <c r="I412" s="135"/>
      <c r="K412" s="345">
        <v>411</v>
      </c>
    </row>
    <row r="413" spans="1:11" x14ac:dyDescent="0.2">
      <c r="A413" s="326"/>
      <c r="B413" s="322"/>
      <c r="C413" s="323"/>
      <c r="D413" s="331"/>
      <c r="E413" s="343"/>
      <c r="F413" s="159"/>
      <c r="G413" s="159"/>
      <c r="H413" s="135"/>
      <c r="I413" s="135"/>
      <c r="K413" s="345">
        <v>412</v>
      </c>
    </row>
    <row r="414" spans="1:11" x14ac:dyDescent="0.2">
      <c r="A414" s="326"/>
      <c r="B414" s="322"/>
      <c r="C414" s="323"/>
      <c r="D414" s="331"/>
      <c r="E414" s="343"/>
      <c r="F414" s="159"/>
      <c r="G414" s="159"/>
      <c r="H414" s="135"/>
      <c r="I414" s="135"/>
      <c r="K414" s="345">
        <v>413</v>
      </c>
    </row>
    <row r="415" spans="1:11" x14ac:dyDescent="0.2">
      <c r="A415" s="326"/>
      <c r="B415" s="322"/>
      <c r="C415" s="323"/>
      <c r="D415" s="331"/>
      <c r="E415" s="343"/>
      <c r="F415" s="159"/>
      <c r="G415" s="159"/>
      <c r="H415" s="135"/>
      <c r="I415" s="135"/>
      <c r="K415" s="345">
        <v>414</v>
      </c>
    </row>
    <row r="416" spans="1:11" x14ac:dyDescent="0.2">
      <c r="A416" s="326"/>
      <c r="B416" s="322"/>
      <c r="C416" s="323"/>
      <c r="D416" s="331"/>
      <c r="E416" s="343"/>
      <c r="F416" s="159"/>
      <c r="G416" s="159"/>
      <c r="H416" s="135"/>
      <c r="I416" s="135"/>
      <c r="K416" s="345">
        <v>415</v>
      </c>
    </row>
    <row r="417" spans="1:11" x14ac:dyDescent="0.2">
      <c r="A417" s="326"/>
      <c r="B417" s="322"/>
      <c r="C417" s="323"/>
      <c r="D417" s="331"/>
      <c r="E417" s="343"/>
      <c r="F417" s="159"/>
      <c r="G417" s="159"/>
      <c r="H417" s="135"/>
      <c r="I417" s="135"/>
      <c r="K417" s="345">
        <v>416</v>
      </c>
    </row>
    <row r="418" spans="1:11" x14ac:dyDescent="0.2">
      <c r="A418" s="326"/>
      <c r="B418" s="322"/>
      <c r="C418" s="323"/>
      <c r="D418" s="331"/>
      <c r="E418" s="343"/>
      <c r="F418" s="159"/>
      <c r="G418" s="159"/>
      <c r="H418" s="135"/>
      <c r="I418" s="135"/>
      <c r="K418" s="345">
        <v>417</v>
      </c>
    </row>
    <row r="419" spans="1:11" x14ac:dyDescent="0.2">
      <c r="A419" s="326"/>
      <c r="B419" s="322"/>
      <c r="C419" s="323"/>
      <c r="D419" s="331"/>
      <c r="E419" s="343"/>
      <c r="F419" s="159"/>
      <c r="G419" s="159"/>
      <c r="H419" s="135"/>
      <c r="I419" s="135"/>
      <c r="K419" s="345">
        <v>418</v>
      </c>
    </row>
    <row r="420" spans="1:11" x14ac:dyDescent="0.2">
      <c r="A420" s="326"/>
      <c r="B420" s="322"/>
      <c r="C420" s="323"/>
      <c r="D420" s="331"/>
      <c r="E420" s="343"/>
      <c r="F420" s="159"/>
      <c r="G420" s="159"/>
      <c r="H420" s="135"/>
      <c r="I420" s="135"/>
      <c r="K420" s="345">
        <v>419</v>
      </c>
    </row>
    <row r="421" spans="1:11" x14ac:dyDescent="0.2">
      <c r="A421" s="326"/>
      <c r="B421" s="322"/>
      <c r="C421" s="323"/>
      <c r="D421" s="331"/>
      <c r="E421" s="343"/>
      <c r="F421" s="159"/>
      <c r="G421" s="159"/>
      <c r="H421" s="135"/>
      <c r="I421" s="135"/>
      <c r="K421" s="345">
        <v>420</v>
      </c>
    </row>
    <row r="422" spans="1:11" x14ac:dyDescent="0.2">
      <c r="A422" s="326"/>
      <c r="B422" s="322"/>
      <c r="C422" s="323"/>
      <c r="D422" s="331"/>
      <c r="E422" s="343"/>
      <c r="F422" s="159"/>
      <c r="G422" s="159"/>
      <c r="H422" s="135"/>
      <c r="I422" s="135"/>
      <c r="K422" s="345">
        <v>421</v>
      </c>
    </row>
    <row r="423" spans="1:11" x14ac:dyDescent="0.2">
      <c r="A423" s="326"/>
      <c r="B423" s="322"/>
      <c r="C423" s="323"/>
      <c r="D423" s="331"/>
      <c r="E423" s="343"/>
      <c r="F423" s="159"/>
      <c r="G423" s="159"/>
      <c r="H423" s="135"/>
      <c r="I423" s="135"/>
      <c r="K423" s="345">
        <v>422</v>
      </c>
    </row>
    <row r="424" spans="1:11" x14ac:dyDescent="0.2">
      <c r="A424" s="326"/>
      <c r="B424" s="322"/>
      <c r="C424" s="323"/>
      <c r="D424" s="331"/>
      <c r="E424" s="343"/>
      <c r="F424" s="159"/>
      <c r="G424" s="159"/>
      <c r="H424" s="135"/>
      <c r="I424" s="135"/>
      <c r="K424" s="345">
        <v>423</v>
      </c>
    </row>
    <row r="425" spans="1:11" x14ac:dyDescent="0.2">
      <c r="A425" s="326"/>
      <c r="B425" s="322"/>
      <c r="C425" s="323"/>
      <c r="D425" s="331"/>
      <c r="E425" s="343"/>
      <c r="F425" s="159"/>
      <c r="G425" s="159"/>
      <c r="H425" s="135"/>
      <c r="I425" s="135"/>
      <c r="K425" s="345">
        <v>424</v>
      </c>
    </row>
    <row r="426" spans="1:11" x14ac:dyDescent="0.2">
      <c r="A426" s="326"/>
      <c r="B426" s="322"/>
      <c r="C426" s="323"/>
      <c r="D426" s="331"/>
      <c r="E426" s="343"/>
      <c r="F426" s="159"/>
      <c r="G426" s="159"/>
      <c r="H426" s="135"/>
      <c r="I426" s="135"/>
      <c r="K426" s="345">
        <v>425</v>
      </c>
    </row>
    <row r="427" spans="1:11" x14ac:dyDescent="0.2">
      <c r="A427" s="326"/>
      <c r="B427" s="322"/>
      <c r="C427" s="323"/>
      <c r="D427" s="331"/>
      <c r="E427" s="343"/>
      <c r="F427" s="159"/>
      <c r="G427" s="159"/>
      <c r="H427" s="135"/>
      <c r="I427" s="135"/>
      <c r="K427" s="345">
        <v>426</v>
      </c>
    </row>
    <row r="428" spans="1:11" x14ac:dyDescent="0.2">
      <c r="A428" s="326"/>
      <c r="B428" s="322"/>
      <c r="C428" s="323"/>
      <c r="D428" s="331"/>
      <c r="E428" s="343"/>
      <c r="F428" s="159"/>
      <c r="G428" s="159"/>
      <c r="H428" s="135"/>
      <c r="I428" s="135"/>
      <c r="K428" s="345">
        <v>427</v>
      </c>
    </row>
    <row r="429" spans="1:11" x14ac:dyDescent="0.2">
      <c r="A429" s="326"/>
      <c r="B429" s="322"/>
      <c r="C429" s="323"/>
      <c r="D429" s="331"/>
      <c r="E429" s="343"/>
      <c r="F429" s="159"/>
      <c r="G429" s="159"/>
      <c r="H429" s="135"/>
      <c r="I429" s="135"/>
      <c r="K429" s="345">
        <v>428</v>
      </c>
    </row>
    <row r="430" spans="1:11" x14ac:dyDescent="0.2">
      <c r="A430" s="326"/>
      <c r="B430" s="322"/>
      <c r="C430" s="323"/>
      <c r="D430" s="331"/>
      <c r="E430" s="343"/>
      <c r="F430" s="159"/>
      <c r="G430" s="159"/>
      <c r="H430" s="135"/>
      <c r="I430" s="135"/>
      <c r="K430" s="345">
        <v>429</v>
      </c>
    </row>
    <row r="431" spans="1:11" x14ac:dyDescent="0.2">
      <c r="A431" s="326"/>
      <c r="B431" s="322"/>
      <c r="C431" s="323"/>
      <c r="D431" s="331"/>
      <c r="E431" s="343"/>
      <c r="F431" s="159"/>
      <c r="G431" s="159"/>
      <c r="H431" s="135"/>
      <c r="I431" s="135"/>
      <c r="K431" s="345">
        <v>430</v>
      </c>
    </row>
    <row r="432" spans="1:11" x14ac:dyDescent="0.2">
      <c r="A432" s="326"/>
      <c r="B432" s="322"/>
      <c r="C432" s="323"/>
      <c r="D432" s="331"/>
      <c r="E432" s="343"/>
      <c r="F432" s="159"/>
      <c r="G432" s="159"/>
      <c r="H432" s="135"/>
      <c r="I432" s="135"/>
      <c r="K432" s="345">
        <v>431</v>
      </c>
    </row>
    <row r="433" spans="1:11" x14ac:dyDescent="0.2">
      <c r="A433" s="326"/>
      <c r="B433" s="322"/>
      <c r="C433" s="323"/>
      <c r="D433" s="329"/>
      <c r="E433" s="339"/>
      <c r="F433" s="159"/>
      <c r="G433" s="159"/>
      <c r="H433" s="135"/>
      <c r="I433" s="135"/>
      <c r="K433" s="345">
        <v>432</v>
      </c>
    </row>
    <row r="434" spans="1:11" x14ac:dyDescent="0.2">
      <c r="A434" s="326"/>
      <c r="B434" s="322"/>
      <c r="C434" s="323"/>
      <c r="D434" s="329"/>
      <c r="E434" s="339"/>
      <c r="F434" s="159"/>
      <c r="G434" s="159"/>
      <c r="H434" s="135"/>
      <c r="I434" s="135"/>
      <c r="K434" s="345">
        <v>433</v>
      </c>
    </row>
    <row r="435" spans="1:11" x14ac:dyDescent="0.2">
      <c r="A435" s="326"/>
      <c r="B435" s="322"/>
      <c r="C435" s="323"/>
      <c r="D435" s="329"/>
      <c r="E435" s="339"/>
      <c r="F435" s="159"/>
      <c r="G435" s="159"/>
      <c r="H435" s="135"/>
      <c r="I435" s="135"/>
      <c r="K435" s="345">
        <v>434</v>
      </c>
    </row>
    <row r="436" spans="1:11" x14ac:dyDescent="0.2">
      <c r="A436" s="326"/>
      <c r="B436" s="322"/>
      <c r="C436" s="323"/>
      <c r="D436" s="329"/>
      <c r="E436" s="339"/>
      <c r="F436" s="159"/>
      <c r="G436" s="159"/>
      <c r="H436" s="135"/>
      <c r="I436" s="135"/>
      <c r="K436" s="345">
        <v>435</v>
      </c>
    </row>
    <row r="437" spans="1:11" x14ac:dyDescent="0.2">
      <c r="A437" s="326"/>
      <c r="B437" s="322"/>
      <c r="C437" s="323"/>
      <c r="D437" s="329"/>
      <c r="E437" s="339"/>
      <c r="F437" s="159"/>
      <c r="G437" s="159"/>
      <c r="H437" s="135"/>
      <c r="I437" s="135"/>
      <c r="K437" s="345">
        <v>436</v>
      </c>
    </row>
    <row r="438" spans="1:11" x14ac:dyDescent="0.2">
      <c r="A438" s="327"/>
      <c r="B438" s="324"/>
      <c r="C438" s="324"/>
      <c r="D438" s="330"/>
      <c r="E438" s="342"/>
      <c r="F438" s="159"/>
      <c r="G438" s="159"/>
      <c r="H438" s="135"/>
      <c r="I438" s="135"/>
      <c r="K438" s="345">
        <v>437</v>
      </c>
    </row>
    <row r="439" spans="1:11" x14ac:dyDescent="0.2">
      <c r="A439" s="327"/>
      <c r="B439" s="324"/>
      <c r="C439" s="324"/>
      <c r="D439" s="330"/>
      <c r="E439" s="342"/>
      <c r="F439" s="159"/>
      <c r="G439" s="159"/>
      <c r="H439" s="135"/>
      <c r="I439" s="135"/>
      <c r="K439" s="345">
        <v>438</v>
      </c>
    </row>
    <row r="440" spans="1:11" x14ac:dyDescent="0.2">
      <c r="A440" s="327"/>
      <c r="B440" s="324"/>
      <c r="C440" s="324"/>
      <c r="D440" s="330"/>
      <c r="E440" s="342"/>
      <c r="F440" s="159"/>
      <c r="G440" s="159"/>
      <c r="H440" s="135"/>
      <c r="I440" s="135"/>
      <c r="K440" s="345">
        <v>439</v>
      </c>
    </row>
    <row r="441" spans="1:11" x14ac:dyDescent="0.2">
      <c r="A441" s="327"/>
      <c r="B441" s="324"/>
      <c r="C441" s="324"/>
      <c r="D441" s="330"/>
      <c r="E441" s="342"/>
      <c r="F441" s="159"/>
      <c r="G441" s="159"/>
      <c r="H441" s="135"/>
      <c r="I441" s="135"/>
      <c r="K441" s="345">
        <v>440</v>
      </c>
    </row>
    <row r="442" spans="1:11" x14ac:dyDescent="0.2">
      <c r="A442" s="327"/>
      <c r="B442" s="324"/>
      <c r="C442" s="324"/>
      <c r="D442" s="330"/>
      <c r="E442" s="342"/>
      <c r="F442" s="159"/>
      <c r="G442" s="159"/>
      <c r="H442" s="135"/>
      <c r="I442" s="135"/>
      <c r="K442" s="345">
        <v>441</v>
      </c>
    </row>
    <row r="443" spans="1:11" x14ac:dyDescent="0.2">
      <c r="A443" s="327"/>
      <c r="B443" s="324"/>
      <c r="C443" s="324"/>
      <c r="D443" s="330"/>
      <c r="E443" s="342"/>
      <c r="F443" s="159"/>
      <c r="G443" s="159"/>
      <c r="H443" s="135"/>
      <c r="I443" s="135"/>
      <c r="K443" s="345">
        <v>442</v>
      </c>
    </row>
    <row r="444" spans="1:11" x14ac:dyDescent="0.2">
      <c r="A444" s="327"/>
      <c r="B444" s="324"/>
      <c r="C444" s="324"/>
      <c r="D444" s="330"/>
      <c r="E444" s="342"/>
      <c r="F444" s="159"/>
      <c r="G444" s="159"/>
      <c r="H444" s="135"/>
      <c r="I444" s="135"/>
      <c r="K444" s="345">
        <v>443</v>
      </c>
    </row>
    <row r="445" spans="1:11" x14ac:dyDescent="0.2">
      <c r="A445" s="327"/>
      <c r="B445" s="324"/>
      <c r="C445" s="324"/>
      <c r="D445" s="330"/>
      <c r="E445" s="342"/>
      <c r="F445" s="159"/>
      <c r="G445" s="159"/>
      <c r="H445" s="135"/>
      <c r="I445" s="135"/>
      <c r="K445" s="345">
        <v>444</v>
      </c>
    </row>
    <row r="446" spans="1:11" x14ac:dyDescent="0.2">
      <c r="A446" s="327"/>
      <c r="B446" s="324"/>
      <c r="C446" s="324"/>
      <c r="D446" s="330"/>
      <c r="E446" s="342"/>
      <c r="F446" s="159"/>
      <c r="G446" s="159"/>
      <c r="H446" s="135"/>
      <c r="I446" s="135"/>
      <c r="K446" s="345">
        <v>445</v>
      </c>
    </row>
    <row r="447" spans="1:11" x14ac:dyDescent="0.2">
      <c r="A447" s="327"/>
      <c r="B447" s="324"/>
      <c r="C447" s="324"/>
      <c r="D447" s="330"/>
      <c r="E447" s="342"/>
      <c r="F447" s="159"/>
      <c r="G447" s="159"/>
      <c r="H447" s="135"/>
      <c r="I447" s="135"/>
      <c r="K447" s="345">
        <v>446</v>
      </c>
    </row>
    <row r="448" spans="1:11" x14ac:dyDescent="0.2">
      <c r="A448" s="327"/>
      <c r="B448" s="324"/>
      <c r="C448" s="324"/>
      <c r="D448" s="330"/>
      <c r="E448" s="342"/>
      <c r="F448" s="159"/>
      <c r="G448" s="159"/>
      <c r="H448" s="135"/>
      <c r="I448" s="135"/>
      <c r="K448" s="345">
        <v>447</v>
      </c>
    </row>
    <row r="449" spans="11:11" x14ac:dyDescent="0.2">
      <c r="K449" s="345">
        <v>448</v>
      </c>
    </row>
    <row r="450" spans="11:11" x14ac:dyDescent="0.2">
      <c r="K450" s="345">
        <v>449</v>
      </c>
    </row>
    <row r="451" spans="11:11" x14ac:dyDescent="0.2">
      <c r="K451" s="345">
        <v>450</v>
      </c>
    </row>
    <row r="452" spans="11:11" x14ac:dyDescent="0.2">
      <c r="K452" s="345">
        <v>451</v>
      </c>
    </row>
    <row r="453" spans="11:11" x14ac:dyDescent="0.2">
      <c r="K453" s="345">
        <v>452</v>
      </c>
    </row>
    <row r="454" spans="11:11" x14ac:dyDescent="0.2">
      <c r="K454" s="345">
        <v>453</v>
      </c>
    </row>
    <row r="455" spans="11:11" x14ac:dyDescent="0.2">
      <c r="K455" s="345">
        <v>454</v>
      </c>
    </row>
    <row r="456" spans="11:11" x14ac:dyDescent="0.2">
      <c r="K456" s="345">
        <v>455</v>
      </c>
    </row>
    <row r="457" spans="11:11" x14ac:dyDescent="0.2">
      <c r="K457" s="345">
        <v>456</v>
      </c>
    </row>
    <row r="458" spans="11:11" x14ac:dyDescent="0.2">
      <c r="K458" s="345">
        <v>457</v>
      </c>
    </row>
    <row r="459" spans="11:11" x14ac:dyDescent="0.2">
      <c r="K459" s="345">
        <v>458</v>
      </c>
    </row>
    <row r="460" spans="11:11" x14ac:dyDescent="0.2">
      <c r="K460" s="345">
        <v>459</v>
      </c>
    </row>
    <row r="461" spans="11:11" x14ac:dyDescent="0.2">
      <c r="K461" s="345">
        <v>460</v>
      </c>
    </row>
    <row r="462" spans="11:11" x14ac:dyDescent="0.2">
      <c r="K462" s="345">
        <v>461</v>
      </c>
    </row>
    <row r="463" spans="11:11" x14ac:dyDescent="0.2">
      <c r="K463" s="345">
        <v>462</v>
      </c>
    </row>
    <row r="464" spans="11:11" x14ac:dyDescent="0.2">
      <c r="K464" s="345">
        <v>463</v>
      </c>
    </row>
    <row r="465" spans="11:11" x14ac:dyDescent="0.2">
      <c r="K465" s="345">
        <v>464</v>
      </c>
    </row>
    <row r="466" spans="11:11" x14ac:dyDescent="0.2">
      <c r="K466" s="345">
        <v>465</v>
      </c>
    </row>
    <row r="467" spans="11:11" x14ac:dyDescent="0.2">
      <c r="K467" s="345">
        <v>466</v>
      </c>
    </row>
    <row r="468" spans="11:11" x14ac:dyDescent="0.2">
      <c r="K468" s="345">
        <v>467</v>
      </c>
    </row>
    <row r="469" spans="11:11" x14ac:dyDescent="0.2">
      <c r="K469" s="345">
        <v>468</v>
      </c>
    </row>
    <row r="470" spans="11:11" x14ac:dyDescent="0.2">
      <c r="K470" s="345">
        <v>469</v>
      </c>
    </row>
    <row r="471" spans="11:11" x14ac:dyDescent="0.2">
      <c r="K471" s="345">
        <v>470</v>
      </c>
    </row>
    <row r="472" spans="11:11" x14ac:dyDescent="0.2">
      <c r="K472" s="345">
        <v>471</v>
      </c>
    </row>
    <row r="473" spans="11:11" x14ac:dyDescent="0.2">
      <c r="K473" s="345">
        <v>472</v>
      </c>
    </row>
    <row r="474" spans="11:11" x14ac:dyDescent="0.2">
      <c r="K474" s="345">
        <v>473</v>
      </c>
    </row>
    <row r="475" spans="11:11" x14ac:dyDescent="0.2">
      <c r="K475" s="345">
        <v>474</v>
      </c>
    </row>
    <row r="476" spans="11:11" x14ac:dyDescent="0.2">
      <c r="K476" s="345">
        <v>475</v>
      </c>
    </row>
    <row r="477" spans="11:11" x14ac:dyDescent="0.2">
      <c r="K477" s="345">
        <v>476</v>
      </c>
    </row>
    <row r="478" spans="11:11" x14ac:dyDescent="0.2">
      <c r="K478" s="345">
        <v>477</v>
      </c>
    </row>
    <row r="479" spans="11:11" x14ac:dyDescent="0.2">
      <c r="K479" s="345">
        <v>478</v>
      </c>
    </row>
    <row r="480" spans="11:11" x14ac:dyDescent="0.2">
      <c r="K480" s="345">
        <v>479</v>
      </c>
    </row>
    <row r="481" spans="11:11" x14ac:dyDescent="0.2">
      <c r="K481" s="345">
        <v>480</v>
      </c>
    </row>
    <row r="482" spans="11:11" x14ac:dyDescent="0.2">
      <c r="K482" s="345">
        <v>481</v>
      </c>
    </row>
    <row r="483" spans="11:11" x14ac:dyDescent="0.2">
      <c r="K483" s="345">
        <v>482</v>
      </c>
    </row>
    <row r="484" spans="11:11" x14ac:dyDescent="0.2">
      <c r="K484" s="345">
        <v>483</v>
      </c>
    </row>
    <row r="485" spans="11:11" x14ac:dyDescent="0.2">
      <c r="K485" s="345">
        <v>484</v>
      </c>
    </row>
    <row r="486" spans="11:11" x14ac:dyDescent="0.2">
      <c r="K486" s="345">
        <v>485</v>
      </c>
    </row>
    <row r="487" spans="11:11" x14ac:dyDescent="0.2">
      <c r="K487" s="345">
        <v>486</v>
      </c>
    </row>
    <row r="488" spans="11:11" x14ac:dyDescent="0.2">
      <c r="K488" s="345">
        <v>487</v>
      </c>
    </row>
    <row r="489" spans="11:11" x14ac:dyDescent="0.2">
      <c r="K489" s="345">
        <v>488</v>
      </c>
    </row>
    <row r="490" spans="11:11" x14ac:dyDescent="0.2">
      <c r="K490" s="345">
        <v>489</v>
      </c>
    </row>
    <row r="491" spans="11:11" x14ac:dyDescent="0.2">
      <c r="K491" s="345">
        <v>490</v>
      </c>
    </row>
    <row r="492" spans="11:11" x14ac:dyDescent="0.2">
      <c r="K492" s="345">
        <v>491</v>
      </c>
    </row>
    <row r="493" spans="11:11" x14ac:dyDescent="0.2">
      <c r="K493" s="345">
        <v>492</v>
      </c>
    </row>
    <row r="494" spans="11:11" x14ac:dyDescent="0.2">
      <c r="K494" s="345">
        <v>493</v>
      </c>
    </row>
    <row r="495" spans="11:11" x14ac:dyDescent="0.2">
      <c r="K495" s="345">
        <v>494</v>
      </c>
    </row>
    <row r="496" spans="11:11" x14ac:dyDescent="0.2">
      <c r="K496" s="345">
        <v>495</v>
      </c>
    </row>
    <row r="497" spans="11:11" x14ac:dyDescent="0.2">
      <c r="K497" s="345">
        <v>496</v>
      </c>
    </row>
    <row r="498" spans="11:11" x14ac:dyDescent="0.2">
      <c r="K498" s="345">
        <v>497</v>
      </c>
    </row>
    <row r="499" spans="11:11" x14ac:dyDescent="0.2">
      <c r="K499" s="345">
        <v>498</v>
      </c>
    </row>
    <row r="500" spans="11:11" x14ac:dyDescent="0.2">
      <c r="K500" s="345">
        <v>499</v>
      </c>
    </row>
    <row r="501" spans="11:11" x14ac:dyDescent="0.2">
      <c r="K501" s="345">
        <v>500</v>
      </c>
    </row>
    <row r="502" spans="11:11" x14ac:dyDescent="0.2">
      <c r="K502" s="345">
        <v>501</v>
      </c>
    </row>
    <row r="503" spans="11:11" x14ac:dyDescent="0.2">
      <c r="K503" s="345">
        <v>502</v>
      </c>
    </row>
    <row r="504" spans="11:11" x14ac:dyDescent="0.2">
      <c r="K504" s="345">
        <v>503</v>
      </c>
    </row>
    <row r="505" spans="11:11" x14ac:dyDescent="0.2">
      <c r="K505" s="345">
        <v>504</v>
      </c>
    </row>
    <row r="506" spans="11:11" x14ac:dyDescent="0.2">
      <c r="K506" s="345">
        <v>505</v>
      </c>
    </row>
    <row r="507" spans="11:11" x14ac:dyDescent="0.2">
      <c r="K507" s="345">
        <v>506</v>
      </c>
    </row>
    <row r="508" spans="11:11" x14ac:dyDescent="0.2">
      <c r="K508" s="345">
        <v>507</v>
      </c>
    </row>
    <row r="509" spans="11:11" x14ac:dyDescent="0.2">
      <c r="K509" s="345">
        <v>508</v>
      </c>
    </row>
    <row r="510" spans="11:11" x14ac:dyDescent="0.2">
      <c r="K510" s="345">
        <v>509</v>
      </c>
    </row>
    <row r="511" spans="11:11" x14ac:dyDescent="0.2">
      <c r="K511" s="345">
        <v>510</v>
      </c>
    </row>
    <row r="512" spans="11:11" x14ac:dyDescent="0.2">
      <c r="K512" s="345">
        <v>511</v>
      </c>
    </row>
    <row r="513" spans="11:11" x14ac:dyDescent="0.2">
      <c r="K513" s="345">
        <v>512</v>
      </c>
    </row>
    <row r="514" spans="11:11" x14ac:dyDescent="0.2">
      <c r="K514" s="345">
        <v>513</v>
      </c>
    </row>
    <row r="515" spans="11:11" x14ac:dyDescent="0.2">
      <c r="K515" s="345">
        <v>514</v>
      </c>
    </row>
    <row r="516" spans="11:11" x14ac:dyDescent="0.2">
      <c r="K516" s="345">
        <v>515</v>
      </c>
    </row>
    <row r="517" spans="11:11" x14ac:dyDescent="0.2">
      <c r="K517" s="345">
        <v>516</v>
      </c>
    </row>
    <row r="518" spans="11:11" x14ac:dyDescent="0.2">
      <c r="K518" s="345">
        <v>517</v>
      </c>
    </row>
    <row r="519" spans="11:11" x14ac:dyDescent="0.2">
      <c r="K519" s="345">
        <v>518</v>
      </c>
    </row>
    <row r="520" spans="11:11" x14ac:dyDescent="0.2">
      <c r="K520" s="345">
        <v>519</v>
      </c>
    </row>
    <row r="521" spans="11:11" x14ac:dyDescent="0.2">
      <c r="K521" s="345">
        <v>520</v>
      </c>
    </row>
    <row r="522" spans="11:11" x14ac:dyDescent="0.2">
      <c r="K522" s="345">
        <v>521</v>
      </c>
    </row>
    <row r="523" spans="11:11" x14ac:dyDescent="0.2">
      <c r="K523" s="345">
        <v>522</v>
      </c>
    </row>
    <row r="524" spans="11:11" x14ac:dyDescent="0.2">
      <c r="K524" s="345">
        <v>523</v>
      </c>
    </row>
    <row r="525" spans="11:11" x14ac:dyDescent="0.2">
      <c r="K525" s="345">
        <v>524</v>
      </c>
    </row>
    <row r="526" spans="11:11" x14ac:dyDescent="0.2">
      <c r="K526" s="345">
        <v>525</v>
      </c>
    </row>
    <row r="527" spans="11:11" x14ac:dyDescent="0.2">
      <c r="K527" s="345">
        <v>526</v>
      </c>
    </row>
    <row r="528" spans="11:11" x14ac:dyDescent="0.2">
      <c r="K528" s="345">
        <v>527</v>
      </c>
    </row>
    <row r="529" spans="11:11" x14ac:dyDescent="0.2">
      <c r="K529" s="345">
        <v>528</v>
      </c>
    </row>
    <row r="530" spans="11:11" x14ac:dyDescent="0.2">
      <c r="K530" s="345">
        <v>529</v>
      </c>
    </row>
    <row r="531" spans="11:11" x14ac:dyDescent="0.2">
      <c r="K531" s="345">
        <v>530</v>
      </c>
    </row>
    <row r="532" spans="11:11" x14ac:dyDescent="0.2">
      <c r="K532" s="345">
        <v>531</v>
      </c>
    </row>
    <row r="533" spans="11:11" x14ac:dyDescent="0.2">
      <c r="K533" s="345">
        <v>532</v>
      </c>
    </row>
    <row r="534" spans="11:11" x14ac:dyDescent="0.2">
      <c r="K534" s="345">
        <v>533</v>
      </c>
    </row>
    <row r="535" spans="11:11" x14ac:dyDescent="0.2">
      <c r="K535" s="345">
        <v>534</v>
      </c>
    </row>
    <row r="536" spans="11:11" x14ac:dyDescent="0.2">
      <c r="K536" s="345">
        <v>535</v>
      </c>
    </row>
    <row r="537" spans="11:11" x14ac:dyDescent="0.2">
      <c r="K537" s="345">
        <v>536</v>
      </c>
    </row>
    <row r="538" spans="11:11" x14ac:dyDescent="0.2">
      <c r="K538" s="345">
        <v>537</v>
      </c>
    </row>
    <row r="539" spans="11:11" x14ac:dyDescent="0.2">
      <c r="K539" s="345">
        <v>538</v>
      </c>
    </row>
    <row r="540" spans="11:11" x14ac:dyDescent="0.2">
      <c r="K540" s="345">
        <v>539</v>
      </c>
    </row>
    <row r="541" spans="11:11" x14ac:dyDescent="0.2">
      <c r="K541" s="345">
        <v>540</v>
      </c>
    </row>
    <row r="542" spans="11:11" x14ac:dyDescent="0.2">
      <c r="K542" s="345">
        <v>541</v>
      </c>
    </row>
    <row r="543" spans="11:11" x14ac:dyDescent="0.2">
      <c r="K543" s="345">
        <v>542</v>
      </c>
    </row>
    <row r="544" spans="11:11" x14ac:dyDescent="0.2">
      <c r="K544" s="345">
        <v>543</v>
      </c>
    </row>
    <row r="545" spans="11:11" x14ac:dyDescent="0.2">
      <c r="K545" s="345">
        <v>544</v>
      </c>
    </row>
    <row r="546" spans="11:11" x14ac:dyDescent="0.2">
      <c r="K546" s="345">
        <v>545</v>
      </c>
    </row>
    <row r="547" spans="11:11" x14ac:dyDescent="0.2">
      <c r="K547" s="345">
        <v>546</v>
      </c>
    </row>
    <row r="548" spans="11:11" x14ac:dyDescent="0.2">
      <c r="K548" s="345">
        <v>547</v>
      </c>
    </row>
    <row r="549" spans="11:11" x14ac:dyDescent="0.2">
      <c r="K549" s="345">
        <v>548</v>
      </c>
    </row>
    <row r="550" spans="11:11" x14ac:dyDescent="0.2">
      <c r="K550" s="345">
        <v>549</v>
      </c>
    </row>
    <row r="551" spans="11:11" x14ac:dyDescent="0.2">
      <c r="K551" s="345">
        <v>550</v>
      </c>
    </row>
    <row r="552" spans="11:11" x14ac:dyDescent="0.2">
      <c r="K552" s="345">
        <v>551</v>
      </c>
    </row>
    <row r="553" spans="11:11" x14ac:dyDescent="0.2">
      <c r="K553" s="345">
        <v>552</v>
      </c>
    </row>
    <row r="554" spans="11:11" x14ac:dyDescent="0.2">
      <c r="K554" s="345">
        <v>553</v>
      </c>
    </row>
    <row r="555" spans="11:11" x14ac:dyDescent="0.2">
      <c r="K555" s="345">
        <v>554</v>
      </c>
    </row>
    <row r="556" spans="11:11" x14ac:dyDescent="0.2">
      <c r="K556" s="345">
        <v>555</v>
      </c>
    </row>
    <row r="557" spans="11:11" x14ac:dyDescent="0.2">
      <c r="K557" s="345">
        <v>556</v>
      </c>
    </row>
    <row r="558" spans="11:11" x14ac:dyDescent="0.2">
      <c r="K558" s="345">
        <v>557</v>
      </c>
    </row>
    <row r="559" spans="11:11" x14ac:dyDescent="0.2">
      <c r="K559" s="345">
        <v>558</v>
      </c>
    </row>
    <row r="560" spans="11:11" x14ac:dyDescent="0.2">
      <c r="K560" s="345">
        <v>559</v>
      </c>
    </row>
    <row r="561" spans="11:11" x14ac:dyDescent="0.2">
      <c r="K561" s="345">
        <v>560</v>
      </c>
    </row>
    <row r="562" spans="11:11" x14ac:dyDescent="0.2">
      <c r="K562" s="345">
        <v>561</v>
      </c>
    </row>
    <row r="563" spans="11:11" x14ac:dyDescent="0.2">
      <c r="K563" s="345">
        <v>562</v>
      </c>
    </row>
    <row r="564" spans="11:11" x14ac:dyDescent="0.2">
      <c r="K564" s="345">
        <v>563</v>
      </c>
    </row>
    <row r="565" spans="11:11" x14ac:dyDescent="0.2">
      <c r="K565" s="345">
        <v>564</v>
      </c>
    </row>
    <row r="566" spans="11:11" x14ac:dyDescent="0.2">
      <c r="K566" s="345">
        <v>565</v>
      </c>
    </row>
    <row r="567" spans="11:11" x14ac:dyDescent="0.2">
      <c r="K567" s="345">
        <v>566</v>
      </c>
    </row>
    <row r="568" spans="11:11" x14ac:dyDescent="0.2">
      <c r="K568" s="345">
        <v>567</v>
      </c>
    </row>
    <row r="569" spans="11:11" x14ac:dyDescent="0.2">
      <c r="K569" s="345">
        <v>568</v>
      </c>
    </row>
    <row r="570" spans="11:11" x14ac:dyDescent="0.2">
      <c r="K570" s="345">
        <v>569</v>
      </c>
    </row>
    <row r="571" spans="11:11" x14ac:dyDescent="0.2">
      <c r="K571" s="345">
        <v>570</v>
      </c>
    </row>
    <row r="572" spans="11:11" x14ac:dyDescent="0.2">
      <c r="K572" s="345">
        <v>571</v>
      </c>
    </row>
    <row r="573" spans="11:11" x14ac:dyDescent="0.2">
      <c r="K573" s="345">
        <v>572</v>
      </c>
    </row>
    <row r="574" spans="11:11" x14ac:dyDescent="0.2">
      <c r="K574" s="345">
        <v>573</v>
      </c>
    </row>
    <row r="575" spans="11:11" x14ac:dyDescent="0.2">
      <c r="K575" s="345">
        <v>574</v>
      </c>
    </row>
    <row r="576" spans="11:11" x14ac:dyDescent="0.2">
      <c r="K576" s="345">
        <v>575</v>
      </c>
    </row>
    <row r="577" spans="11:11" x14ac:dyDescent="0.2">
      <c r="K577" s="345">
        <v>576</v>
      </c>
    </row>
    <row r="578" spans="11:11" x14ac:dyDescent="0.2">
      <c r="K578" s="345">
        <v>577</v>
      </c>
    </row>
    <row r="579" spans="11:11" x14ac:dyDescent="0.2">
      <c r="K579" s="345">
        <v>578</v>
      </c>
    </row>
    <row r="580" spans="11:11" x14ac:dyDescent="0.2">
      <c r="K580" s="345">
        <v>579</v>
      </c>
    </row>
    <row r="581" spans="11:11" x14ac:dyDescent="0.2">
      <c r="K581" s="345">
        <v>580</v>
      </c>
    </row>
    <row r="582" spans="11:11" x14ac:dyDescent="0.2">
      <c r="K582" s="345">
        <v>581</v>
      </c>
    </row>
    <row r="583" spans="11:11" x14ac:dyDescent="0.2">
      <c r="K583" s="345">
        <v>582</v>
      </c>
    </row>
    <row r="584" spans="11:11" x14ac:dyDescent="0.2">
      <c r="K584" s="345">
        <v>583</v>
      </c>
    </row>
    <row r="585" spans="11:11" x14ac:dyDescent="0.2">
      <c r="K585" s="345">
        <v>584</v>
      </c>
    </row>
  </sheetData>
  <dataValidations count="79">
    <dataValidation type="custom" allowBlank="1" sqref="A9:G10 J9:J10" xr:uid="{2E4D0A22-623E-4050-ABF1-74C0E2C357B2}">
      <formula1>SUM(A9:WAK389)</formula1>
    </dataValidation>
    <dataValidation type="custom" allowBlank="1" sqref="A21:G29 J21:J29" xr:uid="{04F6DE33-96B7-49A7-A2FF-655C9B01C2F1}">
      <formula1>SUM(A21:WAK115)</formula1>
    </dataValidation>
    <dataValidation type="custom" allowBlank="1" sqref="A1:G1 J1 A6:G6 J6" xr:uid="{22DD4B0A-E5F1-435A-9721-37EA04E65223}">
      <formula1>SUM(A1:WAK384)</formula1>
    </dataValidation>
    <dataValidation type="custom" allowBlank="1" sqref="A8:G8 A4:G5 J8 J4:J5" xr:uid="{A2F82151-9044-4C05-8EAB-67B5DBC12D67}">
      <formula1>SUM(A4:WAK385)</formula1>
    </dataValidation>
    <dataValidation type="custom" allowBlank="1" sqref="A284 C284:G284" xr:uid="{BFDF5A21-C2FE-41D7-B97B-5493425FD8BD}">
      <formula1>SUM(A21:WAK114)</formula1>
    </dataValidation>
    <dataValidation type="custom" allowBlank="1" sqref="A7:G7 A2:G3 J7 J2:J3" xr:uid="{2F8E8BBF-904D-4AED-8BA6-31B063C42118}">
      <formula1>SUM(A2:WAK384)</formula1>
    </dataValidation>
    <dataValidation type="custom" allowBlank="1" sqref="A394:B444 D394:G444" xr:uid="{0921BC31-60D8-4C29-A7A9-C41CD973B336}">
      <formula1>SUM(A394:WAK465)</formula1>
    </dataValidation>
    <dataValidation type="custom" allowBlank="1" sqref="C394:C444" xr:uid="{7612C4E6-47D5-46DA-87D6-62C5EC5C1A59}">
      <formula1>SUM(C394:WAM462)</formula1>
    </dataValidation>
    <dataValidation type="custom" allowBlank="1" sqref="I8:I10" xr:uid="{EB423B44-EDE0-45F3-8978-31131BEC8A8C}">
      <formula1>SUM(B8:I389)</formula1>
    </dataValidation>
    <dataValidation type="custom" allowBlank="1" sqref="A11:G13 J11:J13" xr:uid="{186874D0-2809-4CEB-BF8E-B829582CE189}">
      <formula1>SUM(A11:WAK390)</formula1>
    </dataValidation>
    <dataValidation type="custom" allowBlank="1" sqref="A14:G16 J14:J16" xr:uid="{DB361C29-99E3-4758-86A7-857C2FFD5A72}">
      <formula1>SUM(A14:WAK391)</formula1>
    </dataValidation>
    <dataValidation type="custom" allowBlank="1" sqref="A30:G30 B31:B44 C31:G36 A31:A36 J30:J36" xr:uid="{6565A096-AB95-477B-A757-BE085F58DA13}">
      <formula1>SUM(A30:WAK393)</formula1>
    </dataValidation>
    <dataValidation type="custom" allowBlank="1" sqref="A17:G20 J17:J20" xr:uid="{8777677D-CFE5-4C05-A5CB-D2FCEC5CBC39}">
      <formula1>SUM(A17:WAK110)</formula1>
    </dataValidation>
    <dataValidation type="custom" allowBlank="1" sqref="B58 B73 A63:A73 C63:G73 B66:B67 B69:B71 B63:B64" xr:uid="{89D19637-205B-475B-A091-ACA04D7DE169}">
      <formula1>SUM(A58:WAK424)</formula1>
    </dataValidation>
    <dataValidation type="custom" allowBlank="1" sqref="B59 C58:G59 A58:A59 C37:G38 A37:A38" xr:uid="{E51C0DA6-D355-498E-986B-193799071A22}">
      <formula1>SUM(A37:WAK401)</formula1>
    </dataValidation>
    <dataValidation type="custom" allowBlank="1" sqref="A74:G79" xr:uid="{58E9445E-ACC1-4673-AF94-3E9B32DEA500}">
      <formula1>SUM(A74:WAK441)</formula1>
    </dataValidation>
    <dataValidation type="custom" allowBlank="1" sqref="A80:G88 B65 B68 B72" xr:uid="{15C33A91-05DE-4ABD-ADF1-7E0CCD05314A}">
      <formula1>SUM(A65:WAK433)</formula1>
    </dataValidation>
    <dataValidation type="custom" allowBlank="1" sqref="A391:G393" xr:uid="{456F70CA-F32D-4E20-B4F0-A880CF5B42C3}">
      <formula1>SUM(A391:WAK448)</formula1>
    </dataValidation>
    <dataValidation type="custom" allowBlank="1" sqref="D110:G123 A110:A123" xr:uid="{A2681EF0-CC98-4BA3-B22A-5A9ADD5957E5}">
      <formula1>SUM(A110:WAK451)</formula1>
    </dataValidation>
    <dataValidation type="custom" allowBlank="1" sqref="A390:G390" xr:uid="{D55E5C77-F80B-4A8D-A521-A09CDD08E527}">
      <formula1>SUM(A390:WAK448)</formula1>
    </dataValidation>
    <dataValidation type="custom" allowBlank="1" sqref="A291:E292 F291:G293" xr:uid="{9FB4205D-B0F9-4F17-9171-8E9515266498}">
      <formula1>SUM(A291:WAK448)</formula1>
    </dataValidation>
    <dataValidation type="custom" allowBlank="1" sqref="A276 C276:G276" xr:uid="{6B04EAE9-31D5-4087-80C5-8600EC22F55E}">
      <formula1>SUM(A276:WAK448)</formula1>
    </dataValidation>
    <dataValidation type="custom" allowBlank="1" sqref="A389:G389" xr:uid="{C20FDA59-51FD-4A9E-A75D-17BE7BB71648}">
      <formula1>SUM(A389:WAK448)</formula1>
    </dataValidation>
    <dataValidation type="custom" allowBlank="1" sqref="A378:G384" xr:uid="{7AC82BFC-A6C0-4B49-8E8D-5E62E15EA388}">
      <formula1>SUM(A378:WAK448)</formula1>
    </dataValidation>
    <dataValidation type="custom" allowBlank="1" sqref="A385:G387" xr:uid="{15F02E68-B24D-4392-AD4C-DAF6B6860EE1}">
      <formula1>SUM(A385:WAK448)</formula1>
    </dataValidation>
    <dataValidation type="custom" allowBlank="1" sqref="D179" xr:uid="{CC8ED2F8-62A9-4C5D-BF30-C9CAF0F7C216}">
      <formula1>SUM(D179:WAN448)</formula1>
    </dataValidation>
    <dataValidation type="custom" allowBlank="1" sqref="C274:G275 A274:A275" xr:uid="{AC14A605-2F48-4DA0-A679-8E992C697D29}">
      <formula1>SUM(A274:WAK448)</formula1>
    </dataValidation>
    <dataValidation type="custom" allowBlank="1" sqref="A388:G388" xr:uid="{88F3C05D-8205-4F85-8093-78F670F49EC4}">
      <formula1>SUM(A388:WAK448)</formula1>
    </dataValidation>
    <dataValidation type="custom" allowBlank="1" sqref="C268:G268 A268" xr:uid="{40B3E6EE-D6CC-46B0-A156-AA180C58C5E1}">
      <formula1>SUM(A268:WAK448)</formula1>
    </dataValidation>
    <dataValidation type="custom" allowBlank="1" sqref="A270:A273 C270:G273 B270:B282" xr:uid="{83B9CA15-119D-412B-B3DC-E96080BA7F93}">
      <formula1>SUM(A270:WAK448)</formula1>
    </dataValidation>
    <dataValidation type="custom" allowBlank="1" sqref="A285:G289" xr:uid="{9D25F885-C0AA-4396-8D66-2501C14EA77A}">
      <formula1>SUM(A285:WAK448)</formula1>
    </dataValidation>
    <dataValidation type="custom" allowBlank="1" sqref="A258:A267 C258:G267" xr:uid="{0E3A8B6E-C924-4975-9733-EC579BF899A4}">
      <formula1>SUM(A258:WAK448)</formula1>
    </dataValidation>
    <dataValidation type="custom" allowBlank="1" sqref="A374:G377" xr:uid="{BFB58A2E-576A-4F78-BAF0-FE9492EBBA66}">
      <formula1>SUM(A374:WAK448)</formula1>
    </dataValidation>
    <dataValidation type="custom" allowBlank="1" sqref="B266:B268" xr:uid="{8D9FEA0C-8D16-4410-8466-DDBC4F330ABA}">
      <formula1>SUM(B266:WAL448)</formula1>
    </dataValidation>
    <dataValidation type="custom" allowBlank="1" sqref="A89:G89" xr:uid="{0CDA035E-9106-4EB9-ABDA-B605E643DC16}">
      <formula1>SUM(A89:WAK448)</formula1>
    </dataValidation>
    <dataValidation type="custom" allowBlank="1" sqref="A359:G359" xr:uid="{EF4080E9-387F-496B-BC61-CDC54325440D}">
      <formula1>SUM(A359:WAK448)</formula1>
    </dataValidation>
    <dataValidation type="custom" allowBlank="1" sqref="A360:G373" xr:uid="{D9796396-86DF-4AA8-AA8E-1FE71D2BD64C}">
      <formula1>SUM(A360:WAK448)</formula1>
    </dataValidation>
    <dataValidation type="custom" allowBlank="1" sqref="A357:G358" xr:uid="{AC609760-DB54-4C36-87B1-959F224B3AF2}">
      <formula1>SUM(A357:WAK448)</formula1>
    </dataValidation>
    <dataValidation type="custom" allowBlank="1" sqref="A350:G352" xr:uid="{DA5CCE20-4FA1-4C43-BD85-9139EE5AE798}">
      <formula1>SUM(A350:WAK448)</formula1>
    </dataValidation>
    <dataValidation type="custom" allowBlank="1" sqref="C244:G251 A244:A251" xr:uid="{85697F44-EE28-41C5-A41F-308CC5BDBBB2}">
      <formula1>SUM(A244:WAK448)</formula1>
    </dataValidation>
    <dataValidation type="custom" allowBlank="1" sqref="B247:B265" xr:uid="{779DF3C1-AC51-465C-A8E5-45D49A883E66}">
      <formula1>SUM(B247:WAL448)</formula1>
    </dataValidation>
    <dataValidation type="custom" allowBlank="1" sqref="A348:G349" xr:uid="{FCD5D15A-5303-4D7F-955A-A0142E86575F}">
      <formula1>SUM(A348:WAK448)</formula1>
    </dataValidation>
    <dataValidation type="custom" allowBlank="1" sqref="A308:G312" xr:uid="{49F53B3B-FA63-44CC-AA9A-7BA0E0BCCCAE}">
      <formula1>SUM(A308:WAK448)</formula1>
    </dataValidation>
    <dataValidation type="custom" allowBlank="1" sqref="A314:G346" xr:uid="{05523791-F57E-44F0-8B46-3BC11BDDE634}">
      <formula1>SUM(A314:WAK448)</formula1>
    </dataValidation>
    <dataValidation type="custom" allowBlank="1" sqref="A313:G313" xr:uid="{9F360E95-4BB3-4A54-803D-97BE0F3D1FED}">
      <formula1>SUM(A313:WAK448)</formula1>
    </dataValidation>
    <dataValidation type="custom" allowBlank="1" sqref="A347:G347" xr:uid="{68C65E2E-52B6-4D86-AE98-BFF9A9669CB8}">
      <formula1>SUM(A347:WAK448)</formula1>
    </dataValidation>
    <dataValidation type="custom" allowBlank="1" sqref="B305:G307" xr:uid="{0F29C615-994F-4D21-93DC-FB4395A6CB31}">
      <formula1>SUM(B305:WAL448)</formula1>
    </dataValidation>
    <dataValidation type="custom" allowBlank="1" sqref="A353:G356" xr:uid="{E4F61F58-50F6-4424-9378-6CEA7E10DFD9}">
      <formula1>SUM(A353:WAK448)</formula1>
    </dataValidation>
    <dataValidation type="custom" allowBlank="1" sqref="A173:G174" xr:uid="{EA71FF25-4CB1-4E8B-B667-6F0B114E0555}">
      <formula1>SUM(A173:WAK448)</formula1>
    </dataValidation>
    <dataValidation type="custom" allowBlank="1" sqref="B216:B234 D216" xr:uid="{9D6B79CD-9D8D-44FC-BAE0-2FABE0F31E6C}">
      <formula1>SUM(B216:WAL448)</formula1>
    </dataValidation>
    <dataValidation type="custom" allowBlank="1" sqref="A213:A216 E213:G216 C213:C216" xr:uid="{BBBD0532-378D-4268-AFDD-E24A05F7D500}">
      <formula1>SUM(A213:WAK448)</formula1>
    </dataValidation>
    <dataValidation type="custom" allowBlank="1" sqref="E166:E167 B166:B167" xr:uid="{3EC11531-4982-4737-8723-B618B6EC6E96}">
      <formula1>SUM(B166:WAL448)</formula1>
    </dataValidation>
    <dataValidation type="custom" allowBlank="1" sqref="A168:G170" xr:uid="{08AB24F3-C762-4450-B0FC-FFCA882ADD9B}">
      <formula1>SUM(A168:WAK448)</formula1>
    </dataValidation>
    <dataValidation type="custom" allowBlank="1" sqref="D180:D184" xr:uid="{FC6ED658-9927-4A44-9352-D976FA4A00D3}">
      <formula1>SUM(D180:WAN448)</formula1>
    </dataValidation>
    <dataValidation type="custom" allowBlank="1" sqref="A207:A212 E207:G212 C207:C212" xr:uid="{460F9F7C-F323-449B-BBE9-B818A84B5294}">
      <formula1>SUM(A207:WAK448)</formula1>
    </dataValidation>
    <dataValidation type="custom" allowBlank="1" sqref="D208:D210" xr:uid="{84494545-FC1F-435D-9FA7-4719CB3751FB}">
      <formula1>SUM(D208:WAN448)</formula1>
    </dataValidation>
    <dataValidation type="custom" allowBlank="1" sqref="A175:C184 D175:D178 E175:G184" xr:uid="{C03BA6AC-1065-4BB2-888C-4613948DDC2E}">
      <formula1>SUM(A175:WAK448)</formula1>
    </dataValidation>
    <dataValidation type="custom" allowBlank="1" sqref="B185:B215 A185:A206 D185:D207 E185:G206 C185:C206" xr:uid="{4F613A83-A226-4BCA-B874-58432515E3F5}">
      <formula1>SUM(A185:WAK448)</formula1>
    </dataValidation>
    <dataValidation type="custom" allowBlank="1" sqref="D211:D215" xr:uid="{C4C7A926-32F9-4029-B055-4BA3B0EDF7DA}">
      <formula1>SUM(D211:WAN448)</formula1>
    </dataValidation>
    <dataValidation type="custom" allowBlank="1" sqref="A171:G172" xr:uid="{A06C49C7-C340-4AC4-9770-D2CD326BCFB0}">
      <formula1>SUM(A171:WAK448)</formula1>
    </dataValidation>
    <dataValidation type="custom" allowBlank="1" sqref="A290:G290" xr:uid="{F9986732-48D3-451E-B10D-B66AAEF90ACE}">
      <formula1>SUM(A290:WAK448)</formula1>
    </dataValidation>
    <dataValidation type="custom" allowBlank="1" sqref="C252:G257 A252:A257" xr:uid="{616B5EEE-BF12-4307-B5EC-F79BA4BD3E73}">
      <formula1>SUM(A252:WAK448)</formula1>
    </dataValidation>
    <dataValidation type="custom" allowBlank="1" sqref="A293:A307 B293:E304" xr:uid="{AC13C0C1-BB08-4C66-8839-AF7E99397850}">
      <formula1>SUM(A293:WAK448)</formula1>
    </dataValidation>
    <dataValidation type="custom" allowBlank="1" sqref="F294:G300" xr:uid="{D87F35FE-1C3D-44BA-B917-6498947CEE6E}">
      <formula1>SUM(F294:WAP448)</formula1>
    </dataValidation>
    <dataValidation type="custom" allowBlank="1" sqref="F301:G304" xr:uid="{998AA9FA-12FD-4AB8-A4E3-E582056ABBA8}">
      <formula1>SUM(F301:WAP448)</formula1>
    </dataValidation>
    <dataValidation type="custom" allowBlank="1" sqref="C277:G283 A277:A283" xr:uid="{7F8B6A8D-7AF3-4E9E-8BBE-3B193596338C}">
      <formula1>SUM(A277:WAK448)</formula1>
    </dataValidation>
    <dataValidation type="custom" allowBlank="1" sqref="B283:B284" xr:uid="{2415FE67-A4A5-4C03-AA6D-EC4DFB85A0F1}">
      <formula1>SUM(B283:WAL448)</formula1>
    </dataValidation>
    <dataValidation type="custom" allowBlank="1" sqref="A269:G269" xr:uid="{E6DE3D63-99BF-4EF5-B327-E8E24FD80649}">
      <formula1>SUM(A266:WAK448)</formula1>
    </dataValidation>
    <dataValidation type="custom" allowBlank="1" sqref="A239:A243 C239:G243" xr:uid="{C9568D51-B9D0-4A19-95D4-97F91DBDD37B}">
      <formula1>SUM(A239:WAK448)</formula1>
    </dataValidation>
    <dataValidation type="custom" allowBlank="1" sqref="B235" xr:uid="{AA428396-9D3D-4C8E-9FB2-9EE2E1B78AF2}">
      <formula1>SUM(B235:WAL448)</formula1>
    </dataValidation>
    <dataValidation type="custom" allowBlank="1" sqref="C228:G235 A228:A235" xr:uid="{9A574D90-B122-4400-AB48-32EB038F91D8}">
      <formula1>SUM(A228:WAK448)</formula1>
    </dataValidation>
    <dataValidation type="custom" allowBlank="1" sqref="A236:A238 B236:B246 C236:G238" xr:uid="{6D38F2B8-C877-431F-BACE-684A61D8A514}">
      <formula1>SUM(A236:WAK448)</formula1>
    </dataValidation>
    <dataValidation type="custom" allowBlank="1" sqref="A217:A227 C217:G227" xr:uid="{CEC3A441-7A07-4623-9936-9FFE80452633}">
      <formula1>SUM(A217:WAK448)</formula1>
    </dataValidation>
    <dataValidation type="custom" allowBlank="1" sqref="F146:G167 E146:E165 A146:A167 B146:B165 C146:D167" xr:uid="{776686AF-27B8-4C38-A5DF-AB36B3BBBEA5}">
      <formula1>SUM(A146:WAK448)</formula1>
    </dataValidation>
    <dataValidation type="custom" allowBlank="1" sqref="A94:G94" xr:uid="{6DBB807F-FAC4-4FEF-9D82-F01282A732E2}">
      <formula1>SUM(A94:WAK448)</formula1>
    </dataValidation>
    <dataValidation type="custom" allowBlank="1" sqref="A60:G62 A39:A57 C39:G57 B45:B57" xr:uid="{2995F017-DCC2-4C98-A9AD-BE6331B59EEF}">
      <formula1>SUM(A39:WAK404)</formula1>
    </dataValidation>
    <dataValidation type="custom" allowBlank="1" sqref="A95:G109 B110:C123" xr:uid="{DE5CEBF0-22AD-4F44-B97F-7006133D309E}">
      <formula1>SUM(A95:WAK448)</formula1>
    </dataValidation>
    <dataValidation type="custom" allowBlank="1" sqref="A124:G145" xr:uid="{9994D0AA-F9DF-483C-B0E3-F7164B09FA55}">
      <formula1>SUM(A124:WAK463)</formula1>
    </dataValidation>
    <dataValidation type="custom" allowBlank="1" sqref="A90:G93" xr:uid="{4879B68E-3025-4983-BC30-F50FA8189AB0}">
      <formula1>SUM(A90:WAK448)</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xr:uid="{38C05714-1E60-4827-AC22-EC9D9D724A63}">
          <x14:formula1>
            <xm:f>TCBACS!$C$4</xm:f>
          </x14:formula1>
          <xm:sqref>A445:G448</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ublished="0" codeName="Feuil5">
    <pageSetUpPr fitToPage="1"/>
  </sheetPr>
  <dimension ref="A1:J28"/>
  <sheetViews>
    <sheetView zoomScale="70" zoomScaleNormal="70" workbookViewId="0">
      <selection activeCell="I1" sqref="I1"/>
    </sheetView>
  </sheetViews>
  <sheetFormatPr baseColWidth="10" defaultRowHeight="14.25" x14ac:dyDescent="0.2"/>
  <cols>
    <col min="1" max="1" width="37.5" customWidth="1"/>
    <col min="2" max="2" width="19.125" customWidth="1"/>
    <col min="3" max="4" width="10.625" customWidth="1"/>
    <col min="5" max="5" width="58" customWidth="1"/>
    <col min="6" max="773" width="10.625" customWidth="1"/>
  </cols>
  <sheetData>
    <row r="1" spans="1:10" ht="69.599999999999994" customHeight="1" x14ac:dyDescent="0.2">
      <c r="A1" s="144" t="s">
        <v>367</v>
      </c>
      <c r="B1" s="144" t="s">
        <v>235</v>
      </c>
      <c r="C1" s="144" t="s">
        <v>236</v>
      </c>
      <c r="D1" s="146" t="s">
        <v>238</v>
      </c>
      <c r="E1" s="144" t="s">
        <v>368</v>
      </c>
      <c r="F1" s="144" t="s">
        <v>369</v>
      </c>
      <c r="G1" s="135"/>
      <c r="H1" s="135"/>
      <c r="I1" s="135"/>
    </row>
    <row r="2" spans="1:10" ht="22.35" customHeight="1" x14ac:dyDescent="0.2">
      <c r="A2" s="161" t="s">
        <v>373</v>
      </c>
      <c r="B2" s="148" t="s">
        <v>1168</v>
      </c>
      <c r="C2" s="148" t="s">
        <v>74</v>
      </c>
      <c r="D2" s="160">
        <v>0.05</v>
      </c>
      <c r="E2" s="148" t="s">
        <v>375</v>
      </c>
      <c r="F2" s="148"/>
      <c r="G2" s="135"/>
      <c r="H2" s="135"/>
      <c r="I2" s="135"/>
      <c r="J2" s="148" t="s">
        <v>1168</v>
      </c>
    </row>
    <row r="3" spans="1:10" ht="32.85" customHeight="1" x14ac:dyDescent="0.2">
      <c r="A3" s="161" t="s">
        <v>379</v>
      </c>
      <c r="B3" s="148" t="s">
        <v>1168</v>
      </c>
      <c r="C3" s="148" t="s">
        <v>70</v>
      </c>
      <c r="D3" s="160">
        <v>0.3</v>
      </c>
      <c r="E3" s="148"/>
      <c r="F3" s="148"/>
      <c r="G3" s="135"/>
      <c r="H3" s="135"/>
      <c r="I3" s="135"/>
      <c r="J3" s="148" t="s">
        <v>1169</v>
      </c>
    </row>
    <row r="4" spans="1:10" ht="32.85" customHeight="1" x14ac:dyDescent="0.2">
      <c r="A4" s="161" t="s">
        <v>384</v>
      </c>
      <c r="B4" s="148" t="s">
        <v>1169</v>
      </c>
      <c r="C4" s="148" t="s">
        <v>52</v>
      </c>
      <c r="D4" s="160">
        <v>0.08</v>
      </c>
      <c r="E4" s="148"/>
      <c r="F4" s="148" t="s">
        <v>385</v>
      </c>
      <c r="G4" s="135"/>
      <c r="H4" s="135"/>
      <c r="I4" s="135"/>
      <c r="J4" s="148" t="s">
        <v>1170</v>
      </c>
    </row>
    <row r="5" spans="1:10" ht="28.5" x14ac:dyDescent="0.2">
      <c r="A5" s="161" t="s">
        <v>390</v>
      </c>
      <c r="B5" s="148" t="s">
        <v>1169</v>
      </c>
      <c r="C5" s="148" t="s">
        <v>52</v>
      </c>
      <c r="D5" s="160">
        <v>0.2</v>
      </c>
      <c r="E5" s="148" t="s">
        <v>391</v>
      </c>
      <c r="F5" s="148"/>
      <c r="G5" s="135"/>
      <c r="H5" s="135"/>
      <c r="I5" s="135"/>
      <c r="J5" s="148" t="s">
        <v>1171</v>
      </c>
    </row>
    <row r="6" spans="1:10" ht="42.75" x14ac:dyDescent="0.2">
      <c r="A6" s="161" t="s">
        <v>376</v>
      </c>
      <c r="B6" s="148" t="s">
        <v>1170</v>
      </c>
      <c r="C6" s="148" t="s">
        <v>25</v>
      </c>
      <c r="D6" s="160">
        <v>0.25</v>
      </c>
      <c r="E6" s="148"/>
      <c r="F6" s="148" t="s">
        <v>377</v>
      </c>
      <c r="G6" s="135"/>
      <c r="H6" s="135"/>
      <c r="I6" s="135"/>
      <c r="J6" s="148" t="s">
        <v>1172</v>
      </c>
    </row>
    <row r="7" spans="1:10" x14ac:dyDescent="0.2">
      <c r="A7" s="161" t="s">
        <v>378</v>
      </c>
      <c r="B7" s="148" t="s">
        <v>1170</v>
      </c>
      <c r="C7" s="153" t="s">
        <v>25</v>
      </c>
      <c r="D7" s="162">
        <v>0.25</v>
      </c>
      <c r="E7" s="148"/>
      <c r="F7" s="148" t="s">
        <v>377</v>
      </c>
      <c r="G7" s="3"/>
      <c r="H7" s="3"/>
      <c r="I7" s="3"/>
      <c r="J7" s="1396"/>
    </row>
    <row r="8" spans="1:10" x14ac:dyDescent="0.2">
      <c r="A8" s="161" t="s">
        <v>383</v>
      </c>
      <c r="B8" s="148" t="s">
        <v>1170</v>
      </c>
      <c r="C8" s="148" t="s">
        <v>42</v>
      </c>
      <c r="D8" s="160">
        <v>0.25</v>
      </c>
      <c r="E8" s="148"/>
      <c r="F8" s="148"/>
      <c r="G8" s="3"/>
      <c r="H8" s="3"/>
      <c r="I8" s="3"/>
    </row>
    <row r="9" spans="1:10" x14ac:dyDescent="0.2">
      <c r="A9" s="161" t="s">
        <v>405</v>
      </c>
      <c r="B9" s="148" t="s">
        <v>1170</v>
      </c>
      <c r="C9" s="148" t="s">
        <v>52</v>
      </c>
      <c r="D9" s="151">
        <v>0.08</v>
      </c>
      <c r="E9" s="148"/>
      <c r="F9" s="148"/>
      <c r="G9" s="3"/>
      <c r="H9" s="3"/>
      <c r="I9" s="3"/>
    </row>
    <row r="10" spans="1:10" ht="28.5" x14ac:dyDescent="0.2">
      <c r="A10" s="161" t="s">
        <v>1244</v>
      </c>
      <c r="B10" s="148" t="s">
        <v>1171</v>
      </c>
      <c r="C10" s="148" t="s">
        <v>42</v>
      </c>
      <c r="D10" s="151">
        <v>0.25</v>
      </c>
      <c r="E10" s="148"/>
      <c r="F10" s="148"/>
      <c r="G10" s="3"/>
      <c r="H10" s="3"/>
      <c r="I10" s="3"/>
    </row>
    <row r="11" spans="1:10" ht="42.75" x14ac:dyDescent="0.2">
      <c r="A11" s="161" t="s">
        <v>386</v>
      </c>
      <c r="B11" s="148" t="s">
        <v>1171</v>
      </c>
      <c r="C11" s="148" t="s">
        <v>52</v>
      </c>
      <c r="D11" s="160">
        <v>0.08</v>
      </c>
      <c r="E11" s="148"/>
      <c r="F11" s="148" t="s">
        <v>387</v>
      </c>
      <c r="G11" s="3"/>
      <c r="H11" s="3"/>
      <c r="I11" s="3"/>
    </row>
    <row r="12" spans="1:10" ht="28.5" x14ac:dyDescent="0.2">
      <c r="A12" s="161" t="s">
        <v>370</v>
      </c>
      <c r="B12" s="148" t="s">
        <v>1172</v>
      </c>
      <c r="C12" s="148" t="s">
        <v>74</v>
      </c>
      <c r="D12" s="160">
        <v>0.05</v>
      </c>
      <c r="E12" s="148"/>
      <c r="F12" s="148"/>
      <c r="G12" s="3"/>
      <c r="H12" s="3"/>
      <c r="I12" s="3"/>
    </row>
    <row r="13" spans="1:10" ht="28.5" x14ac:dyDescent="0.2">
      <c r="A13" s="161" t="s">
        <v>102</v>
      </c>
      <c r="B13" s="148" t="s">
        <v>1172</v>
      </c>
      <c r="C13" s="148" t="s">
        <v>70</v>
      </c>
      <c r="D13" s="160">
        <v>0.25</v>
      </c>
      <c r="E13" s="148" t="s">
        <v>372</v>
      </c>
      <c r="F13" s="148"/>
      <c r="G13" s="3"/>
      <c r="H13" s="3"/>
      <c r="I13" s="3"/>
    </row>
    <row r="14" spans="1:10" ht="28.5" x14ac:dyDescent="0.2">
      <c r="A14" s="161" t="s">
        <v>380</v>
      </c>
      <c r="B14" s="148" t="s">
        <v>1172</v>
      </c>
      <c r="C14" s="147" t="s">
        <v>42</v>
      </c>
      <c r="D14" s="160">
        <v>0.5</v>
      </c>
      <c r="E14" s="148"/>
      <c r="F14" s="148"/>
      <c r="G14" s="3"/>
      <c r="H14" s="3"/>
      <c r="I14" s="3"/>
    </row>
    <row r="15" spans="1:10" ht="28.5" x14ac:dyDescent="0.2">
      <c r="A15" s="161" t="s">
        <v>381</v>
      </c>
      <c r="B15" s="148" t="s">
        <v>1172</v>
      </c>
      <c r="C15" s="147" t="s">
        <v>42</v>
      </c>
      <c r="D15" s="160">
        <v>0.75</v>
      </c>
      <c r="E15" s="148"/>
      <c r="F15" s="148"/>
      <c r="G15" s="3"/>
      <c r="H15" s="3"/>
      <c r="I15" s="3"/>
    </row>
    <row r="16" spans="1:10" ht="28.5" x14ac:dyDescent="0.2">
      <c r="A16" s="161" t="s">
        <v>382</v>
      </c>
      <c r="B16" s="148" t="s">
        <v>1172</v>
      </c>
      <c r="C16" s="148" t="s">
        <v>42</v>
      </c>
      <c r="D16" s="160">
        <v>1</v>
      </c>
      <c r="E16" s="148"/>
      <c r="F16" s="148"/>
      <c r="G16" s="135"/>
      <c r="H16" s="135"/>
      <c r="I16" s="135"/>
    </row>
    <row r="17" spans="1:9" ht="28.5" x14ac:dyDescent="0.2">
      <c r="A17" s="161" t="s">
        <v>388</v>
      </c>
      <c r="B17" s="148" t="s">
        <v>1172</v>
      </c>
      <c r="C17" s="148" t="s">
        <v>42</v>
      </c>
      <c r="D17" s="160">
        <v>0.5</v>
      </c>
      <c r="E17" s="148"/>
      <c r="F17" s="148"/>
      <c r="G17" s="3"/>
      <c r="H17" s="3"/>
      <c r="I17" s="3"/>
    </row>
    <row r="18" spans="1:9" ht="28.5" x14ac:dyDescent="0.2">
      <c r="A18" s="161" t="s">
        <v>389</v>
      </c>
      <c r="B18" s="148" t="s">
        <v>1172</v>
      </c>
      <c r="C18" s="148" t="s">
        <v>70</v>
      </c>
      <c r="D18" s="160">
        <v>0.5</v>
      </c>
      <c r="E18" s="148"/>
      <c r="F18" s="148"/>
      <c r="G18" s="3"/>
      <c r="H18" s="3"/>
      <c r="I18" s="3"/>
    </row>
    <row r="19" spans="1:9" ht="28.5" x14ac:dyDescent="0.2">
      <c r="A19" s="161" t="s">
        <v>392</v>
      </c>
      <c r="B19" s="148" t="s">
        <v>1172</v>
      </c>
      <c r="C19" s="148" t="s">
        <v>52</v>
      </c>
      <c r="D19" s="160">
        <v>0.15</v>
      </c>
      <c r="E19" s="148" t="s">
        <v>393</v>
      </c>
      <c r="F19" s="148"/>
      <c r="G19" s="3"/>
      <c r="H19" s="3"/>
      <c r="I19" s="3"/>
    </row>
    <row r="20" spans="1:9" ht="28.5" x14ac:dyDescent="0.2">
      <c r="A20" s="161" t="s">
        <v>394</v>
      </c>
      <c r="B20" s="148" t="s">
        <v>1172</v>
      </c>
      <c r="C20" s="148" t="s">
        <v>52</v>
      </c>
      <c r="D20" s="160">
        <v>7.4999999999999997E-2</v>
      </c>
      <c r="E20" s="148" t="s">
        <v>395</v>
      </c>
      <c r="F20" s="148"/>
      <c r="G20" s="3"/>
      <c r="H20" s="3"/>
      <c r="I20" s="3"/>
    </row>
    <row r="21" spans="1:9" ht="28.5" x14ac:dyDescent="0.2">
      <c r="A21" s="161" t="s">
        <v>396</v>
      </c>
      <c r="B21" s="148" t="s">
        <v>1172</v>
      </c>
      <c r="C21" s="148" t="s">
        <v>42</v>
      </c>
      <c r="D21" s="160">
        <v>0.25</v>
      </c>
      <c r="E21" s="148"/>
      <c r="F21" s="148"/>
      <c r="G21" s="3"/>
      <c r="H21" s="3"/>
      <c r="I21" s="3"/>
    </row>
    <row r="22" spans="1:9" ht="28.5" x14ac:dyDescent="0.2">
      <c r="A22" s="161" t="s">
        <v>397</v>
      </c>
      <c r="B22" s="148" t="s">
        <v>1172</v>
      </c>
      <c r="C22" s="148" t="s">
        <v>42</v>
      </c>
      <c r="D22" s="160">
        <v>0.15</v>
      </c>
      <c r="E22" s="148"/>
      <c r="F22" s="148"/>
      <c r="G22" s="3"/>
      <c r="H22" s="3"/>
      <c r="I22" s="3"/>
    </row>
    <row r="23" spans="1:9" ht="28.5" x14ac:dyDescent="0.2">
      <c r="A23" s="161" t="s">
        <v>398</v>
      </c>
      <c r="B23" s="148" t="s">
        <v>1172</v>
      </c>
      <c r="C23" s="148" t="s">
        <v>42</v>
      </c>
      <c r="D23" s="160">
        <v>0.25</v>
      </c>
      <c r="E23" s="148"/>
      <c r="F23" s="148" t="s">
        <v>399</v>
      </c>
      <c r="G23" s="3"/>
      <c r="H23" s="3"/>
      <c r="I23" s="3"/>
    </row>
    <row r="24" spans="1:9" ht="28.5" x14ac:dyDescent="0.2">
      <c r="A24" s="161" t="s">
        <v>400</v>
      </c>
      <c r="B24" s="148" t="s">
        <v>1172</v>
      </c>
      <c r="C24" s="148" t="s">
        <v>401</v>
      </c>
      <c r="D24" s="160">
        <v>2.5000000000000001E-2</v>
      </c>
      <c r="E24" s="148" t="s">
        <v>402</v>
      </c>
      <c r="F24" s="148"/>
      <c r="G24" s="3"/>
      <c r="H24" s="3"/>
      <c r="I24" s="3"/>
    </row>
    <row r="25" spans="1:9" ht="28.5" x14ac:dyDescent="0.2">
      <c r="A25" s="161" t="s">
        <v>1245</v>
      </c>
      <c r="B25" s="148" t="s">
        <v>1172</v>
      </c>
      <c r="C25" s="148" t="s">
        <v>42</v>
      </c>
      <c r="D25" s="160">
        <v>0.5</v>
      </c>
      <c r="E25" s="148" t="s">
        <v>1246</v>
      </c>
      <c r="F25" s="148"/>
      <c r="G25" s="3"/>
      <c r="H25" s="3"/>
      <c r="I25" s="3"/>
    </row>
    <row r="26" spans="1:9" ht="28.5" x14ac:dyDescent="0.2">
      <c r="A26" s="161" t="s">
        <v>1203</v>
      </c>
      <c r="B26" s="148" t="s">
        <v>1172</v>
      </c>
      <c r="C26" s="148" t="s">
        <v>52</v>
      </c>
      <c r="D26" s="160">
        <v>0.05</v>
      </c>
      <c r="E26" s="148"/>
      <c r="F26" s="148"/>
      <c r="G26" s="3"/>
      <c r="H26" s="3"/>
      <c r="I26" s="3"/>
    </row>
    <row r="27" spans="1:9" ht="28.5" x14ac:dyDescent="0.2">
      <c r="A27" s="161" t="s">
        <v>1285</v>
      </c>
      <c r="B27" s="148" t="s">
        <v>1172</v>
      </c>
      <c r="C27" s="148" t="s">
        <v>52</v>
      </c>
      <c r="D27" s="160">
        <v>0.2</v>
      </c>
      <c r="E27" s="148" t="s">
        <v>1284</v>
      </c>
      <c r="F27" s="148"/>
      <c r="G27" s="3"/>
      <c r="H27" s="3"/>
      <c r="I27" s="3"/>
    </row>
    <row r="28" spans="1:9" ht="28.5" x14ac:dyDescent="0.2">
      <c r="A28" s="161" t="s">
        <v>403</v>
      </c>
      <c r="B28" s="148" t="s">
        <v>1172</v>
      </c>
      <c r="C28" s="148" t="s">
        <v>52</v>
      </c>
      <c r="D28" s="151">
        <v>0.2</v>
      </c>
      <c r="E28" s="148" t="s">
        <v>404</v>
      </c>
      <c r="F28" s="148"/>
      <c r="G28" s="3"/>
      <c r="H28" s="3"/>
      <c r="I28" s="3"/>
    </row>
  </sheetData>
  <pageMargins left="0.70000000000000007" right="0.70000000000000007" top="1.1437007874015745" bottom="1.1437007874015745" header="0.74999999999999989" footer="0.74999999999999989"/>
  <pageSetup paperSize="9" scale="63" fitToHeight="0" orientation="landscape" r:id="rId1"/>
  <headerFooter alignWithMargins="0"/>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ublished="0" codeName="Feuil6">
    <pageSetUpPr fitToPage="1"/>
  </sheetPr>
  <dimension ref="A1:K250"/>
  <sheetViews>
    <sheetView topLeftCell="C1" zoomScale="115" zoomScaleNormal="115" workbookViewId="0">
      <pane ySplit="1" topLeftCell="A2" activePane="bottomLeft" state="frozen"/>
      <selection pane="bottomLeft" activeCell="H1" sqref="H1:H87"/>
    </sheetView>
  </sheetViews>
  <sheetFormatPr baseColWidth="10" defaultRowHeight="14.25" x14ac:dyDescent="0.2"/>
  <cols>
    <col min="1" max="1" width="46.625" customWidth="1"/>
    <col min="2" max="2" width="29" customWidth="1"/>
    <col min="3" max="3" width="10.625" customWidth="1"/>
    <col min="4" max="4" width="15.125" customWidth="1"/>
    <col min="5" max="5" width="67.625" customWidth="1"/>
    <col min="6" max="6" width="19.125" customWidth="1"/>
    <col min="7" max="7" width="10.625" customWidth="1"/>
    <col min="8" max="8" width="29" style="345" customWidth="1"/>
    <col min="9" max="10" width="10.625" customWidth="1"/>
    <col min="11" max="11" width="10.625" style="1751" customWidth="1"/>
    <col min="12" max="778" width="10.625" customWidth="1"/>
  </cols>
  <sheetData>
    <row r="1" spans="1:11" ht="69.599999999999994" customHeight="1" x14ac:dyDescent="0.2">
      <c r="A1" s="163" t="s">
        <v>367</v>
      </c>
      <c r="B1" s="144" t="s">
        <v>235</v>
      </c>
      <c r="C1" s="144" t="s">
        <v>236</v>
      </c>
      <c r="D1" s="164" t="s">
        <v>406</v>
      </c>
      <c r="E1" s="144" t="s">
        <v>368</v>
      </c>
      <c r="F1" s="135"/>
      <c r="G1" s="135"/>
      <c r="H1" s="144" t="s">
        <v>235</v>
      </c>
      <c r="I1" s="135"/>
      <c r="J1" s="135"/>
      <c r="K1" s="1751" t="s">
        <v>1845</v>
      </c>
    </row>
    <row r="2" spans="1:11" ht="15" x14ac:dyDescent="0.2">
      <c r="A2" s="166" t="s">
        <v>990</v>
      </c>
      <c r="B2" s="147" t="s">
        <v>1164</v>
      </c>
      <c r="C2" s="148" t="s">
        <v>42</v>
      </c>
      <c r="D2" s="150">
        <v>0.25</v>
      </c>
      <c r="E2" s="147" t="s">
        <v>991</v>
      </c>
      <c r="F2" s="135"/>
      <c r="G2" s="135"/>
      <c r="H2" s="147" t="s">
        <v>1164</v>
      </c>
      <c r="I2" s="135"/>
      <c r="K2" s="135">
        <v>1</v>
      </c>
    </row>
    <row r="3" spans="1:11" ht="15" x14ac:dyDescent="0.2">
      <c r="A3" s="166" t="s">
        <v>1017</v>
      </c>
      <c r="B3" s="147" t="s">
        <v>1164</v>
      </c>
      <c r="C3" s="148" t="s">
        <v>52</v>
      </c>
      <c r="D3" s="150">
        <v>0.02</v>
      </c>
      <c r="E3" s="147" t="s">
        <v>1018</v>
      </c>
      <c r="F3" s="3"/>
      <c r="G3" s="3"/>
      <c r="H3" s="147" t="s">
        <v>1163</v>
      </c>
      <c r="I3" s="3"/>
      <c r="K3" s="112">
        <v>2</v>
      </c>
    </row>
    <row r="4" spans="1:11" ht="15" x14ac:dyDescent="0.2">
      <c r="A4" s="166" t="s">
        <v>998</v>
      </c>
      <c r="B4" s="147" t="s">
        <v>1164</v>
      </c>
      <c r="C4" s="148" t="s">
        <v>42</v>
      </c>
      <c r="D4" s="150">
        <v>1</v>
      </c>
      <c r="E4" s="147" t="s">
        <v>999</v>
      </c>
      <c r="F4" s="3"/>
      <c r="G4" s="3"/>
      <c r="H4" s="147" t="s">
        <v>1162</v>
      </c>
      <c r="I4" s="3"/>
      <c r="K4" s="112">
        <v>3</v>
      </c>
    </row>
    <row r="5" spans="1:11" ht="15" x14ac:dyDescent="0.2">
      <c r="A5" s="166" t="s">
        <v>992</v>
      </c>
      <c r="B5" s="147" t="s">
        <v>1164</v>
      </c>
      <c r="C5" s="148" t="s">
        <v>42</v>
      </c>
      <c r="D5" s="150">
        <v>0.5</v>
      </c>
      <c r="E5" s="147" t="s">
        <v>993</v>
      </c>
      <c r="F5" s="3"/>
      <c r="G5" s="3"/>
      <c r="H5" s="147" t="s">
        <v>1161</v>
      </c>
      <c r="I5" s="3"/>
      <c r="K5" s="135">
        <v>4</v>
      </c>
    </row>
    <row r="6" spans="1:11" ht="30" x14ac:dyDescent="0.2">
      <c r="A6" s="166" t="s">
        <v>987</v>
      </c>
      <c r="B6" s="147" t="s">
        <v>1164</v>
      </c>
      <c r="C6" s="148" t="s">
        <v>42</v>
      </c>
      <c r="D6" s="150">
        <v>1.5</v>
      </c>
      <c r="E6" s="147" t="s">
        <v>988</v>
      </c>
      <c r="F6" s="3"/>
      <c r="G6" s="3"/>
      <c r="H6" s="147" t="s">
        <v>1160</v>
      </c>
      <c r="I6" s="3"/>
      <c r="K6" s="112">
        <v>5</v>
      </c>
    </row>
    <row r="7" spans="1:11" ht="15" x14ac:dyDescent="0.2">
      <c r="A7" s="166" t="s">
        <v>397</v>
      </c>
      <c r="B7" s="147" t="s">
        <v>1164</v>
      </c>
      <c r="C7" s="148" t="s">
        <v>42</v>
      </c>
      <c r="D7" s="150">
        <v>0.5</v>
      </c>
      <c r="E7" s="147" t="s">
        <v>996</v>
      </c>
      <c r="F7" s="3"/>
      <c r="G7" s="3"/>
      <c r="H7" s="147" t="s">
        <v>1159</v>
      </c>
      <c r="I7" s="3"/>
      <c r="K7" s="112">
        <v>6</v>
      </c>
    </row>
    <row r="8" spans="1:11" ht="15" x14ac:dyDescent="0.2">
      <c r="A8" s="166" t="s">
        <v>396</v>
      </c>
      <c r="B8" s="147" t="s">
        <v>1164</v>
      </c>
      <c r="C8" s="148" t="s">
        <v>994</v>
      </c>
      <c r="D8" s="150">
        <v>0.75</v>
      </c>
      <c r="E8" s="147" t="s">
        <v>995</v>
      </c>
      <c r="F8" s="3"/>
      <c r="G8" s="3"/>
      <c r="H8" s="147" t="s">
        <v>1434</v>
      </c>
      <c r="I8" s="3"/>
      <c r="K8" s="135">
        <v>7</v>
      </c>
    </row>
    <row r="9" spans="1:11" ht="15" x14ac:dyDescent="0.2">
      <c r="A9" s="166" t="s">
        <v>407</v>
      </c>
      <c r="B9" s="147" t="s">
        <v>1164</v>
      </c>
      <c r="C9" s="148" t="s">
        <v>42</v>
      </c>
      <c r="D9" s="150">
        <v>0.75</v>
      </c>
      <c r="E9" s="147" t="s">
        <v>989</v>
      </c>
      <c r="F9" s="3"/>
      <c r="G9" s="3"/>
      <c r="H9" s="147"/>
      <c r="I9" s="3"/>
      <c r="K9" s="112">
        <v>8</v>
      </c>
    </row>
    <row r="10" spans="1:11" ht="15" x14ac:dyDescent="0.2">
      <c r="A10" s="166" t="s">
        <v>1000</v>
      </c>
      <c r="B10" s="147" t="s">
        <v>1164</v>
      </c>
      <c r="C10" s="148" t="s">
        <v>42</v>
      </c>
      <c r="D10" s="150">
        <v>0.35</v>
      </c>
      <c r="E10" s="147" t="s">
        <v>1001</v>
      </c>
      <c r="F10" s="3"/>
      <c r="G10" s="3"/>
      <c r="H10"/>
      <c r="I10" s="3"/>
      <c r="K10" s="112">
        <v>9</v>
      </c>
    </row>
    <row r="11" spans="1:11" ht="30" x14ac:dyDescent="0.2">
      <c r="A11" s="166" t="s">
        <v>1151</v>
      </c>
      <c r="B11" s="147" t="s">
        <v>1164</v>
      </c>
      <c r="C11" s="148" t="s">
        <v>42</v>
      </c>
      <c r="D11" s="150">
        <v>0.5</v>
      </c>
      <c r="E11" s="147" t="s">
        <v>1152</v>
      </c>
      <c r="F11" s="3"/>
      <c r="G11" s="3"/>
      <c r="H11"/>
      <c r="I11" s="3"/>
      <c r="K11" s="135">
        <v>10</v>
      </c>
    </row>
    <row r="12" spans="1:11" ht="15" x14ac:dyDescent="0.2">
      <c r="A12" s="166" t="s">
        <v>1019</v>
      </c>
      <c r="B12" s="147" t="s">
        <v>1163</v>
      </c>
      <c r="C12" s="148" t="s">
        <v>52</v>
      </c>
      <c r="D12" s="150">
        <v>0.03</v>
      </c>
      <c r="E12" s="147" t="s">
        <v>1020</v>
      </c>
      <c r="F12" s="3"/>
      <c r="G12" s="3"/>
      <c r="H12"/>
      <c r="I12" s="3"/>
      <c r="K12" s="112">
        <v>11</v>
      </c>
    </row>
    <row r="13" spans="1:11" ht="15" x14ac:dyDescent="0.2">
      <c r="A13" s="166" t="s">
        <v>1035</v>
      </c>
      <c r="B13" s="147" t="s">
        <v>1163</v>
      </c>
      <c r="C13" s="148" t="s">
        <v>52</v>
      </c>
      <c r="D13" s="150">
        <v>0.05</v>
      </c>
      <c r="E13" s="147" t="s">
        <v>1036</v>
      </c>
      <c r="F13" s="3"/>
      <c r="G13" s="3"/>
      <c r="H13"/>
      <c r="I13" s="3"/>
      <c r="K13" s="112">
        <v>12</v>
      </c>
    </row>
    <row r="14" spans="1:11" ht="15" x14ac:dyDescent="0.2">
      <c r="A14" s="166" t="s">
        <v>61</v>
      </c>
      <c r="B14" s="147" t="s">
        <v>1163</v>
      </c>
      <c r="C14" s="148" t="s">
        <v>52</v>
      </c>
      <c r="D14" s="150">
        <v>0.08</v>
      </c>
      <c r="E14" s="147" t="s">
        <v>1027</v>
      </c>
      <c r="F14" s="3"/>
      <c r="G14" s="3"/>
      <c r="H14"/>
      <c r="I14" s="3"/>
      <c r="K14" s="135">
        <v>13</v>
      </c>
    </row>
    <row r="15" spans="1:11" ht="15" x14ac:dyDescent="0.2">
      <c r="A15" s="166" t="s">
        <v>68</v>
      </c>
      <c r="B15" s="147" t="s">
        <v>1163</v>
      </c>
      <c r="C15" s="148" t="s">
        <v>42</v>
      </c>
      <c r="D15" s="150">
        <v>0.25</v>
      </c>
      <c r="E15" s="147" t="s">
        <v>1041</v>
      </c>
      <c r="F15" s="3"/>
      <c r="G15" s="3"/>
      <c r="H15"/>
      <c r="I15" s="3"/>
      <c r="K15" s="112">
        <v>14</v>
      </c>
    </row>
    <row r="16" spans="1:11" ht="15" x14ac:dyDescent="0.2">
      <c r="A16" s="166" t="s">
        <v>1664</v>
      </c>
      <c r="B16" s="147" t="s">
        <v>1163</v>
      </c>
      <c r="C16" s="148" t="s">
        <v>42</v>
      </c>
      <c r="D16" s="150">
        <v>1</v>
      </c>
      <c r="E16" s="147" t="s">
        <v>1665</v>
      </c>
      <c r="F16" s="3"/>
      <c r="G16" s="3"/>
      <c r="H16"/>
      <c r="I16" s="3"/>
      <c r="K16" s="112">
        <v>15</v>
      </c>
    </row>
    <row r="17" spans="1:11" ht="15" x14ac:dyDescent="0.2">
      <c r="A17" s="166" t="s">
        <v>1023</v>
      </c>
      <c r="B17" s="147" t="s">
        <v>1163</v>
      </c>
      <c r="C17" s="148" t="s">
        <v>42</v>
      </c>
      <c r="D17" s="150">
        <v>0.1</v>
      </c>
      <c r="E17" s="147" t="s">
        <v>1024</v>
      </c>
      <c r="F17" s="3"/>
      <c r="G17" s="3"/>
      <c r="H17"/>
      <c r="I17" s="3"/>
      <c r="K17" s="135">
        <v>16</v>
      </c>
    </row>
    <row r="18" spans="1:11" ht="15" x14ac:dyDescent="0.2">
      <c r="A18" s="166" t="s">
        <v>1021</v>
      </c>
      <c r="B18" s="147" t="s">
        <v>1163</v>
      </c>
      <c r="C18" s="148" t="s">
        <v>42</v>
      </c>
      <c r="D18" s="150">
        <v>0.08</v>
      </c>
      <c r="E18" s="147" t="s">
        <v>1022</v>
      </c>
      <c r="F18" s="3"/>
      <c r="G18" s="3"/>
      <c r="H18"/>
      <c r="I18" s="3"/>
      <c r="K18" s="112">
        <v>17</v>
      </c>
    </row>
    <row r="19" spans="1:11" ht="15" x14ac:dyDescent="0.2">
      <c r="A19" s="166" t="s">
        <v>1005</v>
      </c>
      <c r="B19" s="147" t="s">
        <v>1163</v>
      </c>
      <c r="C19" s="148" t="s">
        <v>74</v>
      </c>
      <c r="D19" s="150">
        <v>0.05</v>
      </c>
      <c r="E19" s="147" t="s">
        <v>1006</v>
      </c>
      <c r="F19" s="3"/>
      <c r="G19" s="3"/>
      <c r="H19"/>
      <c r="I19" s="3"/>
      <c r="K19" s="112">
        <v>18</v>
      </c>
    </row>
    <row r="20" spans="1:11" ht="15" x14ac:dyDescent="0.2">
      <c r="A20" s="166" t="s">
        <v>1039</v>
      </c>
      <c r="B20" s="147" t="s">
        <v>1163</v>
      </c>
      <c r="C20" s="148" t="s">
        <v>74</v>
      </c>
      <c r="D20" s="150">
        <v>0.01</v>
      </c>
      <c r="E20" s="147" t="s">
        <v>1040</v>
      </c>
      <c r="F20" s="3"/>
      <c r="G20" s="3"/>
      <c r="H20"/>
      <c r="I20" s="3"/>
      <c r="K20" s="135">
        <v>19</v>
      </c>
    </row>
    <row r="21" spans="1:11" ht="15" x14ac:dyDescent="0.2">
      <c r="A21" s="166" t="s">
        <v>1037</v>
      </c>
      <c r="B21" s="147" t="s">
        <v>1163</v>
      </c>
      <c r="C21" s="148" t="s">
        <v>52</v>
      </c>
      <c r="D21" s="150">
        <v>0.02</v>
      </c>
      <c r="E21" s="147" t="s">
        <v>1038</v>
      </c>
      <c r="F21" s="3"/>
      <c r="G21" s="3"/>
      <c r="H21"/>
      <c r="I21" s="3"/>
      <c r="K21" s="112">
        <v>20</v>
      </c>
    </row>
    <row r="22" spans="1:11" ht="15" x14ac:dyDescent="0.2">
      <c r="A22" s="166" t="s">
        <v>1015</v>
      </c>
      <c r="B22" s="147" t="s">
        <v>1163</v>
      </c>
      <c r="C22" s="148" t="s">
        <v>52</v>
      </c>
      <c r="D22" s="150">
        <v>0.02</v>
      </c>
      <c r="E22" s="147" t="s">
        <v>1016</v>
      </c>
      <c r="F22" s="3"/>
      <c r="G22" s="3"/>
      <c r="H22"/>
      <c r="I22" s="3"/>
      <c r="K22" s="112">
        <v>21</v>
      </c>
    </row>
    <row r="23" spans="1:11" ht="15" x14ac:dyDescent="0.2">
      <c r="A23" s="166" t="s">
        <v>1044</v>
      </c>
      <c r="B23" s="147" t="s">
        <v>1163</v>
      </c>
      <c r="C23" s="148" t="s">
        <v>42</v>
      </c>
      <c r="D23" s="150">
        <v>0.05</v>
      </c>
      <c r="E23" s="147" t="s">
        <v>1045</v>
      </c>
      <c r="F23" s="3"/>
      <c r="G23" s="3"/>
      <c r="H23"/>
      <c r="I23" s="3"/>
      <c r="K23" s="135">
        <v>22</v>
      </c>
    </row>
    <row r="24" spans="1:11" ht="15" x14ac:dyDescent="0.2">
      <c r="A24" s="166" t="s">
        <v>1042</v>
      </c>
      <c r="B24" s="147" t="s">
        <v>1163</v>
      </c>
      <c r="C24" s="148" t="s">
        <v>42</v>
      </c>
      <c r="D24" s="150">
        <v>0.08</v>
      </c>
      <c r="E24" s="147" t="s">
        <v>1043</v>
      </c>
      <c r="F24" s="3"/>
      <c r="G24" s="3"/>
      <c r="H24"/>
      <c r="I24" s="3"/>
      <c r="K24" s="112">
        <v>23</v>
      </c>
    </row>
    <row r="25" spans="1:11" ht="15" x14ac:dyDescent="0.2">
      <c r="A25" s="166" t="s">
        <v>62</v>
      </c>
      <c r="B25" s="147" t="s">
        <v>1163</v>
      </c>
      <c r="C25" s="148" t="s">
        <v>42</v>
      </c>
      <c r="D25" s="150">
        <v>0.25</v>
      </c>
      <c r="E25" s="147" t="s">
        <v>1028</v>
      </c>
      <c r="F25" s="3"/>
      <c r="G25" s="3"/>
      <c r="H25"/>
      <c r="I25" s="3"/>
      <c r="K25" s="112">
        <v>24</v>
      </c>
    </row>
    <row r="26" spans="1:11" ht="15" x14ac:dyDescent="0.2">
      <c r="A26" s="166" t="s">
        <v>985</v>
      </c>
      <c r="B26" s="147" t="s">
        <v>1163</v>
      </c>
      <c r="C26" s="148" t="s">
        <v>72</v>
      </c>
      <c r="D26" s="150">
        <v>0.05</v>
      </c>
      <c r="E26" s="147" t="s">
        <v>986</v>
      </c>
      <c r="F26" s="3"/>
      <c r="G26" s="3"/>
      <c r="H26"/>
      <c r="I26" s="3"/>
      <c r="K26" s="135">
        <v>25</v>
      </c>
    </row>
    <row r="27" spans="1:11" ht="15" x14ac:dyDescent="0.2">
      <c r="A27" s="166" t="s">
        <v>392</v>
      </c>
      <c r="B27" s="147" t="s">
        <v>1163</v>
      </c>
      <c r="C27" s="148" t="s">
        <v>52</v>
      </c>
      <c r="D27" s="150">
        <v>0.1</v>
      </c>
      <c r="E27" s="147" t="s">
        <v>1013</v>
      </c>
      <c r="F27" s="3"/>
      <c r="G27" s="3"/>
      <c r="H27"/>
      <c r="I27" s="3"/>
      <c r="K27" s="112">
        <v>26</v>
      </c>
    </row>
    <row r="28" spans="1:11" ht="15" x14ac:dyDescent="0.2">
      <c r="A28" s="166" t="s">
        <v>721</v>
      </c>
      <c r="B28" s="147" t="s">
        <v>1163</v>
      </c>
      <c r="C28" s="148" t="s">
        <v>52</v>
      </c>
      <c r="D28" s="150">
        <v>0.05</v>
      </c>
      <c r="E28" s="147" t="s">
        <v>1014</v>
      </c>
      <c r="F28" s="3"/>
      <c r="G28" s="3"/>
      <c r="H28"/>
      <c r="I28" s="3"/>
      <c r="K28" s="112">
        <v>27</v>
      </c>
    </row>
    <row r="29" spans="1:11" ht="15" x14ac:dyDescent="0.2">
      <c r="A29" s="166" t="s">
        <v>1025</v>
      </c>
      <c r="B29" s="147" t="s">
        <v>1163</v>
      </c>
      <c r="C29" s="148" t="s">
        <v>52</v>
      </c>
      <c r="D29" s="150">
        <v>0.02</v>
      </c>
      <c r="E29" s="147" t="s">
        <v>1026</v>
      </c>
      <c r="F29" s="3"/>
      <c r="G29" s="3"/>
      <c r="H29"/>
      <c r="I29" s="3"/>
      <c r="K29" s="135">
        <v>28</v>
      </c>
    </row>
    <row r="30" spans="1:11" ht="15" x14ac:dyDescent="0.2">
      <c r="A30" s="165" t="s">
        <v>24</v>
      </c>
      <c r="B30" s="147" t="s">
        <v>1162</v>
      </c>
      <c r="C30" s="148" t="s">
        <v>25</v>
      </c>
      <c r="D30" s="150">
        <v>1</v>
      </c>
      <c r="E30" s="147" t="s">
        <v>977</v>
      </c>
      <c r="F30" s="3"/>
      <c r="G30" s="3"/>
      <c r="H30"/>
      <c r="I30" s="3"/>
      <c r="K30" s="112">
        <v>29</v>
      </c>
    </row>
    <row r="31" spans="1:11" ht="15" x14ac:dyDescent="0.2">
      <c r="A31" s="165" t="s">
        <v>978</v>
      </c>
      <c r="B31" s="147" t="s">
        <v>1162</v>
      </c>
      <c r="C31" s="148" t="s">
        <v>25</v>
      </c>
      <c r="D31" s="150">
        <v>1</v>
      </c>
      <c r="E31" s="147" t="s">
        <v>979</v>
      </c>
      <c r="F31" s="3"/>
      <c r="G31" s="3"/>
      <c r="H31"/>
      <c r="I31" s="3"/>
      <c r="K31" s="112">
        <v>30</v>
      </c>
    </row>
    <row r="32" spans="1:11" ht="15" x14ac:dyDescent="0.2">
      <c r="A32" s="166" t="s">
        <v>1323</v>
      </c>
      <c r="B32" s="147" t="s">
        <v>1161</v>
      </c>
      <c r="C32" s="148" t="s">
        <v>52</v>
      </c>
      <c r="D32" s="150">
        <v>0.1</v>
      </c>
      <c r="E32" s="147" t="s">
        <v>1056</v>
      </c>
      <c r="F32" s="3"/>
      <c r="G32" s="3"/>
      <c r="H32"/>
      <c r="I32" s="3"/>
      <c r="K32" s="135">
        <v>31</v>
      </c>
    </row>
    <row r="33" spans="1:11" ht="15" x14ac:dyDescent="0.2">
      <c r="A33" s="166" t="s">
        <v>1655</v>
      </c>
      <c r="B33" s="147" t="s">
        <v>1161</v>
      </c>
      <c r="C33" s="148" t="s">
        <v>42</v>
      </c>
      <c r="D33" s="150">
        <v>0.25</v>
      </c>
      <c r="E33" s="147" t="s">
        <v>1243</v>
      </c>
      <c r="F33" s="3"/>
      <c r="G33" s="3"/>
      <c r="H33"/>
      <c r="I33" s="3"/>
      <c r="K33" s="112">
        <v>32</v>
      </c>
    </row>
    <row r="34" spans="1:11" ht="15" x14ac:dyDescent="0.2">
      <c r="A34" s="166" t="s">
        <v>135</v>
      </c>
      <c r="B34" s="147" t="s">
        <v>1161</v>
      </c>
      <c r="C34" s="148" t="s">
        <v>42</v>
      </c>
      <c r="D34" s="150">
        <v>0.05</v>
      </c>
      <c r="E34" s="147" t="s">
        <v>1057</v>
      </c>
      <c r="F34" s="3"/>
      <c r="G34" s="3"/>
      <c r="H34"/>
      <c r="I34" s="3"/>
      <c r="K34" s="112">
        <v>33</v>
      </c>
    </row>
    <row r="35" spans="1:11" ht="15" x14ac:dyDescent="0.2">
      <c r="A35" s="166" t="s">
        <v>136</v>
      </c>
      <c r="B35" s="147" t="s">
        <v>1161</v>
      </c>
      <c r="C35" s="148" t="s">
        <v>42</v>
      </c>
      <c r="D35" s="150">
        <v>0.05</v>
      </c>
      <c r="E35" s="147" t="s">
        <v>1057</v>
      </c>
      <c r="F35" s="3"/>
      <c r="G35" s="3"/>
      <c r="H35"/>
      <c r="I35" s="3"/>
      <c r="K35" s="135">
        <v>34</v>
      </c>
    </row>
    <row r="36" spans="1:11" ht="15" x14ac:dyDescent="0.2">
      <c r="A36" s="166" t="s">
        <v>111</v>
      </c>
      <c r="B36" s="147" t="s">
        <v>1160</v>
      </c>
      <c r="C36" s="148" t="s">
        <v>52</v>
      </c>
      <c r="D36" s="150">
        <v>0.15</v>
      </c>
      <c r="E36" s="147" t="s">
        <v>1046</v>
      </c>
      <c r="F36" s="3"/>
      <c r="G36" s="3"/>
      <c r="H36"/>
      <c r="I36" s="3"/>
      <c r="K36" s="112">
        <v>35</v>
      </c>
    </row>
    <row r="37" spans="1:11" s="345" customFormat="1" ht="15" x14ac:dyDescent="0.2">
      <c r="A37" s="166" t="s">
        <v>1842</v>
      </c>
      <c r="B37" s="147" t="s">
        <v>1160</v>
      </c>
      <c r="C37" s="148" t="s">
        <v>52</v>
      </c>
      <c r="D37" s="150">
        <v>0.1</v>
      </c>
      <c r="E37" s="254"/>
      <c r="F37" s="3"/>
      <c r="G37" s="3"/>
      <c r="H37"/>
      <c r="I37" s="3"/>
      <c r="K37" s="135">
        <v>80</v>
      </c>
    </row>
    <row r="38" spans="1:11" s="345" customFormat="1" ht="15" x14ac:dyDescent="0.2">
      <c r="A38" s="166" t="s">
        <v>1843</v>
      </c>
      <c r="B38" s="147" t="s">
        <v>1160</v>
      </c>
      <c r="C38" s="148" t="s">
        <v>52</v>
      </c>
      <c r="D38" s="150">
        <v>0.1</v>
      </c>
      <c r="E38" s="254"/>
      <c r="F38" s="3"/>
      <c r="G38" s="3"/>
      <c r="H38"/>
      <c r="I38" s="3"/>
      <c r="K38" s="112">
        <v>81</v>
      </c>
    </row>
    <row r="39" spans="1:11" s="345" customFormat="1" ht="15" x14ac:dyDescent="0.2">
      <c r="A39" s="166" t="s">
        <v>1844</v>
      </c>
      <c r="B39" s="147" t="s">
        <v>1160</v>
      </c>
      <c r="C39" s="148" t="s">
        <v>52</v>
      </c>
      <c r="D39" s="150">
        <v>0.1</v>
      </c>
      <c r="E39" s="254"/>
      <c r="F39" s="3"/>
      <c r="G39" s="3"/>
      <c r="H39"/>
      <c r="I39" s="3"/>
      <c r="K39" s="112">
        <v>82</v>
      </c>
    </row>
    <row r="40" spans="1:11" ht="15" x14ac:dyDescent="0.2">
      <c r="A40" s="166" t="s">
        <v>1253</v>
      </c>
      <c r="B40" s="147" t="s">
        <v>1160</v>
      </c>
      <c r="C40" s="148" t="s">
        <v>52</v>
      </c>
      <c r="D40" s="150">
        <v>0.15</v>
      </c>
      <c r="E40" s="147" t="s">
        <v>1046</v>
      </c>
      <c r="F40" s="3"/>
      <c r="G40" s="3"/>
      <c r="H40"/>
      <c r="I40" s="3"/>
      <c r="K40" s="112">
        <v>36</v>
      </c>
    </row>
    <row r="41" spans="1:11" ht="15" x14ac:dyDescent="0.2">
      <c r="A41" s="166" t="s">
        <v>1252</v>
      </c>
      <c r="B41" s="147" t="s">
        <v>1160</v>
      </c>
      <c r="C41" s="148" t="s">
        <v>52</v>
      </c>
      <c r="D41" s="150">
        <v>0.06</v>
      </c>
      <c r="E41" s="147" t="s">
        <v>1046</v>
      </c>
      <c r="F41" s="3"/>
      <c r="G41" s="3"/>
      <c r="H41"/>
      <c r="I41" s="3"/>
      <c r="K41" s="135">
        <v>37</v>
      </c>
    </row>
    <row r="42" spans="1:11" ht="15" x14ac:dyDescent="0.2">
      <c r="A42" s="166" t="s">
        <v>1255</v>
      </c>
      <c r="B42" s="147" t="s">
        <v>1160</v>
      </c>
      <c r="C42" s="148" t="s">
        <v>52</v>
      </c>
      <c r="D42" s="150">
        <v>0.15</v>
      </c>
      <c r="E42" s="147" t="s">
        <v>1048</v>
      </c>
      <c r="F42" s="3"/>
      <c r="G42" s="3"/>
      <c r="H42"/>
      <c r="I42" s="3"/>
      <c r="K42" s="112">
        <v>38</v>
      </c>
    </row>
    <row r="43" spans="1:11" ht="15" x14ac:dyDescent="0.2">
      <c r="A43" s="166" t="s">
        <v>1254</v>
      </c>
      <c r="B43" s="147" t="s">
        <v>1160</v>
      </c>
      <c r="C43" s="148" t="s">
        <v>52</v>
      </c>
      <c r="D43" s="150">
        <v>0.05</v>
      </c>
      <c r="E43" s="147" t="s">
        <v>1029</v>
      </c>
      <c r="F43" s="3"/>
      <c r="G43" s="3"/>
      <c r="H43"/>
      <c r="I43" s="3"/>
      <c r="K43" s="112">
        <v>39</v>
      </c>
    </row>
    <row r="44" spans="1:11" ht="15" x14ac:dyDescent="0.2">
      <c r="A44" s="166" t="s">
        <v>384</v>
      </c>
      <c r="B44" s="147" t="s">
        <v>1160</v>
      </c>
      <c r="C44" s="148" t="s">
        <v>52</v>
      </c>
      <c r="D44" s="150">
        <v>0.08</v>
      </c>
      <c r="E44" s="147" t="s">
        <v>1030</v>
      </c>
      <c r="F44" s="3"/>
      <c r="G44" s="3"/>
      <c r="H44"/>
      <c r="I44" s="3"/>
      <c r="K44" s="135">
        <v>40</v>
      </c>
    </row>
    <row r="45" spans="1:11" ht="15" x14ac:dyDescent="0.2">
      <c r="A45" s="166" t="s">
        <v>386</v>
      </c>
      <c r="B45" s="147" t="s">
        <v>1160</v>
      </c>
      <c r="C45" s="148" t="s">
        <v>52</v>
      </c>
      <c r="D45" s="150">
        <v>0.08</v>
      </c>
      <c r="E45" s="147" t="s">
        <v>1031</v>
      </c>
      <c r="F45" s="3"/>
      <c r="G45" s="3"/>
      <c r="H45"/>
      <c r="I45" s="3"/>
      <c r="K45" s="112">
        <v>41</v>
      </c>
    </row>
    <row r="46" spans="1:11" ht="15" x14ac:dyDescent="0.2">
      <c r="A46" s="166" t="s">
        <v>1007</v>
      </c>
      <c r="B46" s="147" t="s">
        <v>1160</v>
      </c>
      <c r="C46" s="148" t="s">
        <v>994</v>
      </c>
      <c r="D46" s="150">
        <v>0.25</v>
      </c>
      <c r="E46" s="147" t="s">
        <v>1008</v>
      </c>
      <c r="F46" s="3"/>
      <c r="G46" s="3"/>
      <c r="H46"/>
      <c r="I46" s="3"/>
      <c r="K46" s="112">
        <v>42</v>
      </c>
    </row>
    <row r="47" spans="1:11" ht="15" x14ac:dyDescent="0.2">
      <c r="A47" s="166" t="s">
        <v>1248</v>
      </c>
      <c r="B47" s="147" t="s">
        <v>1160</v>
      </c>
      <c r="C47" s="148" t="s">
        <v>42</v>
      </c>
      <c r="D47" s="150">
        <v>0.15</v>
      </c>
      <c r="E47" s="147" t="s">
        <v>1047</v>
      </c>
      <c r="F47" s="3"/>
      <c r="G47" s="3"/>
      <c r="H47"/>
      <c r="I47" s="3"/>
      <c r="K47" s="135">
        <v>43</v>
      </c>
    </row>
    <row r="48" spans="1:11" ht="15" x14ac:dyDescent="0.2">
      <c r="A48" s="166" t="s">
        <v>410</v>
      </c>
      <c r="B48" s="147" t="s">
        <v>1160</v>
      </c>
      <c r="C48" s="148" t="s">
        <v>52</v>
      </c>
      <c r="D48" s="150">
        <v>0.15</v>
      </c>
      <c r="E48" s="147" t="s">
        <v>1033</v>
      </c>
      <c r="F48" s="3"/>
      <c r="G48" s="3"/>
      <c r="H48"/>
      <c r="I48" s="3"/>
      <c r="K48" s="112">
        <v>44</v>
      </c>
    </row>
    <row r="49" spans="1:11" ht="15" x14ac:dyDescent="0.2">
      <c r="A49" s="166" t="s">
        <v>409</v>
      </c>
      <c r="B49" s="147" t="s">
        <v>1160</v>
      </c>
      <c r="C49" s="148" t="s">
        <v>52</v>
      </c>
      <c r="D49" s="150">
        <v>0.2</v>
      </c>
      <c r="E49" s="147" t="s">
        <v>1033</v>
      </c>
      <c r="F49" s="3"/>
      <c r="G49" s="3"/>
      <c r="H49"/>
      <c r="I49" s="3"/>
      <c r="K49" s="112">
        <v>45</v>
      </c>
    </row>
    <row r="50" spans="1:11" ht="15" x14ac:dyDescent="0.2">
      <c r="A50" s="166" t="s">
        <v>1053</v>
      </c>
      <c r="B50" s="147" t="s">
        <v>1160</v>
      </c>
      <c r="C50" s="148" t="s">
        <v>52</v>
      </c>
      <c r="D50" s="645">
        <v>0.2</v>
      </c>
      <c r="E50" s="147" t="s">
        <v>1054</v>
      </c>
      <c r="F50" s="3"/>
      <c r="G50" s="3"/>
      <c r="H50"/>
      <c r="I50" s="3"/>
      <c r="K50" s="135">
        <v>46</v>
      </c>
    </row>
    <row r="51" spans="1:11" ht="15" x14ac:dyDescent="0.2">
      <c r="A51" s="166" t="s">
        <v>1220</v>
      </c>
      <c r="B51" s="147" t="s">
        <v>1160</v>
      </c>
      <c r="C51" s="148" t="s">
        <v>72</v>
      </c>
      <c r="D51" s="645">
        <v>0.25</v>
      </c>
      <c r="E51" s="147" t="s">
        <v>1034</v>
      </c>
      <c r="F51" s="3"/>
      <c r="G51" s="3"/>
      <c r="H51"/>
      <c r="I51" s="3"/>
      <c r="K51" s="112">
        <v>47</v>
      </c>
    </row>
    <row r="52" spans="1:11" ht="15" x14ac:dyDescent="0.2">
      <c r="A52" s="166" t="s">
        <v>1365</v>
      </c>
      <c r="B52" s="147" t="s">
        <v>1160</v>
      </c>
      <c r="C52" s="148" t="s">
        <v>74</v>
      </c>
      <c r="D52" s="645">
        <v>0.35</v>
      </c>
      <c r="E52" s="147" t="s">
        <v>1366</v>
      </c>
      <c r="F52" s="3"/>
      <c r="G52" s="3"/>
      <c r="H52"/>
      <c r="I52" s="3"/>
      <c r="K52" s="112">
        <v>48</v>
      </c>
    </row>
    <row r="53" spans="1:11" ht="15" x14ac:dyDescent="0.2">
      <c r="A53" s="165" t="s">
        <v>102</v>
      </c>
      <c r="B53" s="147" t="s">
        <v>1160</v>
      </c>
      <c r="C53" s="148" t="s">
        <v>70</v>
      </c>
      <c r="D53" s="645">
        <v>0.35</v>
      </c>
      <c r="E53" s="147" t="s">
        <v>980</v>
      </c>
      <c r="F53" s="3"/>
      <c r="G53" s="3"/>
      <c r="H53"/>
      <c r="I53" s="3"/>
      <c r="K53" s="135">
        <v>49</v>
      </c>
    </row>
    <row r="54" spans="1:11" ht="15" x14ac:dyDescent="0.2">
      <c r="A54" s="166" t="s">
        <v>1052</v>
      </c>
      <c r="B54" s="147" t="s">
        <v>1160</v>
      </c>
      <c r="C54" s="148" t="s">
        <v>42</v>
      </c>
      <c r="D54" s="645">
        <v>0.8</v>
      </c>
      <c r="E54" s="147" t="s">
        <v>1256</v>
      </c>
      <c r="F54" s="3"/>
      <c r="G54" s="3"/>
      <c r="H54"/>
      <c r="I54" s="3"/>
      <c r="K54" s="112">
        <v>50</v>
      </c>
    </row>
    <row r="55" spans="1:11" ht="15" x14ac:dyDescent="0.2">
      <c r="A55" s="166" t="s">
        <v>1703</v>
      </c>
      <c r="B55" s="147" t="s">
        <v>1160</v>
      </c>
      <c r="C55" s="148" t="s">
        <v>52</v>
      </c>
      <c r="D55" s="645">
        <v>0.1</v>
      </c>
      <c r="E55" s="147" t="s">
        <v>1704</v>
      </c>
      <c r="F55" s="3"/>
      <c r="G55" s="3"/>
      <c r="H55"/>
      <c r="I55" s="3"/>
      <c r="K55" s="112">
        <v>51</v>
      </c>
    </row>
    <row r="56" spans="1:11" ht="15" x14ac:dyDescent="0.2">
      <c r="A56" s="166" t="s">
        <v>1050</v>
      </c>
      <c r="B56" s="147" t="s">
        <v>1160</v>
      </c>
      <c r="C56" s="148" t="s">
        <v>52</v>
      </c>
      <c r="D56" s="645">
        <v>0.05</v>
      </c>
      <c r="E56" s="147" t="s">
        <v>1051</v>
      </c>
      <c r="F56" s="3"/>
      <c r="G56" s="3"/>
      <c r="H56"/>
      <c r="I56" s="3"/>
      <c r="K56" s="135">
        <v>52</v>
      </c>
    </row>
    <row r="57" spans="1:11" ht="21" customHeight="1" x14ac:dyDescent="0.2">
      <c r="A57" s="166" t="s">
        <v>1010</v>
      </c>
      <c r="B57" s="147" t="s">
        <v>1159</v>
      </c>
      <c r="C57" s="148" t="s">
        <v>42</v>
      </c>
      <c r="D57" s="645">
        <v>0.25</v>
      </c>
      <c r="E57" s="147" t="s">
        <v>1011</v>
      </c>
      <c r="F57" s="3"/>
      <c r="G57" s="3"/>
      <c r="H57"/>
      <c r="I57" s="3"/>
      <c r="K57" s="112">
        <v>53</v>
      </c>
    </row>
    <row r="58" spans="1:11" ht="21" customHeight="1" x14ac:dyDescent="0.2">
      <c r="A58" s="166" t="s">
        <v>1234</v>
      </c>
      <c r="B58" s="147" t="s">
        <v>1159</v>
      </c>
      <c r="C58" s="148" t="s">
        <v>42</v>
      </c>
      <c r="D58" s="645">
        <v>0.2</v>
      </c>
      <c r="E58" s="147" t="s">
        <v>1228</v>
      </c>
      <c r="F58" s="3"/>
      <c r="G58" s="3"/>
      <c r="H58"/>
      <c r="I58" s="3"/>
      <c r="K58" s="112">
        <v>54</v>
      </c>
    </row>
    <row r="59" spans="1:11" ht="15" x14ac:dyDescent="0.2">
      <c r="A59" s="166" t="s">
        <v>1222</v>
      </c>
      <c r="B59" s="147" t="s">
        <v>1159</v>
      </c>
      <c r="C59" s="148" t="s">
        <v>994</v>
      </c>
      <c r="D59" s="645">
        <v>0.1</v>
      </c>
      <c r="E59" s="147" t="s">
        <v>1012</v>
      </c>
      <c r="F59" s="3"/>
      <c r="G59" s="3"/>
      <c r="H59"/>
      <c r="I59" s="3"/>
      <c r="K59" s="135">
        <v>55</v>
      </c>
    </row>
    <row r="60" spans="1:11" ht="15" x14ac:dyDescent="0.2">
      <c r="A60" s="166" t="s">
        <v>1221</v>
      </c>
      <c r="B60" s="147" t="s">
        <v>1159</v>
      </c>
      <c r="C60" s="148" t="s">
        <v>42</v>
      </c>
      <c r="D60" s="645">
        <v>0.15</v>
      </c>
      <c r="E60" s="147" t="s">
        <v>1011</v>
      </c>
      <c r="F60" s="3"/>
      <c r="G60" s="3"/>
      <c r="H60"/>
      <c r="I60" s="3"/>
      <c r="K60" s="112">
        <v>56</v>
      </c>
    </row>
    <row r="61" spans="1:11" ht="15" x14ac:dyDescent="0.2">
      <c r="A61" s="166" t="s">
        <v>378</v>
      </c>
      <c r="B61" s="147" t="s">
        <v>1159</v>
      </c>
      <c r="C61" s="148" t="s">
        <v>25</v>
      </c>
      <c r="D61" s="645">
        <v>0.25</v>
      </c>
      <c r="E61" s="147" t="s">
        <v>1009</v>
      </c>
      <c r="F61" s="3"/>
      <c r="G61" s="3"/>
      <c r="H61"/>
      <c r="I61" s="3"/>
      <c r="K61" s="112">
        <v>57</v>
      </c>
    </row>
    <row r="62" spans="1:11" ht="15" x14ac:dyDescent="0.2">
      <c r="A62" s="166" t="s">
        <v>1236</v>
      </c>
      <c r="B62" s="147" t="s">
        <v>1159</v>
      </c>
      <c r="C62" s="148" t="s">
        <v>42</v>
      </c>
      <c r="D62" s="645">
        <v>0.5</v>
      </c>
      <c r="E62" s="147" t="s">
        <v>997</v>
      </c>
      <c r="F62" s="3"/>
      <c r="G62" s="3"/>
      <c r="H62"/>
      <c r="I62" s="3"/>
      <c r="K62" s="135">
        <v>58</v>
      </c>
    </row>
    <row r="63" spans="1:11" ht="15" x14ac:dyDescent="0.2">
      <c r="A63" s="166" t="s">
        <v>1232</v>
      </c>
      <c r="B63" s="147" t="s">
        <v>1159</v>
      </c>
      <c r="C63" s="148" t="s">
        <v>42</v>
      </c>
      <c r="D63" s="645">
        <v>0.08</v>
      </c>
      <c r="E63" s="147" t="s">
        <v>1233</v>
      </c>
      <c r="F63" s="3"/>
      <c r="G63" s="3"/>
      <c r="H63"/>
      <c r="I63" s="3"/>
      <c r="K63" s="112">
        <v>59</v>
      </c>
    </row>
    <row r="64" spans="1:11" ht="15" x14ac:dyDescent="0.2">
      <c r="A64" s="166" t="s">
        <v>1223</v>
      </c>
      <c r="B64" s="147" t="s">
        <v>1159</v>
      </c>
      <c r="C64" s="148" t="s">
        <v>42</v>
      </c>
      <c r="D64" s="645">
        <v>1.4999999999999999E-2</v>
      </c>
      <c r="E64" s="147" t="s">
        <v>1055</v>
      </c>
      <c r="F64" s="3"/>
      <c r="G64" s="3"/>
      <c r="H64"/>
      <c r="I64" s="3"/>
      <c r="K64" s="112">
        <v>60</v>
      </c>
    </row>
    <row r="65" spans="1:11" ht="15" x14ac:dyDescent="0.2">
      <c r="A65" s="166" t="s">
        <v>1224</v>
      </c>
      <c r="B65" s="147" t="s">
        <v>1159</v>
      </c>
      <c r="C65" s="148" t="s">
        <v>42</v>
      </c>
      <c r="D65" s="645">
        <v>1.4999999999999999E-2</v>
      </c>
      <c r="E65" s="147" t="s">
        <v>1055</v>
      </c>
      <c r="F65" s="3"/>
      <c r="G65" s="3"/>
      <c r="H65"/>
      <c r="I65" s="3"/>
      <c r="K65" s="135">
        <v>61</v>
      </c>
    </row>
    <row r="66" spans="1:11" ht="15" x14ac:dyDescent="0.2">
      <c r="A66" s="166" t="s">
        <v>77</v>
      </c>
      <c r="B66" s="147" t="s">
        <v>1159</v>
      </c>
      <c r="C66" s="148" t="s">
        <v>42</v>
      </c>
      <c r="D66" s="645">
        <v>0.02</v>
      </c>
      <c r="E66" s="147" t="s">
        <v>1055</v>
      </c>
      <c r="F66" s="3"/>
      <c r="G66" s="3"/>
      <c r="H66"/>
      <c r="I66" s="3"/>
      <c r="K66" s="112">
        <v>62</v>
      </c>
    </row>
    <row r="67" spans="1:11" ht="15" x14ac:dyDescent="0.2">
      <c r="A67" s="166" t="s">
        <v>108</v>
      </c>
      <c r="B67" s="147" t="s">
        <v>1159</v>
      </c>
      <c r="C67" s="148" t="s">
        <v>52</v>
      </c>
      <c r="D67" s="645">
        <v>0.05</v>
      </c>
      <c r="E67" s="147" t="s">
        <v>1049</v>
      </c>
      <c r="F67" s="3"/>
      <c r="G67" s="3"/>
      <c r="H67"/>
      <c r="I67" s="3"/>
      <c r="K67" s="112">
        <v>63</v>
      </c>
    </row>
    <row r="68" spans="1:11" ht="15" x14ac:dyDescent="0.2">
      <c r="A68" s="166" t="s">
        <v>1225</v>
      </c>
      <c r="B68" s="147" t="s">
        <v>1159</v>
      </c>
      <c r="C68" s="148" t="s">
        <v>42</v>
      </c>
      <c r="D68" s="645">
        <v>0.15</v>
      </c>
      <c r="E68" s="147" t="s">
        <v>1226</v>
      </c>
      <c r="F68" s="3"/>
      <c r="G68" s="3"/>
      <c r="H68"/>
      <c r="I68" s="3"/>
      <c r="K68" s="135">
        <v>64</v>
      </c>
    </row>
    <row r="69" spans="1:11" ht="15" x14ac:dyDescent="0.2">
      <c r="A69" s="166" t="s">
        <v>1235</v>
      </c>
      <c r="B69" s="147" t="s">
        <v>1159</v>
      </c>
      <c r="C69" s="148" t="s">
        <v>52</v>
      </c>
      <c r="D69" s="645">
        <v>1.4999999999999999E-2</v>
      </c>
      <c r="E69" s="147" t="s">
        <v>1213</v>
      </c>
      <c r="F69" s="3"/>
      <c r="G69" s="3"/>
      <c r="H69"/>
      <c r="I69" s="3"/>
      <c r="K69" s="112">
        <v>65</v>
      </c>
    </row>
    <row r="70" spans="1:11" ht="15" x14ac:dyDescent="0.2">
      <c r="A70" s="166" t="s">
        <v>373</v>
      </c>
      <c r="B70" s="147" t="s">
        <v>1159</v>
      </c>
      <c r="C70" s="148" t="s">
        <v>74</v>
      </c>
      <c r="D70" s="645">
        <v>0.05</v>
      </c>
      <c r="E70" s="147" t="s">
        <v>982</v>
      </c>
      <c r="F70" s="3"/>
      <c r="G70" s="3"/>
      <c r="H70"/>
      <c r="I70" s="3"/>
      <c r="K70" s="112">
        <v>66</v>
      </c>
    </row>
    <row r="71" spans="1:11" ht="15" x14ac:dyDescent="0.2">
      <c r="A71" s="166" t="s">
        <v>370</v>
      </c>
      <c r="B71" s="147" t="s">
        <v>1159</v>
      </c>
      <c r="C71" s="148" t="s">
        <v>74</v>
      </c>
      <c r="D71" s="645">
        <v>0.05</v>
      </c>
      <c r="E71" s="147" t="s">
        <v>981</v>
      </c>
      <c r="F71" s="3"/>
      <c r="G71" s="3"/>
      <c r="H71"/>
      <c r="I71" s="3"/>
      <c r="K71" s="135">
        <v>67</v>
      </c>
    </row>
    <row r="72" spans="1:11" ht="15" x14ac:dyDescent="0.2">
      <c r="A72" s="166" t="s">
        <v>1004</v>
      </c>
      <c r="B72" s="147" t="s">
        <v>1159</v>
      </c>
      <c r="C72" s="148" t="s">
        <v>74</v>
      </c>
      <c r="D72" s="645">
        <v>0.1</v>
      </c>
      <c r="E72" s="147" t="s">
        <v>1003</v>
      </c>
      <c r="F72" s="3"/>
      <c r="G72" s="3"/>
      <c r="H72"/>
      <c r="I72" s="3"/>
      <c r="K72" s="112">
        <v>68</v>
      </c>
    </row>
    <row r="73" spans="1:11" ht="15" x14ac:dyDescent="0.2">
      <c r="A73" s="166" t="s">
        <v>1002</v>
      </c>
      <c r="B73" s="147" t="s">
        <v>1159</v>
      </c>
      <c r="C73" s="148" t="s">
        <v>74</v>
      </c>
      <c r="D73" s="645">
        <v>0.12</v>
      </c>
      <c r="E73" s="147" t="s">
        <v>1003</v>
      </c>
      <c r="F73" s="3"/>
      <c r="G73" s="3"/>
      <c r="H73"/>
      <c r="I73" s="3"/>
      <c r="K73" s="112">
        <v>69</v>
      </c>
    </row>
    <row r="74" spans="1:11" ht="15" x14ac:dyDescent="0.2">
      <c r="A74" s="166" t="s">
        <v>1144</v>
      </c>
      <c r="B74" s="147" t="s">
        <v>1159</v>
      </c>
      <c r="C74" s="148" t="s">
        <v>52</v>
      </c>
      <c r="D74" s="645">
        <v>0.2</v>
      </c>
      <c r="E74" s="147" t="s">
        <v>1032</v>
      </c>
      <c r="F74" s="3"/>
      <c r="G74" s="3"/>
      <c r="H74"/>
      <c r="I74" s="3"/>
      <c r="K74" s="135">
        <v>70</v>
      </c>
    </row>
    <row r="75" spans="1:11" ht="15" x14ac:dyDescent="0.2">
      <c r="A75" s="166" t="s">
        <v>983</v>
      </c>
      <c r="B75" s="147" t="s">
        <v>1159</v>
      </c>
      <c r="C75" s="148" t="s">
        <v>70</v>
      </c>
      <c r="D75" s="645">
        <v>0.25</v>
      </c>
      <c r="E75" s="147" t="s">
        <v>984</v>
      </c>
      <c r="F75" s="3"/>
      <c r="G75" s="3"/>
      <c r="H75"/>
      <c r="I75" s="3"/>
      <c r="K75" s="112">
        <v>71</v>
      </c>
    </row>
    <row r="76" spans="1:11" ht="15" x14ac:dyDescent="0.2">
      <c r="A76" s="166" t="s">
        <v>1227</v>
      </c>
      <c r="B76" s="147" t="s">
        <v>1159</v>
      </c>
      <c r="C76" s="148" t="s">
        <v>42</v>
      </c>
      <c r="D76" s="645">
        <v>0.25</v>
      </c>
      <c r="E76" s="147" t="s">
        <v>1228</v>
      </c>
      <c r="F76" s="3"/>
      <c r="G76" s="3"/>
      <c r="H76"/>
      <c r="I76" s="3"/>
      <c r="K76" s="112">
        <v>72</v>
      </c>
    </row>
    <row r="77" spans="1:11" ht="15" x14ac:dyDescent="0.2">
      <c r="A77" s="166" t="s">
        <v>1212</v>
      </c>
      <c r="B77" s="147" t="s">
        <v>1159</v>
      </c>
      <c r="C77" s="148" t="s">
        <v>25</v>
      </c>
      <c r="D77" s="645">
        <v>0.1</v>
      </c>
      <c r="E77" s="147" t="s">
        <v>1145</v>
      </c>
      <c r="F77" s="3"/>
      <c r="G77" s="3"/>
      <c r="H77"/>
      <c r="I77" s="3"/>
      <c r="K77" s="135">
        <v>73</v>
      </c>
    </row>
    <row r="78" spans="1:11" ht="15" x14ac:dyDescent="0.2">
      <c r="A78" s="453" t="s">
        <v>1435</v>
      </c>
      <c r="B78" s="454" t="s">
        <v>1434</v>
      </c>
      <c r="C78" s="455" t="s">
        <v>52</v>
      </c>
      <c r="D78" s="646">
        <v>0.05</v>
      </c>
      <c r="E78" s="147" t="s">
        <v>1436</v>
      </c>
      <c r="F78" s="3"/>
      <c r="G78" s="3"/>
      <c r="H78"/>
      <c r="I78" s="3"/>
      <c r="K78" s="112">
        <v>74</v>
      </c>
    </row>
    <row r="79" spans="1:11" ht="15" x14ac:dyDescent="0.2">
      <c r="A79" s="453"/>
      <c r="B79" s="454"/>
      <c r="C79" s="455"/>
      <c r="D79" s="646"/>
      <c r="E79" s="502"/>
      <c r="F79" s="3"/>
      <c r="G79" s="3"/>
      <c r="H79"/>
      <c r="I79" s="3"/>
      <c r="K79" s="112">
        <v>75</v>
      </c>
    </row>
    <row r="80" spans="1:11" ht="15" x14ac:dyDescent="0.2">
      <c r="A80" s="453" t="s">
        <v>1447</v>
      </c>
      <c r="B80" s="454" t="s">
        <v>1434</v>
      </c>
      <c r="C80" s="455" t="s">
        <v>52</v>
      </c>
      <c r="D80" s="646">
        <v>0.1</v>
      </c>
      <c r="E80" s="147"/>
      <c r="F80" s="3"/>
      <c r="G80" s="3"/>
      <c r="H80"/>
      <c r="I80" s="3"/>
      <c r="K80" s="135">
        <v>76</v>
      </c>
    </row>
    <row r="81" spans="1:11" ht="15" x14ac:dyDescent="0.2">
      <c r="A81" s="453" t="s">
        <v>1448</v>
      </c>
      <c r="B81" s="454" t="s">
        <v>1434</v>
      </c>
      <c r="C81" s="455" t="s">
        <v>52</v>
      </c>
      <c r="D81" s="646">
        <v>0.1</v>
      </c>
      <c r="E81" s="147"/>
      <c r="F81" s="3"/>
      <c r="G81" s="3"/>
      <c r="H81"/>
      <c r="I81" s="3"/>
      <c r="K81" s="112">
        <v>77</v>
      </c>
    </row>
    <row r="82" spans="1:11" ht="15" x14ac:dyDescent="0.2">
      <c r="A82" s="453" t="s">
        <v>1449</v>
      </c>
      <c r="B82" s="454" t="s">
        <v>1434</v>
      </c>
      <c r="C82" s="455" t="s">
        <v>52</v>
      </c>
      <c r="D82" s="646">
        <v>0.1</v>
      </c>
      <c r="E82" s="147"/>
      <c r="F82" s="3"/>
      <c r="G82" s="3"/>
      <c r="H82"/>
      <c r="I82" s="3"/>
      <c r="K82" s="112">
        <v>78</v>
      </c>
    </row>
    <row r="83" spans="1:11" ht="15" x14ac:dyDescent="0.2">
      <c r="A83" s="453" t="s">
        <v>1450</v>
      </c>
      <c r="B83" s="454" t="s">
        <v>1434</v>
      </c>
      <c r="C83" s="455" t="s">
        <v>52</v>
      </c>
      <c r="D83" s="646">
        <v>0.15</v>
      </c>
      <c r="E83" s="147"/>
      <c r="F83" s="3"/>
      <c r="G83" s="3"/>
      <c r="H83"/>
      <c r="I83" s="3"/>
      <c r="K83" s="135">
        <v>79</v>
      </c>
    </row>
    <row r="84" spans="1:11" x14ac:dyDescent="0.2">
      <c r="H84"/>
      <c r="K84" s="135">
        <v>83</v>
      </c>
    </row>
    <row r="85" spans="1:11" x14ac:dyDescent="0.2">
      <c r="H85"/>
      <c r="K85" s="112">
        <v>84</v>
      </c>
    </row>
    <row r="86" spans="1:11" x14ac:dyDescent="0.2">
      <c r="H86"/>
      <c r="K86" s="112">
        <v>85</v>
      </c>
    </row>
    <row r="87" spans="1:11" x14ac:dyDescent="0.2">
      <c r="H87"/>
      <c r="K87" s="135">
        <v>86</v>
      </c>
    </row>
    <row r="88" spans="1:11" x14ac:dyDescent="0.2">
      <c r="K88" s="112">
        <v>87</v>
      </c>
    </row>
    <row r="89" spans="1:11" x14ac:dyDescent="0.2">
      <c r="K89" s="112">
        <v>88</v>
      </c>
    </row>
    <row r="90" spans="1:11" x14ac:dyDescent="0.2">
      <c r="K90" s="135">
        <v>89</v>
      </c>
    </row>
    <row r="91" spans="1:11" x14ac:dyDescent="0.2">
      <c r="K91" s="112">
        <v>90</v>
      </c>
    </row>
    <row r="92" spans="1:11" x14ac:dyDescent="0.2">
      <c r="K92" s="112">
        <v>91</v>
      </c>
    </row>
    <row r="93" spans="1:11" x14ac:dyDescent="0.2">
      <c r="K93" s="135">
        <v>92</v>
      </c>
    </row>
    <row r="94" spans="1:11" x14ac:dyDescent="0.2">
      <c r="K94" s="112">
        <v>93</v>
      </c>
    </row>
    <row r="95" spans="1:11" x14ac:dyDescent="0.2">
      <c r="K95" s="112">
        <v>94</v>
      </c>
    </row>
    <row r="96" spans="1:11" x14ac:dyDescent="0.2">
      <c r="K96" s="135">
        <v>95</v>
      </c>
    </row>
    <row r="97" spans="5:11" x14ac:dyDescent="0.2">
      <c r="E97" s="345"/>
      <c r="K97" s="112">
        <v>96</v>
      </c>
    </row>
    <row r="98" spans="5:11" x14ac:dyDescent="0.2">
      <c r="K98" s="112">
        <v>97</v>
      </c>
    </row>
    <row r="99" spans="5:11" x14ac:dyDescent="0.2">
      <c r="K99" s="135">
        <v>98</v>
      </c>
    </row>
    <row r="100" spans="5:11" x14ac:dyDescent="0.2">
      <c r="K100" s="112">
        <v>99</v>
      </c>
    </row>
    <row r="101" spans="5:11" x14ac:dyDescent="0.2">
      <c r="K101" s="112">
        <v>100</v>
      </c>
    </row>
    <row r="102" spans="5:11" x14ac:dyDescent="0.2">
      <c r="K102" s="135">
        <v>101</v>
      </c>
    </row>
    <row r="103" spans="5:11" x14ac:dyDescent="0.2">
      <c r="K103" s="112">
        <v>102</v>
      </c>
    </row>
    <row r="104" spans="5:11" x14ac:dyDescent="0.2">
      <c r="K104" s="112">
        <v>103</v>
      </c>
    </row>
    <row r="105" spans="5:11" x14ac:dyDescent="0.2">
      <c r="K105" s="135">
        <v>104</v>
      </c>
    </row>
    <row r="106" spans="5:11" x14ac:dyDescent="0.2">
      <c r="K106" s="112">
        <v>105</v>
      </c>
    </row>
    <row r="107" spans="5:11" x14ac:dyDescent="0.2">
      <c r="K107" s="112">
        <v>106</v>
      </c>
    </row>
    <row r="108" spans="5:11" x14ac:dyDescent="0.2">
      <c r="K108" s="135">
        <v>107</v>
      </c>
    </row>
    <row r="109" spans="5:11" x14ac:dyDescent="0.2">
      <c r="K109" s="112">
        <v>108</v>
      </c>
    </row>
    <row r="110" spans="5:11" x14ac:dyDescent="0.2">
      <c r="K110" s="112">
        <v>109</v>
      </c>
    </row>
    <row r="111" spans="5:11" x14ac:dyDescent="0.2">
      <c r="K111" s="135">
        <v>110</v>
      </c>
    </row>
    <row r="112" spans="5:11" x14ac:dyDescent="0.2">
      <c r="K112" s="112">
        <v>111</v>
      </c>
    </row>
    <row r="113" spans="11:11" x14ac:dyDescent="0.2">
      <c r="K113" s="112">
        <v>112</v>
      </c>
    </row>
    <row r="114" spans="11:11" x14ac:dyDescent="0.2">
      <c r="K114" s="135">
        <v>113</v>
      </c>
    </row>
    <row r="115" spans="11:11" x14ac:dyDescent="0.2">
      <c r="K115" s="112">
        <v>114</v>
      </c>
    </row>
    <row r="116" spans="11:11" x14ac:dyDescent="0.2">
      <c r="K116" s="112">
        <v>115</v>
      </c>
    </row>
    <row r="117" spans="11:11" x14ac:dyDescent="0.2">
      <c r="K117" s="135">
        <v>116</v>
      </c>
    </row>
    <row r="118" spans="11:11" x14ac:dyDescent="0.2">
      <c r="K118" s="112">
        <v>117</v>
      </c>
    </row>
    <row r="119" spans="11:11" x14ac:dyDescent="0.2">
      <c r="K119" s="112">
        <v>118</v>
      </c>
    </row>
    <row r="120" spans="11:11" x14ac:dyDescent="0.2">
      <c r="K120" s="135">
        <v>119</v>
      </c>
    </row>
    <row r="121" spans="11:11" x14ac:dyDescent="0.2">
      <c r="K121" s="112">
        <v>120</v>
      </c>
    </row>
    <row r="122" spans="11:11" x14ac:dyDescent="0.2">
      <c r="K122" s="112">
        <v>121</v>
      </c>
    </row>
    <row r="123" spans="11:11" x14ac:dyDescent="0.2">
      <c r="K123" s="135">
        <v>122</v>
      </c>
    </row>
    <row r="124" spans="11:11" x14ac:dyDescent="0.2">
      <c r="K124" s="112">
        <v>123</v>
      </c>
    </row>
    <row r="125" spans="11:11" x14ac:dyDescent="0.2">
      <c r="K125" s="112">
        <v>124</v>
      </c>
    </row>
    <row r="126" spans="11:11" x14ac:dyDescent="0.2">
      <c r="K126" s="135">
        <v>125</v>
      </c>
    </row>
    <row r="127" spans="11:11" x14ac:dyDescent="0.2">
      <c r="K127" s="112">
        <v>126</v>
      </c>
    </row>
    <row r="128" spans="11:11" x14ac:dyDescent="0.2">
      <c r="K128" s="112">
        <v>127</v>
      </c>
    </row>
    <row r="129" spans="11:11" x14ac:dyDescent="0.2">
      <c r="K129" s="135">
        <v>128</v>
      </c>
    </row>
    <row r="130" spans="11:11" x14ac:dyDescent="0.2">
      <c r="K130" s="112">
        <v>129</v>
      </c>
    </row>
    <row r="131" spans="11:11" x14ac:dyDescent="0.2">
      <c r="K131" s="112">
        <v>130</v>
      </c>
    </row>
    <row r="132" spans="11:11" x14ac:dyDescent="0.2">
      <c r="K132" s="135">
        <v>131</v>
      </c>
    </row>
    <row r="133" spans="11:11" x14ac:dyDescent="0.2">
      <c r="K133" s="112">
        <v>132</v>
      </c>
    </row>
    <row r="134" spans="11:11" x14ac:dyDescent="0.2">
      <c r="K134" s="112">
        <v>133</v>
      </c>
    </row>
    <row r="135" spans="11:11" x14ac:dyDescent="0.2">
      <c r="K135" s="135">
        <v>134</v>
      </c>
    </row>
    <row r="136" spans="11:11" x14ac:dyDescent="0.2">
      <c r="K136" s="112">
        <v>135</v>
      </c>
    </row>
    <row r="137" spans="11:11" x14ac:dyDescent="0.2">
      <c r="K137" s="112">
        <v>136</v>
      </c>
    </row>
    <row r="138" spans="11:11" x14ac:dyDescent="0.2">
      <c r="K138" s="135">
        <v>137</v>
      </c>
    </row>
    <row r="139" spans="11:11" x14ac:dyDescent="0.2">
      <c r="K139" s="112">
        <v>138</v>
      </c>
    </row>
    <row r="140" spans="11:11" x14ac:dyDescent="0.2">
      <c r="K140" s="112">
        <v>139</v>
      </c>
    </row>
    <row r="141" spans="11:11" x14ac:dyDescent="0.2">
      <c r="K141" s="135">
        <v>140</v>
      </c>
    </row>
    <row r="142" spans="11:11" x14ac:dyDescent="0.2">
      <c r="K142" s="112">
        <v>141</v>
      </c>
    </row>
    <row r="143" spans="11:11" x14ac:dyDescent="0.2">
      <c r="K143" s="112">
        <v>142</v>
      </c>
    </row>
    <row r="144" spans="11:11" x14ac:dyDescent="0.2">
      <c r="K144" s="135">
        <v>143</v>
      </c>
    </row>
    <row r="145" spans="11:11" x14ac:dyDescent="0.2">
      <c r="K145" s="112">
        <v>144</v>
      </c>
    </row>
    <row r="146" spans="11:11" x14ac:dyDescent="0.2">
      <c r="K146" s="112">
        <v>145</v>
      </c>
    </row>
    <row r="147" spans="11:11" x14ac:dyDescent="0.2">
      <c r="K147" s="135">
        <v>146</v>
      </c>
    </row>
    <row r="148" spans="11:11" x14ac:dyDescent="0.2">
      <c r="K148" s="112">
        <v>147</v>
      </c>
    </row>
    <row r="149" spans="11:11" x14ac:dyDescent="0.2">
      <c r="K149" s="112">
        <v>148</v>
      </c>
    </row>
    <row r="150" spans="11:11" x14ac:dyDescent="0.2">
      <c r="K150" s="135">
        <v>149</v>
      </c>
    </row>
    <row r="151" spans="11:11" x14ac:dyDescent="0.2">
      <c r="K151" s="112">
        <v>150</v>
      </c>
    </row>
    <row r="152" spans="11:11" x14ac:dyDescent="0.2">
      <c r="K152" s="112">
        <v>151</v>
      </c>
    </row>
    <row r="153" spans="11:11" x14ac:dyDescent="0.2">
      <c r="K153" s="135">
        <v>152</v>
      </c>
    </row>
    <row r="154" spans="11:11" x14ac:dyDescent="0.2">
      <c r="K154" s="112">
        <v>153</v>
      </c>
    </row>
    <row r="155" spans="11:11" x14ac:dyDescent="0.2">
      <c r="K155" s="112">
        <v>154</v>
      </c>
    </row>
    <row r="156" spans="11:11" x14ac:dyDescent="0.2">
      <c r="K156" s="135">
        <v>155</v>
      </c>
    </row>
    <row r="157" spans="11:11" x14ac:dyDescent="0.2">
      <c r="K157" s="112">
        <v>156</v>
      </c>
    </row>
    <row r="158" spans="11:11" x14ac:dyDescent="0.2">
      <c r="K158" s="112">
        <v>157</v>
      </c>
    </row>
    <row r="159" spans="11:11" x14ac:dyDescent="0.2">
      <c r="K159" s="135">
        <v>158</v>
      </c>
    </row>
    <row r="160" spans="11:11" x14ac:dyDescent="0.2">
      <c r="K160" s="135">
        <v>159</v>
      </c>
    </row>
    <row r="161" spans="11:11" x14ac:dyDescent="0.2">
      <c r="K161" s="112">
        <v>160</v>
      </c>
    </row>
    <row r="162" spans="11:11" x14ac:dyDescent="0.2">
      <c r="K162" s="112">
        <v>161</v>
      </c>
    </row>
    <row r="163" spans="11:11" x14ac:dyDescent="0.2">
      <c r="K163" s="135">
        <v>162</v>
      </c>
    </row>
    <row r="164" spans="11:11" x14ac:dyDescent="0.2">
      <c r="K164" s="112">
        <v>163</v>
      </c>
    </row>
    <row r="165" spans="11:11" x14ac:dyDescent="0.2">
      <c r="K165" s="112">
        <v>164</v>
      </c>
    </row>
    <row r="166" spans="11:11" x14ac:dyDescent="0.2">
      <c r="K166" s="135">
        <v>165</v>
      </c>
    </row>
    <row r="167" spans="11:11" x14ac:dyDescent="0.2">
      <c r="K167" s="112">
        <v>166</v>
      </c>
    </row>
    <row r="168" spans="11:11" x14ac:dyDescent="0.2">
      <c r="K168" s="112">
        <v>167</v>
      </c>
    </row>
    <row r="169" spans="11:11" x14ac:dyDescent="0.2">
      <c r="K169" s="135">
        <v>168</v>
      </c>
    </row>
    <row r="170" spans="11:11" x14ac:dyDescent="0.2">
      <c r="K170" s="112">
        <v>169</v>
      </c>
    </row>
    <row r="171" spans="11:11" x14ac:dyDescent="0.2">
      <c r="K171" s="112">
        <v>170</v>
      </c>
    </row>
    <row r="172" spans="11:11" x14ac:dyDescent="0.2">
      <c r="K172" s="135">
        <v>171</v>
      </c>
    </row>
    <row r="173" spans="11:11" x14ac:dyDescent="0.2">
      <c r="K173" s="112">
        <v>172</v>
      </c>
    </row>
    <row r="174" spans="11:11" x14ac:dyDescent="0.2">
      <c r="K174" s="112">
        <v>173</v>
      </c>
    </row>
    <row r="175" spans="11:11" x14ac:dyDescent="0.2">
      <c r="K175" s="135">
        <v>174</v>
      </c>
    </row>
    <row r="176" spans="11:11" x14ac:dyDescent="0.2">
      <c r="K176" s="112">
        <v>175</v>
      </c>
    </row>
    <row r="177" spans="11:11" x14ac:dyDescent="0.2">
      <c r="K177" s="112">
        <v>176</v>
      </c>
    </row>
    <row r="178" spans="11:11" x14ac:dyDescent="0.2">
      <c r="K178" s="135">
        <v>177</v>
      </c>
    </row>
    <row r="179" spans="11:11" x14ac:dyDescent="0.2">
      <c r="K179" s="112">
        <v>178</v>
      </c>
    </row>
    <row r="180" spans="11:11" x14ac:dyDescent="0.2">
      <c r="K180" s="112">
        <v>179</v>
      </c>
    </row>
    <row r="181" spans="11:11" x14ac:dyDescent="0.2">
      <c r="K181" s="135">
        <v>180</v>
      </c>
    </row>
    <row r="182" spans="11:11" x14ac:dyDescent="0.2">
      <c r="K182" s="112">
        <v>181</v>
      </c>
    </row>
    <row r="183" spans="11:11" x14ac:dyDescent="0.2">
      <c r="K183" s="112">
        <v>182</v>
      </c>
    </row>
    <row r="184" spans="11:11" x14ac:dyDescent="0.2">
      <c r="K184" s="135">
        <v>183</v>
      </c>
    </row>
    <row r="185" spans="11:11" x14ac:dyDescent="0.2">
      <c r="K185" s="112">
        <v>184</v>
      </c>
    </row>
    <row r="186" spans="11:11" x14ac:dyDescent="0.2">
      <c r="K186" s="112">
        <v>185</v>
      </c>
    </row>
    <row r="187" spans="11:11" x14ac:dyDescent="0.2">
      <c r="K187" s="135">
        <v>186</v>
      </c>
    </row>
    <row r="188" spans="11:11" x14ac:dyDescent="0.2">
      <c r="K188" s="112">
        <v>187</v>
      </c>
    </row>
    <row r="189" spans="11:11" x14ac:dyDescent="0.2">
      <c r="K189" s="112">
        <v>188</v>
      </c>
    </row>
    <row r="190" spans="11:11" x14ac:dyDescent="0.2">
      <c r="K190" s="135">
        <v>189</v>
      </c>
    </row>
    <row r="191" spans="11:11" x14ac:dyDescent="0.2">
      <c r="K191" s="112">
        <v>190</v>
      </c>
    </row>
    <row r="192" spans="11:11" x14ac:dyDescent="0.2">
      <c r="K192" s="112">
        <v>191</v>
      </c>
    </row>
    <row r="193" spans="11:11" x14ac:dyDescent="0.2">
      <c r="K193" s="135">
        <v>192</v>
      </c>
    </row>
    <row r="194" spans="11:11" x14ac:dyDescent="0.2">
      <c r="K194" s="112">
        <v>193</v>
      </c>
    </row>
    <row r="195" spans="11:11" x14ac:dyDescent="0.2">
      <c r="K195" s="112">
        <v>194</v>
      </c>
    </row>
    <row r="196" spans="11:11" x14ac:dyDescent="0.2">
      <c r="K196" s="135">
        <v>195</v>
      </c>
    </row>
    <row r="197" spans="11:11" x14ac:dyDescent="0.2">
      <c r="K197" s="112">
        <v>196</v>
      </c>
    </row>
    <row r="198" spans="11:11" x14ac:dyDescent="0.2">
      <c r="K198" s="112">
        <v>197</v>
      </c>
    </row>
    <row r="199" spans="11:11" x14ac:dyDescent="0.2">
      <c r="K199" s="135">
        <v>198</v>
      </c>
    </row>
    <row r="200" spans="11:11" x14ac:dyDescent="0.2">
      <c r="K200" s="112">
        <v>199</v>
      </c>
    </row>
    <row r="201" spans="11:11" x14ac:dyDescent="0.2">
      <c r="K201" s="112">
        <v>200</v>
      </c>
    </row>
    <row r="202" spans="11:11" x14ac:dyDescent="0.2">
      <c r="K202" s="135">
        <v>201</v>
      </c>
    </row>
    <row r="203" spans="11:11" x14ac:dyDescent="0.2">
      <c r="K203" s="112">
        <v>202</v>
      </c>
    </row>
    <row r="204" spans="11:11" x14ac:dyDescent="0.2">
      <c r="K204" s="112">
        <v>203</v>
      </c>
    </row>
    <row r="205" spans="11:11" x14ac:dyDescent="0.2">
      <c r="K205" s="135">
        <v>204</v>
      </c>
    </row>
    <row r="206" spans="11:11" x14ac:dyDescent="0.2">
      <c r="K206" s="112">
        <v>205</v>
      </c>
    </row>
    <row r="207" spans="11:11" x14ac:dyDescent="0.2">
      <c r="K207" s="112">
        <v>206</v>
      </c>
    </row>
    <row r="208" spans="11:11" x14ac:dyDescent="0.2">
      <c r="K208" s="135">
        <v>207</v>
      </c>
    </row>
    <row r="209" spans="11:11" x14ac:dyDescent="0.2">
      <c r="K209" s="112">
        <v>208</v>
      </c>
    </row>
    <row r="210" spans="11:11" x14ac:dyDescent="0.2">
      <c r="K210" s="112">
        <v>209</v>
      </c>
    </row>
    <row r="211" spans="11:11" x14ac:dyDescent="0.2">
      <c r="K211" s="135">
        <v>210</v>
      </c>
    </row>
    <row r="212" spans="11:11" x14ac:dyDescent="0.2">
      <c r="K212" s="112">
        <v>211</v>
      </c>
    </row>
    <row r="213" spans="11:11" x14ac:dyDescent="0.2">
      <c r="K213" s="112">
        <v>212</v>
      </c>
    </row>
    <row r="214" spans="11:11" x14ac:dyDescent="0.2">
      <c r="K214" s="135">
        <v>213</v>
      </c>
    </row>
    <row r="215" spans="11:11" x14ac:dyDescent="0.2">
      <c r="K215" s="112">
        <v>214</v>
      </c>
    </row>
    <row r="216" spans="11:11" x14ac:dyDescent="0.2">
      <c r="K216" s="112">
        <v>215</v>
      </c>
    </row>
    <row r="217" spans="11:11" x14ac:dyDescent="0.2">
      <c r="K217" s="135">
        <v>216</v>
      </c>
    </row>
    <row r="218" spans="11:11" x14ac:dyDescent="0.2">
      <c r="K218" s="112">
        <v>217</v>
      </c>
    </row>
    <row r="219" spans="11:11" x14ac:dyDescent="0.2">
      <c r="K219" s="112">
        <v>218</v>
      </c>
    </row>
    <row r="220" spans="11:11" x14ac:dyDescent="0.2">
      <c r="K220" s="135">
        <v>219</v>
      </c>
    </row>
    <row r="221" spans="11:11" x14ac:dyDescent="0.2">
      <c r="K221" s="112">
        <v>220</v>
      </c>
    </row>
    <row r="222" spans="11:11" x14ac:dyDescent="0.2">
      <c r="K222" s="112">
        <v>221</v>
      </c>
    </row>
    <row r="223" spans="11:11" x14ac:dyDescent="0.2">
      <c r="K223" s="135">
        <v>222</v>
      </c>
    </row>
    <row r="224" spans="11:11" x14ac:dyDescent="0.2">
      <c r="K224" s="112">
        <v>223</v>
      </c>
    </row>
    <row r="225" spans="11:11" x14ac:dyDescent="0.2">
      <c r="K225" s="112">
        <v>224</v>
      </c>
    </row>
    <row r="226" spans="11:11" x14ac:dyDescent="0.2">
      <c r="K226" s="135">
        <v>225</v>
      </c>
    </row>
    <row r="227" spans="11:11" x14ac:dyDescent="0.2">
      <c r="K227" s="112">
        <v>226</v>
      </c>
    </row>
    <row r="228" spans="11:11" x14ac:dyDescent="0.2">
      <c r="K228" s="112">
        <v>227</v>
      </c>
    </row>
    <row r="229" spans="11:11" x14ac:dyDescent="0.2">
      <c r="K229" s="135">
        <v>228</v>
      </c>
    </row>
    <row r="230" spans="11:11" x14ac:dyDescent="0.2">
      <c r="K230" s="112">
        <v>229</v>
      </c>
    </row>
    <row r="231" spans="11:11" x14ac:dyDescent="0.2">
      <c r="K231" s="112">
        <v>230</v>
      </c>
    </row>
    <row r="232" spans="11:11" x14ac:dyDescent="0.2">
      <c r="K232" s="135">
        <v>231</v>
      </c>
    </row>
    <row r="233" spans="11:11" x14ac:dyDescent="0.2">
      <c r="K233" s="112">
        <v>232</v>
      </c>
    </row>
    <row r="234" spans="11:11" x14ac:dyDescent="0.2">
      <c r="K234" s="112">
        <v>233</v>
      </c>
    </row>
    <row r="235" spans="11:11" x14ac:dyDescent="0.2">
      <c r="K235" s="135">
        <v>234</v>
      </c>
    </row>
    <row r="236" spans="11:11" x14ac:dyDescent="0.2">
      <c r="K236" s="112">
        <v>235</v>
      </c>
    </row>
    <row r="237" spans="11:11" x14ac:dyDescent="0.2">
      <c r="K237" s="112">
        <v>236</v>
      </c>
    </row>
    <row r="238" spans="11:11" x14ac:dyDescent="0.2">
      <c r="K238" s="135">
        <v>237</v>
      </c>
    </row>
    <row r="239" spans="11:11" x14ac:dyDescent="0.2">
      <c r="K239" s="135">
        <v>238</v>
      </c>
    </row>
    <row r="240" spans="11:11" x14ac:dyDescent="0.2">
      <c r="K240" s="112">
        <v>239</v>
      </c>
    </row>
    <row r="241" spans="11:11" x14ac:dyDescent="0.2">
      <c r="K241" s="112">
        <v>240</v>
      </c>
    </row>
    <row r="242" spans="11:11" x14ac:dyDescent="0.2">
      <c r="K242" s="135">
        <v>241</v>
      </c>
    </row>
    <row r="243" spans="11:11" x14ac:dyDescent="0.2">
      <c r="K243" s="112">
        <v>242</v>
      </c>
    </row>
    <row r="244" spans="11:11" x14ac:dyDescent="0.2">
      <c r="K244" s="112">
        <v>243</v>
      </c>
    </row>
    <row r="245" spans="11:11" x14ac:dyDescent="0.2">
      <c r="K245" s="135">
        <v>244</v>
      </c>
    </row>
    <row r="246" spans="11:11" x14ac:dyDescent="0.2">
      <c r="K246" s="112">
        <v>245</v>
      </c>
    </row>
    <row r="247" spans="11:11" x14ac:dyDescent="0.2">
      <c r="K247" s="112">
        <v>246</v>
      </c>
    </row>
    <row r="248" spans="11:11" x14ac:dyDescent="0.2">
      <c r="K248" s="135">
        <v>247</v>
      </c>
    </row>
    <row r="249" spans="11:11" x14ac:dyDescent="0.2">
      <c r="K249" s="112">
        <v>248</v>
      </c>
    </row>
    <row r="250" spans="11:11" x14ac:dyDescent="0.2">
      <c r="K250" s="112">
        <v>249</v>
      </c>
    </row>
  </sheetData>
  <pageMargins left="0.70000000000000007" right="0.70000000000000007" top="1.1437007874015745" bottom="1.1437007874015745" header="0.74999999999999989" footer="0.74999999999999989"/>
  <pageSetup paperSize="9" scale="53" fitToHeight="0" orientation="landscape" r:id="rId1"/>
  <headerFooter alignWithMargins="0"/>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ublished="0" codeName="Feuil7">
    <pageSetUpPr fitToPage="1"/>
  </sheetPr>
  <dimension ref="A1:J109"/>
  <sheetViews>
    <sheetView zoomScale="70" zoomScaleNormal="70" workbookViewId="0">
      <selection activeCell="A79" sqref="A79"/>
    </sheetView>
  </sheetViews>
  <sheetFormatPr baseColWidth="10" defaultRowHeight="14.25" x14ac:dyDescent="0.2"/>
  <cols>
    <col min="1" max="1" width="32.625" customWidth="1"/>
    <col min="2" max="2" width="40.5" customWidth="1"/>
    <col min="3" max="3" width="15.625" customWidth="1"/>
    <col min="5" max="5" width="25.625" customWidth="1"/>
    <col min="6" max="6" width="114.125" customWidth="1"/>
    <col min="7" max="7" width="27.625" bestFit="1" customWidth="1"/>
    <col min="8" max="8" width="42.125" bestFit="1" customWidth="1"/>
    <col min="9" max="9" width="10.625" customWidth="1"/>
    <col min="10" max="10" width="40.5" customWidth="1"/>
    <col min="11" max="764" width="10.625" customWidth="1"/>
  </cols>
  <sheetData>
    <row r="1" spans="1:10" ht="59.25" customHeight="1" x14ac:dyDescent="0.2">
      <c r="A1" s="163" t="s">
        <v>234</v>
      </c>
      <c r="B1" s="144" t="s">
        <v>235</v>
      </c>
      <c r="C1" s="144" t="s">
        <v>236</v>
      </c>
      <c r="D1" s="145" t="s">
        <v>411</v>
      </c>
      <c r="E1" s="167" t="s">
        <v>412</v>
      </c>
      <c r="F1" s="168" t="s">
        <v>413</v>
      </c>
      <c r="G1" s="335"/>
      <c r="H1" s="335"/>
      <c r="I1" s="335"/>
      <c r="J1" s="144" t="s">
        <v>235</v>
      </c>
    </row>
    <row r="2" spans="1:10" ht="34.5" hidden="1" customHeight="1" x14ac:dyDescent="0.2">
      <c r="A2" s="407" t="s">
        <v>419</v>
      </c>
      <c r="B2" s="148" t="s">
        <v>1153</v>
      </c>
      <c r="C2" s="148" t="s">
        <v>42</v>
      </c>
      <c r="D2" s="150">
        <v>0.08</v>
      </c>
      <c r="E2" s="169" t="s">
        <v>420</v>
      </c>
      <c r="F2" s="170"/>
      <c r="G2" s="335"/>
      <c r="H2" s="335"/>
      <c r="I2" s="335"/>
      <c r="J2" s="148" t="s">
        <v>1153</v>
      </c>
    </row>
    <row r="3" spans="1:10" ht="28.5" hidden="1" x14ac:dyDescent="0.2">
      <c r="A3" s="408" t="s">
        <v>438</v>
      </c>
      <c r="B3" s="148" t="s">
        <v>1153</v>
      </c>
      <c r="C3" s="148" t="s">
        <v>42</v>
      </c>
      <c r="D3" s="150">
        <v>0.2</v>
      </c>
      <c r="E3" s="169"/>
      <c r="F3" s="170" t="s">
        <v>1656</v>
      </c>
      <c r="G3" s="335"/>
      <c r="H3" s="439"/>
      <c r="I3" s="437"/>
      <c r="J3" s="148" t="s">
        <v>1154</v>
      </c>
    </row>
    <row r="4" spans="1:10" ht="37.5" hidden="1" x14ac:dyDescent="0.2">
      <c r="A4" s="407" t="s">
        <v>414</v>
      </c>
      <c r="B4" s="148" t="s">
        <v>1153</v>
      </c>
      <c r="C4" s="148" t="s">
        <v>42</v>
      </c>
      <c r="D4" s="150">
        <v>1.25</v>
      </c>
      <c r="E4" s="169" t="s">
        <v>415</v>
      </c>
      <c r="F4" s="170" t="s">
        <v>1657</v>
      </c>
      <c r="G4" s="336"/>
      <c r="H4" s="439"/>
      <c r="I4" s="437"/>
      <c r="J4" s="148" t="s">
        <v>1155</v>
      </c>
    </row>
    <row r="5" spans="1:10" ht="37.5" hidden="1" x14ac:dyDescent="0.2">
      <c r="A5" s="407" t="s">
        <v>1662</v>
      </c>
      <c r="B5" s="148" t="s">
        <v>1153</v>
      </c>
      <c r="C5" s="148" t="s">
        <v>42</v>
      </c>
      <c r="D5" s="150">
        <v>0.5</v>
      </c>
      <c r="E5" s="169"/>
      <c r="F5" s="170" t="s">
        <v>1663</v>
      </c>
      <c r="G5" s="336"/>
      <c r="H5" s="439"/>
      <c r="I5" s="437"/>
      <c r="J5" s="148"/>
    </row>
    <row r="6" spans="1:10" ht="18.75" x14ac:dyDescent="0.2">
      <c r="A6" s="407" t="s">
        <v>416</v>
      </c>
      <c r="B6" s="148" t="s">
        <v>1153</v>
      </c>
      <c r="C6" s="148" t="s">
        <v>42</v>
      </c>
      <c r="D6" s="150">
        <v>0.25</v>
      </c>
      <c r="E6" s="169" t="s">
        <v>417</v>
      </c>
      <c r="F6" s="170" t="s">
        <v>418</v>
      </c>
      <c r="G6" s="336"/>
      <c r="H6" s="439"/>
      <c r="I6" s="437"/>
      <c r="J6" s="148" t="s">
        <v>1158</v>
      </c>
    </row>
    <row r="7" spans="1:10" ht="37.5" hidden="1" thickTop="1" thickBot="1" x14ac:dyDescent="0.25">
      <c r="A7" s="408" t="s">
        <v>1058</v>
      </c>
      <c r="B7" s="148" t="s">
        <v>1153</v>
      </c>
      <c r="C7" s="148" t="s">
        <v>42</v>
      </c>
      <c r="D7" s="150">
        <v>0.02</v>
      </c>
      <c r="E7" s="169"/>
      <c r="F7" s="170" t="s">
        <v>1059</v>
      </c>
      <c r="G7" s="336"/>
      <c r="H7" s="440"/>
      <c r="I7" s="437"/>
      <c r="J7" s="148" t="s">
        <v>1157</v>
      </c>
    </row>
    <row r="8" spans="1:10" ht="19.5" hidden="1" thickTop="1" thickBot="1" x14ac:dyDescent="0.25">
      <c r="A8" s="408" t="s">
        <v>1143</v>
      </c>
      <c r="B8" s="148" t="s">
        <v>1153</v>
      </c>
      <c r="C8" s="148" t="s">
        <v>25</v>
      </c>
      <c r="D8" s="150">
        <v>0.25</v>
      </c>
      <c r="E8" s="169"/>
      <c r="F8" s="170" t="s">
        <v>1060</v>
      </c>
      <c r="G8" s="336"/>
      <c r="H8" s="440"/>
      <c r="I8" s="437"/>
      <c r="J8" s="148"/>
    </row>
    <row r="9" spans="1:10" ht="19.5" hidden="1" thickTop="1" thickBot="1" x14ac:dyDescent="0.25">
      <c r="A9" s="408" t="s">
        <v>428</v>
      </c>
      <c r="B9" s="148" t="s">
        <v>1154</v>
      </c>
      <c r="C9" s="148" t="s">
        <v>42</v>
      </c>
      <c r="D9" s="152">
        <v>0.15</v>
      </c>
      <c r="E9" s="169" t="s">
        <v>429</v>
      </c>
      <c r="F9" s="170"/>
      <c r="G9" s="336"/>
      <c r="H9" s="440"/>
      <c r="I9" s="437"/>
      <c r="J9" s="148" t="s">
        <v>1156</v>
      </c>
    </row>
    <row r="10" spans="1:10" ht="19.5" hidden="1" thickTop="1" thickBot="1" x14ac:dyDescent="0.25">
      <c r="A10" s="408" t="s">
        <v>430</v>
      </c>
      <c r="B10" s="148" t="s">
        <v>1154</v>
      </c>
      <c r="C10" s="148" t="s">
        <v>42</v>
      </c>
      <c r="D10" s="150">
        <v>0.1</v>
      </c>
      <c r="E10" s="169" t="s">
        <v>429</v>
      </c>
      <c r="F10" s="170"/>
      <c r="G10" s="336"/>
      <c r="H10" s="440"/>
      <c r="I10" s="437"/>
    </row>
    <row r="11" spans="1:10" ht="19.5" hidden="1" thickTop="1" thickBot="1" x14ac:dyDescent="0.25">
      <c r="A11" s="408" t="s">
        <v>431</v>
      </c>
      <c r="B11" s="148" t="s">
        <v>1154</v>
      </c>
      <c r="C11" s="148" t="s">
        <v>42</v>
      </c>
      <c r="D11" s="150">
        <v>0.1</v>
      </c>
      <c r="E11" s="169" t="s">
        <v>432</v>
      </c>
      <c r="F11" s="170" t="s">
        <v>433</v>
      </c>
      <c r="G11" s="336"/>
      <c r="H11" s="440"/>
      <c r="I11" s="437"/>
    </row>
    <row r="12" spans="1:10" ht="19.5" hidden="1" thickTop="1" thickBot="1" x14ac:dyDescent="0.25">
      <c r="A12" s="408" t="s">
        <v>423</v>
      </c>
      <c r="B12" s="148" t="s">
        <v>1155</v>
      </c>
      <c r="C12" s="148" t="s">
        <v>42</v>
      </c>
      <c r="D12" s="150">
        <v>0.08</v>
      </c>
      <c r="E12" s="169" t="s">
        <v>420</v>
      </c>
      <c r="F12" s="170"/>
      <c r="G12" s="336"/>
      <c r="H12" s="440"/>
      <c r="I12" s="437"/>
    </row>
    <row r="13" spans="1:10" ht="19.5" hidden="1" thickTop="1" thickBot="1" x14ac:dyDescent="0.25">
      <c r="A13" s="408" t="s">
        <v>424</v>
      </c>
      <c r="B13" s="148" t="s">
        <v>1155</v>
      </c>
      <c r="C13" s="148" t="s">
        <v>42</v>
      </c>
      <c r="D13" s="150">
        <v>0.04</v>
      </c>
      <c r="E13" s="169" t="s">
        <v>420</v>
      </c>
      <c r="F13" s="170"/>
      <c r="G13" s="336"/>
      <c r="H13" s="440"/>
      <c r="I13" s="437"/>
    </row>
    <row r="14" spans="1:10" ht="19.5" hidden="1" thickTop="1" thickBot="1" x14ac:dyDescent="0.25">
      <c r="A14" s="408" t="s">
        <v>425</v>
      </c>
      <c r="B14" s="148" t="s">
        <v>1155</v>
      </c>
      <c r="C14" s="148" t="s">
        <v>42</v>
      </c>
      <c r="D14" s="150">
        <v>0.08</v>
      </c>
      <c r="E14" s="169" t="s">
        <v>420</v>
      </c>
      <c r="F14" s="170"/>
      <c r="G14" s="336"/>
      <c r="H14" s="440"/>
      <c r="I14" s="437"/>
    </row>
    <row r="15" spans="1:10" ht="37.5" hidden="1" thickTop="1" thickBot="1" x14ac:dyDescent="0.25">
      <c r="A15" s="438" t="s">
        <v>1202</v>
      </c>
      <c r="B15" s="148" t="s">
        <v>1155</v>
      </c>
      <c r="C15" s="148" t="s">
        <v>42</v>
      </c>
      <c r="D15" s="150">
        <v>0.08</v>
      </c>
      <c r="E15" s="169" t="s">
        <v>420</v>
      </c>
      <c r="F15" s="170"/>
      <c r="G15" s="336"/>
      <c r="H15" s="440"/>
      <c r="I15" s="437"/>
    </row>
    <row r="16" spans="1:10" ht="19.5" hidden="1" thickTop="1" thickBot="1" x14ac:dyDescent="0.25">
      <c r="A16" s="438" t="s">
        <v>1250</v>
      </c>
      <c r="B16" s="148" t="s">
        <v>1155</v>
      </c>
      <c r="C16" s="148" t="s">
        <v>42</v>
      </c>
      <c r="D16" s="150">
        <v>0.08</v>
      </c>
      <c r="E16" s="169" t="s">
        <v>420</v>
      </c>
      <c r="F16" s="170" t="s">
        <v>1249</v>
      </c>
      <c r="G16" s="336"/>
      <c r="H16" s="440"/>
      <c r="I16" s="437"/>
    </row>
    <row r="17" spans="1:10" ht="30" hidden="1" thickTop="1" thickBot="1" x14ac:dyDescent="0.25">
      <c r="A17" s="408" t="s">
        <v>426</v>
      </c>
      <c r="B17" s="148" t="s">
        <v>1155</v>
      </c>
      <c r="C17" s="148" t="s">
        <v>42</v>
      </c>
      <c r="D17" s="150">
        <v>0.15</v>
      </c>
      <c r="E17" s="169" t="s">
        <v>427</v>
      </c>
      <c r="F17" s="170"/>
      <c r="G17" s="336"/>
      <c r="H17" s="440"/>
      <c r="I17" s="437"/>
    </row>
    <row r="18" spans="1:10" ht="19.5" hidden="1" thickTop="1" thickBot="1" x14ac:dyDescent="0.25">
      <c r="A18" s="438" t="s">
        <v>434</v>
      </c>
      <c r="B18" s="148" t="s">
        <v>1155</v>
      </c>
      <c r="C18" s="148" t="s">
        <v>42</v>
      </c>
      <c r="D18" s="150">
        <v>0.08</v>
      </c>
      <c r="E18" s="169"/>
      <c r="F18" s="170" t="s">
        <v>435</v>
      </c>
      <c r="G18" s="336"/>
      <c r="H18" s="440"/>
      <c r="I18" s="437"/>
    </row>
    <row r="19" spans="1:10" ht="19.5" hidden="1" thickTop="1" thickBot="1" x14ac:dyDescent="0.25">
      <c r="A19" s="410" t="s">
        <v>1174</v>
      </c>
      <c r="B19" s="148" t="s">
        <v>1155</v>
      </c>
      <c r="C19" s="148" t="s">
        <v>42</v>
      </c>
      <c r="D19" s="150">
        <v>0.05</v>
      </c>
      <c r="E19" s="169" t="s">
        <v>1218</v>
      </c>
      <c r="F19" s="170" t="s">
        <v>1216</v>
      </c>
      <c r="G19" s="336"/>
      <c r="H19" s="440"/>
      <c r="I19" s="437"/>
    </row>
    <row r="20" spans="1:10" ht="19.5" hidden="1" thickTop="1" thickBot="1" x14ac:dyDescent="0.25">
      <c r="A20" s="410" t="s">
        <v>1175</v>
      </c>
      <c r="B20" s="148" t="s">
        <v>1155</v>
      </c>
      <c r="C20" s="148" t="s">
        <v>52</v>
      </c>
      <c r="D20" s="150">
        <v>0.05</v>
      </c>
      <c r="E20" s="169" t="s">
        <v>1217</v>
      </c>
      <c r="F20" s="170"/>
      <c r="G20" s="336"/>
      <c r="H20" s="440"/>
      <c r="I20" s="437"/>
    </row>
    <row r="21" spans="1:10" ht="19.5" hidden="1" thickTop="1" thickBot="1" x14ac:dyDescent="0.25">
      <c r="A21" s="438" t="s">
        <v>436</v>
      </c>
      <c r="B21" s="148" t="s">
        <v>1155</v>
      </c>
      <c r="C21" s="148" t="s">
        <v>42</v>
      </c>
      <c r="D21" s="150">
        <v>0.05</v>
      </c>
      <c r="E21" s="169"/>
      <c r="F21" s="170" t="s">
        <v>437</v>
      </c>
      <c r="G21" s="336"/>
      <c r="H21" s="440"/>
      <c r="I21" s="437"/>
    </row>
    <row r="22" spans="1:10" ht="19.5" hidden="1" thickTop="1" thickBot="1" x14ac:dyDescent="0.25">
      <c r="A22" s="438" t="s">
        <v>1176</v>
      </c>
      <c r="B22" s="148" t="s">
        <v>1158</v>
      </c>
      <c r="C22" s="148" t="s">
        <v>42</v>
      </c>
      <c r="D22" s="150">
        <v>0.02</v>
      </c>
      <c r="E22" s="169" t="s">
        <v>1215</v>
      </c>
      <c r="F22" s="170" t="s">
        <v>1251</v>
      </c>
      <c r="G22" s="336"/>
      <c r="H22" s="440"/>
      <c r="I22" s="437"/>
    </row>
    <row r="23" spans="1:10" ht="19.5" hidden="1" thickTop="1" thickBot="1" x14ac:dyDescent="0.25">
      <c r="A23" s="438" t="s">
        <v>1201</v>
      </c>
      <c r="B23" s="148" t="s">
        <v>1158</v>
      </c>
      <c r="C23" s="148" t="s">
        <v>42</v>
      </c>
      <c r="D23" s="150">
        <v>0.12</v>
      </c>
      <c r="E23" s="169" t="s">
        <v>1215</v>
      </c>
      <c r="F23" s="170"/>
      <c r="G23" s="336"/>
      <c r="H23" s="440"/>
      <c r="I23" s="437"/>
    </row>
    <row r="24" spans="1:10" ht="19.5" hidden="1" thickTop="1" thickBot="1" x14ac:dyDescent="0.25">
      <c r="A24" s="438" t="s">
        <v>1257</v>
      </c>
      <c r="B24" s="148" t="s">
        <v>1157</v>
      </c>
      <c r="C24" s="148" t="s">
        <v>42</v>
      </c>
      <c r="D24" s="150">
        <v>0.02</v>
      </c>
      <c r="E24" s="169" t="s">
        <v>1258</v>
      </c>
      <c r="F24" s="170" t="s">
        <v>1259</v>
      </c>
      <c r="G24" s="336"/>
      <c r="H24" s="440"/>
      <c r="I24" s="437"/>
    </row>
    <row r="25" spans="1:10" ht="16.5" hidden="1" thickTop="1" thickBot="1" x14ac:dyDescent="0.25">
      <c r="A25" s="166"/>
      <c r="B25" s="148"/>
      <c r="C25" s="148"/>
      <c r="D25" s="150"/>
      <c r="E25" s="169"/>
      <c r="F25" s="170"/>
      <c r="G25" s="336"/>
      <c r="H25" s="440"/>
      <c r="I25" s="437"/>
    </row>
    <row r="26" spans="1:10" ht="15.6" hidden="1" customHeight="1" thickTop="1" thickBot="1" x14ac:dyDescent="0.25">
      <c r="A26" s="408" t="s">
        <v>421</v>
      </c>
      <c r="B26" s="148" t="s">
        <v>1156</v>
      </c>
      <c r="C26" s="148" t="s">
        <v>42</v>
      </c>
      <c r="D26" s="150">
        <v>0.25</v>
      </c>
      <c r="E26" s="169" t="s">
        <v>415</v>
      </c>
      <c r="F26" s="170" t="s">
        <v>1657</v>
      </c>
      <c r="G26" s="336"/>
      <c r="H26" s="440"/>
      <c r="I26" s="437"/>
    </row>
    <row r="27" spans="1:10" ht="21.6" hidden="1" customHeight="1" thickTop="1" thickBot="1" x14ac:dyDescent="0.25">
      <c r="A27" s="408" t="s">
        <v>1241</v>
      </c>
      <c r="B27" s="148" t="s">
        <v>1156</v>
      </c>
      <c r="C27" s="148" t="s">
        <v>42</v>
      </c>
      <c r="D27" s="150">
        <v>0.05</v>
      </c>
      <c r="E27" s="169" t="s">
        <v>1654</v>
      </c>
      <c r="F27" s="170" t="s">
        <v>1242</v>
      </c>
      <c r="G27" s="336"/>
      <c r="H27" s="440"/>
      <c r="I27" s="437"/>
    </row>
    <row r="28" spans="1:10" ht="22.35" hidden="1" customHeight="1" thickTop="1" thickBot="1" x14ac:dyDescent="0.25">
      <c r="A28" s="408" t="s">
        <v>1659</v>
      </c>
      <c r="B28" s="148" t="s">
        <v>1156</v>
      </c>
      <c r="C28" s="148" t="s">
        <v>42</v>
      </c>
      <c r="D28" s="150">
        <v>0.25</v>
      </c>
      <c r="E28" s="169" t="s">
        <v>1238</v>
      </c>
      <c r="F28" s="170" t="s">
        <v>1237</v>
      </c>
      <c r="G28" s="336"/>
      <c r="H28" s="440"/>
      <c r="I28" s="437"/>
    </row>
    <row r="29" spans="1:10" ht="22.35" hidden="1" customHeight="1" thickTop="1" thickBot="1" x14ac:dyDescent="0.25">
      <c r="A29" s="408" t="s">
        <v>1660</v>
      </c>
      <c r="B29" s="148" t="s">
        <v>1153</v>
      </c>
      <c r="C29" s="148" t="s">
        <v>42</v>
      </c>
      <c r="D29" s="150">
        <v>0.12</v>
      </c>
      <c r="E29" s="169" t="s">
        <v>1238</v>
      </c>
      <c r="F29" s="170" t="s">
        <v>1661</v>
      </c>
      <c r="G29" s="336"/>
      <c r="H29" s="440"/>
      <c r="I29" s="437"/>
      <c r="J29" s="345"/>
    </row>
    <row r="30" spans="1:10" ht="19.5" hidden="1" thickTop="1" thickBot="1" x14ac:dyDescent="0.25">
      <c r="A30" s="408" t="s">
        <v>1165</v>
      </c>
      <c r="B30" s="148" t="s">
        <v>1156</v>
      </c>
      <c r="C30" s="148" t="s">
        <v>42</v>
      </c>
      <c r="D30" s="150">
        <v>0.05</v>
      </c>
      <c r="E30" s="169" t="s">
        <v>1654</v>
      </c>
      <c r="F30" s="170" t="s">
        <v>1239</v>
      </c>
      <c r="G30" s="336"/>
      <c r="H30" s="440"/>
      <c r="I30" s="437"/>
    </row>
    <row r="31" spans="1:10" ht="18" hidden="1" x14ac:dyDescent="0.2">
      <c r="A31" s="408" t="s">
        <v>1240</v>
      </c>
      <c r="B31" s="148" t="s">
        <v>1156</v>
      </c>
      <c r="C31" s="148" t="s">
        <v>42</v>
      </c>
      <c r="D31" s="150">
        <v>0.12</v>
      </c>
      <c r="E31" s="169"/>
      <c r="F31" s="170" t="s">
        <v>441</v>
      </c>
      <c r="G31" s="336"/>
      <c r="H31" s="336"/>
      <c r="I31" s="336"/>
    </row>
    <row r="32" spans="1:10" ht="36" hidden="1" x14ac:dyDescent="0.2">
      <c r="A32" s="408" t="s">
        <v>440</v>
      </c>
      <c r="B32" s="148" t="s">
        <v>1156</v>
      </c>
      <c r="C32" s="148" t="s">
        <v>42</v>
      </c>
      <c r="D32" s="150">
        <v>0.15</v>
      </c>
      <c r="E32" s="169" t="s">
        <v>420</v>
      </c>
      <c r="F32" s="170"/>
      <c r="G32" s="336"/>
      <c r="H32" s="336"/>
      <c r="I32" s="336"/>
    </row>
    <row r="33" spans="1:9" ht="36" hidden="1" x14ac:dyDescent="0.2">
      <c r="A33" s="408" t="s">
        <v>1199</v>
      </c>
      <c r="B33" s="148" t="s">
        <v>1156</v>
      </c>
      <c r="C33" s="148" t="s">
        <v>42</v>
      </c>
      <c r="D33" s="150">
        <v>0.25</v>
      </c>
      <c r="E33" s="169" t="s">
        <v>420</v>
      </c>
      <c r="F33" s="170" t="s">
        <v>1658</v>
      </c>
      <c r="G33" s="336"/>
      <c r="H33" s="336"/>
      <c r="I33" s="336"/>
    </row>
    <row r="34" spans="1:9" ht="18" hidden="1" x14ac:dyDescent="0.2">
      <c r="A34" s="408" t="s">
        <v>1230</v>
      </c>
      <c r="B34" s="148" t="s">
        <v>1156</v>
      </c>
      <c r="C34" s="148" t="s">
        <v>42</v>
      </c>
      <c r="D34" s="150">
        <v>0.15</v>
      </c>
      <c r="E34" s="169" t="s">
        <v>1231</v>
      </c>
      <c r="F34" s="170" t="s">
        <v>1229</v>
      </c>
      <c r="G34" s="336"/>
      <c r="H34" s="336"/>
      <c r="I34" s="336"/>
    </row>
    <row r="35" spans="1:9" ht="18" hidden="1" x14ac:dyDescent="0.2">
      <c r="A35" s="408"/>
      <c r="B35" s="148"/>
      <c r="C35" s="148"/>
      <c r="D35" s="150"/>
      <c r="E35" s="169"/>
      <c r="F35" s="170"/>
      <c r="G35" s="336"/>
      <c r="H35" s="336"/>
      <c r="I35" s="336"/>
    </row>
    <row r="36" spans="1:9" ht="18" hidden="1" x14ac:dyDescent="0.2">
      <c r="A36" s="408" t="s">
        <v>1200</v>
      </c>
      <c r="B36" s="148" t="s">
        <v>1156</v>
      </c>
      <c r="C36" s="147" t="s">
        <v>25</v>
      </c>
      <c r="D36" s="150">
        <v>0.12</v>
      </c>
      <c r="E36" s="169" t="s">
        <v>420</v>
      </c>
      <c r="F36" s="170" t="s">
        <v>1653</v>
      </c>
      <c r="G36" s="336"/>
      <c r="H36" s="336"/>
      <c r="I36" s="336"/>
    </row>
    <row r="37" spans="1:9" hidden="1" x14ac:dyDescent="0.2">
      <c r="A37" s="166"/>
      <c r="B37" s="148"/>
      <c r="C37" s="148"/>
      <c r="D37" s="150"/>
      <c r="E37" s="169"/>
      <c r="F37" s="170"/>
      <c r="G37" s="336"/>
      <c r="H37" s="336"/>
      <c r="I37" s="336"/>
    </row>
    <row r="38" spans="1:9" hidden="1" x14ac:dyDescent="0.2">
      <c r="A38" s="166"/>
      <c r="B38" s="148"/>
      <c r="C38" s="148"/>
      <c r="D38" s="150"/>
      <c r="E38" s="169"/>
      <c r="F38" s="170"/>
      <c r="G38" s="336"/>
      <c r="H38" s="336"/>
      <c r="I38" s="336"/>
    </row>
    <row r="39" spans="1:9" hidden="1" x14ac:dyDescent="0.2">
      <c r="A39" s="166"/>
      <c r="B39" s="148"/>
      <c r="C39" s="148"/>
      <c r="D39" s="150"/>
      <c r="E39" s="169"/>
      <c r="F39" s="170"/>
      <c r="G39" s="336"/>
      <c r="H39" s="336"/>
      <c r="I39" s="336"/>
    </row>
    <row r="40" spans="1:9" hidden="1" x14ac:dyDescent="0.2">
      <c r="A40" s="166"/>
      <c r="B40" s="148"/>
      <c r="C40" s="148"/>
      <c r="D40" s="150"/>
      <c r="E40" s="169"/>
      <c r="F40" s="170"/>
      <c r="G40" s="336"/>
      <c r="H40" s="336"/>
      <c r="I40" s="336"/>
    </row>
    <row r="41" spans="1:9" hidden="1" x14ac:dyDescent="0.2">
      <c r="A41" s="166"/>
      <c r="B41" s="148"/>
      <c r="C41" s="148"/>
      <c r="D41" s="150"/>
      <c r="E41" s="169"/>
      <c r="F41" s="170"/>
      <c r="G41" s="336"/>
      <c r="H41" s="336"/>
      <c r="I41" s="336"/>
    </row>
    <row r="42" spans="1:9" hidden="1" x14ac:dyDescent="0.2">
      <c r="A42" s="166"/>
      <c r="B42" s="148"/>
      <c r="C42" s="148"/>
      <c r="D42" s="150"/>
      <c r="E42" s="169"/>
      <c r="F42" s="170"/>
      <c r="G42" s="336"/>
      <c r="H42" s="336"/>
      <c r="I42" s="336"/>
    </row>
    <row r="43" spans="1:9" hidden="1" x14ac:dyDescent="0.2">
      <c r="A43" s="166"/>
      <c r="B43" s="148"/>
      <c r="C43" s="148"/>
      <c r="D43" s="150"/>
      <c r="E43" s="169"/>
      <c r="F43" s="170"/>
      <c r="G43" s="336"/>
      <c r="H43" s="336"/>
      <c r="I43" s="336"/>
    </row>
    <row r="44" spans="1:9" hidden="1" x14ac:dyDescent="0.2">
      <c r="A44" s="166"/>
      <c r="B44" s="148"/>
      <c r="C44" s="148"/>
      <c r="D44" s="150"/>
      <c r="E44" s="169"/>
      <c r="F44" s="170"/>
      <c r="G44" s="336"/>
      <c r="H44" s="336"/>
      <c r="I44" s="336"/>
    </row>
    <row r="45" spans="1:9" hidden="1" x14ac:dyDescent="0.2">
      <c r="A45" s="166"/>
      <c r="B45" s="148"/>
      <c r="C45" s="148"/>
      <c r="D45" s="150"/>
      <c r="E45" s="169"/>
      <c r="F45" s="170"/>
      <c r="G45" s="336"/>
      <c r="H45" s="336"/>
      <c r="I45" s="336"/>
    </row>
    <row r="46" spans="1:9" hidden="1" x14ac:dyDescent="0.2">
      <c r="A46" s="166"/>
      <c r="B46" s="148"/>
      <c r="C46" s="148"/>
      <c r="D46" s="150"/>
      <c r="E46" s="169"/>
      <c r="F46" s="170"/>
      <c r="G46" s="336"/>
      <c r="H46" s="336"/>
      <c r="I46" s="336"/>
    </row>
    <row r="47" spans="1:9" hidden="1" x14ac:dyDescent="0.2">
      <c r="A47" s="166"/>
      <c r="B47" s="148"/>
      <c r="C47" s="148"/>
      <c r="D47" s="150"/>
      <c r="E47" s="169"/>
      <c r="F47" s="170"/>
      <c r="G47" s="336"/>
      <c r="H47" s="336"/>
      <c r="I47" s="336"/>
    </row>
    <row r="48" spans="1:9" hidden="1" x14ac:dyDescent="0.2">
      <c r="A48" s="166"/>
      <c r="B48" s="148"/>
      <c r="C48" s="148"/>
      <c r="D48" s="150"/>
      <c r="E48" s="169"/>
      <c r="F48" s="170"/>
      <c r="G48" s="336"/>
      <c r="H48" s="336"/>
      <c r="I48" s="336"/>
    </row>
    <row r="49" spans="1:9" hidden="1" x14ac:dyDescent="0.2">
      <c r="A49" s="166"/>
      <c r="B49" s="148"/>
      <c r="C49" s="148"/>
      <c r="D49" s="150"/>
      <c r="E49" s="169"/>
      <c r="F49" s="170"/>
      <c r="G49" s="336"/>
      <c r="H49" s="336"/>
      <c r="I49" s="336"/>
    </row>
    <row r="50" spans="1:9" hidden="1" x14ac:dyDescent="0.2">
      <c r="A50" s="166"/>
      <c r="B50" s="148"/>
      <c r="C50" s="148"/>
      <c r="D50" s="150"/>
      <c r="E50" s="169"/>
      <c r="F50" s="170"/>
      <c r="G50" s="336"/>
      <c r="H50" s="336"/>
      <c r="I50" s="336"/>
    </row>
    <row r="51" spans="1:9" hidden="1" x14ac:dyDescent="0.2">
      <c r="A51" s="166"/>
      <c r="B51" s="148"/>
      <c r="C51" s="148"/>
      <c r="D51" s="150"/>
      <c r="E51" s="169"/>
      <c r="F51" s="170"/>
      <c r="G51" s="336"/>
      <c r="H51" s="336"/>
      <c r="I51" s="336"/>
    </row>
    <row r="52" spans="1:9" hidden="1" x14ac:dyDescent="0.2">
      <c r="A52" s="166"/>
      <c r="B52" s="148"/>
      <c r="C52" s="148"/>
      <c r="D52" s="150"/>
      <c r="E52" s="169"/>
      <c r="F52" s="170"/>
      <c r="G52" s="336"/>
      <c r="H52" s="336"/>
      <c r="I52" s="336"/>
    </row>
    <row r="53" spans="1:9" hidden="1" x14ac:dyDescent="0.2">
      <c r="A53" s="166"/>
      <c r="B53" s="148"/>
      <c r="C53" s="148"/>
      <c r="D53" s="150"/>
      <c r="E53" s="169"/>
      <c r="F53" s="170"/>
      <c r="G53" s="336"/>
      <c r="H53" s="336"/>
      <c r="I53" s="336"/>
    </row>
    <row r="54" spans="1:9" hidden="1" x14ac:dyDescent="0.2">
      <c r="A54" s="166"/>
      <c r="B54" s="148"/>
      <c r="C54" s="148"/>
      <c r="D54" s="150"/>
      <c r="E54" s="169"/>
      <c r="F54" s="170"/>
      <c r="G54" s="336"/>
      <c r="H54" s="336"/>
      <c r="I54" s="336"/>
    </row>
    <row r="55" spans="1:9" hidden="1" x14ac:dyDescent="0.2">
      <c r="A55" s="166"/>
      <c r="B55" s="148"/>
      <c r="C55" s="148"/>
      <c r="D55" s="150"/>
      <c r="E55" s="169"/>
      <c r="F55" s="170"/>
      <c r="G55" s="336"/>
      <c r="H55" s="336"/>
      <c r="I55" s="336"/>
    </row>
    <row r="56" spans="1:9" hidden="1" x14ac:dyDescent="0.2">
      <c r="A56" s="166"/>
      <c r="B56" s="148"/>
      <c r="C56" s="148"/>
      <c r="D56" s="150"/>
      <c r="E56" s="169"/>
      <c r="F56" s="170"/>
      <c r="G56" s="336"/>
      <c r="H56" s="336"/>
      <c r="I56" s="336"/>
    </row>
    <row r="57" spans="1:9" hidden="1" x14ac:dyDescent="0.2">
      <c r="A57" s="166"/>
      <c r="B57" s="148"/>
      <c r="C57" s="148"/>
      <c r="D57" s="150"/>
      <c r="E57" s="169"/>
      <c r="F57" s="170"/>
      <c r="G57" s="336"/>
      <c r="H57" s="336"/>
      <c r="I57" s="336"/>
    </row>
    <row r="58" spans="1:9" hidden="1" x14ac:dyDescent="0.2">
      <c r="A58" s="166"/>
      <c r="B58" s="148"/>
      <c r="C58" s="148"/>
      <c r="D58" s="150"/>
      <c r="E58" s="169"/>
      <c r="F58" s="170"/>
      <c r="G58" s="336"/>
      <c r="H58" s="336"/>
      <c r="I58" s="336"/>
    </row>
    <row r="59" spans="1:9" hidden="1" x14ac:dyDescent="0.2">
      <c r="A59" s="166"/>
      <c r="B59" s="148"/>
      <c r="C59" s="148"/>
      <c r="D59" s="150"/>
      <c r="E59" s="169"/>
      <c r="F59" s="170"/>
      <c r="G59" s="336"/>
      <c r="H59" s="336"/>
      <c r="I59" s="336"/>
    </row>
    <row r="60" spans="1:9" hidden="1" x14ac:dyDescent="0.2">
      <c r="A60" s="166"/>
      <c r="B60" s="148"/>
      <c r="C60" s="148"/>
      <c r="D60" s="150"/>
      <c r="E60" s="169"/>
      <c r="F60" s="170"/>
      <c r="G60" s="336"/>
      <c r="H60" s="336"/>
      <c r="I60" s="336"/>
    </row>
    <row r="61" spans="1:9" hidden="1" x14ac:dyDescent="0.2">
      <c r="A61" s="166"/>
      <c r="B61" s="148"/>
      <c r="C61" s="148"/>
      <c r="D61" s="150"/>
      <c r="E61" s="169"/>
      <c r="F61" s="170"/>
      <c r="G61" s="336"/>
      <c r="H61" s="336"/>
      <c r="I61" s="336"/>
    </row>
    <row r="62" spans="1:9" hidden="1" x14ac:dyDescent="0.2">
      <c r="A62" s="166"/>
      <c r="B62" s="148"/>
      <c r="C62" s="148"/>
      <c r="D62" s="150"/>
      <c r="E62" s="169"/>
      <c r="F62" s="170"/>
      <c r="G62" s="336"/>
      <c r="H62" s="336"/>
      <c r="I62" s="336"/>
    </row>
    <row r="63" spans="1:9" hidden="1" x14ac:dyDescent="0.2">
      <c r="A63" s="166"/>
      <c r="B63" s="148"/>
      <c r="C63" s="148"/>
      <c r="D63" s="150"/>
      <c r="E63" s="169"/>
      <c r="F63" s="170"/>
      <c r="G63" s="336"/>
      <c r="H63" s="336"/>
      <c r="I63" s="336"/>
    </row>
    <row r="64" spans="1:9" hidden="1" x14ac:dyDescent="0.2">
      <c r="A64" s="166"/>
      <c r="B64" s="148"/>
      <c r="C64" s="148"/>
      <c r="D64" s="150"/>
      <c r="E64" s="169"/>
      <c r="F64" s="170"/>
      <c r="G64" s="336"/>
      <c r="H64" s="336"/>
      <c r="I64" s="336"/>
    </row>
    <row r="65" spans="1:9" hidden="1" x14ac:dyDescent="0.2">
      <c r="A65" s="166"/>
      <c r="B65" s="148"/>
      <c r="C65" s="148"/>
      <c r="D65" s="150"/>
      <c r="E65" s="169"/>
      <c r="F65" s="170"/>
      <c r="G65" s="336"/>
      <c r="H65" s="336"/>
      <c r="I65" s="336"/>
    </row>
    <row r="66" spans="1:9" hidden="1" x14ac:dyDescent="0.2">
      <c r="A66" s="166"/>
      <c r="B66" s="148"/>
      <c r="C66" s="148"/>
      <c r="D66" s="150"/>
      <c r="E66" s="169"/>
      <c r="F66" s="170"/>
      <c r="G66" s="336"/>
      <c r="H66" s="336"/>
      <c r="I66" s="336"/>
    </row>
    <row r="67" spans="1:9" hidden="1" x14ac:dyDescent="0.2">
      <c r="A67" s="166"/>
      <c r="B67" s="148"/>
      <c r="C67" s="148"/>
      <c r="D67" s="150"/>
      <c r="E67" s="169"/>
      <c r="F67" s="170"/>
      <c r="G67" s="336"/>
      <c r="H67" s="336"/>
      <c r="I67" s="336"/>
    </row>
    <row r="68" spans="1:9" hidden="1" x14ac:dyDescent="0.2">
      <c r="A68" s="166"/>
      <c r="B68" s="148"/>
      <c r="C68" s="148"/>
      <c r="D68" s="150"/>
      <c r="E68" s="169"/>
      <c r="F68" s="170"/>
      <c r="G68" s="336"/>
      <c r="H68" s="336"/>
      <c r="I68" s="336"/>
    </row>
    <row r="69" spans="1:9" hidden="1" x14ac:dyDescent="0.2">
      <c r="A69" s="166"/>
      <c r="B69" s="148"/>
      <c r="C69" s="148"/>
      <c r="D69" s="150"/>
      <c r="E69" s="169"/>
      <c r="F69" s="170"/>
      <c r="G69" s="336"/>
      <c r="H69" s="336"/>
      <c r="I69" s="336"/>
    </row>
    <row r="70" spans="1:9" hidden="1" x14ac:dyDescent="0.2">
      <c r="A70" s="166"/>
      <c r="B70" s="148"/>
      <c r="C70" s="148"/>
      <c r="D70" s="150"/>
      <c r="E70" s="169"/>
      <c r="F70" s="170"/>
      <c r="G70" s="336"/>
      <c r="H70" s="336"/>
      <c r="I70" s="336"/>
    </row>
    <row r="71" spans="1:9" hidden="1" x14ac:dyDescent="0.2">
      <c r="A71" s="166"/>
      <c r="B71" s="148"/>
      <c r="C71" s="148"/>
      <c r="D71" s="150"/>
      <c r="E71" s="169"/>
      <c r="F71" s="170"/>
      <c r="G71" s="336"/>
      <c r="H71" s="336"/>
      <c r="I71" s="336"/>
    </row>
    <row r="72" spans="1:9" hidden="1" x14ac:dyDescent="0.2">
      <c r="A72" s="166"/>
      <c r="B72" s="148"/>
      <c r="C72" s="148"/>
      <c r="D72" s="150"/>
      <c r="E72" s="169"/>
      <c r="F72" s="170"/>
      <c r="G72" s="336"/>
      <c r="H72" s="336"/>
      <c r="I72" s="336"/>
    </row>
    <row r="73" spans="1:9" hidden="1" x14ac:dyDescent="0.2">
      <c r="A73" s="166"/>
      <c r="B73" s="148"/>
      <c r="C73" s="148"/>
      <c r="D73" s="150"/>
      <c r="E73" s="169"/>
      <c r="F73" s="170"/>
      <c r="G73" s="336"/>
      <c r="H73" s="336"/>
      <c r="I73" s="336"/>
    </row>
    <row r="74" spans="1:9" hidden="1" x14ac:dyDescent="0.2">
      <c r="A74" s="166"/>
      <c r="B74" s="148"/>
      <c r="C74" s="148"/>
      <c r="D74" s="150"/>
      <c r="E74" s="169"/>
      <c r="F74" s="170"/>
      <c r="G74" s="336"/>
      <c r="H74" s="336"/>
      <c r="I74" s="336"/>
    </row>
    <row r="75" spans="1:9" hidden="1" x14ac:dyDescent="0.2">
      <c r="A75" s="166"/>
      <c r="B75" s="148"/>
      <c r="C75" s="148"/>
      <c r="D75" s="150"/>
      <c r="E75" s="169"/>
      <c r="F75" s="170"/>
      <c r="G75" s="336"/>
      <c r="H75" s="336"/>
      <c r="I75" s="336"/>
    </row>
    <row r="76" spans="1:9" hidden="1" x14ac:dyDescent="0.2">
      <c r="A76" s="166"/>
      <c r="B76" s="148"/>
      <c r="C76" s="148"/>
      <c r="D76" s="150"/>
      <c r="E76" s="169"/>
      <c r="F76" s="170"/>
      <c r="G76" s="336"/>
      <c r="H76" s="336"/>
      <c r="I76" s="336"/>
    </row>
    <row r="77" spans="1:9" hidden="1" x14ac:dyDescent="0.2">
      <c r="A77" s="166"/>
      <c r="B77" s="148"/>
      <c r="C77" s="148"/>
      <c r="D77" s="150"/>
      <c r="E77" s="171"/>
      <c r="F77" s="170"/>
      <c r="G77" s="336"/>
      <c r="H77" s="336"/>
      <c r="I77" s="336"/>
    </row>
    <row r="78" spans="1:9" hidden="1" x14ac:dyDescent="0.2">
      <c r="A78" s="334"/>
      <c r="B78" s="171"/>
      <c r="C78" s="171"/>
      <c r="D78" s="171"/>
      <c r="E78" s="171"/>
      <c r="F78" s="170"/>
      <c r="G78" s="336"/>
      <c r="H78" s="336"/>
      <c r="I78" s="336"/>
    </row>
    <row r="79" spans="1:9" x14ac:dyDescent="0.2">
      <c r="B79" s="171"/>
      <c r="C79" s="171"/>
      <c r="E79" s="171"/>
      <c r="F79" s="171"/>
      <c r="G79" s="171"/>
      <c r="H79" s="170"/>
      <c r="I79" s="336"/>
    </row>
    <row r="80" spans="1:9" x14ac:dyDescent="0.2">
      <c r="B80" s="171"/>
      <c r="C80" s="171"/>
      <c r="E80" s="171"/>
      <c r="F80" s="171"/>
      <c r="G80" s="171"/>
      <c r="H80" s="170"/>
      <c r="I80" s="336"/>
    </row>
    <row r="81" spans="2:10" x14ac:dyDescent="0.2">
      <c r="B81" s="171"/>
      <c r="C81" s="171"/>
      <c r="E81" s="171"/>
      <c r="F81" s="171"/>
      <c r="G81" s="171"/>
      <c r="H81" s="170"/>
      <c r="I81" s="336"/>
    </row>
    <row r="82" spans="2:10" x14ac:dyDescent="0.2">
      <c r="B82" s="171"/>
      <c r="C82" s="171"/>
      <c r="E82" s="171"/>
      <c r="F82" s="171"/>
      <c r="G82" s="171"/>
      <c r="H82" s="170"/>
      <c r="I82" s="336"/>
    </row>
    <row r="83" spans="2:10" x14ac:dyDescent="0.2">
      <c r="B83" s="171"/>
      <c r="C83" s="171"/>
      <c r="E83" s="171"/>
      <c r="F83" s="171"/>
      <c r="G83" s="171"/>
      <c r="H83" s="170"/>
      <c r="I83" s="336"/>
    </row>
    <row r="84" spans="2:10" x14ac:dyDescent="0.2">
      <c r="B84" s="171"/>
      <c r="C84" s="171"/>
      <c r="E84" s="171"/>
      <c r="F84" s="171"/>
      <c r="G84" s="171"/>
      <c r="H84" s="170"/>
      <c r="I84" s="336"/>
    </row>
    <row r="85" spans="2:10" x14ac:dyDescent="0.2">
      <c r="B85" s="171"/>
      <c r="C85" s="171"/>
      <c r="E85" s="171"/>
      <c r="F85" s="171"/>
      <c r="G85" s="171"/>
      <c r="H85" s="170"/>
      <c r="I85" s="336"/>
    </row>
    <row r="86" spans="2:10" x14ac:dyDescent="0.2">
      <c r="B86" s="171"/>
      <c r="C86" s="171"/>
      <c r="E86" s="171"/>
      <c r="F86" s="171"/>
      <c r="G86" s="171"/>
      <c r="H86" s="170"/>
      <c r="I86" s="336"/>
    </row>
    <row r="87" spans="2:10" x14ac:dyDescent="0.2">
      <c r="B87" s="171"/>
      <c r="C87" s="171"/>
      <c r="E87" s="171"/>
      <c r="F87" s="171"/>
      <c r="G87" s="171"/>
      <c r="H87" s="170"/>
      <c r="I87" s="336"/>
    </row>
    <row r="88" spans="2:10" x14ac:dyDescent="0.2">
      <c r="B88" s="171"/>
      <c r="C88" s="171"/>
      <c r="E88" s="171"/>
      <c r="F88" s="171"/>
      <c r="G88" s="171"/>
      <c r="H88" s="170"/>
      <c r="I88" s="336"/>
    </row>
    <row r="89" spans="2:10" x14ac:dyDescent="0.2">
      <c r="B89" s="171"/>
      <c r="C89" s="171"/>
      <c r="E89" s="171"/>
      <c r="F89" s="171"/>
      <c r="G89" s="171"/>
      <c r="H89" s="170"/>
      <c r="I89" s="336"/>
    </row>
    <row r="90" spans="2:10" x14ac:dyDescent="0.2">
      <c r="B90" s="171"/>
      <c r="C90" s="171"/>
      <c r="E90" s="171"/>
      <c r="F90" s="171"/>
      <c r="G90" s="171"/>
      <c r="H90" s="170"/>
      <c r="I90" s="336"/>
    </row>
    <row r="91" spans="2:10" x14ac:dyDescent="0.2">
      <c r="B91" s="171"/>
      <c r="C91" s="171"/>
      <c r="E91" s="171"/>
      <c r="F91" s="171"/>
      <c r="G91" s="171"/>
      <c r="H91" s="171"/>
      <c r="I91" s="336"/>
    </row>
    <row r="92" spans="2:10" x14ac:dyDescent="0.2">
      <c r="B92" s="171"/>
      <c r="C92" s="171"/>
      <c r="E92" s="171"/>
      <c r="F92" s="171"/>
      <c r="G92" s="171"/>
      <c r="H92" s="171"/>
      <c r="I92" s="336"/>
      <c r="J92" s="171"/>
    </row>
    <row r="93" spans="2:10" x14ac:dyDescent="0.2">
      <c r="B93" s="171"/>
      <c r="C93" s="171"/>
      <c r="E93" s="171"/>
      <c r="F93" s="171"/>
      <c r="G93" s="171"/>
      <c r="H93" s="171"/>
      <c r="I93" s="336"/>
      <c r="J93" s="171"/>
    </row>
    <row r="94" spans="2:10" x14ac:dyDescent="0.2">
      <c r="B94" s="171"/>
      <c r="C94" s="171"/>
      <c r="E94" s="171"/>
      <c r="F94" s="171"/>
      <c r="G94" s="171"/>
      <c r="H94" s="171"/>
      <c r="I94" s="336"/>
      <c r="J94" s="171"/>
    </row>
    <row r="95" spans="2:10" x14ac:dyDescent="0.2">
      <c r="B95" s="171"/>
      <c r="C95" s="171"/>
      <c r="E95" s="171"/>
      <c r="F95" s="171"/>
      <c r="G95" s="171"/>
      <c r="H95" s="171"/>
      <c r="I95" s="336"/>
      <c r="J95" s="171"/>
    </row>
    <row r="96" spans="2:10" x14ac:dyDescent="0.2">
      <c r="B96" s="171"/>
      <c r="C96" s="171"/>
      <c r="E96" s="171"/>
      <c r="F96" s="171"/>
      <c r="G96" s="171"/>
      <c r="H96" s="171"/>
      <c r="I96" s="336"/>
      <c r="J96" s="171"/>
    </row>
    <row r="97" spans="2:10" x14ac:dyDescent="0.2">
      <c r="B97" s="171"/>
      <c r="C97" s="171"/>
      <c r="E97" s="171"/>
      <c r="F97" s="171"/>
      <c r="G97" s="171"/>
      <c r="H97" s="171"/>
      <c r="I97" s="336"/>
      <c r="J97" s="171"/>
    </row>
    <row r="98" spans="2:10" x14ac:dyDescent="0.2">
      <c r="B98" s="171"/>
      <c r="C98" s="171"/>
      <c r="E98" s="171"/>
      <c r="F98" s="171"/>
      <c r="G98" s="171"/>
      <c r="H98" s="171"/>
      <c r="I98" s="336"/>
      <c r="J98" s="171"/>
    </row>
    <row r="99" spans="2:10" x14ac:dyDescent="0.2">
      <c r="B99" s="171"/>
      <c r="C99" s="171"/>
      <c r="E99" s="171"/>
      <c r="F99" s="171"/>
      <c r="G99" s="171"/>
      <c r="H99" s="171"/>
      <c r="I99" s="336"/>
      <c r="J99" s="171"/>
    </row>
    <row r="100" spans="2:10" x14ac:dyDescent="0.2">
      <c r="B100" s="171"/>
      <c r="C100" s="171"/>
      <c r="E100" s="171"/>
      <c r="F100" s="171"/>
      <c r="G100" s="171"/>
      <c r="H100" s="171"/>
      <c r="I100" s="336"/>
      <c r="J100" s="171"/>
    </row>
    <row r="101" spans="2:10" x14ac:dyDescent="0.2">
      <c r="B101" s="171"/>
      <c r="C101" s="171"/>
      <c r="E101" s="171"/>
      <c r="F101" s="171"/>
      <c r="G101" s="171"/>
      <c r="H101" s="171"/>
      <c r="I101" s="336"/>
      <c r="J101" s="171"/>
    </row>
    <row r="102" spans="2:10" x14ac:dyDescent="0.2">
      <c r="B102" s="171"/>
      <c r="C102" s="171"/>
      <c r="E102" s="171"/>
      <c r="F102" s="171"/>
      <c r="G102" s="171"/>
      <c r="H102" s="171"/>
      <c r="I102" s="336"/>
      <c r="J102" s="171"/>
    </row>
    <row r="103" spans="2:10" x14ac:dyDescent="0.2">
      <c r="B103" s="171"/>
      <c r="C103" s="171"/>
      <c r="E103" s="171"/>
      <c r="F103" s="171"/>
      <c r="G103" s="171"/>
      <c r="H103" s="171"/>
      <c r="I103" s="336"/>
      <c r="J103" s="171"/>
    </row>
    <row r="104" spans="2:10" x14ac:dyDescent="0.2">
      <c r="B104" s="171"/>
      <c r="C104" s="171"/>
      <c r="E104" s="171"/>
      <c r="F104" s="171"/>
      <c r="G104" s="171"/>
      <c r="H104" s="171"/>
      <c r="I104" s="336"/>
      <c r="J104" s="171"/>
    </row>
    <row r="105" spans="2:10" x14ac:dyDescent="0.2">
      <c r="B105" s="171"/>
      <c r="C105" s="171"/>
      <c r="E105" s="171"/>
      <c r="F105" s="171"/>
      <c r="G105" s="171"/>
      <c r="H105" s="171"/>
      <c r="I105" s="336"/>
      <c r="J105" s="171"/>
    </row>
    <row r="106" spans="2:10" x14ac:dyDescent="0.2">
      <c r="B106" s="171"/>
      <c r="C106" s="171"/>
      <c r="E106" s="171"/>
      <c r="F106" s="171"/>
      <c r="G106" s="171"/>
      <c r="H106" s="171"/>
      <c r="I106" s="336"/>
      <c r="J106" s="171"/>
    </row>
    <row r="107" spans="2:10" x14ac:dyDescent="0.2">
      <c r="B107" s="171"/>
      <c r="C107" s="171"/>
      <c r="E107" s="171"/>
      <c r="F107" s="171"/>
      <c r="G107" s="171"/>
      <c r="H107" s="171"/>
      <c r="I107" s="336"/>
      <c r="J107" s="171"/>
    </row>
    <row r="108" spans="2:10" x14ac:dyDescent="0.2">
      <c r="B108" s="171"/>
      <c r="C108" s="171"/>
      <c r="E108" s="171"/>
      <c r="F108" s="171"/>
      <c r="G108" s="171"/>
      <c r="H108" s="171"/>
      <c r="I108" s="336"/>
      <c r="J108" s="171"/>
    </row>
    <row r="109" spans="2:10" x14ac:dyDescent="0.2">
      <c r="B109" s="171"/>
      <c r="C109" s="171"/>
      <c r="E109" s="171"/>
      <c r="F109" s="171"/>
      <c r="G109" s="171"/>
      <c r="H109" s="171"/>
      <c r="I109" s="336"/>
      <c r="J109" s="171"/>
    </row>
  </sheetData>
  <pageMargins left="0.70000000000000007" right="0.70000000000000007" top="1.1437007874015745" bottom="1.1437007874015745" header="0.74999999999999989" footer="0.74999999999999989"/>
  <pageSetup paperSize="9" scale="34" fitToHeight="0" orientation="landscape" r:id="rId1"/>
  <headerFooter alignWithMargins="0"/>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BA5CA-6C04-4B13-A968-6E99813D754E}">
  <sheetPr published="0" codeName="Feuil62"/>
  <dimension ref="A1:AS99"/>
  <sheetViews>
    <sheetView zoomScaleNormal="100" workbookViewId="0">
      <pane xSplit="4" ySplit="3" topLeftCell="AH4" activePane="bottomRight" state="frozen"/>
      <selection pane="topRight" activeCell="E1" sqref="E1"/>
      <selection pane="bottomLeft" activeCell="A4" sqref="A4"/>
      <selection pane="bottomRight" activeCell="AP43" sqref="AP43"/>
    </sheetView>
  </sheetViews>
  <sheetFormatPr baseColWidth="10" defaultColWidth="11.125" defaultRowHeight="14.25" x14ac:dyDescent="0.2"/>
  <cols>
    <col min="1" max="1" width="16.125" style="345" customWidth="1"/>
    <col min="2" max="2" width="22.5" style="345" customWidth="1"/>
    <col min="3" max="3" width="37.5" style="345" customWidth="1"/>
    <col min="4" max="4" width="7.125" style="345" customWidth="1"/>
    <col min="5" max="5" width="10.625" style="345" customWidth="1"/>
    <col min="6" max="6" width="13.625" style="345" customWidth="1"/>
    <col min="7" max="7" width="10.625" style="345" customWidth="1"/>
    <col min="8" max="8" width="18.625" style="345" customWidth="1"/>
    <col min="9" max="9" width="10.125" style="345" customWidth="1"/>
    <col min="10" max="10" width="13.125" style="345" customWidth="1"/>
    <col min="11" max="11" width="11" style="345" customWidth="1"/>
    <col min="12" max="13" width="14.5" style="345" customWidth="1"/>
    <col min="14" max="15" width="13" style="345" customWidth="1"/>
    <col min="16" max="19" width="11" style="345" customWidth="1"/>
    <col min="20" max="21" width="18.125" style="345" customWidth="1"/>
    <col min="22" max="23" width="16.5" style="345" customWidth="1"/>
    <col min="24" max="25" width="11" style="345" customWidth="1"/>
    <col min="26" max="27" width="12" style="345" customWidth="1"/>
    <col min="28" max="29" width="10.625" style="345" customWidth="1"/>
    <col min="30" max="31" width="11" style="345" customWidth="1"/>
    <col min="32" max="33" width="10.5" style="345" customWidth="1"/>
    <col min="34" max="35" width="11" style="345" customWidth="1"/>
    <col min="36" max="36" width="10.5" style="345" customWidth="1"/>
    <col min="37" max="37" width="10.625" style="345" customWidth="1"/>
    <col min="38" max="39" width="11" style="345" customWidth="1"/>
    <col min="40" max="40" width="10" style="345" customWidth="1"/>
    <col min="41" max="41" width="11.5" style="345" customWidth="1"/>
    <col min="42" max="43" width="27.5" style="345" customWidth="1"/>
    <col min="44" max="44" width="11.5" style="345" customWidth="1"/>
    <col min="45" max="45" width="26.5" style="345" customWidth="1"/>
    <col min="46" max="816" width="11.5" style="345" customWidth="1"/>
    <col min="817" max="16384" width="11.125" style="345"/>
  </cols>
  <sheetData>
    <row r="1" spans="1:41" ht="14.85" customHeight="1" x14ac:dyDescent="0.2">
      <c r="A1" s="215"/>
      <c r="B1" s="216"/>
      <c r="C1" s="215"/>
      <c r="D1" s="217"/>
      <c r="E1" s="1399">
        <v>3</v>
      </c>
      <c r="F1" s="1399">
        <v>2</v>
      </c>
      <c r="G1" s="215">
        <v>5</v>
      </c>
      <c r="H1" s="215">
        <v>3</v>
      </c>
      <c r="I1" s="215">
        <v>7</v>
      </c>
      <c r="J1" s="215">
        <v>4</v>
      </c>
      <c r="K1" s="215">
        <v>9</v>
      </c>
      <c r="L1" s="215">
        <v>5</v>
      </c>
      <c r="M1" s="215">
        <v>11</v>
      </c>
      <c r="N1" s="215">
        <v>6</v>
      </c>
      <c r="O1" s="215">
        <v>13</v>
      </c>
      <c r="P1" s="215">
        <v>7</v>
      </c>
      <c r="Q1" s="215">
        <v>15</v>
      </c>
      <c r="R1" s="215">
        <v>8</v>
      </c>
      <c r="S1" s="215">
        <v>17</v>
      </c>
      <c r="T1" s="215">
        <v>9</v>
      </c>
      <c r="U1" s="215">
        <v>19</v>
      </c>
      <c r="V1" s="215">
        <v>10</v>
      </c>
      <c r="W1" s="215">
        <v>21</v>
      </c>
      <c r="X1" s="215" t="s">
        <v>460</v>
      </c>
      <c r="Y1" s="215">
        <v>23</v>
      </c>
      <c r="Z1" s="215" t="s">
        <v>461</v>
      </c>
      <c r="AA1" s="215">
        <v>25</v>
      </c>
      <c r="AB1" s="215" t="s">
        <v>462</v>
      </c>
      <c r="AC1" s="215">
        <v>27</v>
      </c>
      <c r="AD1" s="215" t="s">
        <v>463</v>
      </c>
      <c r="AE1" s="215">
        <v>29</v>
      </c>
      <c r="AF1" s="215">
        <v>16</v>
      </c>
      <c r="AG1" s="215">
        <v>31</v>
      </c>
      <c r="AH1" s="215" t="s">
        <v>464</v>
      </c>
      <c r="AI1" s="215">
        <v>33</v>
      </c>
      <c r="AJ1" s="215" t="s">
        <v>465</v>
      </c>
      <c r="AK1" s="215">
        <v>35</v>
      </c>
      <c r="AL1" s="215" t="s">
        <v>466</v>
      </c>
      <c r="AM1" s="215">
        <v>37</v>
      </c>
      <c r="AN1" s="215" t="s">
        <v>467</v>
      </c>
      <c r="AO1" s="215"/>
    </row>
    <row r="2" spans="1:41" ht="19.350000000000001" customHeight="1" x14ac:dyDescent="0.2">
      <c r="A2" s="351"/>
      <c r="B2" s="1556" t="s">
        <v>1822</v>
      </c>
      <c r="C2" s="1558" t="s">
        <v>468</v>
      </c>
      <c r="D2" s="352" t="s">
        <v>203</v>
      </c>
      <c r="E2" s="1548">
        <v>2</v>
      </c>
      <c r="F2" s="1548"/>
      <c r="G2" s="1548">
        <v>3</v>
      </c>
      <c r="H2" s="1548"/>
      <c r="I2" s="1548">
        <v>4</v>
      </c>
      <c r="J2" s="1548"/>
      <c r="K2" s="1548">
        <v>5</v>
      </c>
      <c r="L2" s="1548"/>
      <c r="M2" s="1548">
        <v>6</v>
      </c>
      <c r="N2" s="1548"/>
      <c r="O2" s="1548">
        <v>7</v>
      </c>
      <c r="P2" s="1548"/>
      <c r="Q2" s="1548">
        <v>8</v>
      </c>
      <c r="R2" s="1548"/>
      <c r="S2" s="1548">
        <v>9</v>
      </c>
      <c r="T2" s="1548"/>
      <c r="U2" s="1548">
        <v>10</v>
      </c>
      <c r="V2" s="1548"/>
      <c r="W2" s="353">
        <v>12</v>
      </c>
      <c r="X2" s="1388" t="s">
        <v>469</v>
      </c>
      <c r="Y2" s="1388">
        <v>12</v>
      </c>
      <c r="Z2" s="1389" t="s">
        <v>470</v>
      </c>
      <c r="AA2" s="353">
        <v>14</v>
      </c>
      <c r="AB2" s="1388" t="s">
        <v>471</v>
      </c>
      <c r="AC2" s="353">
        <v>14</v>
      </c>
      <c r="AD2" s="1388" t="s">
        <v>472</v>
      </c>
      <c r="AE2" s="1548">
        <v>16</v>
      </c>
      <c r="AF2" s="1548"/>
      <c r="AG2" s="353">
        <v>18</v>
      </c>
      <c r="AH2" s="1388" t="s">
        <v>473</v>
      </c>
      <c r="AI2" s="353">
        <v>18</v>
      </c>
      <c r="AJ2" s="1388" t="s">
        <v>474</v>
      </c>
      <c r="AK2" s="353">
        <v>20</v>
      </c>
      <c r="AL2" s="1388" t="s">
        <v>475</v>
      </c>
      <c r="AM2" s="353">
        <v>20</v>
      </c>
      <c r="AN2" s="1388" t="s">
        <v>476</v>
      </c>
      <c r="AO2" s="178"/>
    </row>
    <row r="3" spans="1:41" ht="35.1" customHeight="1" x14ac:dyDescent="0.2">
      <c r="A3" s="351"/>
      <c r="B3" s="1557"/>
      <c r="C3" s="1558"/>
      <c r="D3" s="356" t="s">
        <v>222</v>
      </c>
      <c r="E3" s="357" t="s">
        <v>444</v>
      </c>
      <c r="F3" s="358" t="s">
        <v>477</v>
      </c>
      <c r="G3" s="357" t="s">
        <v>444</v>
      </c>
      <c r="H3" s="358" t="s">
        <v>477</v>
      </c>
      <c r="I3" s="357" t="s">
        <v>444</v>
      </c>
      <c r="J3" s="358" t="s">
        <v>477</v>
      </c>
      <c r="K3" s="357" t="s">
        <v>444</v>
      </c>
      <c r="L3" s="358" t="s">
        <v>477</v>
      </c>
      <c r="M3" s="357" t="s">
        <v>444</v>
      </c>
      <c r="N3" s="358" t="s">
        <v>477</v>
      </c>
      <c r="O3" s="357" t="s">
        <v>444</v>
      </c>
      <c r="P3" s="358" t="s">
        <v>477</v>
      </c>
      <c r="Q3" s="359" t="s">
        <v>444</v>
      </c>
      <c r="R3" s="360" t="s">
        <v>477</v>
      </c>
      <c r="S3" s="357" t="s">
        <v>444</v>
      </c>
      <c r="T3" s="358" t="s">
        <v>477</v>
      </c>
      <c r="U3" s="357" t="s">
        <v>444</v>
      </c>
      <c r="V3" s="358" t="s">
        <v>477</v>
      </c>
      <c r="W3" s="357" t="s">
        <v>444</v>
      </c>
      <c r="X3" s="358" t="s">
        <v>477</v>
      </c>
      <c r="Y3" s="357" t="s">
        <v>444</v>
      </c>
      <c r="Z3" s="358" t="s">
        <v>477</v>
      </c>
      <c r="AA3" s="357" t="s">
        <v>444</v>
      </c>
      <c r="AB3" s="358" t="s">
        <v>477</v>
      </c>
      <c r="AC3" s="357" t="s">
        <v>444</v>
      </c>
      <c r="AD3" s="358" t="s">
        <v>477</v>
      </c>
      <c r="AE3" s="357" t="s">
        <v>444</v>
      </c>
      <c r="AF3" s="358" t="s">
        <v>477</v>
      </c>
      <c r="AG3" s="357" t="s">
        <v>444</v>
      </c>
      <c r="AH3" s="358" t="s">
        <v>477</v>
      </c>
      <c r="AI3" s="357" t="s">
        <v>444</v>
      </c>
      <c r="AJ3" s="358" t="s">
        <v>477</v>
      </c>
      <c r="AK3" s="357" t="s">
        <v>444</v>
      </c>
      <c r="AL3" s="358" t="s">
        <v>477</v>
      </c>
      <c r="AM3" s="357" t="s">
        <v>444</v>
      </c>
      <c r="AN3" s="358" t="s">
        <v>477</v>
      </c>
      <c r="AO3" s="178"/>
    </row>
    <row r="4" spans="1:41" ht="15" customHeight="1" x14ac:dyDescent="0.2">
      <c r="A4" s="1549" t="s">
        <v>1078</v>
      </c>
      <c r="B4" s="361" t="s">
        <v>1140</v>
      </c>
      <c r="C4" s="1400" t="s">
        <v>814</v>
      </c>
      <c r="D4" s="363" t="str">
        <f>IF($C4="","",VLOOKUP($C4,MATIERES!$A$2:$F$413,5,0))</f>
        <v>pc</v>
      </c>
      <c r="E4" s="364">
        <f>'Outils de calculs'!E25*6</f>
        <v>24</v>
      </c>
      <c r="F4" s="365">
        <f>IF($C4="","",E4*VLOOKUP($C4,MATIERES!$A$2:$F$448,4,0))</f>
        <v>39.599999999999994</v>
      </c>
      <c r="G4" s="364">
        <f>'Outils de calculs'!G25*6</f>
        <v>36</v>
      </c>
      <c r="H4" s="365">
        <f>IF($C4="","",G4*VLOOKUP($C4,MATIERES!$A$2:$F$448,4,0))</f>
        <v>59.4</v>
      </c>
      <c r="I4" s="364">
        <f>'Outils de calculs'!I25*6</f>
        <v>48</v>
      </c>
      <c r="J4" s="365">
        <f>IF($C4="","",I4*VLOOKUP($C4,MATIERES!$A$2:$F$448,4,0))</f>
        <v>79.199999999999989</v>
      </c>
      <c r="K4" s="364">
        <f>'Outils de calculs'!K25*6</f>
        <v>60</v>
      </c>
      <c r="L4" s="365">
        <f>IF($C4="","",K4*VLOOKUP($C4,MATIERES!$A$2:$F$448,4,0))</f>
        <v>99</v>
      </c>
      <c r="M4" s="364">
        <f>'Outils de calculs'!M25*6</f>
        <v>72</v>
      </c>
      <c r="N4" s="365">
        <f>IF($C4="","",M4*VLOOKUP($C4,MATIERES!$A$2:$F$448,4,0))</f>
        <v>118.8</v>
      </c>
      <c r="O4" s="364">
        <f>'Outils de calculs'!O25*6</f>
        <v>84</v>
      </c>
      <c r="P4" s="365">
        <f>IF($C4="","",O4*VLOOKUP($C4,MATIERES!$A$2:$F$448,4,0))</f>
        <v>138.6</v>
      </c>
      <c r="Q4" s="364">
        <f>'Outils de calculs'!Q25*6</f>
        <v>96</v>
      </c>
      <c r="R4" s="365">
        <f>IF($C4="","",Q4*VLOOKUP($C4,MATIERES!$A$2:$F$448,4,0))</f>
        <v>158.39999999999998</v>
      </c>
      <c r="S4" s="364">
        <f>'Outils de calculs'!S25*6</f>
        <v>108</v>
      </c>
      <c r="T4" s="365">
        <f>IF($C4="","",S4*VLOOKUP($C4,MATIERES!$A$2:$F$448,4,0))</f>
        <v>178.2</v>
      </c>
      <c r="U4" s="364">
        <f>'Outils de calculs'!U25*6</f>
        <v>120</v>
      </c>
      <c r="V4" s="365">
        <f>IF($C4="","",U4*VLOOKUP($C4,MATIERES!$A$2:$F$448,4,0))</f>
        <v>198</v>
      </c>
      <c r="W4" s="364">
        <f>'Outils de calculs'!W25*6</f>
        <v>144</v>
      </c>
      <c r="X4" s="365">
        <f>IF($C4="","",W4*VLOOKUP($C4,MATIERES!$A$2:$F$448,4,0))</f>
        <v>237.6</v>
      </c>
      <c r="Y4" s="364">
        <f>'Outils de calculs'!Y25*6</f>
        <v>144</v>
      </c>
      <c r="Z4" s="365">
        <f>IF($C4="","",Y4*VLOOKUP($C4,MATIERES!$A$2:$F$448,4,0))</f>
        <v>237.6</v>
      </c>
      <c r="AA4" s="364">
        <f>'Outils de calculs'!AA25*6</f>
        <v>168</v>
      </c>
      <c r="AB4" s="365">
        <f>IF($C4="","",AA4*VLOOKUP($C4,MATIERES!$A$2:$F$448,4,0))</f>
        <v>277.2</v>
      </c>
      <c r="AC4" s="364">
        <f>'Outils de calculs'!AC25*6</f>
        <v>168</v>
      </c>
      <c r="AD4" s="365">
        <f>IF($C4="","",AC4*VLOOKUP($C4,MATIERES!$A$2:$F$448,4,0))</f>
        <v>277.2</v>
      </c>
      <c r="AE4" s="364">
        <f>'Outils de calculs'!AE25*6</f>
        <v>192</v>
      </c>
      <c r="AF4" s="365">
        <f>IF($C4="","",AE4*VLOOKUP($C4,MATIERES!$A$2:$F$448,4,0))</f>
        <v>316.79999999999995</v>
      </c>
      <c r="AG4" s="364">
        <f>'Outils de calculs'!AG25*6</f>
        <v>216</v>
      </c>
      <c r="AH4" s="365">
        <f>IF($C4="","",AG4*VLOOKUP($C4,MATIERES!$A$2:$F$448,4,0))</f>
        <v>356.4</v>
      </c>
      <c r="AI4" s="364">
        <f>'Outils de calculs'!AI25*6</f>
        <v>216</v>
      </c>
      <c r="AJ4" s="365">
        <f>IF($C4="","",AI4*VLOOKUP($C4,MATIERES!$A$2:$F$448,4,0))</f>
        <v>356.4</v>
      </c>
      <c r="AK4" s="364">
        <f>'Outils de calculs'!AK25*6</f>
        <v>240</v>
      </c>
      <c r="AL4" s="365">
        <f>IF($C4="","",AK4*VLOOKUP($C4,MATIERES!$A$2:$F$448,4,0))</f>
        <v>396</v>
      </c>
      <c r="AM4" s="364">
        <f>'Outils de calculs'!AM25*6</f>
        <v>240</v>
      </c>
      <c r="AN4" s="365">
        <f>IF($C4="","",AM4*VLOOKUP($C4,MATIERES!$A$2:$F$448,4,0))</f>
        <v>396</v>
      </c>
      <c r="AO4" s="135"/>
    </row>
    <row r="5" spans="1:41" ht="15" customHeight="1" x14ac:dyDescent="0.2">
      <c r="A5" s="1550"/>
      <c r="B5" s="361" t="s">
        <v>127</v>
      </c>
      <c r="C5" s="1400" t="s">
        <v>1113</v>
      </c>
      <c r="D5" s="363" t="str">
        <f>IF($C5="","",VLOOKUP($C5,MATIERES!$A$2:$F$413,5,0))</f>
        <v>t</v>
      </c>
      <c r="E5" s="364">
        <f>'Outils de calculs'!E25*1.6*0.25+2</f>
        <v>3.6</v>
      </c>
      <c r="F5" s="365">
        <f>IF($C5="","",E5*VLOOKUP($C5,MATIERES!$A$2:$F$448,4,0))</f>
        <v>108</v>
      </c>
      <c r="G5" s="364">
        <f>'Outils de calculs'!G25*1.6*0.3+2</f>
        <v>4.8800000000000008</v>
      </c>
      <c r="H5" s="365">
        <f>IF($C5="","",G5*VLOOKUP($C5,MATIERES!$A$2:$F$448,4,0))</f>
        <v>146.40000000000003</v>
      </c>
      <c r="I5" s="364">
        <f>'Outils de calculs'!I25*1.6*0.3+2</f>
        <v>5.84</v>
      </c>
      <c r="J5" s="365">
        <f>IF($C5="","",I5*VLOOKUP($C5,MATIERES!$A$2:$F$448,4,0))</f>
        <v>175.2</v>
      </c>
      <c r="K5" s="364">
        <f>'Outils de calculs'!K25*1.6*0.3+2</f>
        <v>6.8</v>
      </c>
      <c r="L5" s="365">
        <f>IF($C5="","",K5*VLOOKUP($C5,MATIERES!$A$2:$F$448,4,0))</f>
        <v>204</v>
      </c>
      <c r="M5" s="364">
        <f>'Outils de calculs'!M25*1.6*0.3+2</f>
        <v>7.7600000000000007</v>
      </c>
      <c r="N5" s="365">
        <f>IF($C5="","",M5*VLOOKUP($C5,MATIERES!$A$2:$F$448,4,0))</f>
        <v>232.8</v>
      </c>
      <c r="O5" s="364">
        <f>'Outils de calculs'!O25*1.6*0.3+2</f>
        <v>8.7200000000000006</v>
      </c>
      <c r="P5" s="365">
        <f>IF($C5="","",O5*VLOOKUP($C5,MATIERES!$A$2:$F$448,4,0))</f>
        <v>261.60000000000002</v>
      </c>
      <c r="Q5" s="364">
        <f>'Outils de calculs'!Q25*1.6*0.3+2</f>
        <v>9.68</v>
      </c>
      <c r="R5" s="365">
        <f>IF($C5="","",Q5*VLOOKUP($C5,MATIERES!$A$2:$F$448,4,0))</f>
        <v>290.39999999999998</v>
      </c>
      <c r="S5" s="364">
        <f>'Outils de calculs'!S25*1.6*0.3+2</f>
        <v>10.64</v>
      </c>
      <c r="T5" s="365">
        <f>IF($C5="","",S5*VLOOKUP($C5,MATIERES!$A$2:$F$448,4,0))</f>
        <v>319.20000000000005</v>
      </c>
      <c r="U5" s="364">
        <f>'Outils de calculs'!U25*1.6*0.3+2</f>
        <v>11.6</v>
      </c>
      <c r="V5" s="365">
        <f>IF($C5="","",U5*VLOOKUP($C5,MATIERES!$A$2:$F$448,4,0))</f>
        <v>348</v>
      </c>
      <c r="W5" s="364">
        <f>'Outils de calculs'!W25*1.6*0.3+2</f>
        <v>13.520000000000001</v>
      </c>
      <c r="X5" s="365">
        <f>IF($C5="","",W5*VLOOKUP($C5,MATIERES!$A$2:$F$448,4,0))</f>
        <v>405.6</v>
      </c>
      <c r="Y5" s="364">
        <f>'Outils de calculs'!Y25*1.6*0.3+2</f>
        <v>13.520000000000001</v>
      </c>
      <c r="Z5" s="365">
        <f>IF($C5="","",Y5*VLOOKUP($C5,MATIERES!$A$2:$F$448,4,0))</f>
        <v>405.6</v>
      </c>
      <c r="AA5" s="364">
        <f>'Outils de calculs'!AA25*1.6*0.3+2</f>
        <v>15.440000000000001</v>
      </c>
      <c r="AB5" s="365">
        <f>IF($C5="","",AA5*VLOOKUP($C5,MATIERES!$A$2:$F$448,4,0))</f>
        <v>463.20000000000005</v>
      </c>
      <c r="AC5" s="364">
        <f>'Outils de calculs'!AC25*1.6*0.3+2</f>
        <v>15.440000000000001</v>
      </c>
      <c r="AD5" s="365">
        <f>IF($C5="","",AC5*VLOOKUP($C5,MATIERES!$A$2:$F$448,4,0))</f>
        <v>463.20000000000005</v>
      </c>
      <c r="AE5" s="364">
        <f>'Outils de calculs'!AE25*1.6*0.3+2</f>
        <v>17.36</v>
      </c>
      <c r="AF5" s="365">
        <f>IF($C5="","",AE5*VLOOKUP($C5,MATIERES!$A$2:$F$448,4,0))</f>
        <v>520.79999999999995</v>
      </c>
      <c r="AG5" s="364">
        <f>'Outils de calculs'!AG25*1.6*0.3+2</f>
        <v>19.28</v>
      </c>
      <c r="AH5" s="365">
        <f>IF($C5="","",AG5*VLOOKUP($C5,MATIERES!$A$2:$F$448,4,0))</f>
        <v>578.40000000000009</v>
      </c>
      <c r="AI5" s="364">
        <f>'Outils de calculs'!AI25*1.6*0.3+2</f>
        <v>19.28</v>
      </c>
      <c r="AJ5" s="365">
        <f>IF($C5="","",AI5*VLOOKUP($C5,MATIERES!$A$2:$F$448,4,0))</f>
        <v>578.40000000000009</v>
      </c>
      <c r="AK5" s="364">
        <f>'Outils de calculs'!AK25*1.6*0.3+2</f>
        <v>21.2</v>
      </c>
      <c r="AL5" s="365">
        <f>IF($C5="","",AK5*VLOOKUP($C5,MATIERES!$A$2:$F$448,4,0))</f>
        <v>636</v>
      </c>
      <c r="AM5" s="364">
        <f>'Outils de calculs'!AM25*1.6*0.3+2</f>
        <v>21.2</v>
      </c>
      <c r="AN5" s="365">
        <f>IF($C5="","",AM5*VLOOKUP($C5,MATIERES!$A$2:$F$448,4,0))</f>
        <v>636</v>
      </c>
      <c r="AO5" s="135"/>
    </row>
    <row r="6" spans="1:41" ht="15" customHeight="1" x14ac:dyDescent="0.2">
      <c r="A6" s="1550"/>
      <c r="B6" s="361" t="s">
        <v>127</v>
      </c>
      <c r="C6" s="1400" t="s">
        <v>1211</v>
      </c>
      <c r="D6" s="363" t="str">
        <f>IF($C6="","",VLOOKUP($C6,MATIERES!$A$2:$F$413,5,0))</f>
        <v>t</v>
      </c>
      <c r="E6" s="404">
        <f>1.8*0.15*'Outils de calculs'!E25</f>
        <v>1.08</v>
      </c>
      <c r="F6" s="365">
        <f>IF($C6="","",E6*VLOOKUP($C6,MATIERES!$A$2:$F$448,4,0))</f>
        <v>54</v>
      </c>
      <c r="G6" s="404">
        <f>'Outils de calculs'!G25*1.8*0.15+1</f>
        <v>2.62</v>
      </c>
      <c r="H6" s="365">
        <f>IF($C6="","",G6*VLOOKUP($C6,MATIERES!$A$2:$F$448,4,0))</f>
        <v>131</v>
      </c>
      <c r="I6" s="404">
        <f>'Outils de calculs'!I25*1.8*0.15+1</f>
        <v>3.16</v>
      </c>
      <c r="J6" s="365">
        <f>IF($C6="","",I6*VLOOKUP($C6,MATIERES!$A$2:$F$448,4,0))</f>
        <v>158</v>
      </c>
      <c r="K6" s="404">
        <f>'Outils de calculs'!K25*1.8*0.15+1</f>
        <v>3.6999999999999997</v>
      </c>
      <c r="L6" s="365">
        <f>IF($C6="","",K6*VLOOKUP($C6,MATIERES!$A$2:$F$448,4,0))</f>
        <v>185</v>
      </c>
      <c r="M6" s="404">
        <f>'Outils de calculs'!M25*1.8*0.15+1</f>
        <v>4.24</v>
      </c>
      <c r="N6" s="365">
        <f>IF($C6="","",M6*VLOOKUP($C6,MATIERES!$A$2:$F$448,4,0))</f>
        <v>212</v>
      </c>
      <c r="O6" s="404">
        <f>'Outils de calculs'!O25*1.8*0.15+1</f>
        <v>4.7799999999999994</v>
      </c>
      <c r="P6" s="365">
        <f>IF($C6="","",O6*VLOOKUP($C6,MATIERES!$A$2:$F$448,4,0))</f>
        <v>238.99999999999997</v>
      </c>
      <c r="Q6" s="404">
        <f>'Outils de calculs'!Q25*1.8*0.15+1</f>
        <v>5.32</v>
      </c>
      <c r="R6" s="365">
        <f>IF($C6="","",Q6*VLOOKUP($C6,MATIERES!$A$2:$F$448,4,0))</f>
        <v>266</v>
      </c>
      <c r="S6" s="404">
        <f>'Outils de calculs'!S25*1.8*0.15+1</f>
        <v>5.8599999999999994</v>
      </c>
      <c r="T6" s="365">
        <f>IF($C6="","",S6*VLOOKUP($C6,MATIERES!$A$2:$F$448,4,0))</f>
        <v>293</v>
      </c>
      <c r="U6" s="404">
        <f>'Outils de calculs'!U25*1.8*0.15+1</f>
        <v>6.3999999999999995</v>
      </c>
      <c r="V6" s="365">
        <f>IF($C6="","",U6*VLOOKUP($C6,MATIERES!$A$2:$F$448,4,0))</f>
        <v>320</v>
      </c>
      <c r="W6" s="404">
        <f>'Outils de calculs'!W25*1.8*0.15+1</f>
        <v>7.48</v>
      </c>
      <c r="X6" s="365">
        <f>IF($C6="","",W6*VLOOKUP($C6,MATIERES!$A$2:$F$448,4,0))</f>
        <v>374</v>
      </c>
      <c r="Y6" s="404">
        <f>'Outils de calculs'!Y25*1.8*0.15+1</f>
        <v>7.48</v>
      </c>
      <c r="Z6" s="365">
        <f>IF($C6="","",Y6*VLOOKUP($C6,MATIERES!$A$2:$F$448,4,0))</f>
        <v>374</v>
      </c>
      <c r="AA6" s="404">
        <f>'Outils de calculs'!AA25*1.8*0.15+1</f>
        <v>8.5599999999999987</v>
      </c>
      <c r="AB6" s="365">
        <f>IF($C6="","",AA6*VLOOKUP($C6,MATIERES!$A$2:$F$448,4,0))</f>
        <v>427.99999999999994</v>
      </c>
      <c r="AC6" s="404">
        <f>'Outils de calculs'!AC25*1.8*0.15+1</f>
        <v>8.5599999999999987</v>
      </c>
      <c r="AD6" s="365">
        <f>IF($C6="","",AC6*VLOOKUP($C6,MATIERES!$A$2:$F$448,4,0))</f>
        <v>427.99999999999994</v>
      </c>
      <c r="AE6" s="404">
        <f>'Outils de calculs'!AE25*1.8*0.15+1</f>
        <v>9.64</v>
      </c>
      <c r="AF6" s="365">
        <f>IF($C6="","",AE6*VLOOKUP($C6,MATIERES!$A$2:$F$448,4,0))</f>
        <v>482</v>
      </c>
      <c r="AG6" s="404">
        <f>'Outils de calculs'!AG25*1.8*0.15+1</f>
        <v>10.719999999999999</v>
      </c>
      <c r="AH6" s="365">
        <f>IF($C6="","",AG6*VLOOKUP($C6,MATIERES!$A$2:$F$448,4,0))</f>
        <v>536</v>
      </c>
      <c r="AI6" s="404">
        <f>'Outils de calculs'!AI25*1.8*0.15+1</f>
        <v>10.719999999999999</v>
      </c>
      <c r="AJ6" s="365">
        <f>IF($C6="","",AI6*VLOOKUP($C6,MATIERES!$A$2:$F$448,4,0))</f>
        <v>536</v>
      </c>
      <c r="AK6" s="404">
        <f>'Outils de calculs'!AK25*1.8*0.15+1</f>
        <v>11.799999999999999</v>
      </c>
      <c r="AL6" s="365">
        <f>IF($C6="","",AK6*VLOOKUP($C6,MATIERES!$A$2:$F$448,4,0))</f>
        <v>590</v>
      </c>
      <c r="AM6" s="404">
        <f>'Outils de calculs'!AM25*1.8*0.15+1</f>
        <v>11.799999999999999</v>
      </c>
      <c r="AN6" s="365">
        <f>IF($C6="","",AM6*VLOOKUP($C6,MATIERES!$A$2:$F$448,4,0))</f>
        <v>590</v>
      </c>
      <c r="AO6" s="135"/>
    </row>
    <row r="7" spans="1:41" ht="10.35" customHeight="1" x14ac:dyDescent="0.2">
      <c r="A7" s="1550"/>
      <c r="B7" s="361" t="s">
        <v>127</v>
      </c>
      <c r="C7" s="1400" t="s">
        <v>1209</v>
      </c>
      <c r="D7" s="363" t="str">
        <f>IF($C7="","",VLOOKUP($C7,MATIERES!$A$2:$F$413,5,0))</f>
        <v>t</v>
      </c>
      <c r="E7" s="364">
        <f>'Outils de calculs'!E25*1.6*0.25+2</f>
        <v>3.6</v>
      </c>
      <c r="F7" s="365">
        <f>IF($C7="","",E7*VLOOKUP($C7,MATIERES!$A$2:$F$448,4,0))</f>
        <v>108</v>
      </c>
      <c r="G7" s="364">
        <f>'Outils de calculs'!G25*1.6*0.25+2</f>
        <v>4.4000000000000004</v>
      </c>
      <c r="H7" s="365">
        <f>IF($C7="","",G7*VLOOKUP($C7,MATIERES!$A$2:$F$448,4,0))</f>
        <v>132</v>
      </c>
      <c r="I7" s="364">
        <f>'Outils de calculs'!I25*1.6*0.25+2</f>
        <v>5.2</v>
      </c>
      <c r="J7" s="365">
        <f>IF($C7="","",I7*VLOOKUP($C7,MATIERES!$A$2:$F$448,4,0))</f>
        <v>156</v>
      </c>
      <c r="K7" s="364">
        <f>'Outils de calculs'!K25*1.6*0.25+2</f>
        <v>6</v>
      </c>
      <c r="L7" s="365">
        <f>IF($C7="","",K7*VLOOKUP($C7,MATIERES!$A$2:$F$448,4,0))</f>
        <v>180</v>
      </c>
      <c r="M7" s="364">
        <f>'Outils de calculs'!M25*1.6*0.25+2</f>
        <v>6.8000000000000007</v>
      </c>
      <c r="N7" s="365">
        <f>IF($C7="","",M7*VLOOKUP($C7,MATIERES!$A$2:$F$448,4,0))</f>
        <v>204.00000000000003</v>
      </c>
      <c r="O7" s="364">
        <f>'Outils de calculs'!O25*1.6*0.25+2</f>
        <v>7.6000000000000005</v>
      </c>
      <c r="P7" s="365">
        <f>IF($C7="","",O7*VLOOKUP($C7,MATIERES!$A$2:$F$448,4,0))</f>
        <v>228.00000000000003</v>
      </c>
      <c r="Q7" s="364">
        <f>'Outils de calculs'!Q25*1.6*0.25+2</f>
        <v>8.4</v>
      </c>
      <c r="R7" s="365">
        <f>IF($C7="","",Q7*VLOOKUP($C7,MATIERES!$A$2:$F$448,4,0))</f>
        <v>252</v>
      </c>
      <c r="S7" s="364">
        <f>'Outils de calculs'!S25*1.6*0.25+2</f>
        <v>9.1999999999999993</v>
      </c>
      <c r="T7" s="365">
        <f>IF($C7="","",S7*VLOOKUP($C7,MATIERES!$A$2:$F$448,4,0))</f>
        <v>276</v>
      </c>
      <c r="U7" s="364">
        <f>'Outils de calculs'!U25*1.6*0.25+2</f>
        <v>10</v>
      </c>
      <c r="V7" s="365">
        <f>IF($C7="","",U7*VLOOKUP($C7,MATIERES!$A$2:$F$448,4,0))</f>
        <v>300</v>
      </c>
      <c r="W7" s="364">
        <f>'Outils de calculs'!W25*1.6*0.25+2</f>
        <v>11.600000000000001</v>
      </c>
      <c r="X7" s="365">
        <f>IF($C7="","",W7*VLOOKUP($C7,MATIERES!$A$2:$F$448,4,0))</f>
        <v>348.00000000000006</v>
      </c>
      <c r="Y7" s="364">
        <f>'Outils de calculs'!Y25*1.6*0.25+2</f>
        <v>11.600000000000001</v>
      </c>
      <c r="Z7" s="365">
        <f>IF($C7="","",Y7*VLOOKUP($C7,MATIERES!$A$2:$F$448,4,0))</f>
        <v>348.00000000000006</v>
      </c>
      <c r="AA7" s="364">
        <f>'Outils de calculs'!AA25*1.6*0.25+2</f>
        <v>13.200000000000001</v>
      </c>
      <c r="AB7" s="365">
        <f>IF($C7="","",AA7*VLOOKUP($C7,MATIERES!$A$2:$F$448,4,0))</f>
        <v>396.00000000000006</v>
      </c>
      <c r="AC7" s="364">
        <f>'Outils de calculs'!AC25*1.6*0.25+2</f>
        <v>13.200000000000001</v>
      </c>
      <c r="AD7" s="365">
        <f>IF($C7="","",AC7*VLOOKUP($C7,MATIERES!$A$2:$F$448,4,0))</f>
        <v>396.00000000000006</v>
      </c>
      <c r="AE7" s="364">
        <f>'Outils de calculs'!AE25*1.6*0.25+2</f>
        <v>14.8</v>
      </c>
      <c r="AF7" s="365">
        <f>IF($C7="","",AE7*VLOOKUP($C7,MATIERES!$A$2:$F$448,4,0))</f>
        <v>444</v>
      </c>
      <c r="AG7" s="364">
        <f>'Outils de calculs'!AG25*1.6*0.25+2</f>
        <v>16.399999999999999</v>
      </c>
      <c r="AH7" s="365">
        <f>IF($C7="","",AG7*VLOOKUP($C7,MATIERES!$A$2:$F$448,4,0))</f>
        <v>491.99999999999994</v>
      </c>
      <c r="AI7" s="364">
        <f>'Outils de calculs'!AI25*1.6*0.25+2</f>
        <v>16.399999999999999</v>
      </c>
      <c r="AJ7" s="365">
        <f>IF($C7="","",AI7*VLOOKUP($C7,MATIERES!$A$2:$F$448,4,0))</f>
        <v>491.99999999999994</v>
      </c>
      <c r="AK7" s="364">
        <f>'Outils de calculs'!AK25*1.6*0.25+2</f>
        <v>18</v>
      </c>
      <c r="AL7" s="365">
        <f>IF($C7="","",AK7*VLOOKUP($C7,MATIERES!$A$2:$F$448,4,0))</f>
        <v>540</v>
      </c>
      <c r="AM7" s="364">
        <f>'Outils de calculs'!AM25*1.6*0.25+2</f>
        <v>18</v>
      </c>
      <c r="AN7" s="365">
        <f>IF($C7="","",AM7*VLOOKUP($C7,MATIERES!$A$2:$F$448,4,0))</f>
        <v>540</v>
      </c>
      <c r="AO7" s="135"/>
    </row>
    <row r="8" spans="1:41" ht="10.35" customHeight="1" x14ac:dyDescent="0.2">
      <c r="A8" s="1550"/>
      <c r="B8" s="361" t="s">
        <v>1148</v>
      </c>
      <c r="C8" s="1401" t="s">
        <v>1808</v>
      </c>
      <c r="D8" s="363" t="str">
        <f>IF($C8="","",VLOOKUP($C8,MATIERES!$A$2:$F$413,5,0))</f>
        <v>pc</v>
      </c>
      <c r="E8" s="364">
        <f>1</f>
        <v>1</v>
      </c>
      <c r="F8" s="365">
        <f>IF($C8="","",E8*VLOOKUP($C8,MATIERES!$A$2:$F$448,4,0))</f>
        <v>302.83999999999997</v>
      </c>
      <c r="G8" s="364"/>
      <c r="H8" s="365"/>
      <c r="I8" s="364"/>
      <c r="J8" s="365"/>
      <c r="K8" s="364"/>
      <c r="L8" s="365"/>
      <c r="M8" s="364"/>
      <c r="N8" s="365"/>
      <c r="O8" s="364"/>
      <c r="P8" s="365"/>
      <c r="Q8" s="364"/>
      <c r="R8" s="365"/>
      <c r="S8" s="364">
        <v>0</v>
      </c>
      <c r="T8" s="365">
        <f>IF($C8="","",S8*VLOOKUP($C8,MATIERES!$A$2:$F$448,4,0))</f>
        <v>0</v>
      </c>
      <c r="U8" s="364"/>
      <c r="V8" s="365"/>
      <c r="W8" s="364"/>
      <c r="X8" s="365"/>
      <c r="Y8" s="364"/>
      <c r="Z8" s="365"/>
      <c r="AA8" s="364">
        <v>0</v>
      </c>
      <c r="AB8" s="365">
        <f>IF($C8="","",AA8*VLOOKUP($C8,MATIERES!$A$2:$F$448,4,0))</f>
        <v>0</v>
      </c>
      <c r="AC8" s="364">
        <v>0</v>
      </c>
      <c r="AD8" s="365">
        <f>IF($C8="","",AC8*VLOOKUP($C8,MATIERES!$A$2:$F$448,4,0))</f>
        <v>0</v>
      </c>
      <c r="AE8" s="364">
        <v>0</v>
      </c>
      <c r="AF8" s="365">
        <f>IF($C8="","",AE8*VLOOKUP($C8,MATIERES!$A$2:$F$448,4,0))</f>
        <v>0</v>
      </c>
      <c r="AG8" s="364">
        <v>0</v>
      </c>
      <c r="AH8" s="365">
        <f>IF($C8="","",AG8*VLOOKUP($C8,MATIERES!$A$2:$F$448,4,0))</f>
        <v>0</v>
      </c>
      <c r="AI8" s="364">
        <v>0</v>
      </c>
      <c r="AJ8" s="365">
        <f>IF($C8="","",AI8*VLOOKUP($C8,MATIERES!$A$2:$F$448,4,0))</f>
        <v>0</v>
      </c>
      <c r="AK8" s="364">
        <v>0</v>
      </c>
      <c r="AL8" s="365">
        <f>IF($C8="","",AK8*VLOOKUP($C8,MATIERES!$A$2:$F$448,4,0))</f>
        <v>0</v>
      </c>
      <c r="AM8" s="364">
        <v>0</v>
      </c>
      <c r="AN8" s="365">
        <f>IF($C8="","",AM8*VLOOKUP($C8,MATIERES!$A$2:$F$448,4,0))</f>
        <v>0</v>
      </c>
      <c r="AO8" s="135"/>
    </row>
    <row r="9" spans="1:41" ht="10.35" customHeight="1" x14ac:dyDescent="0.2">
      <c r="A9" s="1550"/>
      <c r="B9" s="361" t="s">
        <v>1148</v>
      </c>
      <c r="C9" s="1401" t="s">
        <v>1809</v>
      </c>
      <c r="D9" s="363" t="str">
        <f>IF($C9="","",VLOOKUP($C9,MATIERES!$A$2:$F$413,5,0))</f>
        <v>pc</v>
      </c>
      <c r="E9" s="364"/>
      <c r="F9" s="365"/>
      <c r="G9" s="364">
        <v>1</v>
      </c>
      <c r="H9" s="365">
        <f>IF($C9="","",G9*VLOOKUP($C9,MATIERES!$A$2:$F$448,4,0))*IF(FHchoix="",1.2,1)</f>
        <v>705.54000000000008</v>
      </c>
      <c r="I9" s="364"/>
      <c r="J9" s="365"/>
      <c r="K9" s="364"/>
      <c r="L9" s="365"/>
      <c r="M9" s="364"/>
      <c r="N9" s="365"/>
      <c r="O9" s="364"/>
      <c r="P9" s="365"/>
      <c r="Q9" s="364"/>
      <c r="R9" s="365"/>
      <c r="S9" s="364">
        <v>0</v>
      </c>
      <c r="T9" s="365">
        <f>IF($C9="","",S9*VLOOKUP($C9,MATIERES!$A$2:$F$448,4,0))</f>
        <v>0</v>
      </c>
      <c r="U9" s="364"/>
      <c r="V9" s="365"/>
      <c r="W9" s="364"/>
      <c r="X9" s="365"/>
      <c r="Y9" s="364"/>
      <c r="Z9" s="365"/>
      <c r="AA9" s="364">
        <v>0</v>
      </c>
      <c r="AB9" s="365">
        <f>IF($C9="","",AA9*VLOOKUP($C9,MATIERES!$A$2:$F$448,4,0))</f>
        <v>0</v>
      </c>
      <c r="AC9" s="364">
        <v>0</v>
      </c>
      <c r="AD9" s="365">
        <f>IF($C9="","",AC9*VLOOKUP($C9,MATIERES!$A$2:$F$448,4,0))</f>
        <v>0</v>
      </c>
      <c r="AE9" s="364">
        <v>0</v>
      </c>
      <c r="AF9" s="365">
        <f>IF($C9="","",AE9*VLOOKUP($C9,MATIERES!$A$2:$F$448,4,0))</f>
        <v>0</v>
      </c>
      <c r="AG9" s="364">
        <v>0</v>
      </c>
      <c r="AH9" s="365">
        <f>IF($C9="","",AG9*VLOOKUP($C9,MATIERES!$A$2:$F$448,4,0))</f>
        <v>0</v>
      </c>
      <c r="AI9" s="364">
        <v>0</v>
      </c>
      <c r="AJ9" s="365">
        <f>IF($C9="","",AI9*VLOOKUP($C9,MATIERES!$A$2:$F$448,4,0))</f>
        <v>0</v>
      </c>
      <c r="AK9" s="364">
        <v>0</v>
      </c>
      <c r="AL9" s="365">
        <f>IF($C9="","",AK9*VLOOKUP($C9,MATIERES!$A$2:$F$448,4,0))</f>
        <v>0</v>
      </c>
      <c r="AM9" s="364">
        <v>0</v>
      </c>
      <c r="AN9" s="365">
        <f>IF($C9="","",AM9*VLOOKUP($C9,MATIERES!$A$2:$F$448,4,0))</f>
        <v>0</v>
      </c>
      <c r="AO9" s="135"/>
    </row>
    <row r="10" spans="1:41" ht="10.35" customHeight="1" x14ac:dyDescent="0.2">
      <c r="A10" s="1550"/>
      <c r="B10" s="361" t="s">
        <v>1148</v>
      </c>
      <c r="C10" s="1401" t="s">
        <v>1810</v>
      </c>
      <c r="D10" s="363" t="str">
        <f>IF($C10="","",VLOOKUP($C10,MATIERES!$A$2:$F$413,5,0))</f>
        <v>pc</v>
      </c>
      <c r="E10" s="364"/>
      <c r="F10" s="365"/>
      <c r="G10" s="364"/>
      <c r="H10" s="365"/>
      <c r="I10" s="364">
        <v>1</v>
      </c>
      <c r="J10" s="365">
        <f>IF($C10="","",I10*VLOOKUP($C10,MATIERES!$A$2:$F$448,4,0))*IF(FHchoix="",1.2,1)</f>
        <v>866.60399999999993</v>
      </c>
      <c r="K10" s="364"/>
      <c r="L10" s="365"/>
      <c r="M10" s="364"/>
      <c r="N10" s="365"/>
      <c r="O10" s="364"/>
      <c r="P10" s="365"/>
      <c r="Q10" s="364"/>
      <c r="R10" s="365"/>
      <c r="S10" s="364">
        <v>0</v>
      </c>
      <c r="T10" s="365">
        <f>IF($C10="","",S10*VLOOKUP($C10,MATIERES!$A$2:$F$448,4,0))</f>
        <v>0</v>
      </c>
      <c r="U10" s="364"/>
      <c r="V10" s="365"/>
      <c r="W10" s="364"/>
      <c r="X10" s="365"/>
      <c r="Y10" s="364"/>
      <c r="Z10" s="365"/>
      <c r="AA10" s="364">
        <v>0</v>
      </c>
      <c r="AB10" s="365">
        <f>IF($C10="","",AA10*VLOOKUP($C10,MATIERES!$A$2:$F$448,4,0))</f>
        <v>0</v>
      </c>
      <c r="AC10" s="364">
        <v>0</v>
      </c>
      <c r="AD10" s="365">
        <f>IF($C10="","",AC10*VLOOKUP($C10,MATIERES!$A$2:$F$448,4,0))</f>
        <v>0</v>
      </c>
      <c r="AE10" s="364">
        <v>0</v>
      </c>
      <c r="AF10" s="365">
        <f>IF($C10="","",AE10*VLOOKUP($C10,MATIERES!$A$2:$F$448,4,0))</f>
        <v>0</v>
      </c>
      <c r="AG10" s="364">
        <v>0</v>
      </c>
      <c r="AH10" s="365">
        <f>IF($C10="","",AG10*VLOOKUP($C10,MATIERES!$A$2:$F$448,4,0))</f>
        <v>0</v>
      </c>
      <c r="AI10" s="364">
        <v>0</v>
      </c>
      <c r="AJ10" s="365">
        <f>IF($C10="","",AI10*VLOOKUP($C10,MATIERES!$A$2:$F$448,4,0))</f>
        <v>0</v>
      </c>
      <c r="AK10" s="364">
        <v>0</v>
      </c>
      <c r="AL10" s="365">
        <f>IF($C10="","",AK10*VLOOKUP($C10,MATIERES!$A$2:$F$448,4,0))</f>
        <v>0</v>
      </c>
      <c r="AM10" s="364">
        <v>0</v>
      </c>
      <c r="AN10" s="365">
        <f>IF($C10="","",AM10*VLOOKUP($C10,MATIERES!$A$2:$F$448,4,0))</f>
        <v>0</v>
      </c>
      <c r="AO10" s="135"/>
    </row>
    <row r="11" spans="1:41" ht="10.35" customHeight="1" x14ac:dyDescent="0.2">
      <c r="A11" s="1550"/>
      <c r="B11" s="361" t="s">
        <v>1148</v>
      </c>
      <c r="C11" s="1401" t="s">
        <v>1811</v>
      </c>
      <c r="D11" s="363" t="str">
        <f>IF($C11="","",VLOOKUP($C11,MATIERES!$A$2:$F$613,5,0))</f>
        <v>pc</v>
      </c>
      <c r="E11" s="364"/>
      <c r="F11" s="365"/>
      <c r="G11" s="364"/>
      <c r="H11" s="365"/>
      <c r="I11" s="364"/>
      <c r="J11" s="365"/>
      <c r="K11" s="364">
        <v>1</v>
      </c>
      <c r="L11" s="365">
        <f>IF($C11="","",K11*VLOOKUP($C11,MATIERES!$A$2:$F$548,4,0))</f>
        <v>822.01</v>
      </c>
      <c r="M11" s="364"/>
      <c r="N11" s="365"/>
      <c r="O11" s="364"/>
      <c r="P11" s="365"/>
      <c r="Q11" s="364"/>
      <c r="R11" s="365"/>
      <c r="S11" s="364">
        <v>0</v>
      </c>
      <c r="T11" s="365">
        <f>IF($C11="","",S11*VLOOKUP($C11,MATIERES!$A$2:$F$448,4,0))</f>
        <v>0</v>
      </c>
      <c r="U11" s="364"/>
      <c r="V11" s="365"/>
      <c r="W11" s="364"/>
      <c r="X11" s="365"/>
      <c r="Y11" s="364"/>
      <c r="Z11" s="365"/>
      <c r="AA11" s="364">
        <v>0</v>
      </c>
      <c r="AB11" s="365">
        <f>IF($C11="","",AA11*VLOOKUP($C11,MATIERES!$A$2:$F$448,4,0))</f>
        <v>0</v>
      </c>
      <c r="AC11" s="364">
        <v>0</v>
      </c>
      <c r="AD11" s="365">
        <f>IF($C11="","",AC11*VLOOKUP($C11,MATIERES!$A$2:$F$448,4,0))</f>
        <v>0</v>
      </c>
      <c r="AE11" s="364">
        <v>0</v>
      </c>
      <c r="AF11" s="365">
        <f>IF($C11="","",AE11*VLOOKUP($C11,MATIERES!$A$2:$F$448,4,0))</f>
        <v>0</v>
      </c>
      <c r="AG11" s="364">
        <v>0</v>
      </c>
      <c r="AH11" s="365">
        <f>IF($C11="","",AG11*VLOOKUP($C11,MATIERES!$A$2:$F$448,4,0))</f>
        <v>0</v>
      </c>
      <c r="AI11" s="364">
        <v>0</v>
      </c>
      <c r="AJ11" s="365">
        <f>IF($C11="","",AI11*VLOOKUP($C11,MATIERES!$A$2:$F$448,4,0))</f>
        <v>0</v>
      </c>
      <c r="AK11" s="364">
        <v>0</v>
      </c>
      <c r="AL11" s="365">
        <f>IF($C11="","",AK11*VLOOKUP($C11,MATIERES!$A$2:$F$448,4,0))</f>
        <v>0</v>
      </c>
      <c r="AM11" s="364">
        <v>0</v>
      </c>
      <c r="AN11" s="365">
        <f>IF($C11="","",AM11*VLOOKUP($C11,MATIERES!$A$2:$F$448,4,0))</f>
        <v>0</v>
      </c>
      <c r="AO11" s="135"/>
    </row>
    <row r="12" spans="1:41" ht="10.35" customHeight="1" x14ac:dyDescent="0.2">
      <c r="A12" s="1550"/>
      <c r="B12" s="361" t="s">
        <v>1148</v>
      </c>
      <c r="C12" s="1401" t="s">
        <v>1812</v>
      </c>
      <c r="D12" s="363" t="str">
        <f>IF($C12="","",VLOOKUP($C12,MATIERES!$A$2:$F$413,5,0))</f>
        <v>pc</v>
      </c>
      <c r="E12" s="364"/>
      <c r="F12" s="365"/>
      <c r="G12" s="364"/>
      <c r="H12" s="365"/>
      <c r="I12" s="364"/>
      <c r="J12" s="365"/>
      <c r="K12" s="364"/>
      <c r="L12" s="365"/>
      <c r="M12" s="364">
        <v>1</v>
      </c>
      <c r="N12" s="365">
        <f>IF($C12="","",M12*VLOOKUP($C12,MATIERES!$A$2:$F$448,4,0))*IF(FHchoix="",1.2,1)</f>
        <v>1233.2760000000001</v>
      </c>
      <c r="O12" s="364"/>
      <c r="P12" s="365"/>
      <c r="Q12" s="364"/>
      <c r="R12" s="365"/>
      <c r="S12" s="364">
        <v>0</v>
      </c>
      <c r="T12" s="365">
        <f>IF($C12="","",S12*VLOOKUP($C12,MATIERES!$A$2:$F$448,4,0))</f>
        <v>0</v>
      </c>
      <c r="U12" s="364"/>
      <c r="V12" s="365"/>
      <c r="W12" s="364"/>
      <c r="X12" s="365"/>
      <c r="Y12" s="364"/>
      <c r="Z12" s="365"/>
      <c r="AA12" s="364">
        <v>0</v>
      </c>
      <c r="AB12" s="365">
        <f>IF($C12="","",AA12*VLOOKUP($C12,MATIERES!$A$2:$F$448,4,0))</f>
        <v>0</v>
      </c>
      <c r="AC12" s="364">
        <v>0</v>
      </c>
      <c r="AD12" s="365">
        <f>IF($C12="","",AC12*VLOOKUP($C12,MATIERES!$A$2:$F$448,4,0))</f>
        <v>0</v>
      </c>
      <c r="AE12" s="364">
        <v>0</v>
      </c>
      <c r="AF12" s="365">
        <f>IF($C12="","",AE12*VLOOKUP($C12,MATIERES!$A$2:$F$448,4,0))</f>
        <v>0</v>
      </c>
      <c r="AG12" s="364">
        <v>0</v>
      </c>
      <c r="AH12" s="365">
        <f>IF($C12="","",AG12*VLOOKUP($C12,MATIERES!$A$2:$F$448,4,0))</f>
        <v>0</v>
      </c>
      <c r="AI12" s="364">
        <v>0</v>
      </c>
      <c r="AJ12" s="365">
        <f>IF($C12="","",AI12*VLOOKUP($C12,MATIERES!$A$2:$F$448,4,0))</f>
        <v>0</v>
      </c>
      <c r="AK12" s="364">
        <v>0</v>
      </c>
      <c r="AL12" s="365">
        <f>IF($C12="","",AK12*VLOOKUP($C12,MATIERES!$A$2:$F$448,4,0))</f>
        <v>0</v>
      </c>
      <c r="AM12" s="364">
        <v>0</v>
      </c>
      <c r="AN12" s="365">
        <f>IF($C12="","",AM12*VLOOKUP($C12,MATIERES!$A$2:$F$448,4,0))</f>
        <v>0</v>
      </c>
      <c r="AO12" s="135"/>
    </row>
    <row r="13" spans="1:41" ht="10.35" customHeight="1" x14ac:dyDescent="0.2">
      <c r="A13" s="1550"/>
      <c r="B13" s="361" t="s">
        <v>1148</v>
      </c>
      <c r="C13" s="1401" t="s">
        <v>1813</v>
      </c>
      <c r="D13" s="363" t="str">
        <f>IF($C13="","",VLOOKUP($C13,MATIERES!$A$2:$F$413,5,0))</f>
        <v>pc</v>
      </c>
      <c r="E13" s="364"/>
      <c r="F13" s="365"/>
      <c r="G13" s="364"/>
      <c r="H13" s="365"/>
      <c r="I13" s="364"/>
      <c r="J13" s="365"/>
      <c r="K13" s="364"/>
      <c r="L13" s="365"/>
      <c r="M13" s="364"/>
      <c r="N13" s="365"/>
      <c r="O13" s="364">
        <v>1</v>
      </c>
      <c r="P13" s="365">
        <f>IF($C13="","",O13*VLOOKUP($C13,MATIERES!$A$2:$F$448,4,0))*IF(FHchoix="",1.2,1)</f>
        <v>1295.7239999999999</v>
      </c>
      <c r="Q13" s="364"/>
      <c r="R13" s="365"/>
      <c r="S13" s="364">
        <v>0</v>
      </c>
      <c r="T13" s="365">
        <f>IF($C13="","",S13*VLOOKUP($C13,MATIERES!$A$2:$F$448,4,0))</f>
        <v>0</v>
      </c>
      <c r="U13" s="364"/>
      <c r="V13" s="365"/>
      <c r="W13" s="364"/>
      <c r="X13" s="365"/>
      <c r="Y13" s="364"/>
      <c r="Z13" s="365"/>
      <c r="AA13" s="364">
        <v>0</v>
      </c>
      <c r="AB13" s="365">
        <f>IF($C13="","",AA13*VLOOKUP($C13,MATIERES!$A$2:$F$448,4,0))</f>
        <v>0</v>
      </c>
      <c r="AC13" s="364">
        <v>0</v>
      </c>
      <c r="AD13" s="365">
        <f>IF($C13="","",AC13*VLOOKUP($C13,MATIERES!$A$2:$F$448,4,0))</f>
        <v>0</v>
      </c>
      <c r="AE13" s="364">
        <v>0</v>
      </c>
      <c r="AF13" s="365">
        <f>IF($C13="","",AE13*VLOOKUP($C13,MATIERES!$A$2:$F$448,4,0))</f>
        <v>0</v>
      </c>
      <c r="AG13" s="364">
        <v>0</v>
      </c>
      <c r="AH13" s="365">
        <f>IF($C13="","",AG13*VLOOKUP($C13,MATIERES!$A$2:$F$448,4,0))</f>
        <v>0</v>
      </c>
      <c r="AI13" s="364">
        <v>0</v>
      </c>
      <c r="AJ13" s="365">
        <f>IF($C13="","",AI13*VLOOKUP($C13,MATIERES!$A$2:$F$448,4,0))</f>
        <v>0</v>
      </c>
      <c r="AK13" s="364">
        <v>0</v>
      </c>
      <c r="AL13" s="365">
        <f>IF($C13="","",AK13*VLOOKUP($C13,MATIERES!$A$2:$F$448,4,0))</f>
        <v>0</v>
      </c>
      <c r="AM13" s="364">
        <v>0</v>
      </c>
      <c r="AN13" s="365">
        <f>IF($C13="","",AM13*VLOOKUP($C13,MATIERES!$A$2:$F$448,4,0))</f>
        <v>0</v>
      </c>
      <c r="AO13" s="186"/>
    </row>
    <row r="14" spans="1:41" ht="10.35" customHeight="1" x14ac:dyDescent="0.2">
      <c r="A14" s="1550"/>
      <c r="B14" s="361" t="s">
        <v>1148</v>
      </c>
      <c r="C14" s="1401" t="s">
        <v>1814</v>
      </c>
      <c r="D14" s="363" t="str">
        <f>IF($C14="","",VLOOKUP($C14,MATIERES!$A$2:$F$413,5,0))</f>
        <v>pc</v>
      </c>
      <c r="E14" s="364"/>
      <c r="F14" s="365"/>
      <c r="G14" s="364"/>
      <c r="H14" s="365"/>
      <c r="I14" s="364"/>
      <c r="J14" s="365"/>
      <c r="K14" s="364"/>
      <c r="L14" s="365"/>
      <c r="M14" s="364"/>
      <c r="N14" s="365"/>
      <c r="O14" s="364"/>
      <c r="P14" s="365"/>
      <c r="Q14" s="364">
        <v>1</v>
      </c>
      <c r="R14" s="365">
        <f>IF($C14="","",Q14*VLOOKUP($C14,MATIERES!$A$2:$F$448,4,0))*IF(FHchoix="",1.2,1)</f>
        <v>1598.7839999999999</v>
      </c>
      <c r="S14" s="364">
        <v>0</v>
      </c>
      <c r="T14" s="365">
        <f>IF($C14="","",S14*VLOOKUP($C14,MATIERES!$A$2:$F$448,4,0))</f>
        <v>0</v>
      </c>
      <c r="U14" s="364"/>
      <c r="V14" s="365"/>
      <c r="W14" s="364"/>
      <c r="X14" s="365"/>
      <c r="Y14" s="364"/>
      <c r="Z14" s="365"/>
      <c r="AA14" s="364">
        <v>0</v>
      </c>
      <c r="AB14" s="365">
        <f>IF($C14="","",AA14*VLOOKUP($C14,MATIERES!$A$2:$F$448,4,0))</f>
        <v>0</v>
      </c>
      <c r="AC14" s="364">
        <v>0</v>
      </c>
      <c r="AD14" s="365">
        <f>IF($C14="","",AC14*VLOOKUP($C14,MATIERES!$A$2:$F$448,4,0))</f>
        <v>0</v>
      </c>
      <c r="AE14" s="364">
        <v>0</v>
      </c>
      <c r="AF14" s="365">
        <f>IF($C14="","",AE14*VLOOKUP($C14,MATIERES!$A$2:$F$448,4,0))</f>
        <v>0</v>
      </c>
      <c r="AG14" s="364">
        <v>0</v>
      </c>
      <c r="AH14" s="365">
        <f>IF($C14="","",AG14*VLOOKUP($C14,MATIERES!$A$2:$F$448,4,0))</f>
        <v>0</v>
      </c>
      <c r="AI14" s="364">
        <v>0</v>
      </c>
      <c r="AJ14" s="365">
        <f>IF($C14="","",AI14*VLOOKUP($C14,MATIERES!$A$2:$F$448,4,0))</f>
        <v>0</v>
      </c>
      <c r="AK14" s="364">
        <v>0</v>
      </c>
      <c r="AL14" s="365">
        <f>IF($C14="","",AK14*VLOOKUP($C14,MATIERES!$A$2:$F$448,4,0))</f>
        <v>0</v>
      </c>
      <c r="AM14" s="364">
        <v>0</v>
      </c>
      <c r="AN14" s="365">
        <f>IF($C14="","",AM14*VLOOKUP($C14,MATIERES!$A$2:$F$448,4,0))</f>
        <v>0</v>
      </c>
      <c r="AO14" s="135"/>
    </row>
    <row r="15" spans="1:41" ht="10.35" customHeight="1" x14ac:dyDescent="0.2">
      <c r="A15" s="1550"/>
      <c r="B15" s="361" t="s">
        <v>1148</v>
      </c>
      <c r="C15" s="1401" t="s">
        <v>1815</v>
      </c>
      <c r="D15" s="363" t="str">
        <f>IF($C15="","",VLOOKUP($C15,MATIERES!$A$2:$F$413,5,0))</f>
        <v>pc</v>
      </c>
      <c r="E15" s="364"/>
      <c r="F15" s="365"/>
      <c r="G15" s="364"/>
      <c r="H15" s="365"/>
      <c r="I15" s="364"/>
      <c r="J15" s="365"/>
      <c r="K15" s="364"/>
      <c r="L15" s="365"/>
      <c r="M15" s="364"/>
      <c r="N15" s="365"/>
      <c r="O15" s="364"/>
      <c r="P15" s="365"/>
      <c r="Q15" s="364"/>
      <c r="R15" s="365"/>
      <c r="S15" s="364">
        <v>1</v>
      </c>
      <c r="T15" s="365">
        <f>IF($C15="","",S15*VLOOKUP($C15,MATIERES!$A$2:$F$448,4,0))*IF(FHchoix="",1.2,1)</f>
        <v>1661.2319999999997</v>
      </c>
      <c r="U15" s="364"/>
      <c r="V15" s="365"/>
      <c r="W15" s="364"/>
      <c r="X15" s="365"/>
      <c r="Y15" s="364"/>
      <c r="Z15" s="365"/>
      <c r="AA15" s="364">
        <v>0</v>
      </c>
      <c r="AB15" s="365">
        <f>IF($C15="","",AA15*VLOOKUP($C15,MATIERES!$A$2:$F$448,4,0))</f>
        <v>0</v>
      </c>
      <c r="AC15" s="364">
        <v>0</v>
      </c>
      <c r="AD15" s="365">
        <f>IF($C15="","",AC15*VLOOKUP($C15,MATIERES!$A$2:$F$448,4,0))</f>
        <v>0</v>
      </c>
      <c r="AE15" s="364">
        <v>0</v>
      </c>
      <c r="AF15" s="365">
        <f>IF($C15="","",AE15*VLOOKUP($C15,MATIERES!$A$2:$F$448,4,0))</f>
        <v>0</v>
      </c>
      <c r="AG15" s="364">
        <v>0</v>
      </c>
      <c r="AH15" s="365">
        <f>IF($C15="","",AG15*VLOOKUP($C15,MATIERES!$A$2:$F$448,4,0))</f>
        <v>0</v>
      </c>
      <c r="AI15" s="364">
        <v>0</v>
      </c>
      <c r="AJ15" s="365">
        <f>IF($C15="","",AI15*VLOOKUP($C15,MATIERES!$A$2:$F$448,4,0))</f>
        <v>0</v>
      </c>
      <c r="AK15" s="364">
        <v>0</v>
      </c>
      <c r="AL15" s="365">
        <f>IF($C15="","",AK15*VLOOKUP($C15,MATIERES!$A$2:$F$448,4,0))</f>
        <v>0</v>
      </c>
      <c r="AM15" s="364">
        <v>0</v>
      </c>
      <c r="AN15" s="365">
        <f>IF($C15="","",AM15*VLOOKUP($C15,MATIERES!$A$2:$F$448,4,0))</f>
        <v>0</v>
      </c>
      <c r="AO15" s="135"/>
    </row>
    <row r="16" spans="1:41" ht="10.35" customHeight="1" x14ac:dyDescent="0.2">
      <c r="A16" s="1550"/>
      <c r="B16" s="361" t="s">
        <v>1148</v>
      </c>
      <c r="C16" s="1401" t="s">
        <v>1816</v>
      </c>
      <c r="D16" s="363" t="str">
        <f>IF($C16="","",VLOOKUP($C16,MATIERES!$A$2:$F$413,5,0))</f>
        <v>pc</v>
      </c>
      <c r="E16" s="364"/>
      <c r="F16" s="365"/>
      <c r="G16" s="364"/>
      <c r="H16" s="365"/>
      <c r="I16" s="364"/>
      <c r="J16" s="365"/>
      <c r="K16" s="364"/>
      <c r="L16" s="365"/>
      <c r="M16" s="364"/>
      <c r="N16" s="365"/>
      <c r="O16" s="364"/>
      <c r="P16" s="365"/>
      <c r="Q16" s="364"/>
      <c r="R16" s="365"/>
      <c r="S16" s="364">
        <v>0</v>
      </c>
      <c r="T16" s="365">
        <f>IF($C16="","",S16*VLOOKUP($C16,MATIERES!$A$2:$F$448,4,0))</f>
        <v>0</v>
      </c>
      <c r="U16" s="364">
        <v>1</v>
      </c>
      <c r="V16" s="365">
        <f>IF($C16="","",U16*VLOOKUP($C16,MATIERES!$A$2:$F$448,4,0))*IF(FHchoix="",1.2,1)</f>
        <v>1797.3119999999999</v>
      </c>
      <c r="W16" s="364"/>
      <c r="X16" s="365"/>
      <c r="Y16" s="364"/>
      <c r="Z16" s="365"/>
      <c r="AA16" s="364">
        <v>0</v>
      </c>
      <c r="AB16" s="365">
        <f>IF($C16="","",AA16*VLOOKUP($C16,MATIERES!$A$2:$F$448,4,0))</f>
        <v>0</v>
      </c>
      <c r="AC16" s="364">
        <v>0</v>
      </c>
      <c r="AD16" s="365">
        <f>IF($C16="","",AC16*VLOOKUP($C16,MATIERES!$A$2:$F$448,4,0))</f>
        <v>0</v>
      </c>
      <c r="AE16" s="364">
        <v>0</v>
      </c>
      <c r="AF16" s="365">
        <f>IF($C16="","",AE16*VLOOKUP($C16,MATIERES!$A$2:$F$448,4,0))</f>
        <v>0</v>
      </c>
      <c r="AG16" s="364">
        <v>0</v>
      </c>
      <c r="AH16" s="365">
        <f>IF($C16="","",AG16*VLOOKUP($C16,MATIERES!$A$2:$F$448,4,0))</f>
        <v>0</v>
      </c>
      <c r="AI16" s="364">
        <v>0</v>
      </c>
      <c r="AJ16" s="365">
        <f>IF($C16="","",AI16*VLOOKUP($C16,MATIERES!$A$2:$F$448,4,0))</f>
        <v>0</v>
      </c>
      <c r="AK16" s="364">
        <v>0</v>
      </c>
      <c r="AL16" s="365">
        <f>IF($C16="","",AK16*VLOOKUP($C16,MATIERES!$A$2:$F$448,4,0))</f>
        <v>0</v>
      </c>
      <c r="AM16" s="364">
        <v>0</v>
      </c>
      <c r="AN16" s="365">
        <f>IF($C16="","",AM16*VLOOKUP($C16,MATIERES!$A$2:$F$448,4,0))</f>
        <v>0</v>
      </c>
      <c r="AO16" s="135"/>
    </row>
    <row r="17" spans="1:41" ht="10.35" customHeight="1" x14ac:dyDescent="0.2">
      <c r="A17" s="1551"/>
      <c r="B17" s="361" t="s">
        <v>1148</v>
      </c>
      <c r="C17" s="1401" t="s">
        <v>1817</v>
      </c>
      <c r="D17" s="363" t="str">
        <f>IF($C17="","",VLOOKUP($C17,MATIERES!$A$2:$F$413,5,0))</f>
        <v>pc</v>
      </c>
      <c r="E17" s="364"/>
      <c r="F17" s="365"/>
      <c r="G17" s="364"/>
      <c r="H17" s="365"/>
      <c r="I17" s="364"/>
      <c r="J17" s="365"/>
      <c r="K17" s="364"/>
      <c r="L17" s="365"/>
      <c r="M17" s="364"/>
      <c r="N17" s="365"/>
      <c r="O17" s="364"/>
      <c r="P17" s="365"/>
      <c r="Q17" s="364"/>
      <c r="R17" s="365"/>
      <c r="S17" s="364">
        <v>0</v>
      </c>
      <c r="T17" s="365">
        <f>IF($C17="","",S17*VLOOKUP($C17,MATIERES!$A$2:$F$448,4,0))</f>
        <v>0</v>
      </c>
      <c r="U17" s="364"/>
      <c r="V17" s="365"/>
      <c r="W17" s="364">
        <v>1</v>
      </c>
      <c r="X17" s="365">
        <f>IF($C17="","",W17*VLOOKUP($C17,MATIERES!$A$2:$F$448,4,0))*IF(FHchoix="",1.2,1)</f>
        <v>2236.4160000000002</v>
      </c>
      <c r="Y17" s="364">
        <v>1</v>
      </c>
      <c r="Z17" s="365">
        <f>IF($C17="","",Y17*VLOOKUP($C17,MATIERES!$A$2:$F$448,4,0))*IF(FHchoix="",1.2,1)</f>
        <v>2236.4160000000002</v>
      </c>
      <c r="AA17" s="364">
        <v>0</v>
      </c>
      <c r="AB17" s="365">
        <f>IF($C17="","",AA17*VLOOKUP($C17,MATIERES!$A$2:$F$448,4,0))</f>
        <v>0</v>
      </c>
      <c r="AC17" s="364">
        <v>0</v>
      </c>
      <c r="AD17" s="365">
        <f>IF($C17="","",AC17*VLOOKUP($C17,MATIERES!$A$2:$F$448,4,0))</f>
        <v>0</v>
      </c>
      <c r="AE17" s="364">
        <v>0</v>
      </c>
      <c r="AF17" s="365">
        <f>IF($C17="","",AE17*VLOOKUP($C17,MATIERES!$A$2:$F$448,4,0))</f>
        <v>0</v>
      </c>
      <c r="AG17" s="364">
        <v>0</v>
      </c>
      <c r="AH17" s="365">
        <f>IF($C17="","",AG17*VLOOKUP($C17,MATIERES!$A$2:$F$448,4,0))</f>
        <v>0</v>
      </c>
      <c r="AI17" s="364">
        <v>0</v>
      </c>
      <c r="AJ17" s="365">
        <f>IF($C17="","",AI17*VLOOKUP($C17,MATIERES!$A$2:$F$448,4,0))</f>
        <v>0</v>
      </c>
      <c r="AK17" s="364">
        <v>0</v>
      </c>
      <c r="AL17" s="365">
        <f>IF($C17="","",AK17*VLOOKUP($C17,MATIERES!$A$2:$F$448,4,0))</f>
        <v>0</v>
      </c>
      <c r="AM17" s="364">
        <v>0</v>
      </c>
      <c r="AN17" s="365">
        <f>IF($C17="","",AM17*VLOOKUP($C17,MATIERES!$A$2:$F$448,4,0))</f>
        <v>0</v>
      </c>
      <c r="AO17" s="135"/>
    </row>
    <row r="18" spans="1:41" ht="10.35" customHeight="1" x14ac:dyDescent="0.2">
      <c r="A18" s="1550"/>
      <c r="B18" s="361" t="s">
        <v>1148</v>
      </c>
      <c r="C18" s="1401" t="s">
        <v>1818</v>
      </c>
      <c r="D18" s="363" t="str">
        <f>IF($C18="","",VLOOKUP($C18,MATIERES!$A$2:$F$413,5,0))</f>
        <v>pc</v>
      </c>
      <c r="E18" s="364"/>
      <c r="F18" s="365"/>
      <c r="G18" s="364"/>
      <c r="H18" s="365"/>
      <c r="I18" s="364"/>
      <c r="J18" s="365"/>
      <c r="K18" s="364"/>
      <c r="L18" s="365"/>
      <c r="M18" s="364"/>
      <c r="N18" s="365"/>
      <c r="O18" s="364"/>
      <c r="P18" s="365"/>
      <c r="Q18" s="364"/>
      <c r="R18" s="365"/>
      <c r="S18" s="364">
        <v>0</v>
      </c>
      <c r="T18" s="365">
        <f>IF($C18="","",S18*VLOOKUP($C18,MATIERES!$A$2:$F$448,4,0))</f>
        <v>0</v>
      </c>
      <c r="U18" s="364"/>
      <c r="V18" s="365"/>
      <c r="W18" s="364"/>
      <c r="X18" s="365"/>
      <c r="Y18" s="364"/>
      <c r="Z18" s="365"/>
      <c r="AA18" s="364">
        <v>1</v>
      </c>
      <c r="AB18" s="365">
        <f>IF($C18="","",AA18*VLOOKUP($C18,MATIERES!$A$2:$F$448,4,0))</f>
        <v>2214.81</v>
      </c>
      <c r="AC18" s="364">
        <v>1</v>
      </c>
      <c r="AD18" s="365">
        <f>IF($C18="","",AC18*VLOOKUP($C18,MATIERES!$A$2:$F$448,4,0))*IF(FHchoix="",1.2,1)</f>
        <v>2657.7719999999999</v>
      </c>
      <c r="AE18" s="364">
        <v>0</v>
      </c>
      <c r="AF18" s="365">
        <f>IF($C18="","",AE18*VLOOKUP($C18,MATIERES!$A$2:$F$448,4,0))</f>
        <v>0</v>
      </c>
      <c r="AG18" s="364">
        <v>0</v>
      </c>
      <c r="AH18" s="365">
        <f>IF($C18="","",AG18*VLOOKUP($C18,MATIERES!$A$2:$F$448,4,0))</f>
        <v>0</v>
      </c>
      <c r="AI18" s="364">
        <v>0</v>
      </c>
      <c r="AJ18" s="365">
        <f>IF($C18="","",AI18*VLOOKUP($C18,MATIERES!$A$2:$F$448,4,0))</f>
        <v>0</v>
      </c>
      <c r="AK18" s="364">
        <v>0</v>
      </c>
      <c r="AL18" s="365">
        <f>IF($C18="","",AK18*VLOOKUP($C18,MATIERES!$A$2:$F$448,4,0))</f>
        <v>0</v>
      </c>
      <c r="AM18" s="364">
        <v>0</v>
      </c>
      <c r="AN18" s="365">
        <f>IF($C18="","",AM18*VLOOKUP($C18,MATIERES!$A$2:$F$448,4,0))</f>
        <v>0</v>
      </c>
      <c r="AO18" s="135"/>
    </row>
    <row r="19" spans="1:41" ht="10.35" customHeight="1" x14ac:dyDescent="0.2">
      <c r="A19" s="1550"/>
      <c r="B19" s="361" t="s">
        <v>1148</v>
      </c>
      <c r="C19" s="1401" t="s">
        <v>1819</v>
      </c>
      <c r="D19" s="363" t="str">
        <f>IF($C19="","",VLOOKUP($C19,MATIERES!$A$2:$F$413,5,0))</f>
        <v>pc</v>
      </c>
      <c r="E19" s="364"/>
      <c r="F19" s="365"/>
      <c r="G19" s="364"/>
      <c r="H19" s="365"/>
      <c r="I19" s="364"/>
      <c r="J19" s="365"/>
      <c r="K19" s="364"/>
      <c r="L19" s="365"/>
      <c r="M19" s="364"/>
      <c r="N19" s="365"/>
      <c r="O19" s="364"/>
      <c r="P19" s="365"/>
      <c r="Q19" s="364"/>
      <c r="R19" s="365"/>
      <c r="S19" s="364">
        <v>0</v>
      </c>
      <c r="T19" s="365">
        <f>IF($C19="","",S19*VLOOKUP($C19,MATIERES!$A$2:$F$448,4,0))</f>
        <v>0</v>
      </c>
      <c r="U19" s="364"/>
      <c r="V19" s="365"/>
      <c r="W19" s="364"/>
      <c r="X19" s="365"/>
      <c r="Y19" s="364"/>
      <c r="Z19" s="365"/>
      <c r="AA19" s="364">
        <v>0</v>
      </c>
      <c r="AB19" s="365">
        <f>IF($C19="","",AA19*VLOOKUP($C19,MATIERES!$A$2:$F$448,4,0))</f>
        <v>0</v>
      </c>
      <c r="AC19" s="364">
        <v>0</v>
      </c>
      <c r="AD19" s="365">
        <f>IF($C19="","",AC19*VLOOKUP($C19,MATIERES!$A$2:$F$448,4,0))</f>
        <v>0</v>
      </c>
      <c r="AE19" s="364">
        <v>1</v>
      </c>
      <c r="AF19" s="365">
        <f>IF($C19="","",AE19*VLOOKUP($C19,MATIERES!$A$2:$F$448,4,0))*IF(FHchoix="",1.2,1)</f>
        <v>2960.9760000000001</v>
      </c>
      <c r="AG19" s="364">
        <v>0</v>
      </c>
      <c r="AH19" s="365">
        <f>IF($C19="","",AG19*VLOOKUP($C19,MATIERES!$A$2:$F$448,4,0))</f>
        <v>0</v>
      </c>
      <c r="AI19" s="364">
        <v>0</v>
      </c>
      <c r="AJ19" s="365">
        <f>IF($C19="","",AI19*VLOOKUP($C19,MATIERES!$A$2:$F$448,4,0))</f>
        <v>0</v>
      </c>
      <c r="AK19" s="364">
        <v>0</v>
      </c>
      <c r="AL19" s="365">
        <f>IF($C19="","",AK19*VLOOKUP($C19,MATIERES!$A$2:$F$448,4,0))</f>
        <v>0</v>
      </c>
      <c r="AM19" s="364">
        <v>0</v>
      </c>
      <c r="AN19" s="365">
        <f>IF($C19="","",AM19*VLOOKUP($C19,MATIERES!$A$2:$F$448,4,0))</f>
        <v>0</v>
      </c>
      <c r="AO19" s="135"/>
    </row>
    <row r="20" spans="1:41" ht="10.35" customHeight="1" x14ac:dyDescent="0.2">
      <c r="A20" s="1550"/>
      <c r="B20" s="361" t="s">
        <v>1148</v>
      </c>
      <c r="C20" s="1401" t="s">
        <v>1820</v>
      </c>
      <c r="D20" s="363" t="str">
        <f>IF($C20="","",VLOOKUP($C20,MATIERES!$A$2:$F$413,5,0))</f>
        <v>pc</v>
      </c>
      <c r="E20" s="364"/>
      <c r="F20" s="365"/>
      <c r="G20" s="364"/>
      <c r="H20" s="365"/>
      <c r="I20" s="364"/>
      <c r="J20" s="365"/>
      <c r="K20" s="364"/>
      <c r="L20" s="365"/>
      <c r="M20" s="364"/>
      <c r="N20" s="365"/>
      <c r="O20" s="364"/>
      <c r="P20" s="365"/>
      <c r="Q20" s="364"/>
      <c r="R20" s="365"/>
      <c r="S20" s="364">
        <v>0</v>
      </c>
      <c r="T20" s="365">
        <f>IF($C20="","",S20*VLOOKUP($C20,MATIERES!$A$2:$F$448,4,0))</f>
        <v>0</v>
      </c>
      <c r="U20" s="364"/>
      <c r="V20" s="365"/>
      <c r="W20" s="364"/>
      <c r="X20" s="365"/>
      <c r="Y20" s="364"/>
      <c r="Z20" s="365"/>
      <c r="AA20" s="364">
        <v>0</v>
      </c>
      <c r="AB20" s="365">
        <f>IF($C20="","",AA20*VLOOKUP($C20,MATIERES!$A$2:$F$448,4,0))</f>
        <v>0</v>
      </c>
      <c r="AC20" s="364">
        <v>0</v>
      </c>
      <c r="AD20" s="365">
        <f>IF($C20="","",AC20*VLOOKUP($C20,MATIERES!$A$2:$F$448,4,0))</f>
        <v>0</v>
      </c>
      <c r="AE20" s="364">
        <v>0</v>
      </c>
      <c r="AF20" s="365">
        <f>IF($C20="","",AE20*VLOOKUP($C20,MATIERES!$A$2:$F$448,4,0))</f>
        <v>0</v>
      </c>
      <c r="AG20" s="364">
        <v>1</v>
      </c>
      <c r="AH20" s="365">
        <f>IF($C20="","",AG20*VLOOKUP($C20,MATIERES!$A$2:$F$448,4,0))*IF(FHchoix="",1.2,1)</f>
        <v>3088.212</v>
      </c>
      <c r="AI20" s="364">
        <v>0</v>
      </c>
      <c r="AJ20" s="365">
        <f>IF($C20="","",AI20*VLOOKUP($C20,MATIERES!$A$2:$F$448,4,0))</f>
        <v>0</v>
      </c>
      <c r="AK20" s="364">
        <v>0</v>
      </c>
      <c r="AL20" s="365">
        <f>IF($C20="","",AK20*VLOOKUP($C20,MATIERES!$A$2:$F$448,4,0))</f>
        <v>0</v>
      </c>
      <c r="AM20" s="364">
        <v>0</v>
      </c>
      <c r="AN20" s="365">
        <f>IF($C20="","",AM20*VLOOKUP($C20,MATIERES!$A$2:$F$448,4,0))</f>
        <v>0</v>
      </c>
      <c r="AO20" s="135"/>
    </row>
    <row r="21" spans="1:41" ht="10.35" customHeight="1" x14ac:dyDescent="0.2">
      <c r="A21" s="1550"/>
      <c r="B21" s="361" t="s">
        <v>1148</v>
      </c>
      <c r="C21" s="1401" t="s">
        <v>1820</v>
      </c>
      <c r="D21" s="363" t="str">
        <f>IF($C21="","",VLOOKUP($C21,MATIERES!$A$2:$F$413,5,0))</f>
        <v>pc</v>
      </c>
      <c r="E21" s="364"/>
      <c r="F21" s="365"/>
      <c r="G21" s="364"/>
      <c r="H21" s="365"/>
      <c r="I21" s="364"/>
      <c r="J21" s="365"/>
      <c r="K21" s="364"/>
      <c r="L21" s="365"/>
      <c r="M21" s="364"/>
      <c r="N21" s="365"/>
      <c r="O21" s="364"/>
      <c r="P21" s="365"/>
      <c r="Q21" s="364"/>
      <c r="R21" s="365"/>
      <c r="S21" s="364">
        <v>0</v>
      </c>
      <c r="T21" s="365">
        <f>IF($C21="","",S21*VLOOKUP($C21,MATIERES!$A$2:$F$448,4,0))</f>
        <v>0</v>
      </c>
      <c r="U21" s="364"/>
      <c r="V21" s="365"/>
      <c r="W21" s="364"/>
      <c r="X21" s="365"/>
      <c r="Y21" s="364"/>
      <c r="Z21" s="365"/>
      <c r="AA21" s="364">
        <v>0</v>
      </c>
      <c r="AB21" s="365">
        <f>IF($C21="","",AA21*VLOOKUP($C21,MATIERES!$A$2:$F$448,4,0))</f>
        <v>0</v>
      </c>
      <c r="AC21" s="364">
        <v>0</v>
      </c>
      <c r="AD21" s="365">
        <f>IF($C21="","",AC21*VLOOKUP($C21,MATIERES!$A$2:$F$448,4,0))</f>
        <v>0</v>
      </c>
      <c r="AE21" s="364">
        <v>0</v>
      </c>
      <c r="AF21" s="365">
        <f>IF($C21="","",AE21*VLOOKUP($C21,MATIERES!$A$2:$F$448,4,0))</f>
        <v>0</v>
      </c>
      <c r="AG21" s="364">
        <v>0</v>
      </c>
      <c r="AH21" s="365">
        <f>IF($C21="","",AG21*VLOOKUP($C21,MATIERES!$A$2:$F$448,4,0))</f>
        <v>0</v>
      </c>
      <c r="AI21" s="364">
        <v>1</v>
      </c>
      <c r="AJ21" s="365">
        <f>IF($C21="","",AI21*VLOOKUP($C21,MATIERES!$A$2:$F$448,4,0))*IF(FHchoix="",1.2,1)</f>
        <v>3088.212</v>
      </c>
      <c r="AK21" s="364">
        <v>0</v>
      </c>
      <c r="AL21" s="365">
        <f>IF($C21="","",AK21*VLOOKUP($C21,MATIERES!$A$2:$F$448,4,0))</f>
        <v>0</v>
      </c>
      <c r="AM21" s="364">
        <v>0</v>
      </c>
      <c r="AN21" s="365">
        <f>IF($C21="","",AM21*VLOOKUP($C21,MATIERES!$A$2:$F$448,4,0))</f>
        <v>0</v>
      </c>
      <c r="AO21" s="135"/>
    </row>
    <row r="22" spans="1:41" ht="10.35" customHeight="1" x14ac:dyDescent="0.2">
      <c r="A22" s="1550"/>
      <c r="B22" s="361" t="s">
        <v>1148</v>
      </c>
      <c r="C22" s="1401" t="s">
        <v>1821</v>
      </c>
      <c r="D22" s="363" t="str">
        <f>IF($C22="","",VLOOKUP($C22,MATIERES!$A$2:$F$413,5,0))</f>
        <v>pc</v>
      </c>
      <c r="E22" s="364"/>
      <c r="F22" s="365"/>
      <c r="G22" s="364"/>
      <c r="H22" s="365"/>
      <c r="I22" s="364"/>
      <c r="J22" s="365"/>
      <c r="K22" s="364"/>
      <c r="L22" s="365"/>
      <c r="M22" s="364"/>
      <c r="N22" s="365"/>
      <c r="O22" s="364"/>
      <c r="P22" s="365"/>
      <c r="Q22" s="364"/>
      <c r="R22" s="365"/>
      <c r="S22" s="364">
        <v>0</v>
      </c>
      <c r="T22" s="365">
        <f>IF($C22="","",S22*VLOOKUP($C22,MATIERES!$A$2:$F$448,4,0))</f>
        <v>0</v>
      </c>
      <c r="U22" s="364"/>
      <c r="V22" s="365"/>
      <c r="W22" s="364"/>
      <c r="X22" s="365"/>
      <c r="Y22" s="364"/>
      <c r="Z22" s="365"/>
      <c r="AA22" s="364">
        <v>0</v>
      </c>
      <c r="AB22" s="365">
        <f>IF($C22="","",AA22*VLOOKUP($C22,MATIERES!$A$2:$F$448,4,0))</f>
        <v>0</v>
      </c>
      <c r="AC22" s="364">
        <v>0</v>
      </c>
      <c r="AD22" s="365">
        <f>IF($C22="","",AC22*VLOOKUP($C22,MATIERES!$A$2:$F$448,4,0))</f>
        <v>0</v>
      </c>
      <c r="AE22" s="364">
        <v>0</v>
      </c>
      <c r="AF22" s="365">
        <f>IF($C22="","",AE22*VLOOKUP($C22,MATIERES!$A$2:$F$448,4,0))</f>
        <v>0</v>
      </c>
      <c r="AG22" s="364">
        <v>0</v>
      </c>
      <c r="AH22" s="365">
        <f>IF($C22="","",AG22*VLOOKUP($C22,MATIERES!$A$2:$F$448,4,0))</f>
        <v>0</v>
      </c>
      <c r="AI22" s="364">
        <v>0</v>
      </c>
      <c r="AJ22" s="365">
        <f>IF($C22="","",AI22*VLOOKUP($C22,MATIERES!$A$2:$F$448,4,0))</f>
        <v>0</v>
      </c>
      <c r="AK22" s="364">
        <v>1</v>
      </c>
      <c r="AL22" s="365">
        <f>IF($C22="","",AK22*VLOOKUP($C22,MATIERES!$A$2:$F$448,4,0))*IF(FHchoix="",1.2,1)</f>
        <v>3393.2999999999997</v>
      </c>
      <c r="AM22" s="364">
        <v>1</v>
      </c>
      <c r="AN22" s="365">
        <f>IF($C22="","",AM22*VLOOKUP($C22,MATIERES!$A$2:$F$448,4,0))</f>
        <v>2827.75</v>
      </c>
      <c r="AO22" s="135"/>
    </row>
    <row r="23" spans="1:41" ht="10.35" customHeight="1" x14ac:dyDescent="0.2">
      <c r="A23" s="1550"/>
      <c r="B23" s="361" t="s">
        <v>719</v>
      </c>
      <c r="C23" s="1400" t="s">
        <v>720</v>
      </c>
      <c r="D23" s="363" t="str">
        <f>IF($C23="","",VLOOKUP($C23,MATIERES!$A$2:$F$413,5,0))</f>
        <v>ml</v>
      </c>
      <c r="E23" s="364">
        <f>'Outils de calculs'!E32</f>
        <v>2.5</v>
      </c>
      <c r="F23" s="365">
        <f>IF($C23="","",E23*VLOOKUP($C23,MATIERES!$A$2:$F$448,4,0))</f>
        <v>4.9749999999999996</v>
      </c>
      <c r="G23" s="364">
        <f>'Outils de calculs'!G32</f>
        <v>3</v>
      </c>
      <c r="H23" s="365">
        <f>IF($C23="","",G23*VLOOKUP($C23,MATIERES!$A$2:$F$448,4,0))</f>
        <v>5.97</v>
      </c>
      <c r="I23" s="364">
        <f>'Outils de calculs'!I32</f>
        <v>4</v>
      </c>
      <c r="J23" s="365">
        <f>IF($C23="","",I23*VLOOKUP($C23,MATIERES!$A$2:$F$448,4,0))</f>
        <v>7.96</v>
      </c>
      <c r="K23" s="364">
        <f>'Outils de calculs'!K32</f>
        <v>4</v>
      </c>
      <c r="L23" s="365">
        <f>IF($C23="","",K23*VLOOKUP($C23,MATIERES!$A$2:$F$548,4,0))</f>
        <v>7.96</v>
      </c>
      <c r="M23" s="364">
        <f>'Outils de calculs'!M32</f>
        <v>4</v>
      </c>
      <c r="N23" s="365">
        <f>IF($C23="","",M23*VLOOKUP($C23,MATIERES!$A$2:$F$448,4,0))</f>
        <v>7.96</v>
      </c>
      <c r="O23" s="364">
        <f>'Outils de calculs'!O32</f>
        <v>4</v>
      </c>
      <c r="P23" s="365">
        <f>IF($C23="","",O23*VLOOKUP($C23,MATIERES!$A$2:$F$448,4,0))</f>
        <v>7.96</v>
      </c>
      <c r="Q23" s="364">
        <f>'Outils de calculs'!Q32</f>
        <v>4</v>
      </c>
      <c r="R23" s="365">
        <f>IF($C23="","",Q23*VLOOKUP($C23,MATIERES!$A$2:$F$448,4,0))</f>
        <v>7.96</v>
      </c>
      <c r="S23" s="364">
        <f>'Outils de calculs'!S32</f>
        <v>4.5</v>
      </c>
      <c r="T23" s="365">
        <f>IF($C23="","",S23*VLOOKUP($C23,MATIERES!$A$2:$F$448,4,0))</f>
        <v>8.9550000000000001</v>
      </c>
      <c r="U23" s="364">
        <f>'Outils de calculs'!U32</f>
        <v>5</v>
      </c>
      <c r="V23" s="365">
        <f>IF($C23="","",U23*VLOOKUP($C23,MATIERES!$A$2:$F$448,4,0))</f>
        <v>9.9499999999999993</v>
      </c>
      <c r="W23" s="364">
        <f>'Outils de calculs'!W32</f>
        <v>6</v>
      </c>
      <c r="X23" s="365">
        <f>IF($C23="","",W23*VLOOKUP($C23,MATIERES!$A$2:$F$448,4,0))</f>
        <v>11.94</v>
      </c>
      <c r="Y23" s="364">
        <f>'Outils de calculs'!Y32</f>
        <v>8</v>
      </c>
      <c r="Z23" s="365">
        <f>IF($C23="","",Y23*VLOOKUP($C23,MATIERES!$A$2:$F$448,4,0))</f>
        <v>15.92</v>
      </c>
      <c r="AA23" s="364">
        <f>'Outils de calculs'!AA32</f>
        <v>8</v>
      </c>
      <c r="AB23" s="365">
        <f>IF($C23="","",AA23*VLOOKUP($C23,MATIERES!$A$2:$F$448,4,0))</f>
        <v>15.92</v>
      </c>
      <c r="AC23" s="364">
        <f>'Outils de calculs'!AC32</f>
        <v>7</v>
      </c>
      <c r="AD23" s="365">
        <f>IF($C23="","",AC23*VLOOKUP($C23,MATIERES!$A$2:$F$448,4,0))</f>
        <v>13.93</v>
      </c>
      <c r="AE23" s="364">
        <f>'Outils de calculs'!AE32</f>
        <v>8</v>
      </c>
      <c r="AF23" s="365">
        <f>IF($C23="","",AE23*VLOOKUP($C23,MATIERES!$A$2:$F$448,4,0))</f>
        <v>15.92</v>
      </c>
      <c r="AG23" s="364">
        <f>'Outils de calculs'!AG32</f>
        <v>8</v>
      </c>
      <c r="AH23" s="365">
        <f>IF($C23="","",AG23*VLOOKUP($C23,MATIERES!$A$2:$F$448,4,0))</f>
        <v>15.92</v>
      </c>
      <c r="AI23" s="364">
        <f>'Outils de calculs'!AI32</f>
        <v>9</v>
      </c>
      <c r="AJ23" s="365">
        <f>IF($C23="","",AI23*VLOOKUP($C23,MATIERES!$A$2:$F$448,4,0))</f>
        <v>17.91</v>
      </c>
      <c r="AK23" s="364">
        <f>'Outils de calculs'!AK32</f>
        <v>10</v>
      </c>
      <c r="AL23" s="365">
        <f>IF($C23="","",AK23*VLOOKUP($C23,MATIERES!$A$2:$F$448,4,0))</f>
        <v>19.899999999999999</v>
      </c>
      <c r="AM23" s="364">
        <f>'Outils de calculs'!AM32</f>
        <v>8</v>
      </c>
      <c r="AN23" s="365">
        <f>IF($C23="","",AM23*VLOOKUP($C23,MATIERES!$A$2:$F$448,4,0))</f>
        <v>15.92</v>
      </c>
      <c r="AO23" s="135"/>
    </row>
    <row r="24" spans="1:41" ht="15" customHeight="1" x14ac:dyDescent="0.2">
      <c r="A24" s="1550"/>
      <c r="B24" s="361" t="s">
        <v>736</v>
      </c>
      <c r="C24" s="1401" t="s">
        <v>742</v>
      </c>
      <c r="D24" s="363" t="str">
        <f>IF($C24="","",VLOOKUP($C24,MATIERES!$A$2:$F$413,5,0))</f>
        <v>pc</v>
      </c>
      <c r="E24" s="364">
        <f>2</f>
        <v>2</v>
      </c>
      <c r="F24" s="365">
        <f>IF($C24="","",E24*VLOOKUP($C24,MATIERES!$A$2:$F$448,4,0))</f>
        <v>43.54</v>
      </c>
      <c r="G24" s="364">
        <f>2</f>
        <v>2</v>
      </c>
      <c r="H24" s="365">
        <f>IF($C24="","",G24*VLOOKUP($C24,MATIERES!$A$2:$F$448,4,0))</f>
        <v>43.54</v>
      </c>
      <c r="I24" s="364">
        <f>2</f>
        <v>2</v>
      </c>
      <c r="J24" s="365">
        <f>IF($C24="","",I24*VLOOKUP($C24,MATIERES!$A$2:$F$448,4,0))</f>
        <v>43.54</v>
      </c>
      <c r="K24" s="364">
        <f>2</f>
        <v>2</v>
      </c>
      <c r="L24" s="365">
        <f>IF($C24="","",K24*VLOOKUP($C24,MATIERES!$A$2:$F$448,4,0))</f>
        <v>43.54</v>
      </c>
      <c r="M24" s="364">
        <f>2</f>
        <v>2</v>
      </c>
      <c r="N24" s="365">
        <f>IF($C24="","",M24*VLOOKUP($C24,MATIERES!$A$2:$F$448,4,0))</f>
        <v>43.54</v>
      </c>
      <c r="O24" s="364">
        <f>2</f>
        <v>2</v>
      </c>
      <c r="P24" s="365">
        <f>IF($C24="","",O24*VLOOKUP($C24,MATIERES!$A$2:$F$448,4,0))</f>
        <v>43.54</v>
      </c>
      <c r="Q24" s="364">
        <f>2</f>
        <v>2</v>
      </c>
      <c r="R24" s="365">
        <f>IF($C24="","",Q24*VLOOKUP($C24,MATIERES!$A$2:$F$448,4,0))</f>
        <v>43.54</v>
      </c>
      <c r="S24" s="364">
        <f>2</f>
        <v>2</v>
      </c>
      <c r="T24" s="365">
        <f>IF($C24="","",S24*VLOOKUP($C24,MATIERES!$A$2:$F$448,4,0))</f>
        <v>43.54</v>
      </c>
      <c r="U24" s="364">
        <f>2</f>
        <v>2</v>
      </c>
      <c r="V24" s="365">
        <f>IF($C24="","",U24*VLOOKUP($C24,MATIERES!$A$2:$F$448,4,0))</f>
        <v>43.54</v>
      </c>
      <c r="W24" s="364">
        <f>2</f>
        <v>2</v>
      </c>
      <c r="X24" s="365">
        <f>IF($C24="","",W24*VLOOKUP($C24,MATIERES!$A$2:$F$448,4,0))</f>
        <v>43.54</v>
      </c>
      <c r="Y24" s="364">
        <f>2</f>
        <v>2</v>
      </c>
      <c r="Z24" s="365">
        <f>IF($C24="","",Y24*VLOOKUP($C24,MATIERES!$A$2:$F$448,4,0))</f>
        <v>43.54</v>
      </c>
      <c r="AA24" s="364">
        <f>2</f>
        <v>2</v>
      </c>
      <c r="AB24" s="365">
        <f>IF($C24="","",AA24*VLOOKUP($C24,MATIERES!$A$2:$F$448,4,0))</f>
        <v>43.54</v>
      </c>
      <c r="AC24" s="364">
        <f>2</f>
        <v>2</v>
      </c>
      <c r="AD24" s="365">
        <f>IF($C24="","",AC24*VLOOKUP($C24,MATIERES!$A$2:$F$448,4,0))</f>
        <v>43.54</v>
      </c>
      <c r="AE24" s="364">
        <f>2</f>
        <v>2</v>
      </c>
      <c r="AF24" s="365">
        <f>IF($C24="","",AE24*VLOOKUP($C24,MATIERES!$A$2:$F$448,4,0))</f>
        <v>43.54</v>
      </c>
      <c r="AG24" s="364">
        <f>2</f>
        <v>2</v>
      </c>
      <c r="AH24" s="365">
        <f>IF($C24="","",AG24*VLOOKUP($C24,MATIERES!$A$2:$F$448,4,0))</f>
        <v>43.54</v>
      </c>
      <c r="AI24" s="364">
        <f>2</f>
        <v>2</v>
      </c>
      <c r="AJ24" s="365">
        <f>IF($C24="","",AI24*VLOOKUP($C24,MATIERES!$A$2:$F$448,4,0))</f>
        <v>43.54</v>
      </c>
      <c r="AK24" s="364">
        <f>2</f>
        <v>2</v>
      </c>
      <c r="AL24" s="365">
        <f>IF($C24="","",AK24*VLOOKUP($C24,MATIERES!$A$2:$F$448,4,0))</f>
        <v>43.54</v>
      </c>
      <c r="AM24" s="364">
        <f>2</f>
        <v>2</v>
      </c>
      <c r="AN24" s="365">
        <f>IF($C24="","",AM24*VLOOKUP($C24,MATIERES!$A$2:$F$448,4,0))</f>
        <v>43.54</v>
      </c>
      <c r="AO24" s="135"/>
    </row>
    <row r="25" spans="1:41" ht="15" customHeight="1" x14ac:dyDescent="0.2">
      <c r="A25" s="1550"/>
      <c r="B25" s="361" t="s">
        <v>127</v>
      </c>
      <c r="C25" s="1400" t="s">
        <v>1210</v>
      </c>
      <c r="D25" s="363" t="str">
        <f>IF($C25="","",VLOOKUP($C25,MATIERES!$A$2:$F$448,5,0))</f>
        <v>t</v>
      </c>
      <c r="E25" s="364">
        <f>'Outils de calculs'!E25*0.05*1.8</f>
        <v>0.36000000000000004</v>
      </c>
      <c r="F25" s="365">
        <f>IF($C25="","",E25*VLOOKUP($C25,MATIERES!$A$2:$F$448,4,0))</f>
        <v>7.2000000000000011</v>
      </c>
      <c r="G25" s="364">
        <f>'Outils de calculs'!G25*0.05*1.8</f>
        <v>0.54000000000000015</v>
      </c>
      <c r="H25" s="365">
        <f>IF($C25="","",G25*VLOOKUP($C25,MATIERES!$A$2:$F$448,4,0))</f>
        <v>10.800000000000002</v>
      </c>
      <c r="I25" s="364">
        <f>'Outils de calculs'!I25*0.05*1.8</f>
        <v>0.72000000000000008</v>
      </c>
      <c r="J25" s="365">
        <f>IF($C25="","",I25*VLOOKUP($C25,MATIERES!$A$2:$F$448,4,0))</f>
        <v>14.400000000000002</v>
      </c>
      <c r="K25" s="364">
        <f>'Outils de calculs'!K25*0.05*1.8</f>
        <v>0.9</v>
      </c>
      <c r="L25" s="365">
        <f>IF($C25="","",K25*VLOOKUP($C25,MATIERES!$A$2:$F$448,4,0))</f>
        <v>18</v>
      </c>
      <c r="M25" s="364">
        <f>'Outils de calculs'!M25*0.05*1.8</f>
        <v>1.0800000000000003</v>
      </c>
      <c r="N25" s="365">
        <f>IF($C25="","",M25*VLOOKUP($C25,MATIERES!$A$2:$F$448,4,0))</f>
        <v>21.600000000000005</v>
      </c>
      <c r="O25" s="364">
        <f>'Outils de calculs'!O25*0.05*1.8</f>
        <v>1.2600000000000002</v>
      </c>
      <c r="P25" s="365">
        <f>IF($C25="","",O25*VLOOKUP($C25,MATIERES!$A$2:$F$448,4,0))</f>
        <v>25.200000000000003</v>
      </c>
      <c r="Q25" s="364">
        <f>'Outils de calculs'!Q25*0.05*1.8</f>
        <v>1.4400000000000002</v>
      </c>
      <c r="R25" s="365">
        <f>IF($C25="","",Q25*VLOOKUP($C25,MATIERES!$A$2:$F$448,4,0))</f>
        <v>28.800000000000004</v>
      </c>
      <c r="S25" s="364">
        <f>'Outils de calculs'!S25*0.05*1.8</f>
        <v>1.62</v>
      </c>
      <c r="T25" s="365">
        <f>IF($C25="","",S25*VLOOKUP($C25,MATIERES!$A$2:$F$448,4,0))</f>
        <v>32.400000000000006</v>
      </c>
      <c r="U25" s="364">
        <f>'Outils de calculs'!U25*0.05*1.8</f>
        <v>1.8</v>
      </c>
      <c r="V25" s="365">
        <f>IF($C25="","",U25*VLOOKUP($C25,MATIERES!$A$2:$F$448,4,0))</f>
        <v>36</v>
      </c>
      <c r="W25" s="364">
        <f>'Outils de calculs'!W25*0.05*1.8</f>
        <v>2.1600000000000006</v>
      </c>
      <c r="X25" s="365">
        <f>IF($C25="","",W25*VLOOKUP($C25,MATIERES!$A$2:$F$448,4,0))</f>
        <v>43.20000000000001</v>
      </c>
      <c r="Y25" s="364">
        <f>'Outils de calculs'!Y25*0.05*1.8</f>
        <v>2.1600000000000006</v>
      </c>
      <c r="Z25" s="365">
        <f>IF($C25="","",Y25*VLOOKUP($C25,MATIERES!$A$2:$F$448,4,0))</f>
        <v>43.20000000000001</v>
      </c>
      <c r="AA25" s="364">
        <f>'Outils de calculs'!AA25*0.05*1.8</f>
        <v>2.5200000000000005</v>
      </c>
      <c r="AB25" s="365">
        <f>IF($C25="","",AA25*VLOOKUP($C25,MATIERES!$A$2:$F$448,4,0))</f>
        <v>50.400000000000006</v>
      </c>
      <c r="AC25" s="364">
        <f>'Outils de calculs'!AC25*0.05*1.8</f>
        <v>2.5200000000000005</v>
      </c>
      <c r="AD25" s="365">
        <f>IF($C25="","",AC25*VLOOKUP($C25,MATIERES!$A$2:$F$448,4,0))</f>
        <v>50.400000000000006</v>
      </c>
      <c r="AE25" s="364">
        <f>'Outils de calculs'!AE25*0.05*1.8</f>
        <v>2.8800000000000003</v>
      </c>
      <c r="AF25" s="365">
        <f>IF($C25="","",AE25*VLOOKUP($C25,MATIERES!$A$2:$F$448,4,0))</f>
        <v>57.600000000000009</v>
      </c>
      <c r="AG25" s="364">
        <f>'Outils de calculs'!AG25*0.05*1.8</f>
        <v>3.24</v>
      </c>
      <c r="AH25" s="365">
        <f>IF($C25="","",AG25*VLOOKUP($C25,MATIERES!$A$2:$F$448,4,0))</f>
        <v>64.800000000000011</v>
      </c>
      <c r="AI25" s="364">
        <f>'Outils de calculs'!AI25*0.05*1.8</f>
        <v>3.24</v>
      </c>
      <c r="AJ25" s="365">
        <f>IF($C25="","",AI25*VLOOKUP($C25,MATIERES!$A$2:$F$448,4,0))</f>
        <v>64.800000000000011</v>
      </c>
      <c r="AK25" s="364">
        <f>'Outils de calculs'!AK25*0.05*1.8</f>
        <v>3.6</v>
      </c>
      <c r="AL25" s="365">
        <f>IF($C25="","",AK25*VLOOKUP($C25,MATIERES!$A$2:$F$448,4,0))</f>
        <v>72</v>
      </c>
      <c r="AM25" s="364">
        <f>'Outils de calculs'!AM25*0.05*1.8</f>
        <v>3.6</v>
      </c>
      <c r="AN25" s="365">
        <f>IF($C25="","",AM25*VLOOKUP($C25,MATIERES!$A$2:$F$448,4,0))</f>
        <v>72</v>
      </c>
      <c r="AO25" s="135"/>
    </row>
    <row r="26" spans="1:41" ht="15" customHeight="1" x14ac:dyDescent="0.2">
      <c r="A26" s="1550"/>
      <c r="B26" s="361" t="s">
        <v>719</v>
      </c>
      <c r="C26" s="1400" t="s">
        <v>721</v>
      </c>
      <c r="D26" s="363" t="str">
        <f>IF($C26="","",VLOOKUP($C26,MATIERES!$A$2:$F$413,5,0))</f>
        <v>ml</v>
      </c>
      <c r="E26" s="364">
        <v>0.5</v>
      </c>
      <c r="F26" s="365">
        <f>IF($C26="","",E26*VLOOKUP($C26,MATIERES!$A$2:$F$448,4,0))</f>
        <v>0.94499999999999995</v>
      </c>
      <c r="G26" s="364">
        <v>0.5</v>
      </c>
      <c r="H26" s="365">
        <f>IF($C26="","",G26*VLOOKUP($C26,MATIERES!$A$2:$F$448,4,0))</f>
        <v>0.94499999999999995</v>
      </c>
      <c r="I26" s="364">
        <v>0.5</v>
      </c>
      <c r="J26" s="365">
        <f>IF($C26="","",I26*VLOOKUP($C26,MATIERES!$A$2:$F$448,4,0))</f>
        <v>0.94499999999999995</v>
      </c>
      <c r="K26" s="364">
        <v>0.5</v>
      </c>
      <c r="L26" s="365">
        <f>IF($C26="","",K26*VLOOKUP($C26,MATIERES!$A$2:$F$548,4,0))</f>
        <v>0.94499999999999995</v>
      </c>
      <c r="M26" s="364">
        <v>0.5</v>
      </c>
      <c r="N26" s="365">
        <f>IF($C26="","",M26*VLOOKUP($C26,MATIERES!$A$2:$F$448,4,0))</f>
        <v>0.94499999999999995</v>
      </c>
      <c r="O26" s="364">
        <v>0.5</v>
      </c>
      <c r="P26" s="365">
        <f>IF($C26="","",O26*VLOOKUP($C26,MATIERES!$A$2:$F$448,4,0))</f>
        <v>0.94499999999999995</v>
      </c>
      <c r="Q26" s="364">
        <v>0.5</v>
      </c>
      <c r="R26" s="365">
        <f>IF($C26="","",Q26*VLOOKUP($C26,MATIERES!$A$2:$F$448,4,0))</f>
        <v>0.94499999999999995</v>
      </c>
      <c r="S26" s="364">
        <v>0.5</v>
      </c>
      <c r="T26" s="365">
        <f>IF($C26="","",S26*VLOOKUP($C26,MATIERES!$A$2:$F$448,4,0))</f>
        <v>0.94499999999999995</v>
      </c>
      <c r="U26" s="364">
        <v>0.5</v>
      </c>
      <c r="V26" s="365">
        <f>IF($C26="","",U26*VLOOKUP($C26,MATIERES!$A$2:$F$448,4,0))</f>
        <v>0.94499999999999995</v>
      </c>
      <c r="W26" s="364">
        <v>0.5</v>
      </c>
      <c r="X26" s="365">
        <f>IF($C26="","",W26*VLOOKUP($C26,MATIERES!$A$2:$F$448,4,0))</f>
        <v>0.94499999999999995</v>
      </c>
      <c r="Y26" s="364">
        <v>0.5</v>
      </c>
      <c r="Z26" s="365">
        <f>IF($C26="","",Y26*VLOOKUP($C26,MATIERES!$A$2:$F$448,4,0))</f>
        <v>0.94499999999999995</v>
      </c>
      <c r="AA26" s="364">
        <v>0.5</v>
      </c>
      <c r="AB26" s="365">
        <f>IF($C26="","",AA26*VLOOKUP($C26,MATIERES!$A$2:$F$448,4,0))</f>
        <v>0.94499999999999995</v>
      </c>
      <c r="AC26" s="364">
        <v>0.5</v>
      </c>
      <c r="AD26" s="365">
        <f>IF($C26="","",AC26*VLOOKUP($C26,MATIERES!$A$2:$F$448,4,0))</f>
        <v>0.94499999999999995</v>
      </c>
      <c r="AE26" s="364">
        <v>0.5</v>
      </c>
      <c r="AF26" s="365">
        <f>IF($C26="","",AE26*VLOOKUP($C26,MATIERES!$A$2:$F$448,4,0))</f>
        <v>0.94499999999999995</v>
      </c>
      <c r="AG26" s="364">
        <v>0.5</v>
      </c>
      <c r="AH26" s="365">
        <f>IF($C26="","",AG26*VLOOKUP($C26,MATIERES!$A$2:$F$448,4,0))</f>
        <v>0.94499999999999995</v>
      </c>
      <c r="AI26" s="364">
        <v>0.5</v>
      </c>
      <c r="AJ26" s="365">
        <f>IF($C26="","",AI26*VLOOKUP($C26,MATIERES!$A$2:$F$448,4,0))</f>
        <v>0.94499999999999995</v>
      </c>
      <c r="AK26" s="364">
        <v>0.5</v>
      </c>
      <c r="AL26" s="365">
        <f>IF($C26="","",AK26*VLOOKUP($C26,MATIERES!$A$2:$F$448,4,0))</f>
        <v>0.94499999999999995</v>
      </c>
      <c r="AM26" s="364">
        <v>0.5</v>
      </c>
      <c r="AN26" s="365">
        <f>IF($C26="","",AM26*VLOOKUP($C26,MATIERES!$A$2:$F$448,4,0))</f>
        <v>0.94499999999999995</v>
      </c>
      <c r="AO26" s="135"/>
    </row>
    <row r="27" spans="1:41" ht="15" customHeight="1" x14ac:dyDescent="0.2">
      <c r="A27" s="1550"/>
      <c r="B27" s="361" t="s">
        <v>1142</v>
      </c>
      <c r="C27" s="1400" t="s">
        <v>693</v>
      </c>
      <c r="D27" s="363" t="str">
        <f>IF($C27="","",VLOOKUP($C27,MATIERES!$A$2:$F$413,5,0))</f>
        <v>pc</v>
      </c>
      <c r="E27" s="364">
        <v>2</v>
      </c>
      <c r="F27" s="365">
        <f>IF($C27="","",E27*VLOOKUP($C27,MATIERES!$A$2:$F$448,4,0))</f>
        <v>5.86</v>
      </c>
      <c r="G27" s="364">
        <v>3</v>
      </c>
      <c r="H27" s="365">
        <f>IF($C27="","",G27*VLOOKUP($C27,MATIERES!$A$2:$F$448,4,0))</f>
        <v>8.7900000000000009</v>
      </c>
      <c r="I27" s="364">
        <v>4</v>
      </c>
      <c r="J27" s="365">
        <f>IF($C27="","",I27*VLOOKUP($C27,MATIERES!$A$2:$F$448,4,0))</f>
        <v>11.72</v>
      </c>
      <c r="K27" s="364">
        <v>5</v>
      </c>
      <c r="L27" s="365">
        <f>IF($C27="","",K27*VLOOKUP($C27,MATIERES!$A$2:$F$548,4,0))</f>
        <v>14.65</v>
      </c>
      <c r="M27" s="364">
        <v>6</v>
      </c>
      <c r="N27" s="365">
        <f>IF($C27="","",M27*VLOOKUP($C27,MATIERES!$A$2:$F$448,4,0))</f>
        <v>17.580000000000002</v>
      </c>
      <c r="O27" s="364">
        <v>7</v>
      </c>
      <c r="P27" s="365">
        <f>IF($C27="","",O27*VLOOKUP($C27,MATIERES!$A$2:$F$448,4,0))</f>
        <v>20.51</v>
      </c>
      <c r="Q27" s="364">
        <v>8</v>
      </c>
      <c r="R27" s="365">
        <f>IF($C27="","",Q27*VLOOKUP($C27,MATIERES!$A$2:$F$448,4,0))</f>
        <v>23.44</v>
      </c>
      <c r="S27" s="364">
        <v>9</v>
      </c>
      <c r="T27" s="365">
        <f>IF($C27="","",S27*VLOOKUP($C27,MATIERES!$A$2:$F$448,4,0))</f>
        <v>26.37</v>
      </c>
      <c r="U27" s="364">
        <v>10</v>
      </c>
      <c r="V27" s="365">
        <f>IF($C27="","",U27*VLOOKUP($C27,MATIERES!$A$2:$F$448,4,0))</f>
        <v>29.3</v>
      </c>
      <c r="W27" s="364">
        <v>11</v>
      </c>
      <c r="X27" s="365">
        <f>IF($C27="","",W27*VLOOKUP($C27,MATIERES!$A$2:$F$448,4,0))</f>
        <v>32.230000000000004</v>
      </c>
      <c r="Y27" s="364">
        <v>12</v>
      </c>
      <c r="Z27" s="365">
        <f>IF($C27="","",Y27*VLOOKUP($C27,MATIERES!$A$2:$F$448,4,0))</f>
        <v>35.160000000000004</v>
      </c>
      <c r="AA27" s="364">
        <v>13</v>
      </c>
      <c r="AB27" s="365">
        <f>IF($C27="","",AA27*VLOOKUP($C27,MATIERES!$A$2:$F$448,4,0))</f>
        <v>38.090000000000003</v>
      </c>
      <c r="AC27" s="364">
        <v>14</v>
      </c>
      <c r="AD27" s="365">
        <f>IF($C27="","",AC27*VLOOKUP($C27,MATIERES!$A$2:$F$448,4,0))</f>
        <v>41.02</v>
      </c>
      <c r="AE27" s="364">
        <v>15</v>
      </c>
      <c r="AF27" s="365">
        <f>IF($C27="","",AE27*VLOOKUP($C27,MATIERES!$A$2:$F$448,4,0))</f>
        <v>43.95</v>
      </c>
      <c r="AG27" s="364">
        <v>16</v>
      </c>
      <c r="AH27" s="365">
        <f>IF($C27="","",AG27*VLOOKUP($C27,MATIERES!$A$2:$F$448,4,0))</f>
        <v>46.88</v>
      </c>
      <c r="AI27" s="364">
        <v>17</v>
      </c>
      <c r="AJ27" s="365">
        <f>IF($C27="","",AI27*VLOOKUP($C27,MATIERES!$A$2:$F$448,4,0))</f>
        <v>49.81</v>
      </c>
      <c r="AK27" s="364">
        <v>18</v>
      </c>
      <c r="AL27" s="365">
        <f>IF($C27="","",AK27*VLOOKUP($C27,MATIERES!$A$2:$F$448,4,0))</f>
        <v>52.74</v>
      </c>
      <c r="AM27" s="364">
        <v>19</v>
      </c>
      <c r="AN27" s="365">
        <f>IF($C27="","",AM27*VLOOKUP($C27,MATIERES!$A$2:$F$448,4,0))</f>
        <v>55.67</v>
      </c>
      <c r="AO27" s="135"/>
    </row>
    <row r="28" spans="1:41" ht="15" customHeight="1" x14ac:dyDescent="0.2">
      <c r="A28" s="1550"/>
      <c r="B28" s="361" t="s">
        <v>1142</v>
      </c>
      <c r="C28" s="1400" t="s">
        <v>709</v>
      </c>
      <c r="D28" s="363" t="str">
        <f>IF($C28="","",VLOOKUP($C28,MATIERES!$A$2:$F$413,5,0))</f>
        <v>pc</v>
      </c>
      <c r="E28" s="364">
        <f>2</f>
        <v>2</v>
      </c>
      <c r="F28" s="365">
        <f>IF($C28="","",E28*VLOOKUP($C28,MATIERES!$A$2:$F$448,4,0))</f>
        <v>2.98</v>
      </c>
      <c r="G28" s="364">
        <f>2</f>
        <v>2</v>
      </c>
      <c r="H28" s="365">
        <f>IF($C28="","",G28*VLOOKUP($C28,MATIERES!$A$2:$F$448,4,0))</f>
        <v>2.98</v>
      </c>
      <c r="I28" s="364">
        <f>2</f>
        <v>2</v>
      </c>
      <c r="J28" s="365">
        <f>IF($C28="","",I28*VLOOKUP($C28,MATIERES!$A$2:$F$448,4,0))</f>
        <v>2.98</v>
      </c>
      <c r="K28" s="364">
        <f>2</f>
        <v>2</v>
      </c>
      <c r="L28" s="365">
        <f>IF($C28="","",K28*VLOOKUP($C28,MATIERES!$A$2:$F$548,4,0))</f>
        <v>2.98</v>
      </c>
      <c r="M28" s="364">
        <f>2</f>
        <v>2</v>
      </c>
      <c r="N28" s="365">
        <f>IF($C28="","",M28*VLOOKUP($C28,MATIERES!$A$2:$F$448,4,0))</f>
        <v>2.98</v>
      </c>
      <c r="O28" s="364">
        <f>2</f>
        <v>2</v>
      </c>
      <c r="P28" s="365">
        <f>IF($C28="","",O28*VLOOKUP($C28,MATIERES!$A$2:$F$448,4,0))</f>
        <v>2.98</v>
      </c>
      <c r="Q28" s="364">
        <f>2</f>
        <v>2</v>
      </c>
      <c r="R28" s="365">
        <f>IF($C28="","",Q28*VLOOKUP($C28,MATIERES!$A$2:$F$448,4,0))</f>
        <v>2.98</v>
      </c>
      <c r="S28" s="364">
        <f>2</f>
        <v>2</v>
      </c>
      <c r="T28" s="365">
        <f>IF($C28="","",S28*VLOOKUP($C28,MATIERES!$A$2:$F$448,4,0))</f>
        <v>2.98</v>
      </c>
      <c r="U28" s="364">
        <f>2</f>
        <v>2</v>
      </c>
      <c r="V28" s="365">
        <f>IF($C28="","",U28*VLOOKUP($C28,MATIERES!$A$2:$F$448,4,0))</f>
        <v>2.98</v>
      </c>
      <c r="W28" s="364">
        <f>2</f>
        <v>2</v>
      </c>
      <c r="X28" s="365">
        <f>IF($C28="","",W28*VLOOKUP($C28,MATIERES!$A$2:$F$448,4,0))</f>
        <v>2.98</v>
      </c>
      <c r="Y28" s="364">
        <f>2</f>
        <v>2</v>
      </c>
      <c r="Z28" s="365">
        <f>IF($C28="","",Y28*VLOOKUP($C28,MATIERES!$A$2:$F$448,4,0))</f>
        <v>2.98</v>
      </c>
      <c r="AA28" s="364">
        <f>2</f>
        <v>2</v>
      </c>
      <c r="AB28" s="365">
        <f>IF($C28="","",AA28*VLOOKUP($C28,MATIERES!$A$2:$F$448,4,0))</f>
        <v>2.98</v>
      </c>
      <c r="AC28" s="364">
        <f>2</f>
        <v>2</v>
      </c>
      <c r="AD28" s="365">
        <f>IF($C28="","",AC28*VLOOKUP($C28,MATIERES!$A$2:$F$448,4,0))</f>
        <v>2.98</v>
      </c>
      <c r="AE28" s="364">
        <f>2</f>
        <v>2</v>
      </c>
      <c r="AF28" s="365">
        <f>IF($C28="","",AE28*VLOOKUP($C28,MATIERES!$A$2:$F$448,4,0))</f>
        <v>2.98</v>
      </c>
      <c r="AG28" s="364">
        <f>2</f>
        <v>2</v>
      </c>
      <c r="AH28" s="365">
        <f>IF($C28="","",AG28*VLOOKUP($C28,MATIERES!$A$2:$F$448,4,0))</f>
        <v>2.98</v>
      </c>
      <c r="AI28" s="364">
        <f>2</f>
        <v>2</v>
      </c>
      <c r="AJ28" s="365">
        <f>IF($C28="","",AI28*VLOOKUP($C28,MATIERES!$A$2:$F$448,4,0))</f>
        <v>2.98</v>
      </c>
      <c r="AK28" s="364">
        <f>2</f>
        <v>2</v>
      </c>
      <c r="AL28" s="365">
        <f>IF($C28="","",AK28*VLOOKUP($C28,MATIERES!$A$2:$F$448,4,0))</f>
        <v>2.98</v>
      </c>
      <c r="AM28" s="364">
        <f>2</f>
        <v>2</v>
      </c>
      <c r="AN28" s="365">
        <f>IF($C28="","",AM28*VLOOKUP($C28,MATIERES!$A$2:$F$448,4,0))</f>
        <v>2.98</v>
      </c>
      <c r="AO28" s="135"/>
    </row>
    <row r="29" spans="1:41" ht="15" customHeight="1" x14ac:dyDescent="0.2">
      <c r="A29" s="1550"/>
      <c r="B29" s="361" t="s">
        <v>1069</v>
      </c>
      <c r="C29" s="1400" t="s">
        <v>761</v>
      </c>
      <c r="D29" s="363" t="str">
        <f>IF($C29="","",VLOOKUP($C29,MATIERES!$A$2:$F$413,5,0))</f>
        <v>ml</v>
      </c>
      <c r="E29" s="364">
        <f>'Outils de calculs'!E31</f>
        <v>1.6</v>
      </c>
      <c r="F29" s="365">
        <f>IF($C29="","",E29*VLOOKUP($C29,MATIERES!$A$2:$F$448,4,0))</f>
        <v>10.784000000000001</v>
      </c>
      <c r="G29" s="364">
        <f>'Outils de calculs'!G31</f>
        <v>2</v>
      </c>
      <c r="H29" s="365">
        <f>IF($C29="","",G29*VLOOKUP($C29,MATIERES!$A$2:$F$448,4,0))</f>
        <v>13.48</v>
      </c>
      <c r="I29" s="364">
        <f>'Outils de calculs'!I31</f>
        <v>2</v>
      </c>
      <c r="J29" s="365">
        <f>IF($C29="","",I29*VLOOKUP($C29,MATIERES!$A$2:$F$448,4,0))</f>
        <v>13.48</v>
      </c>
      <c r="K29" s="364">
        <f>'Outils de calculs'!K31</f>
        <v>2.5</v>
      </c>
      <c r="L29" s="365">
        <f>IF($C29="","",K29*VLOOKUP($C29,MATIERES!$A$2:$F$548,4,0))</f>
        <v>16.850000000000001</v>
      </c>
      <c r="M29" s="364">
        <f>'Outils de calculs'!M31</f>
        <v>3</v>
      </c>
      <c r="N29" s="365">
        <f>IF($C29="","",M29*VLOOKUP($C29,MATIERES!$A$2:$F$448,4,0))</f>
        <v>20.22</v>
      </c>
      <c r="O29" s="364">
        <f>'Outils de calculs'!O31</f>
        <v>3.5</v>
      </c>
      <c r="P29" s="365">
        <f>IF($C29="","",O29*VLOOKUP($C29,MATIERES!$A$2:$F$448,4,0))</f>
        <v>23.59</v>
      </c>
      <c r="Q29" s="364">
        <f>'Outils de calculs'!Q31</f>
        <v>4</v>
      </c>
      <c r="R29" s="365">
        <f>IF($C29="","",Q29*VLOOKUP($C29,MATIERES!$A$2:$F$448,4,0))</f>
        <v>26.96</v>
      </c>
      <c r="S29" s="364">
        <f>'Outils de calculs'!S31</f>
        <v>4</v>
      </c>
      <c r="T29" s="365">
        <f>IF($C29="","",S29*VLOOKUP($C29,MATIERES!$A$2:$F$448,4,0))</f>
        <v>26.96</v>
      </c>
      <c r="U29" s="364">
        <f>'Outils de calculs'!U31</f>
        <v>4</v>
      </c>
      <c r="V29" s="365">
        <f>IF($C29="","",U29*VLOOKUP($C29,MATIERES!$A$2:$F$448,4,0))</f>
        <v>26.96</v>
      </c>
      <c r="W29" s="364">
        <f>'Outils de calculs'!W31</f>
        <v>4</v>
      </c>
      <c r="X29" s="365">
        <f>IF($C29="","",W29*VLOOKUP($C29,MATIERES!$A$2:$F$448,4,0))</f>
        <v>26.96</v>
      </c>
      <c r="Y29" s="364">
        <f>'Outils de calculs'!Y31</f>
        <v>3</v>
      </c>
      <c r="Z29" s="365">
        <f>IF($C29="","",Y29*VLOOKUP($C29,MATIERES!$A$2:$F$448,4,0))</f>
        <v>20.22</v>
      </c>
      <c r="AA29" s="364">
        <f>'Outils de calculs'!AA31</f>
        <v>3.5</v>
      </c>
      <c r="AB29" s="365">
        <f>IF($C29="","",AA29*VLOOKUP($C29,MATIERES!$A$2:$F$448,4,0))</f>
        <v>23.59</v>
      </c>
      <c r="AC29" s="364">
        <f>'Outils de calculs'!AC31</f>
        <v>4</v>
      </c>
      <c r="AD29" s="365">
        <f>IF($C29="","",AC29*VLOOKUP($C29,MATIERES!$A$2:$F$448,4,0))</f>
        <v>26.96</v>
      </c>
      <c r="AE29" s="364">
        <f>'Outils de calculs'!AE31</f>
        <v>4</v>
      </c>
      <c r="AF29" s="365">
        <f>IF($C29="","",AE29*VLOOKUP($C29,MATIERES!$A$2:$F$448,4,0))</f>
        <v>26.96</v>
      </c>
      <c r="AG29" s="364">
        <f>'Outils de calculs'!AG31</f>
        <v>4.5</v>
      </c>
      <c r="AH29" s="365">
        <f>IF($C29="","",AG29*VLOOKUP($C29,MATIERES!$A$2:$F$448,4,0))</f>
        <v>30.330000000000002</v>
      </c>
      <c r="AI29" s="364">
        <f>'Outils de calculs'!AI31</f>
        <v>4</v>
      </c>
      <c r="AJ29" s="365">
        <f>IF($C29="","",AI29*VLOOKUP($C29,MATIERES!$A$2:$F$448,4,0))</f>
        <v>26.96</v>
      </c>
      <c r="AK29" s="364">
        <f>'Outils de calculs'!AK31</f>
        <v>4</v>
      </c>
      <c r="AL29" s="365">
        <f>IF($C29="","",AK29*VLOOKUP($C29,MATIERES!$A$2:$F$448,4,0))</f>
        <v>26.96</v>
      </c>
      <c r="AM29" s="364">
        <f>'Outils de calculs'!AM31</f>
        <v>5</v>
      </c>
      <c r="AN29" s="365">
        <f>IF($C29="","",AM29*VLOOKUP($C29,MATIERES!$A$2:$F$448,4,0))</f>
        <v>33.700000000000003</v>
      </c>
      <c r="AO29" s="135"/>
    </row>
    <row r="30" spans="1:41" ht="15" customHeight="1" x14ac:dyDescent="0.2">
      <c r="A30" s="1550"/>
      <c r="B30" s="361" t="s">
        <v>1068</v>
      </c>
      <c r="C30" s="362"/>
      <c r="D30" s="363" t="s">
        <v>52</v>
      </c>
      <c r="E30" s="364"/>
      <c r="F30" s="365"/>
      <c r="G30" s="364"/>
      <c r="H30" s="365"/>
      <c r="I30" s="364"/>
      <c r="J30" s="365"/>
      <c r="K30" s="364"/>
      <c r="L30" s="365"/>
      <c r="M30" s="364"/>
      <c r="N30" s="365"/>
      <c r="O30" s="364"/>
      <c r="P30" s="365"/>
      <c r="Q30" s="364"/>
      <c r="R30" s="365"/>
      <c r="S30" s="364"/>
      <c r="T30" s="365"/>
      <c r="U30" s="364"/>
      <c r="V30" s="365"/>
      <c r="W30" s="364"/>
      <c r="X30" s="365"/>
      <c r="Y30" s="364"/>
      <c r="Z30" s="365"/>
      <c r="AA30" s="364"/>
      <c r="AB30" s="365"/>
      <c r="AC30" s="364"/>
      <c r="AD30" s="365"/>
      <c r="AE30" s="364"/>
      <c r="AF30" s="365"/>
      <c r="AG30" s="364"/>
      <c r="AH30" s="365"/>
      <c r="AI30" s="364"/>
      <c r="AJ30" s="365"/>
      <c r="AK30" s="364"/>
      <c r="AL30" s="365"/>
      <c r="AM30" s="364"/>
      <c r="AN30" s="365"/>
      <c r="AO30" s="135"/>
    </row>
    <row r="31" spans="1:41" ht="30" customHeight="1" x14ac:dyDescent="0.2">
      <c r="A31" s="366"/>
      <c r="B31" s="367" t="s">
        <v>683</v>
      </c>
      <c r="C31" s="368" t="s">
        <v>446</v>
      </c>
      <c r="D31" s="369" t="s">
        <v>447</v>
      </c>
      <c r="E31" s="370">
        <f>F31*(1+Simulation!$P$11)</f>
        <v>895.34120000000019</v>
      </c>
      <c r="F31" s="371">
        <f>SUM(F4:F30)</f>
        <v>688.72400000000016</v>
      </c>
      <c r="G31" s="370">
        <f>H31*(1+Simulation!$P$11)</f>
        <v>1639.0985000000001</v>
      </c>
      <c r="H31" s="371">
        <f>SUM(H4:H30)</f>
        <v>1260.845</v>
      </c>
      <c r="I31" s="370">
        <f>J31*(1+Simulation!$P$11)</f>
        <v>1989.0377000000001</v>
      </c>
      <c r="J31" s="371">
        <f>SUM(J4:J30)</f>
        <v>1530.029</v>
      </c>
      <c r="K31" s="370">
        <f>L31*(1+Simulation!$P$11)</f>
        <v>2073.4155000000001</v>
      </c>
      <c r="L31" s="371">
        <f>SUM(L4:L30)</f>
        <v>1594.9349999999999</v>
      </c>
      <c r="M31" s="370">
        <f>N31*(1+Simulation!$P$11)</f>
        <v>2750.4113000000002</v>
      </c>
      <c r="N31" s="371">
        <f>SUM(N4:N30)</f>
        <v>2115.701</v>
      </c>
      <c r="O31" s="370">
        <f>P31*(1+Simulation!$P$11)</f>
        <v>2973.9437000000007</v>
      </c>
      <c r="P31" s="371">
        <f>SUM(P4:P30)</f>
        <v>2287.6490000000003</v>
      </c>
      <c r="Q31" s="370">
        <f>R31*(1+Simulation!$P$11)</f>
        <v>3510.2717000000007</v>
      </c>
      <c r="R31" s="371">
        <f>SUM(R4:R30)</f>
        <v>2700.2090000000003</v>
      </c>
      <c r="S31" s="370">
        <f>T31*(1+Simulation!$P$11)</f>
        <v>3730.7165999999997</v>
      </c>
      <c r="T31" s="371">
        <f>SUM(T4:T30)</f>
        <v>2869.7819999999997</v>
      </c>
      <c r="U31" s="370">
        <f>V31*(1+Simulation!$P$11)</f>
        <v>4046.8831000000005</v>
      </c>
      <c r="V31" s="371">
        <f>SUM(V4:V30)</f>
        <v>3112.9870000000001</v>
      </c>
      <c r="W31" s="370">
        <f>X31*(1+Simulation!$P$11)</f>
        <v>4892.4342999999999</v>
      </c>
      <c r="X31" s="371">
        <f>SUM(X4:X30)</f>
        <v>3763.4110000000001</v>
      </c>
      <c r="Y31" s="370">
        <f>Z31*(1+Simulation!$P$11)</f>
        <v>4892.6552999999994</v>
      </c>
      <c r="Z31" s="371">
        <f>SUM(Z4:Z30)</f>
        <v>3763.5809999999997</v>
      </c>
      <c r="AA31" s="370">
        <f>AB31*(1+Simulation!$P$11)</f>
        <v>5141.0775000000012</v>
      </c>
      <c r="AB31" s="371">
        <f>SUM(AB4:AB30)</f>
        <v>3954.6750000000006</v>
      </c>
      <c r="AC31" s="370">
        <f>AD31*(1+Simulation!$P$11)</f>
        <v>5722.5311000000002</v>
      </c>
      <c r="AD31" s="371">
        <f>SUM(AD4:AD30)</f>
        <v>4401.9470000000001</v>
      </c>
      <c r="AE31" s="370">
        <f>AF31*(1+Simulation!$P$11)</f>
        <v>6391.4123</v>
      </c>
      <c r="AF31" s="371">
        <f>SUM(AF4:AF30)</f>
        <v>4916.4709999999995</v>
      </c>
      <c r="AG31" s="370">
        <f>AH31*(1+Simulation!$P$11)</f>
        <v>6833.3291000000008</v>
      </c>
      <c r="AH31" s="371">
        <f>SUM(AH4:AH30)</f>
        <v>5256.4070000000002</v>
      </c>
      <c r="AI31" s="370">
        <f>AJ31*(1+Simulation!$P$11)</f>
        <v>6835.3441000000003</v>
      </c>
      <c r="AJ31" s="371">
        <f>SUM(AJ4:AJ30)</f>
        <v>5257.9570000000003</v>
      </c>
      <c r="AK31" s="370">
        <f>AL31*(1+Simulation!$P$11)</f>
        <v>7506.6744999999974</v>
      </c>
      <c r="AL31" s="371">
        <f>SUM(AL4:AL30)</f>
        <v>5774.364999999998</v>
      </c>
      <c r="AM31" s="370">
        <f>AN31*(1+Simulation!$P$11)</f>
        <v>6778.856499999999</v>
      </c>
      <c r="AN31" s="371">
        <f>SUM(AN4:AN30)</f>
        <v>5214.5049999999992</v>
      </c>
      <c r="AO31" s="135"/>
    </row>
    <row r="32" spans="1:41" ht="15" customHeight="1" x14ac:dyDescent="0.2">
      <c r="A32" s="1552" t="s">
        <v>448</v>
      </c>
      <c r="B32" s="361" t="s">
        <v>1156</v>
      </c>
      <c r="C32" s="1401" t="s">
        <v>1199</v>
      </c>
      <c r="D32" s="363" t="str">
        <f>IF($C32="","",VLOOKUP($C32,ATELIER!$A$2:$E$109,3,0))</f>
        <v>pc</v>
      </c>
      <c r="E32" s="364">
        <f>1</f>
        <v>1</v>
      </c>
      <c r="F32" s="372">
        <f>IF($C32="","",E32*VLOOKUP($C32,ATELIER!$A$2:$F$109,4,0))</f>
        <v>0.25</v>
      </c>
      <c r="G32" s="364">
        <f>1</f>
        <v>1</v>
      </c>
      <c r="H32" s="372">
        <f>IF($C32="","",G32*VLOOKUP($C32,ATELIER!$A$2:$F$109,4,0))</f>
        <v>0.25</v>
      </c>
      <c r="I32" s="364">
        <f>1</f>
        <v>1</v>
      </c>
      <c r="J32" s="372">
        <f>IF($C32="","",I32*VLOOKUP($C32,ATELIER!$A$2:$F$109,4,0))</f>
        <v>0.25</v>
      </c>
      <c r="K32" s="364">
        <f>1</f>
        <v>1</v>
      </c>
      <c r="L32" s="372">
        <f>IF($C32="","",K32*VLOOKUP($C32,ATELIER!$A$2:$F$109,4,0))</f>
        <v>0.25</v>
      </c>
      <c r="M32" s="364">
        <f>1</f>
        <v>1</v>
      </c>
      <c r="N32" s="372">
        <f>IF($C32="","",M32*VLOOKUP($C32,ATELIER!$A$2:$F$109,4,0))</f>
        <v>0.25</v>
      </c>
      <c r="O32" s="364">
        <f>1</f>
        <v>1</v>
      </c>
      <c r="P32" s="372">
        <f>IF($C32="","",O32*VLOOKUP($C32,ATELIER!$A$2:$F$109,4,0))</f>
        <v>0.25</v>
      </c>
      <c r="Q32" s="364">
        <f>1</f>
        <v>1</v>
      </c>
      <c r="R32" s="372">
        <f>IF($C32="","",Q32*VLOOKUP($C32,ATELIER!$A$2:$F$109,4,0))</f>
        <v>0.25</v>
      </c>
      <c r="S32" s="364">
        <f>1</f>
        <v>1</v>
      </c>
      <c r="T32" s="372">
        <f>IF($C32="","",S32*VLOOKUP($C32,ATELIER!$A$2:$F$109,4,0))</f>
        <v>0.25</v>
      </c>
      <c r="U32" s="364">
        <f>1</f>
        <v>1</v>
      </c>
      <c r="V32" s="372">
        <f>IF($C32="","",U32*VLOOKUP($C32,ATELIER!$A$2:$F$109,4,0))</f>
        <v>0.25</v>
      </c>
      <c r="W32" s="364">
        <f>1</f>
        <v>1</v>
      </c>
      <c r="X32" s="372">
        <f>IF($C32="","",W32*VLOOKUP($C32,ATELIER!$A$2:$F$109,4,0))</f>
        <v>0.25</v>
      </c>
      <c r="Y32" s="364">
        <f>1</f>
        <v>1</v>
      </c>
      <c r="Z32" s="372">
        <f>IF($C32="","",Y32*VLOOKUP($C32,ATELIER!$A$2:$F$109,4,0))</f>
        <v>0.25</v>
      </c>
      <c r="AA32" s="364">
        <f>1</f>
        <v>1</v>
      </c>
      <c r="AB32" s="372">
        <f>IF($C32="","",AA32*VLOOKUP($C32,ATELIER!$A$2:$F$109,4,0))</f>
        <v>0.25</v>
      </c>
      <c r="AC32" s="364">
        <f>1</f>
        <v>1</v>
      </c>
      <c r="AD32" s="372">
        <f>IF($C32="","",AC32*VLOOKUP($C32,ATELIER!$A$2:$F$109,4,0))</f>
        <v>0.25</v>
      </c>
      <c r="AE32" s="364">
        <f>1</f>
        <v>1</v>
      </c>
      <c r="AF32" s="372">
        <f>IF($C32="","",AE32*VLOOKUP($C32,ATELIER!$A$2:$F$109,4,0))</f>
        <v>0.25</v>
      </c>
      <c r="AG32" s="364">
        <f>1</f>
        <v>1</v>
      </c>
      <c r="AH32" s="372">
        <f>IF($C32="","",AG32*VLOOKUP($C32,ATELIER!$A$2:$F$109,4,0))</f>
        <v>0.25</v>
      </c>
      <c r="AI32" s="364">
        <f>1</f>
        <v>1</v>
      </c>
      <c r="AJ32" s="372">
        <f>IF($C32="","",AI32*VLOOKUP($C32,ATELIER!$A$2:$F$109,4,0))</f>
        <v>0.25</v>
      </c>
      <c r="AK32" s="364">
        <f>1</f>
        <v>1</v>
      </c>
      <c r="AL32" s="372">
        <f>IF($C32="","",AK32*VLOOKUP($C32,ATELIER!$A$2:$F$109,4,0))</f>
        <v>0.25</v>
      </c>
      <c r="AM32" s="364">
        <f>1</f>
        <v>1</v>
      </c>
      <c r="AN32" s="372">
        <f>IF($C32="","",AM32*VLOOKUP($C32,ATELIER!$A$2:$F$109,4,0))</f>
        <v>0.25</v>
      </c>
      <c r="AO32" s="135"/>
    </row>
    <row r="33" spans="1:41" ht="15" customHeight="1" x14ac:dyDescent="0.2">
      <c r="A33" s="1553"/>
      <c r="B33" s="361" t="s">
        <v>1156</v>
      </c>
      <c r="C33" s="1401" t="s">
        <v>422</v>
      </c>
      <c r="D33" s="363" t="str">
        <f>IF($C33="","",VLOOKUP($C33,ATELIER!$A$2:$E$109,3,0))</f>
        <v>forfait</v>
      </c>
      <c r="E33" s="364">
        <f>2</f>
        <v>2</v>
      </c>
      <c r="F33" s="372">
        <f>IF($C33="","",E33*VLOOKUP($C33,ATELIER!$A$2:$F$109,4,0))</f>
        <v>0.24</v>
      </c>
      <c r="G33" s="364">
        <f>2</f>
        <v>2</v>
      </c>
      <c r="H33" s="372">
        <f>IF($C33="","",G33*VLOOKUP($C33,ATELIER!$A$2:$F$109,4,0))</f>
        <v>0.24</v>
      </c>
      <c r="I33" s="364">
        <f>2</f>
        <v>2</v>
      </c>
      <c r="J33" s="372">
        <f>IF($C33="","",I33*VLOOKUP($C33,ATELIER!$A$2:$F$109,4,0))</f>
        <v>0.24</v>
      </c>
      <c r="K33" s="364">
        <f>2</f>
        <v>2</v>
      </c>
      <c r="L33" s="372">
        <f>IF($C33="","",K33*VLOOKUP($C33,ATELIER!$A$2:$F$109,4,0))</f>
        <v>0.24</v>
      </c>
      <c r="M33" s="364">
        <f>2</f>
        <v>2</v>
      </c>
      <c r="N33" s="372">
        <f>IF($C33="","",M33*VLOOKUP($C33,ATELIER!$A$2:$F$109,4,0))</f>
        <v>0.24</v>
      </c>
      <c r="O33" s="364">
        <f>2</f>
        <v>2</v>
      </c>
      <c r="P33" s="372">
        <f>IF($C33="","",O33*VLOOKUP($C33,ATELIER!$A$2:$F$109,4,0))</f>
        <v>0.24</v>
      </c>
      <c r="Q33" s="364">
        <f>2</f>
        <v>2</v>
      </c>
      <c r="R33" s="372">
        <f>IF($C33="","",Q33*VLOOKUP($C33,ATELIER!$A$2:$F$109,4,0))</f>
        <v>0.24</v>
      </c>
      <c r="S33" s="364">
        <f>2</f>
        <v>2</v>
      </c>
      <c r="T33" s="372">
        <f>IF($C33="","",S33*VLOOKUP($C33,ATELIER!$A$2:$F$109,4,0))</f>
        <v>0.24</v>
      </c>
      <c r="U33" s="364">
        <f>2</f>
        <v>2</v>
      </c>
      <c r="V33" s="372">
        <f>IF($C33="","",U33*VLOOKUP($C33,ATELIER!$A$2:$F$109,4,0))</f>
        <v>0.24</v>
      </c>
      <c r="W33" s="364">
        <f>2</f>
        <v>2</v>
      </c>
      <c r="X33" s="372">
        <f>IF($C33="","",W33*VLOOKUP($C33,ATELIER!$A$2:$F$109,4,0))</f>
        <v>0.24</v>
      </c>
      <c r="Y33" s="364">
        <f>2</f>
        <v>2</v>
      </c>
      <c r="Z33" s="372">
        <f>IF($C33="","",Y33*VLOOKUP($C33,ATELIER!$A$2:$F$109,4,0))</f>
        <v>0.24</v>
      </c>
      <c r="AA33" s="364">
        <f>2</f>
        <v>2</v>
      </c>
      <c r="AB33" s="372">
        <f>IF($C33="","",AA33*VLOOKUP($C33,ATELIER!$A$2:$F$109,4,0))</f>
        <v>0.24</v>
      </c>
      <c r="AC33" s="364">
        <f>2</f>
        <v>2</v>
      </c>
      <c r="AD33" s="372">
        <f>IF($C33="","",AC33*VLOOKUP($C33,ATELIER!$A$2:$F$109,4,0))</f>
        <v>0.24</v>
      </c>
      <c r="AE33" s="364">
        <f>2</f>
        <v>2</v>
      </c>
      <c r="AF33" s="372">
        <f>IF($C33="","",AE33*VLOOKUP($C33,ATELIER!$A$2:$F$109,4,0))</f>
        <v>0.24</v>
      </c>
      <c r="AG33" s="364">
        <f>2</f>
        <v>2</v>
      </c>
      <c r="AH33" s="372">
        <f>IF($C33="","",AG33*VLOOKUP($C33,ATELIER!$A$2:$F$109,4,0))</f>
        <v>0.24</v>
      </c>
      <c r="AI33" s="364">
        <f>2</f>
        <v>2</v>
      </c>
      <c r="AJ33" s="372">
        <f>IF($C33="","",AI33*VLOOKUP($C33,ATELIER!$A$2:$F$109,4,0))</f>
        <v>0.24</v>
      </c>
      <c r="AK33" s="364">
        <f>2</f>
        <v>2</v>
      </c>
      <c r="AL33" s="372">
        <f>IF($C33="","",AK33*VLOOKUP($C33,ATELIER!$A$2:$F$109,4,0))</f>
        <v>0.24</v>
      </c>
      <c r="AM33" s="364">
        <f>2</f>
        <v>2</v>
      </c>
      <c r="AN33" s="372">
        <f>IF($C33="","",AM33*VLOOKUP($C33,ATELIER!$A$2:$F$109,4,0))</f>
        <v>0.24</v>
      </c>
      <c r="AO33" s="135"/>
    </row>
    <row r="34" spans="1:41" ht="15" customHeight="1" x14ac:dyDescent="0.2">
      <c r="A34" s="1553"/>
      <c r="B34" s="361" t="s">
        <v>1154</v>
      </c>
      <c r="C34" s="1407" t="s">
        <v>428</v>
      </c>
      <c r="D34" s="363" t="str">
        <f>IF($C34="","",VLOOKUP($C34,ATELIER!$A$2:$E$109,3,0))</f>
        <v>pc</v>
      </c>
      <c r="E34" s="364">
        <f>_xlfn.CEILING.MATH('Outils de calculs'!E31/1.92,1,0)</f>
        <v>1</v>
      </c>
      <c r="F34" s="372">
        <f>IF($C34="","",E34*VLOOKUP($C34,ATELIER!$A$2:$F$109,4,0))</f>
        <v>0.15</v>
      </c>
      <c r="G34" s="364">
        <f>_xlfn.CEILING.MATH('Outils de calculs'!G31/1.92,1,0)</f>
        <v>2</v>
      </c>
      <c r="H34" s="372">
        <f>IF($C34="","",G34*VLOOKUP($C34,ATELIER!$A$2:$F$109,4,0))</f>
        <v>0.3</v>
      </c>
      <c r="I34" s="364">
        <f>_xlfn.CEILING.MATH('Outils de calculs'!I31/1.92,1,0)</f>
        <v>2</v>
      </c>
      <c r="J34" s="372">
        <f>IF($C34="","",I34*VLOOKUP($C34,ATELIER!$A$2:$F$109,4,0))</f>
        <v>0.3</v>
      </c>
      <c r="K34" s="364">
        <f>_xlfn.CEILING.MATH('Outils de calculs'!K31/1.92,1,0)</f>
        <v>2</v>
      </c>
      <c r="L34" s="372">
        <f>IF($C34="","",K34*VLOOKUP($C34,ATELIER!$A$2:$F$109,4,0))</f>
        <v>0.3</v>
      </c>
      <c r="M34" s="364">
        <f>_xlfn.CEILING.MATH('Outils de calculs'!M31/1.92,1,0)</f>
        <v>2</v>
      </c>
      <c r="N34" s="372">
        <f>IF($C34="","",M34*VLOOKUP($C34,ATELIER!$A$2:$F$109,4,0))</f>
        <v>0.3</v>
      </c>
      <c r="O34" s="364">
        <f>_xlfn.CEILING.MATH('Outils de calculs'!O31/1.92,1,0)</f>
        <v>2</v>
      </c>
      <c r="P34" s="372">
        <f>IF($C34="","",O34*VLOOKUP($C34,ATELIER!$A$2:$F$109,4,0))</f>
        <v>0.3</v>
      </c>
      <c r="Q34" s="364">
        <f>_xlfn.CEILING.MATH('Outils de calculs'!Q31/1.92,1,0)</f>
        <v>3</v>
      </c>
      <c r="R34" s="372">
        <f>IF($C34="","",Q34*VLOOKUP($C34,ATELIER!$A$2:$F$109,4,0))</f>
        <v>0.44999999999999996</v>
      </c>
      <c r="S34" s="364">
        <f>_xlfn.CEILING.MATH('Outils de calculs'!S31/1.92,1,0)</f>
        <v>3</v>
      </c>
      <c r="T34" s="372">
        <f>IF($C34="","",S34*VLOOKUP($C34,ATELIER!$A$2:$F$109,4,0))</f>
        <v>0.44999999999999996</v>
      </c>
      <c r="U34" s="364">
        <f>_xlfn.CEILING.MATH('Outils de calculs'!U31/1.92,1,0)</f>
        <v>3</v>
      </c>
      <c r="V34" s="372">
        <f>IF($C34="","",U34*VLOOKUP($C34,ATELIER!$A$2:$F$109,4,0))</f>
        <v>0.44999999999999996</v>
      </c>
      <c r="W34" s="364">
        <f>_xlfn.CEILING.MATH('Outils de calculs'!W31/1.92,1,0)</f>
        <v>3</v>
      </c>
      <c r="X34" s="372">
        <f>IF($C34="","",W34*VLOOKUP($C34,ATELIER!$A$2:$F$109,4,0))</f>
        <v>0.44999999999999996</v>
      </c>
      <c r="Y34" s="364">
        <f>_xlfn.CEILING.MATH('Outils de calculs'!Y31/1.92,1,0)</f>
        <v>2</v>
      </c>
      <c r="Z34" s="372">
        <f>IF($C34="","",Y34*VLOOKUP($C34,ATELIER!$A$2:$F$109,4,0))</f>
        <v>0.3</v>
      </c>
      <c r="AA34" s="364">
        <f>_xlfn.CEILING.MATH('Outils de calculs'!AA31/1.92,1,0)</f>
        <v>2</v>
      </c>
      <c r="AB34" s="372">
        <f>IF($C34="","",AA34*VLOOKUP($C34,ATELIER!$A$2:$F$109,4,0))</f>
        <v>0.3</v>
      </c>
      <c r="AC34" s="364">
        <f>_xlfn.CEILING.MATH('Outils de calculs'!AC31/1.92,1,0)</f>
        <v>3</v>
      </c>
      <c r="AD34" s="372">
        <f>IF($C34="","",AC34*VLOOKUP($C34,ATELIER!$A$2:$F$109,4,0))</f>
        <v>0.44999999999999996</v>
      </c>
      <c r="AE34" s="364">
        <f>_xlfn.CEILING.MATH('Outils de calculs'!AE31/1.92,1,0)</f>
        <v>3</v>
      </c>
      <c r="AF34" s="372">
        <f>IF($C34="","",AE34*VLOOKUP($C34,ATELIER!$A$2:$F$109,4,0))</f>
        <v>0.44999999999999996</v>
      </c>
      <c r="AG34" s="364">
        <f>_xlfn.CEILING.MATH('Outils de calculs'!AG31/1.92,1,0)</f>
        <v>3</v>
      </c>
      <c r="AH34" s="372">
        <f>IF($C34="","",AG34*VLOOKUP($C34,ATELIER!$A$2:$F$109,4,0))</f>
        <v>0.44999999999999996</v>
      </c>
      <c r="AI34" s="364">
        <f>_xlfn.CEILING.MATH('Outils de calculs'!AI31/1.92,1,0)</f>
        <v>3</v>
      </c>
      <c r="AJ34" s="372">
        <f>IF($C34="","",AI34*VLOOKUP($C34,ATELIER!$A$2:$F$109,4,0))</f>
        <v>0.44999999999999996</v>
      </c>
      <c r="AK34" s="364">
        <f>_xlfn.CEILING.MATH('Outils de calculs'!AK31/1.92,1,0)</f>
        <v>3</v>
      </c>
      <c r="AL34" s="372">
        <f>IF($C34="","",AK34*VLOOKUP($C34,ATELIER!$A$2:$F$109,4,0))</f>
        <v>0.44999999999999996</v>
      </c>
      <c r="AM34" s="364">
        <f>_xlfn.CEILING.MATH('Outils de calculs'!AM31/1.92,1,0)</f>
        <v>3</v>
      </c>
      <c r="AN34" s="372">
        <f>IF($C34="","",AM34*VLOOKUP($C34,ATELIER!$A$2:$F$109,4,0))</f>
        <v>0.44999999999999996</v>
      </c>
      <c r="AO34" s="135"/>
    </row>
    <row r="35" spans="1:41" ht="35.25" customHeight="1" x14ac:dyDescent="0.2">
      <c r="A35" s="1553"/>
      <c r="B35" s="375" t="s">
        <v>449</v>
      </c>
      <c r="C35" s="376" t="s">
        <v>450</v>
      </c>
      <c r="D35" s="377" t="s">
        <v>451</v>
      </c>
      <c r="E35" s="376">
        <f>F35*Simulation!$P$8</f>
        <v>28.8</v>
      </c>
      <c r="F35" s="377">
        <f>SUM(F32:F34)</f>
        <v>0.64</v>
      </c>
      <c r="G35" s="376">
        <f>H35*Simulation!$P$8</f>
        <v>35.550000000000004</v>
      </c>
      <c r="H35" s="377">
        <f>SUM(H32:H34)</f>
        <v>0.79</v>
      </c>
      <c r="I35" s="376">
        <f>J35*Simulation!$P$8</f>
        <v>35.550000000000004</v>
      </c>
      <c r="J35" s="377">
        <f>SUM(J32:J34)</f>
        <v>0.79</v>
      </c>
      <c r="K35" s="376">
        <f>L35*Simulation!$P$8</f>
        <v>35.550000000000004</v>
      </c>
      <c r="L35" s="377">
        <f>SUM(L32:L34)</f>
        <v>0.79</v>
      </c>
      <c r="M35" s="376">
        <f>N35*Simulation!$P$8</f>
        <v>35.550000000000004</v>
      </c>
      <c r="N35" s="377">
        <f>SUM(N32:N34)</f>
        <v>0.79</v>
      </c>
      <c r="O35" s="376">
        <f>P35*Simulation!$P$8</f>
        <v>35.550000000000004</v>
      </c>
      <c r="P35" s="377">
        <f>SUM(P32:P34)</f>
        <v>0.79</v>
      </c>
      <c r="Q35" s="376">
        <f>R35*Simulation!$P$8</f>
        <v>42.3</v>
      </c>
      <c r="R35" s="377">
        <f>SUM(R32:R34)</f>
        <v>0.94</v>
      </c>
      <c r="S35" s="376">
        <f>T35*Simulation!$P$8</f>
        <v>42.3</v>
      </c>
      <c r="T35" s="377">
        <f>SUM(T32:T34)</f>
        <v>0.94</v>
      </c>
      <c r="U35" s="376">
        <f>V35*Simulation!$P$8</f>
        <v>42.3</v>
      </c>
      <c r="V35" s="377">
        <f>SUM(V32:V34)</f>
        <v>0.94</v>
      </c>
      <c r="W35" s="376">
        <f>X35*Simulation!$P$8</f>
        <v>42.3</v>
      </c>
      <c r="X35" s="377">
        <f>SUM(X32:X34)</f>
        <v>0.94</v>
      </c>
      <c r="Y35" s="376">
        <f>Z35*Simulation!$P$8</f>
        <v>35.550000000000004</v>
      </c>
      <c r="Z35" s="377">
        <f>SUM(Z32:Z34)</f>
        <v>0.79</v>
      </c>
      <c r="AA35" s="376">
        <f>AB35*Simulation!$P$8</f>
        <v>35.550000000000004</v>
      </c>
      <c r="AB35" s="377">
        <f>SUM(AB32:AB34)</f>
        <v>0.79</v>
      </c>
      <c r="AC35" s="376">
        <f>AD35*Simulation!$P$8</f>
        <v>42.3</v>
      </c>
      <c r="AD35" s="377">
        <f>SUM(AD32:AD34)</f>
        <v>0.94</v>
      </c>
      <c r="AE35" s="376">
        <f>AF35*Simulation!$P$8</f>
        <v>42.3</v>
      </c>
      <c r="AF35" s="377">
        <f>SUM(AF32:AF34)</f>
        <v>0.94</v>
      </c>
      <c r="AG35" s="376">
        <f>AH35*Simulation!$P$8</f>
        <v>42.3</v>
      </c>
      <c r="AH35" s="377">
        <f>SUM(AH32:AH34)</f>
        <v>0.94</v>
      </c>
      <c r="AI35" s="376">
        <f>AJ35*Simulation!$P$8</f>
        <v>42.3</v>
      </c>
      <c r="AJ35" s="377">
        <f>SUM(AJ32:AJ34)</f>
        <v>0.94</v>
      </c>
      <c r="AK35" s="376">
        <f>AL35*Simulation!$P$8</f>
        <v>42.3</v>
      </c>
      <c r="AL35" s="377">
        <f>SUM(AL32:AL34)</f>
        <v>0.94</v>
      </c>
      <c r="AM35" s="376">
        <f>AN35*Simulation!$P$8</f>
        <v>42.3</v>
      </c>
      <c r="AN35" s="377">
        <f>SUM(AN32:AN34)</f>
        <v>0.94</v>
      </c>
      <c r="AO35" s="224"/>
    </row>
    <row r="36" spans="1:41" ht="15" customHeight="1" x14ac:dyDescent="0.2">
      <c r="A36" s="1554" t="s">
        <v>452</v>
      </c>
      <c r="B36" s="361" t="s">
        <v>1159</v>
      </c>
      <c r="C36" s="1403" t="s">
        <v>1223</v>
      </c>
      <c r="D36" s="363" t="str">
        <f>IF(C36="","",VLOOKUP($C36,CHANTIER!$A$2:$C$83,3,0))</f>
        <v>pc</v>
      </c>
      <c r="E36" s="364">
        <f>'Outils de calculs'!E25*6</f>
        <v>24</v>
      </c>
      <c r="F36" s="372">
        <f>IF($C36="","",E36*VLOOKUP($C36,CHANTIER!$A$2:$D$83,4,0))</f>
        <v>0.36</v>
      </c>
      <c r="G36" s="364">
        <f>'Outils de calculs'!G25*6</f>
        <v>36</v>
      </c>
      <c r="H36" s="372">
        <f>IF($C36="","",G36*VLOOKUP($C36,CHANTIER!$A$2:$D$83,4,0))</f>
        <v>0.54</v>
      </c>
      <c r="I36" s="364">
        <f>'Outils de calculs'!I25*6</f>
        <v>48</v>
      </c>
      <c r="J36" s="372">
        <f>IF($C36="","",I36*VLOOKUP($C36,CHANTIER!$A$2:$D$83,4,0))</f>
        <v>0.72</v>
      </c>
      <c r="K36" s="364">
        <f>'Outils de calculs'!K25*6</f>
        <v>60</v>
      </c>
      <c r="L36" s="372">
        <f>IF($C36="","",K36*VLOOKUP($C36,CHANTIER!$A$2:$D$83,4,0))</f>
        <v>0.89999999999999991</v>
      </c>
      <c r="M36" s="364">
        <f>'Outils de calculs'!M25*6</f>
        <v>72</v>
      </c>
      <c r="N36" s="372">
        <f>IF($C36="","",M36*VLOOKUP($C36,CHANTIER!$A$2:$D$83,4,0))</f>
        <v>1.08</v>
      </c>
      <c r="O36" s="364">
        <f>'Outils de calculs'!O25*6</f>
        <v>84</v>
      </c>
      <c r="P36" s="372">
        <f>IF($C36="","",O36*VLOOKUP($C36,CHANTIER!$A$2:$D$83,4,0))</f>
        <v>1.26</v>
      </c>
      <c r="Q36" s="364">
        <f>'Outils de calculs'!Q25*6</f>
        <v>96</v>
      </c>
      <c r="R36" s="372">
        <f>IF($C36="","",Q36*VLOOKUP($C36,CHANTIER!$A$2:$D$83,4,0))</f>
        <v>1.44</v>
      </c>
      <c r="S36" s="364">
        <f>'Outils de calculs'!S25*6</f>
        <v>108</v>
      </c>
      <c r="T36" s="372">
        <f>IF($C36="","",S36*VLOOKUP($C36,CHANTIER!$A$2:$D$83,4,0))</f>
        <v>1.6199999999999999</v>
      </c>
      <c r="U36" s="364">
        <f>'Outils de calculs'!U25*6</f>
        <v>120</v>
      </c>
      <c r="V36" s="372">
        <f>IF($C36="","",U36*VLOOKUP($C36,CHANTIER!$A$2:$D$83,4,0))</f>
        <v>1.7999999999999998</v>
      </c>
      <c r="W36" s="364">
        <f>'Outils de calculs'!W25*6</f>
        <v>144</v>
      </c>
      <c r="X36" s="372">
        <f>IF($C36="","",W36*VLOOKUP($C36,CHANTIER!$A$2:$D$83,4,0))</f>
        <v>2.16</v>
      </c>
      <c r="Y36" s="364">
        <f>'Outils de calculs'!Y25*6</f>
        <v>144</v>
      </c>
      <c r="Z36" s="372">
        <f>IF($C36="","",Y36*VLOOKUP($C36,CHANTIER!$A$2:$D$83,4,0))</f>
        <v>2.16</v>
      </c>
      <c r="AA36" s="364">
        <f>'Outils de calculs'!AA25*6</f>
        <v>168</v>
      </c>
      <c r="AB36" s="372">
        <f>IF($C36="","",AA36*VLOOKUP($C36,CHANTIER!$A$2:$D$83,4,0))</f>
        <v>2.52</v>
      </c>
      <c r="AC36" s="364">
        <f>'Outils de calculs'!AC25*6</f>
        <v>168</v>
      </c>
      <c r="AD36" s="372">
        <f>IF($C36="","",AC36*VLOOKUP($C36,CHANTIER!$A$2:$D$83,4,0))</f>
        <v>2.52</v>
      </c>
      <c r="AE36" s="364">
        <f>'Outils de calculs'!AE25*6</f>
        <v>192</v>
      </c>
      <c r="AF36" s="372">
        <f>IF($C36="","",AE36*VLOOKUP($C36,CHANTIER!$A$2:$D$83,4,0))</f>
        <v>2.88</v>
      </c>
      <c r="AG36" s="364">
        <f>'Outils de calculs'!AG25*6</f>
        <v>216</v>
      </c>
      <c r="AH36" s="372">
        <f>IF($C36="","",AG36*VLOOKUP($C36,CHANTIER!$A$2:$D$83,4,0))</f>
        <v>3.2399999999999998</v>
      </c>
      <c r="AI36" s="364">
        <f>'Outils de calculs'!AI25*6</f>
        <v>216</v>
      </c>
      <c r="AJ36" s="372">
        <f>IF($C36="","",AI36*VLOOKUP($C36,CHANTIER!$A$2:$D$83,4,0))</f>
        <v>3.2399999999999998</v>
      </c>
      <c r="AK36" s="364">
        <f>'Outils de calculs'!AK25*6</f>
        <v>240</v>
      </c>
      <c r="AL36" s="372">
        <f>IF($C36="","",AK36*VLOOKUP($C36,CHANTIER!$A$2:$D$83,4,0))</f>
        <v>3.5999999999999996</v>
      </c>
      <c r="AM36" s="364">
        <f>'Outils de calculs'!AM25*6</f>
        <v>240</v>
      </c>
      <c r="AN36" s="372">
        <f>IF($C36="","",AM36*VLOOKUP($C36,CHANTIER!$A$2:$D$83,4,0))</f>
        <v>3.5999999999999996</v>
      </c>
      <c r="AO36" s="224"/>
    </row>
    <row r="37" spans="1:41" ht="15" customHeight="1" x14ac:dyDescent="0.2">
      <c r="A37" s="1554"/>
      <c r="B37" s="361" t="s">
        <v>1159</v>
      </c>
      <c r="C37" s="1402" t="s">
        <v>1225</v>
      </c>
      <c r="D37" s="363" t="str">
        <f>IF(C37="","",VLOOKUP($C37,CHANTIER!$A$2:$C$83,3,0))</f>
        <v>pc</v>
      </c>
      <c r="E37" s="364">
        <f>4</f>
        <v>4</v>
      </c>
      <c r="F37" s="372">
        <f>IF($C37="","",E37*VLOOKUP($C37,CHANTIER!$A$2:$D$83,4,0))</f>
        <v>0.6</v>
      </c>
      <c r="G37" s="364">
        <f>4</f>
        <v>4</v>
      </c>
      <c r="H37" s="372">
        <f>IF($C37="","",G37*VLOOKUP($C37,CHANTIER!$A$2:$D$83,4,0))</f>
        <v>0.6</v>
      </c>
      <c r="I37" s="364">
        <f>4</f>
        <v>4</v>
      </c>
      <c r="J37" s="372">
        <f>IF($C37="","",I37*VLOOKUP($C37,CHANTIER!$A$2:$D$83,4,0))</f>
        <v>0.6</v>
      </c>
      <c r="K37" s="364">
        <f>4</f>
        <v>4</v>
      </c>
      <c r="L37" s="372">
        <f>IF($C37="","",K37*VLOOKUP($C37,CHANTIER!$A$2:$D$83,4,0))</f>
        <v>0.6</v>
      </c>
      <c r="M37" s="364">
        <f>4</f>
        <v>4</v>
      </c>
      <c r="N37" s="372">
        <f>IF($C37="","",M37*VLOOKUP($C37,CHANTIER!$A$2:$D$83,4,0))</f>
        <v>0.6</v>
      </c>
      <c r="O37" s="364">
        <f>4</f>
        <v>4</v>
      </c>
      <c r="P37" s="372">
        <f>IF($C37="","",O37*VLOOKUP($C37,CHANTIER!$A$2:$D$83,4,0))</f>
        <v>0.6</v>
      </c>
      <c r="Q37" s="364">
        <f>4</f>
        <v>4</v>
      </c>
      <c r="R37" s="372">
        <f>IF($C37="","",Q37*VLOOKUP($C37,CHANTIER!$A$2:$D$83,4,0))</f>
        <v>0.6</v>
      </c>
      <c r="S37" s="364">
        <f>4</f>
        <v>4</v>
      </c>
      <c r="T37" s="372">
        <f>IF($C37="","",S37*VLOOKUP($C37,CHANTIER!$A$2:$D$83,4,0))</f>
        <v>0.6</v>
      </c>
      <c r="U37" s="364">
        <f>4</f>
        <v>4</v>
      </c>
      <c r="V37" s="372">
        <f>IF($C37="","",U37*VLOOKUP($C37,CHANTIER!$A$2:$D$83,4,0))</f>
        <v>0.6</v>
      </c>
      <c r="W37" s="364">
        <f>4</f>
        <v>4</v>
      </c>
      <c r="X37" s="372">
        <f>IF($C37="","",W37*VLOOKUP($C37,CHANTIER!$A$2:$D$83,4,0))</f>
        <v>0.6</v>
      </c>
      <c r="Y37" s="364">
        <f>4</f>
        <v>4</v>
      </c>
      <c r="Z37" s="372">
        <f>IF($C37="","",Y37*VLOOKUP($C37,CHANTIER!$A$2:$D$83,4,0))</f>
        <v>0.6</v>
      </c>
      <c r="AA37" s="364">
        <f>4</f>
        <v>4</v>
      </c>
      <c r="AB37" s="372">
        <f>IF($C37="","",AA37*VLOOKUP($C37,CHANTIER!$A$2:$D$83,4,0))</f>
        <v>0.6</v>
      </c>
      <c r="AC37" s="364">
        <f>4</f>
        <v>4</v>
      </c>
      <c r="AD37" s="372">
        <f>IF($C37="","",AC37*VLOOKUP($C37,CHANTIER!$A$2:$D$83,4,0))</f>
        <v>0.6</v>
      </c>
      <c r="AE37" s="364">
        <f>4</f>
        <v>4</v>
      </c>
      <c r="AF37" s="372">
        <f>IF($C37="","",AE37*VLOOKUP($C37,CHANTIER!$A$2:$D$83,4,0))</f>
        <v>0.6</v>
      </c>
      <c r="AG37" s="364">
        <f>4</f>
        <v>4</v>
      </c>
      <c r="AH37" s="372">
        <f>IF($C37="","",AG37*VLOOKUP($C37,CHANTIER!$A$2:$D$83,4,0))</f>
        <v>0.6</v>
      </c>
      <c r="AI37" s="364">
        <f>4</f>
        <v>4</v>
      </c>
      <c r="AJ37" s="372">
        <f>IF($C37="","",AI37*VLOOKUP($C37,CHANTIER!$A$2:$D$83,4,0))</f>
        <v>0.6</v>
      </c>
      <c r="AK37" s="364">
        <f>4</f>
        <v>4</v>
      </c>
      <c r="AL37" s="372">
        <f>IF($C37="","",AK37*VLOOKUP($C37,CHANTIER!$A$2:$D$83,4,0))</f>
        <v>0.6</v>
      </c>
      <c r="AM37" s="364">
        <f>4</f>
        <v>4</v>
      </c>
      <c r="AN37" s="372">
        <f>IF($C37="","",AM37*VLOOKUP($C37,CHANTIER!$A$2:$D$83,4,0))</f>
        <v>0.6</v>
      </c>
      <c r="AO37" s="224"/>
    </row>
    <row r="38" spans="1:41" ht="15" customHeight="1" x14ac:dyDescent="0.2">
      <c r="A38" s="1555"/>
      <c r="B38" s="361" t="s">
        <v>1159</v>
      </c>
      <c r="C38" s="1403" t="s">
        <v>1002</v>
      </c>
      <c r="D38" s="363" t="str">
        <f>IF(C38="","",VLOOKUP($C38,CHANTIER!$A$2:$C$83,3,0))</f>
        <v>m²</v>
      </c>
      <c r="E38" s="364">
        <f>'Outils de calculs'!E25</f>
        <v>4</v>
      </c>
      <c r="F38" s="372">
        <f>IF($C38="","",E38*VLOOKUP($C38,CHANTIER!$A$2:$D$83,4,0))</f>
        <v>0.48</v>
      </c>
      <c r="G38" s="364">
        <f>'Outils de calculs'!G25</f>
        <v>6</v>
      </c>
      <c r="H38" s="372">
        <f>IF($C38="","",G38*VLOOKUP($C38,CHANTIER!$A$2:$D$83,4,0))</f>
        <v>0.72</v>
      </c>
      <c r="I38" s="364">
        <f>'Outils de calculs'!I25</f>
        <v>8</v>
      </c>
      <c r="J38" s="372">
        <f>IF($C38="","",I38*VLOOKUP($C38,CHANTIER!$A$2:$D$83,4,0))</f>
        <v>0.96</v>
      </c>
      <c r="K38" s="364">
        <f>'Outils de calculs'!K25</f>
        <v>10</v>
      </c>
      <c r="L38" s="372">
        <f>IF($C38="","",K38*VLOOKUP($C38,CHANTIER!$A$2:$D$83,4,0))</f>
        <v>1.2</v>
      </c>
      <c r="M38" s="364">
        <f>'Outils de calculs'!M25</f>
        <v>12</v>
      </c>
      <c r="N38" s="372">
        <f>IF($C38="","",M38*VLOOKUP($C38,CHANTIER!$A$2:$D$83,4,0))</f>
        <v>1.44</v>
      </c>
      <c r="O38" s="364">
        <f>'Outils de calculs'!O25</f>
        <v>14</v>
      </c>
      <c r="P38" s="372">
        <f>IF($C38="","",O38*VLOOKUP($C38,CHANTIER!$A$2:$D$83,4,0))</f>
        <v>1.68</v>
      </c>
      <c r="Q38" s="364">
        <f>'Outils de calculs'!Q25</f>
        <v>16</v>
      </c>
      <c r="R38" s="372">
        <f>IF($C38="","",Q38*VLOOKUP($C38,CHANTIER!$A$2:$D$83,4,0))</f>
        <v>1.92</v>
      </c>
      <c r="S38" s="364">
        <f>'Outils de calculs'!S25</f>
        <v>18</v>
      </c>
      <c r="T38" s="372">
        <f>IF($C38="","",S38*VLOOKUP($C38,CHANTIER!$A$2:$D$83,4,0))</f>
        <v>2.16</v>
      </c>
      <c r="U38" s="364">
        <f>'Outils de calculs'!U25</f>
        <v>20</v>
      </c>
      <c r="V38" s="372">
        <f>IF($C38="","",U38*VLOOKUP($C38,CHANTIER!$A$2:$D$83,4,0))</f>
        <v>2.4</v>
      </c>
      <c r="W38" s="364">
        <f>'Outils de calculs'!W25</f>
        <v>24</v>
      </c>
      <c r="X38" s="372">
        <f>IF($C38="","",W38*VLOOKUP($C38,CHANTIER!$A$2:$D$83,4,0))</f>
        <v>2.88</v>
      </c>
      <c r="Y38" s="364">
        <f>'Outils de calculs'!Y25</f>
        <v>24</v>
      </c>
      <c r="Z38" s="372">
        <f>IF($C38="","",Y38*VLOOKUP($C38,CHANTIER!$A$2:$D$83,4,0))</f>
        <v>2.88</v>
      </c>
      <c r="AA38" s="364">
        <f>'Outils de calculs'!AA25</f>
        <v>28</v>
      </c>
      <c r="AB38" s="372">
        <f>IF($C38="","",AA38*VLOOKUP($C38,CHANTIER!$A$2:$D$83,4,0))</f>
        <v>3.36</v>
      </c>
      <c r="AC38" s="364">
        <f>'Outils de calculs'!AC25</f>
        <v>28</v>
      </c>
      <c r="AD38" s="372">
        <f>IF($C38="","",AC38*VLOOKUP($C38,CHANTIER!$A$2:$D$83,4,0))</f>
        <v>3.36</v>
      </c>
      <c r="AE38" s="364">
        <f>'Outils de calculs'!AE25</f>
        <v>32</v>
      </c>
      <c r="AF38" s="372">
        <f>IF($C38="","",AE38*VLOOKUP($C38,CHANTIER!$A$2:$D$83,4,0))</f>
        <v>3.84</v>
      </c>
      <c r="AG38" s="364">
        <f>'Outils de calculs'!AG25</f>
        <v>36</v>
      </c>
      <c r="AH38" s="372">
        <f>IF($C38="","",AG38*VLOOKUP($C38,CHANTIER!$A$2:$D$83,4,0))</f>
        <v>4.32</v>
      </c>
      <c r="AI38" s="364">
        <f>'Outils de calculs'!AI25</f>
        <v>36</v>
      </c>
      <c r="AJ38" s="372">
        <f>IF($C38="","",AI38*VLOOKUP($C38,CHANTIER!$A$2:$D$83,4,0))</f>
        <v>4.32</v>
      </c>
      <c r="AK38" s="364">
        <f>'Outils de calculs'!AK25</f>
        <v>40</v>
      </c>
      <c r="AL38" s="372">
        <f>IF($C38="","",AK38*VLOOKUP($C38,CHANTIER!$A$2:$D$83,4,0))</f>
        <v>4.8</v>
      </c>
      <c r="AM38" s="364">
        <f>'Outils de calculs'!AM25</f>
        <v>40</v>
      </c>
      <c r="AN38" s="372">
        <f>IF($C38="","",AM38*VLOOKUP($C38,CHANTIER!$A$2:$D$83,4,0))</f>
        <v>4.8</v>
      </c>
      <c r="AO38" s="224"/>
    </row>
    <row r="39" spans="1:41" ht="15" customHeight="1" x14ac:dyDescent="0.2">
      <c r="A39" s="1554"/>
      <c r="B39" s="361" t="s">
        <v>1159</v>
      </c>
      <c r="C39" s="1403" t="s">
        <v>1144</v>
      </c>
      <c r="D39" s="363" t="str">
        <f>IF(C39="","",VLOOKUP($C39,CHANTIER!$A$2:$C$83,3,0))</f>
        <v>ml</v>
      </c>
      <c r="E39" s="364">
        <f>'Outils de calculs'!E31</f>
        <v>1.6</v>
      </c>
      <c r="F39" s="372">
        <f>IF($C39="","",E39*VLOOKUP($C39,CHANTIER!$A$2:$D$83,4,0))</f>
        <v>0.32000000000000006</v>
      </c>
      <c r="G39" s="364">
        <f>'Outils de calculs'!G31</f>
        <v>2</v>
      </c>
      <c r="H39" s="372">
        <f>IF($C39="","",G39*VLOOKUP($C39,CHANTIER!$A$2:$D$83,4,0))</f>
        <v>0.4</v>
      </c>
      <c r="I39" s="364">
        <f>'Outils de calculs'!I31</f>
        <v>2</v>
      </c>
      <c r="J39" s="372">
        <f>IF($C39="","",I39*VLOOKUP($C39,CHANTIER!$A$2:$D$83,4,0))</f>
        <v>0.4</v>
      </c>
      <c r="K39" s="364">
        <f>'Outils de calculs'!K31</f>
        <v>2.5</v>
      </c>
      <c r="L39" s="372">
        <f>IF($C39="","",K39*VLOOKUP($C39,CHANTIER!$A$2:$D$83,4,0))</f>
        <v>0.5</v>
      </c>
      <c r="M39" s="364">
        <f>'Outils de calculs'!M31</f>
        <v>3</v>
      </c>
      <c r="N39" s="372">
        <f>IF($C39="","",M39*VLOOKUP($C39,CHANTIER!$A$2:$D$83,4,0))</f>
        <v>0.60000000000000009</v>
      </c>
      <c r="O39" s="364">
        <f>'Outils de calculs'!O31</f>
        <v>3.5</v>
      </c>
      <c r="P39" s="372">
        <f>IF($C39="","",O39*VLOOKUP($C39,CHANTIER!$A$2:$D$83,4,0))</f>
        <v>0.70000000000000007</v>
      </c>
      <c r="Q39" s="364">
        <f>'Outils de calculs'!Q31</f>
        <v>4</v>
      </c>
      <c r="R39" s="372">
        <f>IF($C39="","",Q39*VLOOKUP($C39,CHANTIER!$A$2:$D$83,4,0))</f>
        <v>0.8</v>
      </c>
      <c r="S39" s="364">
        <f>'Outils de calculs'!S31</f>
        <v>4</v>
      </c>
      <c r="T39" s="372">
        <f>IF($C39="","",S39*VLOOKUP($C39,CHANTIER!$A$2:$D$83,4,0))</f>
        <v>0.8</v>
      </c>
      <c r="U39" s="364">
        <f>'Outils de calculs'!U31</f>
        <v>4</v>
      </c>
      <c r="V39" s="372">
        <f>IF($C39="","",U39*VLOOKUP($C39,CHANTIER!$A$2:$D$83,4,0))</f>
        <v>0.8</v>
      </c>
      <c r="W39" s="364">
        <f>'Outils de calculs'!W31</f>
        <v>4</v>
      </c>
      <c r="X39" s="372">
        <f>IF($C39="","",W39*VLOOKUP($C39,CHANTIER!$A$2:$D$83,4,0))</f>
        <v>0.8</v>
      </c>
      <c r="Y39" s="364">
        <f>'Outils de calculs'!Y31</f>
        <v>3</v>
      </c>
      <c r="Z39" s="372">
        <f>IF($C39="","",Y39*VLOOKUP($C39,CHANTIER!$A$2:$D$83,4,0))</f>
        <v>0.60000000000000009</v>
      </c>
      <c r="AA39" s="364">
        <f>'Outils de calculs'!AA31</f>
        <v>3.5</v>
      </c>
      <c r="AB39" s="372">
        <f>IF($C39="","",AA39*VLOOKUP($C39,CHANTIER!$A$2:$D$83,4,0))</f>
        <v>0.70000000000000007</v>
      </c>
      <c r="AC39" s="364">
        <f>'Outils de calculs'!AC31</f>
        <v>4</v>
      </c>
      <c r="AD39" s="372">
        <f>IF($C39="","",AC39*VLOOKUP($C39,CHANTIER!$A$2:$D$83,4,0))</f>
        <v>0.8</v>
      </c>
      <c r="AE39" s="364">
        <f>'Outils de calculs'!AE31</f>
        <v>4</v>
      </c>
      <c r="AF39" s="372">
        <f>IF($C39="","",AE39*VLOOKUP($C39,CHANTIER!$A$2:$D$83,4,0))</f>
        <v>0.8</v>
      </c>
      <c r="AG39" s="364">
        <f>'Outils de calculs'!AG31</f>
        <v>4.5</v>
      </c>
      <c r="AH39" s="372">
        <f>IF($C39="","",AG39*VLOOKUP($C39,CHANTIER!$A$2:$D$83,4,0))</f>
        <v>0.9</v>
      </c>
      <c r="AI39" s="364">
        <f>'Outils de calculs'!AI31</f>
        <v>4</v>
      </c>
      <c r="AJ39" s="372">
        <f>IF($C39="","",AI39*VLOOKUP($C39,CHANTIER!$A$2:$D$83,4,0))</f>
        <v>0.8</v>
      </c>
      <c r="AK39" s="364">
        <f>'Outils de calculs'!AK31</f>
        <v>4</v>
      </c>
      <c r="AL39" s="372">
        <f>IF($C39="","",AK39*VLOOKUP($C39,CHANTIER!$A$2:$D$83,4,0))</f>
        <v>0.8</v>
      </c>
      <c r="AM39" s="364">
        <f>'Outils de calculs'!AM31</f>
        <v>5</v>
      </c>
      <c r="AN39" s="372">
        <f>IF($C39="","",AM39*VLOOKUP($C39,CHANTIER!$A$2:$D$83,4,0))</f>
        <v>1</v>
      </c>
      <c r="AO39" s="224"/>
    </row>
    <row r="40" spans="1:41" ht="15" customHeight="1" x14ac:dyDescent="0.2">
      <c r="A40" s="1554"/>
      <c r="B40" s="361" t="s">
        <v>1159</v>
      </c>
      <c r="C40" s="1403" t="s">
        <v>983</v>
      </c>
      <c r="D40" s="363" t="str">
        <f>IF(C40="","",VLOOKUP($C40,CHANTIER!$A$2:$C$83,3,0))</f>
        <v>m3</v>
      </c>
      <c r="E40" s="364">
        <f>'Outils de calculs'!E25*0.6</f>
        <v>2.4</v>
      </c>
      <c r="F40" s="372">
        <f>IF($C40="","",E40*VLOOKUP($C40,CHANTIER!$A$2:$D$83,4,0))</f>
        <v>0.6</v>
      </c>
      <c r="G40" s="364">
        <f>'Outils de calculs'!G25*0.6</f>
        <v>3.5999999999999996</v>
      </c>
      <c r="H40" s="372">
        <f>IF($C40="","",G40*VLOOKUP($C40,CHANTIER!$A$2:$D$83,4,0))</f>
        <v>0.89999999999999991</v>
      </c>
      <c r="I40" s="364">
        <f>'Outils de calculs'!I25*0.6</f>
        <v>4.8</v>
      </c>
      <c r="J40" s="372">
        <f>IF($C40="","",I40*VLOOKUP($C40,CHANTIER!$A$2:$D$83,4,0))</f>
        <v>1.2</v>
      </c>
      <c r="K40" s="364">
        <f>'Outils de calculs'!K25*0.6</f>
        <v>6</v>
      </c>
      <c r="L40" s="372">
        <f>IF($C40="","",K40*VLOOKUP($C40,CHANTIER!$A$2:$D$83,4,0))</f>
        <v>1.5</v>
      </c>
      <c r="M40" s="364">
        <f>'Outils de calculs'!M25*0.6</f>
        <v>7.1999999999999993</v>
      </c>
      <c r="N40" s="372">
        <f>IF($C40="","",M40*VLOOKUP($C40,CHANTIER!$A$2:$D$83,4,0))</f>
        <v>1.7999999999999998</v>
      </c>
      <c r="O40" s="364">
        <f>'Outils de calculs'!O25*0.6</f>
        <v>8.4</v>
      </c>
      <c r="P40" s="372">
        <f>IF($C40="","",O40*VLOOKUP($C40,CHANTIER!$A$2:$D$83,4,0))</f>
        <v>2.1</v>
      </c>
      <c r="Q40" s="364">
        <f>'Outils de calculs'!Q25*0.6</f>
        <v>9.6</v>
      </c>
      <c r="R40" s="372">
        <f>IF($C40="","",Q40*VLOOKUP($C40,CHANTIER!$A$2:$D$83,4,0))</f>
        <v>2.4</v>
      </c>
      <c r="S40" s="364">
        <f>'Outils de calculs'!S25*0.6</f>
        <v>10.799999999999999</v>
      </c>
      <c r="T40" s="372">
        <f>IF($C40="","",S40*VLOOKUP($C40,CHANTIER!$A$2:$D$83,4,0))</f>
        <v>2.6999999999999997</v>
      </c>
      <c r="U40" s="364">
        <f>'Outils de calculs'!U25*0.6</f>
        <v>12</v>
      </c>
      <c r="V40" s="372">
        <f>IF($C40="","",U40*VLOOKUP($C40,CHANTIER!$A$2:$D$83,4,0))</f>
        <v>3</v>
      </c>
      <c r="W40" s="364">
        <f>'Outils de calculs'!W25*0.6</f>
        <v>14.399999999999999</v>
      </c>
      <c r="X40" s="372">
        <f>IF($C40="","",W40*VLOOKUP($C40,CHANTIER!$A$2:$D$83,4,0))</f>
        <v>3.5999999999999996</v>
      </c>
      <c r="Y40" s="364">
        <f>'Outils de calculs'!Y25*0.6</f>
        <v>14.399999999999999</v>
      </c>
      <c r="Z40" s="372">
        <f>IF($C40="","",Y40*VLOOKUP($C40,CHANTIER!$A$2:$D$83,4,0))</f>
        <v>3.5999999999999996</v>
      </c>
      <c r="AA40" s="364">
        <f>'Outils de calculs'!AA25*0.6</f>
        <v>16.8</v>
      </c>
      <c r="AB40" s="372">
        <f>IF($C40="","",AA40*VLOOKUP($C40,CHANTIER!$A$2:$D$83,4,0))</f>
        <v>4.2</v>
      </c>
      <c r="AC40" s="364">
        <f>'Outils de calculs'!AC25*0.6</f>
        <v>16.8</v>
      </c>
      <c r="AD40" s="372">
        <f>IF($C40="","",AC40*VLOOKUP($C40,CHANTIER!$A$2:$D$83,4,0))</f>
        <v>4.2</v>
      </c>
      <c r="AE40" s="364">
        <f>'Outils de calculs'!AE25*0.6</f>
        <v>19.2</v>
      </c>
      <c r="AF40" s="372">
        <f>IF($C40="","",AE40*VLOOKUP($C40,CHANTIER!$A$2:$D$83,4,0))</f>
        <v>4.8</v>
      </c>
      <c r="AG40" s="364">
        <f>'Outils de calculs'!AG25*0.6</f>
        <v>21.599999999999998</v>
      </c>
      <c r="AH40" s="372">
        <f>IF($C40="","",AG40*VLOOKUP($C40,CHANTIER!$A$2:$D$83,4,0))</f>
        <v>5.3999999999999995</v>
      </c>
      <c r="AI40" s="364">
        <f>'Outils de calculs'!AI25*0.6</f>
        <v>21.599999999999998</v>
      </c>
      <c r="AJ40" s="372">
        <f>IF($C40="","",AI40*VLOOKUP($C40,CHANTIER!$A$2:$D$83,4,0))</f>
        <v>5.3999999999999995</v>
      </c>
      <c r="AK40" s="364">
        <f>'Outils de calculs'!AK25*0.6</f>
        <v>24</v>
      </c>
      <c r="AL40" s="372">
        <f>IF($C40="","",AK40*VLOOKUP($C40,CHANTIER!$A$2:$D$83,4,0))</f>
        <v>6</v>
      </c>
      <c r="AM40" s="364">
        <f>'Outils de calculs'!AM25*0.6</f>
        <v>24</v>
      </c>
      <c r="AN40" s="372">
        <f>IF($C40="","",AM40*VLOOKUP($C40,CHANTIER!$A$2:$D$83,4,0))</f>
        <v>6</v>
      </c>
      <c r="AO40" s="224"/>
    </row>
    <row r="41" spans="1:41" ht="15" customHeight="1" x14ac:dyDescent="0.2">
      <c r="A41" s="1554"/>
      <c r="B41" s="361" t="s">
        <v>1159</v>
      </c>
      <c r="C41" s="1402" t="s">
        <v>1212</v>
      </c>
      <c r="D41" s="363" t="str">
        <f>IF(C41="","",VLOOKUP($C41,CHANTIER!$A$2:$C$83,3,0))</f>
        <v>forfait</v>
      </c>
      <c r="E41" s="364">
        <f>2</f>
        <v>2</v>
      </c>
      <c r="F41" s="372">
        <f>IF($C41="","",E41*VLOOKUP($C41,CHANTIER!$A$2:$D$83,4,0))</f>
        <v>0.2</v>
      </c>
      <c r="G41" s="364">
        <f>2</f>
        <v>2</v>
      </c>
      <c r="H41" s="372">
        <f>IF($C41="","",G41*VLOOKUP($C41,CHANTIER!$A$2:$D$83,4,0))</f>
        <v>0.2</v>
      </c>
      <c r="I41" s="364">
        <f>2</f>
        <v>2</v>
      </c>
      <c r="J41" s="372">
        <f>IF($C41="","",I41*VLOOKUP($C41,CHANTIER!$A$2:$D$83,4,0))</f>
        <v>0.2</v>
      </c>
      <c r="K41" s="364">
        <f>2</f>
        <v>2</v>
      </c>
      <c r="L41" s="372">
        <f>IF($C41="","",K41*VLOOKUP($C41,CHANTIER!$A$2:$D$83,4,0))</f>
        <v>0.2</v>
      </c>
      <c r="M41" s="364">
        <f>2</f>
        <v>2</v>
      </c>
      <c r="N41" s="372">
        <f>IF($C41="","",M41*VLOOKUP($C41,CHANTIER!$A$2:$D$83,4,0))</f>
        <v>0.2</v>
      </c>
      <c r="O41" s="364">
        <f>2</f>
        <v>2</v>
      </c>
      <c r="P41" s="372">
        <f>IF($C41="","",O41*VLOOKUP($C41,CHANTIER!$A$2:$D$83,4,0))</f>
        <v>0.2</v>
      </c>
      <c r="Q41" s="364">
        <f>2</f>
        <v>2</v>
      </c>
      <c r="R41" s="372">
        <f>IF($C41="","",Q41*VLOOKUP($C41,CHANTIER!$A$2:$D$83,4,0))</f>
        <v>0.2</v>
      </c>
      <c r="S41" s="364">
        <f>2</f>
        <v>2</v>
      </c>
      <c r="T41" s="372">
        <f>IF($C41="","",S41*VLOOKUP($C41,CHANTIER!$A$2:$D$83,4,0))</f>
        <v>0.2</v>
      </c>
      <c r="U41" s="364">
        <f>2</f>
        <v>2</v>
      </c>
      <c r="V41" s="372">
        <f>IF($C41="","",U41*VLOOKUP($C41,CHANTIER!$A$2:$D$83,4,0))</f>
        <v>0.2</v>
      </c>
      <c r="W41" s="364">
        <f>2</f>
        <v>2</v>
      </c>
      <c r="X41" s="372">
        <f>IF($C41="","",W41*VLOOKUP($C41,CHANTIER!$A$2:$D$83,4,0))</f>
        <v>0.2</v>
      </c>
      <c r="Y41" s="364">
        <f>2</f>
        <v>2</v>
      </c>
      <c r="Z41" s="372">
        <f>IF($C41="","",Y41*VLOOKUP($C41,CHANTIER!$A$2:$D$83,4,0))</f>
        <v>0.2</v>
      </c>
      <c r="AA41" s="364">
        <f>2</f>
        <v>2</v>
      </c>
      <c r="AB41" s="372">
        <f>IF($C41="","",AA41*VLOOKUP($C41,CHANTIER!$A$2:$D$83,4,0))</f>
        <v>0.2</v>
      </c>
      <c r="AC41" s="364">
        <f>2</f>
        <v>2</v>
      </c>
      <c r="AD41" s="372">
        <f>IF($C41="","",AC41*VLOOKUP($C41,CHANTIER!$A$2:$D$83,4,0))</f>
        <v>0.2</v>
      </c>
      <c r="AE41" s="364">
        <f>2</f>
        <v>2</v>
      </c>
      <c r="AF41" s="372">
        <f>IF($C41="","",AE41*VLOOKUP($C41,CHANTIER!$A$2:$D$83,4,0))</f>
        <v>0.2</v>
      </c>
      <c r="AG41" s="364">
        <f>2</f>
        <v>2</v>
      </c>
      <c r="AH41" s="372">
        <f>IF($C41="","",AG41*VLOOKUP($C41,CHANTIER!$A$2:$D$83,4,0))</f>
        <v>0.2</v>
      </c>
      <c r="AI41" s="364">
        <f>2</f>
        <v>2</v>
      </c>
      <c r="AJ41" s="372">
        <f>IF($C41="","",AI41*VLOOKUP($C41,CHANTIER!$A$2:$D$83,4,0))</f>
        <v>0.2</v>
      </c>
      <c r="AK41" s="364">
        <f>2</f>
        <v>2</v>
      </c>
      <c r="AL41" s="372">
        <f>IF($C41="","",AK41*VLOOKUP($C41,CHANTIER!$A$2:$D$83,4,0))</f>
        <v>0.2</v>
      </c>
      <c r="AM41" s="364">
        <f>2</f>
        <v>2</v>
      </c>
      <c r="AN41" s="372">
        <f>IF($C41="","",AM41*VLOOKUP($C41,CHANTIER!$A$2:$D$83,4,0))</f>
        <v>0.2</v>
      </c>
      <c r="AO41" s="224"/>
    </row>
    <row r="42" spans="1:41" ht="15" customHeight="1" x14ac:dyDescent="0.2">
      <c r="A42" s="1554"/>
      <c r="B42" s="361" t="s">
        <v>1159</v>
      </c>
      <c r="C42" s="1403" t="s">
        <v>370</v>
      </c>
      <c r="D42" s="363" t="str">
        <f>IF(C42="","",VLOOKUP($C42,CHANTIER!$A$2:$C$83,3,0))</f>
        <v>m²</v>
      </c>
      <c r="E42" s="364">
        <f>'Outils de calculs'!E25</f>
        <v>4</v>
      </c>
      <c r="F42" s="372">
        <f>IF($C42="","",E42*VLOOKUP($C42,CHANTIER!$A$2:$D$83,4,0))</f>
        <v>0.2</v>
      </c>
      <c r="G42" s="364">
        <f>'Outils de calculs'!G25</f>
        <v>6</v>
      </c>
      <c r="H42" s="372">
        <f>IF($C42="","",G42*VLOOKUP($C42,CHANTIER!$A$2:$D$83,4,0))</f>
        <v>0.30000000000000004</v>
      </c>
      <c r="I42" s="364">
        <f>'Outils de calculs'!I25</f>
        <v>8</v>
      </c>
      <c r="J42" s="372">
        <f>IF($C42="","",I42*VLOOKUP($C42,CHANTIER!$A$2:$D$83,4,0))</f>
        <v>0.4</v>
      </c>
      <c r="K42" s="364">
        <f>'Outils de calculs'!K25</f>
        <v>10</v>
      </c>
      <c r="L42" s="372">
        <f>IF($C42="","",K42*VLOOKUP($C42,CHANTIER!$A$2:$D$83,4,0))</f>
        <v>0.5</v>
      </c>
      <c r="M42" s="364">
        <f>'Outils de calculs'!M25</f>
        <v>12</v>
      </c>
      <c r="N42" s="372">
        <f>IF($C42="","",M42*VLOOKUP($C42,CHANTIER!$A$2:$D$83,4,0))</f>
        <v>0.60000000000000009</v>
      </c>
      <c r="O42" s="364">
        <f>'Outils de calculs'!O25</f>
        <v>14</v>
      </c>
      <c r="P42" s="372">
        <f>IF($C42="","",O42*VLOOKUP($C42,CHANTIER!$A$2:$D$83,4,0))</f>
        <v>0.70000000000000007</v>
      </c>
      <c r="Q42" s="364">
        <f>'Outils de calculs'!Q25</f>
        <v>16</v>
      </c>
      <c r="R42" s="372">
        <f>IF($C42="","",Q42*VLOOKUP($C42,CHANTIER!$A$2:$D$83,4,0))</f>
        <v>0.8</v>
      </c>
      <c r="S42" s="364">
        <f>'Outils de calculs'!S25</f>
        <v>18</v>
      </c>
      <c r="T42" s="372">
        <f>IF($C42="","",S42*VLOOKUP($C42,CHANTIER!$A$2:$D$83,4,0))</f>
        <v>0.9</v>
      </c>
      <c r="U42" s="364">
        <f>'Outils de calculs'!U25</f>
        <v>20</v>
      </c>
      <c r="V42" s="372">
        <f>IF($C42="","",U42*VLOOKUP($C42,CHANTIER!$A$2:$D$83,4,0))</f>
        <v>1</v>
      </c>
      <c r="W42" s="364">
        <f>'Outils de calculs'!W25</f>
        <v>24</v>
      </c>
      <c r="X42" s="372">
        <f>IF($C42="","",W42*VLOOKUP($C42,CHANTIER!$A$2:$D$83,4,0))</f>
        <v>1.2000000000000002</v>
      </c>
      <c r="Y42" s="364">
        <f>'Outils de calculs'!Y25</f>
        <v>24</v>
      </c>
      <c r="Z42" s="372">
        <f>IF($C42="","",Y42*VLOOKUP($C42,CHANTIER!$A$2:$D$83,4,0))</f>
        <v>1.2000000000000002</v>
      </c>
      <c r="AA42" s="364">
        <f>'Outils de calculs'!AA25</f>
        <v>28</v>
      </c>
      <c r="AB42" s="372">
        <f>IF($C42="","",AA42*VLOOKUP($C42,CHANTIER!$A$2:$D$83,4,0))</f>
        <v>1.4000000000000001</v>
      </c>
      <c r="AC42" s="364">
        <f>'Outils de calculs'!AC25</f>
        <v>28</v>
      </c>
      <c r="AD42" s="372">
        <f>IF($C42="","",AC42*VLOOKUP($C42,CHANTIER!$A$2:$D$83,4,0))</f>
        <v>1.4000000000000001</v>
      </c>
      <c r="AE42" s="364">
        <f>'Outils de calculs'!AE25</f>
        <v>32</v>
      </c>
      <c r="AF42" s="372">
        <f>IF($C42="","",AE42*VLOOKUP($C42,CHANTIER!$A$2:$D$83,4,0))</f>
        <v>1.6</v>
      </c>
      <c r="AG42" s="364">
        <f>'Outils de calculs'!AG25</f>
        <v>36</v>
      </c>
      <c r="AH42" s="372">
        <f>IF($C42="","",AG42*VLOOKUP($C42,CHANTIER!$A$2:$D$83,4,0))</f>
        <v>1.8</v>
      </c>
      <c r="AI42" s="364">
        <f>'Outils de calculs'!AI25</f>
        <v>36</v>
      </c>
      <c r="AJ42" s="372">
        <f>IF($C42="","",AI42*VLOOKUP($C42,CHANTIER!$A$2:$D$83,4,0))</f>
        <v>1.8</v>
      </c>
      <c r="AK42" s="364">
        <f>'Outils de calculs'!AK25</f>
        <v>40</v>
      </c>
      <c r="AL42" s="372">
        <f>IF($C42="","",AK42*VLOOKUP($C42,CHANTIER!$A$2:$D$83,4,0))</f>
        <v>2</v>
      </c>
      <c r="AM42" s="364">
        <f>'Outils de calculs'!AM25</f>
        <v>40</v>
      </c>
      <c r="AN42" s="372">
        <f>IF($C42="","",AM42*VLOOKUP($C42,CHANTIER!$A$2:$D$83,4,0))</f>
        <v>2</v>
      </c>
      <c r="AO42" s="224"/>
    </row>
    <row r="43" spans="1:41" ht="15" customHeight="1" x14ac:dyDescent="0.2">
      <c r="A43" s="1554"/>
      <c r="B43" s="361" t="s">
        <v>1159</v>
      </c>
      <c r="C43" s="1403" t="s">
        <v>373</v>
      </c>
      <c r="D43" s="363" t="str">
        <f>IF(C43="","",VLOOKUP($C43,CHANTIER!$A$2:$C$83,3,0))</f>
        <v>m²</v>
      </c>
      <c r="E43" s="364">
        <f>'Outils de calculs'!E25</f>
        <v>4</v>
      </c>
      <c r="F43" s="372">
        <f>IF($C43="","",E43*VLOOKUP($C43,CHANTIER!$A$2:$D$83,4,0))</f>
        <v>0.2</v>
      </c>
      <c r="G43" s="364">
        <f>'Outils de calculs'!G25</f>
        <v>6</v>
      </c>
      <c r="H43" s="372">
        <f>IF($C43="","",G43*VLOOKUP($C43,CHANTIER!$A$2:$D$83,4,0))</f>
        <v>0.30000000000000004</v>
      </c>
      <c r="I43" s="364">
        <f>'Outils de calculs'!I25</f>
        <v>8</v>
      </c>
      <c r="J43" s="372">
        <f>IF($C43="","",I43*VLOOKUP($C43,CHANTIER!$A$2:$D$83,4,0))</f>
        <v>0.4</v>
      </c>
      <c r="K43" s="364">
        <f>'Outils de calculs'!K25</f>
        <v>10</v>
      </c>
      <c r="L43" s="372">
        <f>IF($C43="","",K43*VLOOKUP($C43,CHANTIER!$A$2:$D$83,4,0))</f>
        <v>0.5</v>
      </c>
      <c r="M43" s="364">
        <f>'Outils de calculs'!M25</f>
        <v>12</v>
      </c>
      <c r="N43" s="372">
        <f>IF($C43="","",M43*VLOOKUP($C43,CHANTIER!$A$2:$D$83,4,0))</f>
        <v>0.60000000000000009</v>
      </c>
      <c r="O43" s="364">
        <f>'Outils de calculs'!O25</f>
        <v>14</v>
      </c>
      <c r="P43" s="372">
        <f>IF($C43="","",O43*VLOOKUP($C43,CHANTIER!$A$2:$D$83,4,0))</f>
        <v>0.70000000000000007</v>
      </c>
      <c r="Q43" s="364">
        <f>'Outils de calculs'!Q25</f>
        <v>16</v>
      </c>
      <c r="R43" s="372">
        <f>IF($C43="","",Q43*VLOOKUP($C43,CHANTIER!$A$2:$D$83,4,0))</f>
        <v>0.8</v>
      </c>
      <c r="S43" s="364">
        <f>'Outils de calculs'!S25</f>
        <v>18</v>
      </c>
      <c r="T43" s="372">
        <f>IF($C43="","",S43*VLOOKUP($C43,CHANTIER!$A$2:$D$83,4,0))</f>
        <v>0.9</v>
      </c>
      <c r="U43" s="364">
        <f>'Outils de calculs'!U25</f>
        <v>20</v>
      </c>
      <c r="V43" s="372">
        <f>IF($C43="","",U43*VLOOKUP($C43,CHANTIER!$A$2:$D$83,4,0))</f>
        <v>1</v>
      </c>
      <c r="W43" s="364">
        <f>'Outils de calculs'!W25</f>
        <v>24</v>
      </c>
      <c r="X43" s="372">
        <f>IF($C43="","",W43*VLOOKUP($C43,CHANTIER!$A$2:$D$83,4,0))</f>
        <v>1.2000000000000002</v>
      </c>
      <c r="Y43" s="364">
        <f>'Outils de calculs'!Y25</f>
        <v>24</v>
      </c>
      <c r="Z43" s="372">
        <f>IF($C43="","",Y43*VLOOKUP($C43,CHANTIER!$A$2:$D$83,4,0))</f>
        <v>1.2000000000000002</v>
      </c>
      <c r="AA43" s="364">
        <f>'Outils de calculs'!AA25</f>
        <v>28</v>
      </c>
      <c r="AB43" s="372">
        <f>IF($C43="","",AA43*VLOOKUP($C43,CHANTIER!$A$2:$D$83,4,0))</f>
        <v>1.4000000000000001</v>
      </c>
      <c r="AC43" s="364">
        <f>'Outils de calculs'!AC25</f>
        <v>28</v>
      </c>
      <c r="AD43" s="372">
        <f>IF($C43="","",AC43*VLOOKUP($C43,CHANTIER!$A$2:$D$83,4,0))</f>
        <v>1.4000000000000001</v>
      </c>
      <c r="AE43" s="364">
        <f>'Outils de calculs'!AE25</f>
        <v>32</v>
      </c>
      <c r="AF43" s="372">
        <f>IF($C43="","",AE43*VLOOKUP($C43,CHANTIER!$A$2:$D$83,4,0))</f>
        <v>1.6</v>
      </c>
      <c r="AG43" s="364">
        <f>'Outils de calculs'!AG25</f>
        <v>36</v>
      </c>
      <c r="AH43" s="372">
        <f>IF($C43="","",AG43*VLOOKUP($C43,CHANTIER!$A$2:$D$83,4,0))</f>
        <v>1.8</v>
      </c>
      <c r="AI43" s="364">
        <f>'Outils de calculs'!AI25</f>
        <v>36</v>
      </c>
      <c r="AJ43" s="372">
        <f>IF($C43="","",AI43*VLOOKUP($C43,CHANTIER!$A$2:$D$83,4,0))</f>
        <v>1.8</v>
      </c>
      <c r="AK43" s="364">
        <f>'Outils de calculs'!AK25</f>
        <v>40</v>
      </c>
      <c r="AL43" s="372">
        <f>IF($C43="","",AK43*VLOOKUP($C43,CHANTIER!$A$2:$D$83,4,0))</f>
        <v>2</v>
      </c>
      <c r="AM43" s="364">
        <f>'Outils de calculs'!AM25</f>
        <v>40</v>
      </c>
      <c r="AN43" s="372">
        <f>IF($C43="","",AM43*VLOOKUP($C43,CHANTIER!$A$2:$D$83,4,0))</f>
        <v>2</v>
      </c>
      <c r="AO43" s="225"/>
    </row>
    <row r="44" spans="1:41" ht="15" customHeight="1" x14ac:dyDescent="0.2">
      <c r="A44" s="1554"/>
      <c r="B44" s="361" t="s">
        <v>1159</v>
      </c>
      <c r="C44" s="1403" t="s">
        <v>1235</v>
      </c>
      <c r="D44" s="363" t="str">
        <f>IF(C44="","",VLOOKUP($C44,CHANTIER!$A$2:$C$83,3,0))</f>
        <v>ml</v>
      </c>
      <c r="E44" s="364">
        <f>'Outils de calculs'!E32</f>
        <v>2.5</v>
      </c>
      <c r="F44" s="372">
        <f>IF($C44="","",E44*VLOOKUP($C44,CHANTIER!$A$2:$D$83,4,0))</f>
        <v>3.7499999999999999E-2</v>
      </c>
      <c r="G44" s="364">
        <f>'Outils de calculs'!G32</f>
        <v>3</v>
      </c>
      <c r="H44" s="372">
        <f>IF($C44="","",G44*VLOOKUP($C44,CHANTIER!$A$2:$D$83,4,0))</f>
        <v>4.4999999999999998E-2</v>
      </c>
      <c r="I44" s="364">
        <f>'Outils de calculs'!I32</f>
        <v>4</v>
      </c>
      <c r="J44" s="372">
        <f>IF($C44="","",I44*VLOOKUP($C44,CHANTIER!$A$2:$D$83,4,0))</f>
        <v>0.06</v>
      </c>
      <c r="K44" s="364">
        <f>'Outils de calculs'!K32</f>
        <v>4</v>
      </c>
      <c r="L44" s="372">
        <f>IF($C44="","",K44*VLOOKUP($C44,CHANTIER!$A$2:$D$83,4,0))</f>
        <v>0.06</v>
      </c>
      <c r="M44" s="364">
        <f>'Outils de calculs'!M32</f>
        <v>4</v>
      </c>
      <c r="N44" s="372">
        <f>IF($C44="","",M44*VLOOKUP($C44,CHANTIER!$A$2:$D$83,4,0))</f>
        <v>0.06</v>
      </c>
      <c r="O44" s="364">
        <f>'Outils de calculs'!O32</f>
        <v>4</v>
      </c>
      <c r="P44" s="372">
        <f>IF($C44="","",O44*VLOOKUP($C44,CHANTIER!$A$2:$D$83,4,0))</f>
        <v>0.06</v>
      </c>
      <c r="Q44" s="364">
        <f>'Outils de calculs'!Q32</f>
        <v>4</v>
      </c>
      <c r="R44" s="372">
        <f>IF($C44="","",Q44*VLOOKUP($C44,CHANTIER!$A$2:$D$83,4,0))</f>
        <v>0.06</v>
      </c>
      <c r="S44" s="364">
        <f>'Outils de calculs'!S32</f>
        <v>4.5</v>
      </c>
      <c r="T44" s="372">
        <f>IF($C44="","",S44*VLOOKUP($C44,CHANTIER!$A$2:$D$83,4,0))</f>
        <v>6.7500000000000004E-2</v>
      </c>
      <c r="U44" s="364">
        <f>'Outils de calculs'!U32</f>
        <v>5</v>
      </c>
      <c r="V44" s="372">
        <f>IF($C44="","",U44*VLOOKUP($C44,CHANTIER!$A$2:$D$83,4,0))</f>
        <v>7.4999999999999997E-2</v>
      </c>
      <c r="W44" s="364">
        <f>'Outils de calculs'!W32</f>
        <v>6</v>
      </c>
      <c r="X44" s="372">
        <f>IF($C44="","",W44*VLOOKUP($C44,CHANTIER!$A$2:$D$83,4,0))</f>
        <v>0.09</v>
      </c>
      <c r="Y44" s="364">
        <f>'Outils de calculs'!Y32</f>
        <v>8</v>
      </c>
      <c r="Z44" s="372">
        <f>IF($C44="","",Y44*VLOOKUP($C44,CHANTIER!$A$2:$D$83,4,0))</f>
        <v>0.12</v>
      </c>
      <c r="AA44" s="364">
        <f>'Outils de calculs'!AA32</f>
        <v>8</v>
      </c>
      <c r="AB44" s="372">
        <f>IF($C44="","",AA44*VLOOKUP($C44,CHANTIER!$A$2:$D$83,4,0))</f>
        <v>0.12</v>
      </c>
      <c r="AC44" s="364">
        <f>'Outils de calculs'!AC32</f>
        <v>7</v>
      </c>
      <c r="AD44" s="372">
        <f>IF($C44="","",AC44*VLOOKUP($C44,CHANTIER!$A$2:$D$83,4,0))</f>
        <v>0.105</v>
      </c>
      <c r="AE44" s="364">
        <f>'Outils de calculs'!AE32</f>
        <v>8</v>
      </c>
      <c r="AF44" s="372">
        <f>IF($C44="","",AE44*VLOOKUP($C44,CHANTIER!$A$2:$D$83,4,0))</f>
        <v>0.12</v>
      </c>
      <c r="AG44" s="364">
        <f>'Outils de calculs'!AG32</f>
        <v>8</v>
      </c>
      <c r="AH44" s="372">
        <f>IF($C44="","",AG44*VLOOKUP($C44,CHANTIER!$A$2:$D$83,4,0))</f>
        <v>0.12</v>
      </c>
      <c r="AI44" s="364">
        <f>'Outils de calculs'!AI32</f>
        <v>9</v>
      </c>
      <c r="AJ44" s="372">
        <f>IF($C44="","",AI44*VLOOKUP($C44,CHANTIER!$A$2:$D$83,4,0))</f>
        <v>0.13500000000000001</v>
      </c>
      <c r="AK44" s="364">
        <f>'Outils de calculs'!AK32</f>
        <v>10</v>
      </c>
      <c r="AL44" s="372">
        <f>IF($C44="","",AK44*VLOOKUP($C44,CHANTIER!$A$2:$D$83,4,0))</f>
        <v>0.15</v>
      </c>
      <c r="AM44" s="364">
        <f>'Outils de calculs'!AM32</f>
        <v>8</v>
      </c>
      <c r="AN44" s="372">
        <f>IF($C44="","",AM44*VLOOKUP($C44,CHANTIER!$A$2:$D$83,4,0))</f>
        <v>0.12</v>
      </c>
      <c r="AO44" s="135"/>
    </row>
    <row r="45" spans="1:41" ht="15" customHeight="1" x14ac:dyDescent="0.2">
      <c r="A45" s="1554"/>
      <c r="B45" s="361" t="s">
        <v>1159</v>
      </c>
      <c r="C45" s="1402" t="s">
        <v>1227</v>
      </c>
      <c r="D45" s="363" t="str">
        <f>IF(C45="","",VLOOKUP($C45,CHANTIER!$A$2:$C$83,3,0))</f>
        <v>pc</v>
      </c>
      <c r="E45" s="364">
        <f>1</f>
        <v>1</v>
      </c>
      <c r="F45" s="372">
        <f>IF($C45="","",E45*VLOOKUP($C45,CHANTIER!$A$2:$D$83,4,0))</f>
        <v>0.25</v>
      </c>
      <c r="G45" s="364">
        <f>1</f>
        <v>1</v>
      </c>
      <c r="H45" s="372">
        <f>IF($C45="","",G45*VLOOKUP($C45,CHANTIER!$A$2:$D$83,4,0))</f>
        <v>0.25</v>
      </c>
      <c r="I45" s="364">
        <f>1</f>
        <v>1</v>
      </c>
      <c r="J45" s="372">
        <f>IF($C45="","",I45*VLOOKUP($C45,CHANTIER!$A$2:$D$83,4,0))</f>
        <v>0.25</v>
      </c>
      <c r="K45" s="364">
        <f>1</f>
        <v>1</v>
      </c>
      <c r="L45" s="372">
        <f>IF($C45="","",K45*VLOOKUP($C45,CHANTIER!$A$2:$D$83,4,0))</f>
        <v>0.25</v>
      </c>
      <c r="M45" s="364">
        <f>1</f>
        <v>1</v>
      </c>
      <c r="N45" s="372">
        <f>IF($C45="","",M45*VLOOKUP($C45,CHANTIER!$A$2:$D$83,4,0))</f>
        <v>0.25</v>
      </c>
      <c r="O45" s="364">
        <f>1</f>
        <v>1</v>
      </c>
      <c r="P45" s="372">
        <f>IF($C45="","",O45*VLOOKUP($C45,CHANTIER!$A$2:$D$83,4,0))</f>
        <v>0.25</v>
      </c>
      <c r="Q45" s="364">
        <f>1</f>
        <v>1</v>
      </c>
      <c r="R45" s="372">
        <f>IF($C45="","",Q45*VLOOKUP($C45,CHANTIER!$A$2:$D$83,4,0))</f>
        <v>0.25</v>
      </c>
      <c r="S45" s="364">
        <f>1</f>
        <v>1</v>
      </c>
      <c r="T45" s="372">
        <f>IF($C45="","",S45*VLOOKUP($C45,CHANTIER!$A$2:$D$83,4,0))</f>
        <v>0.25</v>
      </c>
      <c r="U45" s="364">
        <f>1</f>
        <v>1</v>
      </c>
      <c r="V45" s="372">
        <f>IF($C45="","",U45*VLOOKUP($C45,CHANTIER!$A$2:$D$83,4,0))</f>
        <v>0.25</v>
      </c>
      <c r="W45" s="364">
        <f>1</f>
        <v>1</v>
      </c>
      <c r="X45" s="372">
        <f>IF($C45="","",W45*VLOOKUP($C45,CHANTIER!$A$2:$D$83,4,0))</f>
        <v>0.25</v>
      </c>
      <c r="Y45" s="364">
        <f>1</f>
        <v>1</v>
      </c>
      <c r="Z45" s="372">
        <f>IF($C45="","",Y45*VLOOKUP($C45,CHANTIER!$A$2:$D$83,4,0))</f>
        <v>0.25</v>
      </c>
      <c r="AA45" s="364">
        <f>1</f>
        <v>1</v>
      </c>
      <c r="AB45" s="372">
        <f>IF($C45="","",AA45*VLOOKUP($C45,CHANTIER!$A$2:$D$83,4,0))</f>
        <v>0.25</v>
      </c>
      <c r="AC45" s="364">
        <f>1</f>
        <v>1</v>
      </c>
      <c r="AD45" s="372">
        <f>IF($C45="","",AC45*VLOOKUP($C45,CHANTIER!$A$2:$D$83,4,0))</f>
        <v>0.25</v>
      </c>
      <c r="AE45" s="364">
        <f>1</f>
        <v>1</v>
      </c>
      <c r="AF45" s="372">
        <f>IF($C45="","",AE45*VLOOKUP($C45,CHANTIER!$A$2:$D$83,4,0))</f>
        <v>0.25</v>
      </c>
      <c r="AG45" s="364">
        <f>1</f>
        <v>1</v>
      </c>
      <c r="AH45" s="372">
        <f>IF($C45="","",AG45*VLOOKUP($C45,CHANTIER!$A$2:$D$83,4,0))</f>
        <v>0.25</v>
      </c>
      <c r="AI45" s="364">
        <f>1</f>
        <v>1</v>
      </c>
      <c r="AJ45" s="372">
        <f>IF($C45="","",AI45*VLOOKUP($C45,CHANTIER!$A$2:$D$83,4,0))</f>
        <v>0.25</v>
      </c>
      <c r="AK45" s="364">
        <f>1</f>
        <v>1</v>
      </c>
      <c r="AL45" s="372">
        <f>IF($C45="","",AK45*VLOOKUP($C45,CHANTIER!$A$2:$D$83,4,0))</f>
        <v>0.25</v>
      </c>
      <c r="AM45" s="364">
        <f>1</f>
        <v>1</v>
      </c>
      <c r="AN45" s="372">
        <f>IF($C45="","",AM45*VLOOKUP($C45,CHANTIER!$A$2:$D$83,4,0))</f>
        <v>0.25</v>
      </c>
      <c r="AO45" s="135"/>
    </row>
    <row r="46" spans="1:41" ht="15" customHeight="1" x14ac:dyDescent="0.2">
      <c r="A46" s="1554"/>
      <c r="B46" s="361" t="s">
        <v>1159</v>
      </c>
      <c r="C46" s="378"/>
      <c r="D46" s="363" t="str">
        <f>IF(C46="","",VLOOKUP($C46,CHANTIER!$A$2:$C$83,3,0))</f>
        <v/>
      </c>
      <c r="E46" s="364">
        <f>E30</f>
        <v>0</v>
      </c>
      <c r="F46" s="372" t="str">
        <f>IF($C46="","",E46*VLOOKUP($C46,CHANTIER!$A$2:$D$83,4,0))</f>
        <v/>
      </c>
      <c r="G46" s="364">
        <f t="shared" ref="G46" si="0">G30</f>
        <v>0</v>
      </c>
      <c r="H46" s="372" t="str">
        <f>IF($C46="","",G46*VLOOKUP($C46,CHANTIER!$A$2:$D$83,4,0))</f>
        <v/>
      </c>
      <c r="I46" s="364">
        <f t="shared" ref="I46" si="1">I30</f>
        <v>0</v>
      </c>
      <c r="J46" s="372" t="str">
        <f>IF($C46="","",I46*VLOOKUP($C46,CHANTIER!$A$2:$D$83,4,0))</f>
        <v/>
      </c>
      <c r="K46" s="364">
        <f t="shared" ref="K46" si="2">K30</f>
        <v>0</v>
      </c>
      <c r="L46" s="372" t="str">
        <f>IF($C46="","",K46*VLOOKUP($C46,CHANTIER!$A$2:$D$83,4,0))</f>
        <v/>
      </c>
      <c r="M46" s="364">
        <f t="shared" ref="M46" si="3">M30</f>
        <v>0</v>
      </c>
      <c r="N46" s="372" t="str">
        <f>IF($C46="","",M46*VLOOKUP($C46,CHANTIER!$A$2:$D$83,4,0))</f>
        <v/>
      </c>
      <c r="O46" s="364">
        <f t="shared" ref="O46" si="4">O30</f>
        <v>0</v>
      </c>
      <c r="P46" s="372" t="str">
        <f>IF($C46="","",O46*VLOOKUP($C46,CHANTIER!$A$2:$D$83,4,0))</f>
        <v/>
      </c>
      <c r="Q46" s="364">
        <f t="shared" ref="Q46" si="5">Q30</f>
        <v>0</v>
      </c>
      <c r="R46" s="372" t="str">
        <f>IF($C46="","",Q46*VLOOKUP($C46,CHANTIER!$A$2:$D$83,4,0))</f>
        <v/>
      </c>
      <c r="S46" s="364">
        <f t="shared" ref="S46" si="6">S30</f>
        <v>0</v>
      </c>
      <c r="T46" s="372" t="str">
        <f>IF($C46="","",S46*VLOOKUP($C46,CHANTIER!$A$2:$D$83,4,0))</f>
        <v/>
      </c>
      <c r="U46" s="364">
        <f t="shared" ref="U46" si="7">U30</f>
        <v>0</v>
      </c>
      <c r="V46" s="372" t="str">
        <f>IF($C46="","",U46*VLOOKUP($C46,CHANTIER!$A$2:$D$83,4,0))</f>
        <v/>
      </c>
      <c r="W46" s="364">
        <f t="shared" ref="W46" si="8">W30</f>
        <v>0</v>
      </c>
      <c r="X46" s="372" t="str">
        <f>IF($C46="","",W46*VLOOKUP($C46,CHANTIER!$A$2:$D$83,4,0))</f>
        <v/>
      </c>
      <c r="Y46" s="364">
        <f t="shared" ref="Y46" si="9">Y30</f>
        <v>0</v>
      </c>
      <c r="Z46" s="372" t="str">
        <f>IF($C46="","",Y46*VLOOKUP($C46,CHANTIER!$A$2:$D$83,4,0))</f>
        <v/>
      </c>
      <c r="AA46" s="364">
        <f t="shared" ref="AA46" si="10">AA30</f>
        <v>0</v>
      </c>
      <c r="AB46" s="372" t="str">
        <f>IF($C46="","",AA46*VLOOKUP($C46,CHANTIER!$A$2:$D$83,4,0))</f>
        <v/>
      </c>
      <c r="AC46" s="364">
        <f t="shared" ref="AC46" si="11">AC30</f>
        <v>0</v>
      </c>
      <c r="AD46" s="372" t="str">
        <f>IF($C46="","",AC46*VLOOKUP($C46,CHANTIER!$A$2:$D$83,4,0))</f>
        <v/>
      </c>
      <c r="AE46" s="364">
        <f t="shared" ref="AE46" si="12">AE30</f>
        <v>0</v>
      </c>
      <c r="AF46" s="372" t="str">
        <f>IF($C46="","",AE46*VLOOKUP($C46,CHANTIER!$A$2:$D$83,4,0))</f>
        <v/>
      </c>
      <c r="AG46" s="364">
        <f t="shared" ref="AG46" si="13">AG30</f>
        <v>0</v>
      </c>
      <c r="AH46" s="372" t="str">
        <f>IF($C46="","",AG46*VLOOKUP($C46,CHANTIER!$A$2:$D$83,4,0))</f>
        <v/>
      </c>
      <c r="AI46" s="364">
        <f t="shared" ref="AI46" si="14">AI30</f>
        <v>0</v>
      </c>
      <c r="AJ46" s="372" t="str">
        <f>IF($C46="","",AI46*VLOOKUP($C46,CHANTIER!$A$2:$D$83,4,0))</f>
        <v/>
      </c>
      <c r="AK46" s="364">
        <f t="shared" ref="AK46" si="15">AK30</f>
        <v>0</v>
      </c>
      <c r="AL46" s="372" t="str">
        <f>IF($C46="","",AK46*VLOOKUP($C46,CHANTIER!$A$2:$D$83,4,0))</f>
        <v/>
      </c>
      <c r="AM46" s="364">
        <f t="shared" ref="AM46" si="16">AM30</f>
        <v>0</v>
      </c>
      <c r="AN46" s="372" t="str">
        <f>IF($C46="","",AM46*VLOOKUP($C46,CHANTIER!$A$2:$D$83,4,0))</f>
        <v/>
      </c>
      <c r="AO46" s="135"/>
    </row>
    <row r="47" spans="1:41" ht="30.75" customHeight="1" x14ac:dyDescent="0.2">
      <c r="A47" s="1554"/>
      <c r="B47" s="379" t="s">
        <v>453</v>
      </c>
      <c r="C47" s="380" t="s">
        <v>450</v>
      </c>
      <c r="D47" s="381" t="s">
        <v>451</v>
      </c>
      <c r="E47" s="382">
        <f>F47*Simulation!$P$9</f>
        <v>146.13750000000002</v>
      </c>
      <c r="F47" s="383">
        <f>SUM(F36:F46)</f>
        <v>3.2475000000000005</v>
      </c>
      <c r="G47" s="382">
        <f>H47*Simulation!$P$9</f>
        <v>191.47499999999999</v>
      </c>
      <c r="H47" s="383">
        <f>SUM(H36:H46)</f>
        <v>4.2549999999999999</v>
      </c>
      <c r="I47" s="382">
        <f>J47*Simulation!$P$9</f>
        <v>233.55</v>
      </c>
      <c r="J47" s="383">
        <f>SUM(J36:J46)</f>
        <v>5.19</v>
      </c>
      <c r="K47" s="382">
        <f>L47*Simulation!$P$9</f>
        <v>279.45</v>
      </c>
      <c r="L47" s="383">
        <f>SUM(L36:L46)</f>
        <v>6.21</v>
      </c>
      <c r="M47" s="382">
        <f>N47*Simulation!$P$9</f>
        <v>325.34999999999997</v>
      </c>
      <c r="N47" s="383">
        <f>SUM(N36:N46)</f>
        <v>7.2299999999999995</v>
      </c>
      <c r="O47" s="382">
        <f>P47*Simulation!$P$9</f>
        <v>371.25</v>
      </c>
      <c r="P47" s="383">
        <f>SUM(P36:P46)</f>
        <v>8.25</v>
      </c>
      <c r="Q47" s="382">
        <f>R47*Simulation!$P$9</f>
        <v>417.15000000000003</v>
      </c>
      <c r="R47" s="383">
        <f>SUM(R36:R46)</f>
        <v>9.2700000000000014</v>
      </c>
      <c r="S47" s="382">
        <f>T47*Simulation!$P$9</f>
        <v>458.88749999999999</v>
      </c>
      <c r="T47" s="383">
        <f>SUM(T36:T46)</f>
        <v>10.1975</v>
      </c>
      <c r="U47" s="382">
        <f>V47*Simulation!$P$9</f>
        <v>500.62499999999994</v>
      </c>
      <c r="V47" s="383">
        <f>SUM(V36:V46)</f>
        <v>11.124999999999998</v>
      </c>
      <c r="W47" s="382">
        <f>X47*Simulation!$P$9</f>
        <v>584.09999999999991</v>
      </c>
      <c r="X47" s="383">
        <f>SUM(X36:X46)</f>
        <v>12.979999999999997</v>
      </c>
      <c r="Y47" s="382">
        <f>Z47*Simulation!$P$9</f>
        <v>576.44999999999982</v>
      </c>
      <c r="Z47" s="383">
        <f>SUM(Z36:Z46)</f>
        <v>12.809999999999997</v>
      </c>
      <c r="AA47" s="382">
        <f>AB47*Simulation!$P$9</f>
        <v>663.75</v>
      </c>
      <c r="AB47" s="383">
        <f>SUM(AB36:AB46)</f>
        <v>14.75</v>
      </c>
      <c r="AC47" s="382">
        <f>AD47*Simulation!$P$9</f>
        <v>667.57500000000005</v>
      </c>
      <c r="AD47" s="383">
        <f>SUM(AD36:AD46)</f>
        <v>14.835000000000001</v>
      </c>
      <c r="AE47" s="382">
        <f>AF47*Simulation!$P$9</f>
        <v>751.05000000000007</v>
      </c>
      <c r="AF47" s="383">
        <f>SUM(AF36:AF46)</f>
        <v>16.690000000000001</v>
      </c>
      <c r="AG47" s="382">
        <f>AH47*Simulation!$P$9</f>
        <v>838.35000000000014</v>
      </c>
      <c r="AH47" s="383">
        <f>SUM(AH36:AH46)</f>
        <v>18.630000000000003</v>
      </c>
      <c r="AI47" s="382">
        <f>AJ47*Simulation!$P$9</f>
        <v>834.52500000000009</v>
      </c>
      <c r="AJ47" s="383">
        <f>SUM(AJ36:AJ46)</f>
        <v>18.545000000000002</v>
      </c>
      <c r="AK47" s="382">
        <f>AL47*Simulation!$P$9</f>
        <v>917.99999999999989</v>
      </c>
      <c r="AL47" s="383">
        <f>SUM(AL36:AL46)</f>
        <v>20.399999999999999</v>
      </c>
      <c r="AM47" s="382">
        <f>AN47*Simulation!$P$9</f>
        <v>925.65</v>
      </c>
      <c r="AN47" s="383">
        <f>SUM(AN36:AN46)</f>
        <v>20.57</v>
      </c>
      <c r="AO47" s="135"/>
    </row>
    <row r="48" spans="1:41" ht="15" customHeight="1" x14ac:dyDescent="0.2">
      <c r="A48" s="1559" t="s">
        <v>4</v>
      </c>
      <c r="B48" s="361" t="s">
        <v>371</v>
      </c>
      <c r="C48" s="1403" t="s">
        <v>370</v>
      </c>
      <c r="D48" s="363" t="str">
        <f>IF(C48="","",VLOOKUP($C48,MINIPELLE!$A$2:$C$28,3,0))</f>
        <v>m²</v>
      </c>
      <c r="E48" s="364">
        <f>'Outils de calculs'!E25</f>
        <v>4</v>
      </c>
      <c r="F48" s="372">
        <f>IF($C48="","",E48*VLOOKUP($C48,MINIPELLE!$A$2:$D$28,4,0))</f>
        <v>0.2</v>
      </c>
      <c r="G48" s="364">
        <f>'Outils de calculs'!G25</f>
        <v>6</v>
      </c>
      <c r="H48" s="372">
        <f>IF($C48="","",G48*VLOOKUP($C48,MINIPELLE!$A$2:$D$28,4,0))</f>
        <v>0.30000000000000004</v>
      </c>
      <c r="I48" s="364">
        <f>'Outils de calculs'!I25</f>
        <v>8</v>
      </c>
      <c r="J48" s="372">
        <f>IF($C48="","",I48*VLOOKUP($C48,MINIPELLE!$A$2:$D$28,4,0))</f>
        <v>0.4</v>
      </c>
      <c r="K48" s="364">
        <f>'Outils de calculs'!K25</f>
        <v>10</v>
      </c>
      <c r="L48" s="372">
        <f>IF($C48="","",K48*VLOOKUP($C48,MINIPELLE!$A$2:$D$28,4,0))</f>
        <v>0.5</v>
      </c>
      <c r="M48" s="364">
        <f>'Outils de calculs'!M25</f>
        <v>12</v>
      </c>
      <c r="N48" s="372">
        <f>IF($C48="","",M48*VLOOKUP($C48,MINIPELLE!$A$2:$D$28,4,0))</f>
        <v>0.60000000000000009</v>
      </c>
      <c r="O48" s="364">
        <f>'Outils de calculs'!O25</f>
        <v>14</v>
      </c>
      <c r="P48" s="372">
        <f>IF($C48="","",O48*VLOOKUP($C48,MINIPELLE!$A$2:$D$28,4,0))</f>
        <v>0.70000000000000007</v>
      </c>
      <c r="Q48" s="364">
        <f>'Outils de calculs'!Q25</f>
        <v>16</v>
      </c>
      <c r="R48" s="372">
        <f>IF($C48="","",Q48*VLOOKUP($C48,MINIPELLE!$A$2:$D$28,4,0))</f>
        <v>0.8</v>
      </c>
      <c r="S48" s="364">
        <f>'Outils de calculs'!S25</f>
        <v>18</v>
      </c>
      <c r="T48" s="372">
        <f>IF($C48="","",S48*VLOOKUP($C48,MINIPELLE!$A$2:$D$28,4,0))</f>
        <v>0.9</v>
      </c>
      <c r="U48" s="364">
        <f>'Outils de calculs'!U25</f>
        <v>20</v>
      </c>
      <c r="V48" s="372">
        <f>IF($C48="","",U48*VLOOKUP($C48,MINIPELLE!$A$2:$D$28,4,0))</f>
        <v>1</v>
      </c>
      <c r="W48" s="364">
        <f>'Outils de calculs'!W25</f>
        <v>24</v>
      </c>
      <c r="X48" s="372">
        <f>IF($C48="","",W48*VLOOKUP($C48,MINIPELLE!$A$2:$D$28,4,0))</f>
        <v>1.2000000000000002</v>
      </c>
      <c r="Y48" s="364">
        <f>'Outils de calculs'!Y25</f>
        <v>24</v>
      </c>
      <c r="Z48" s="372">
        <f>IF($C48="","",Y48*VLOOKUP($C48,MINIPELLE!$A$2:$D$28,4,0))</f>
        <v>1.2000000000000002</v>
      </c>
      <c r="AA48" s="364">
        <f>'Outils de calculs'!AA25</f>
        <v>28</v>
      </c>
      <c r="AB48" s="372">
        <f>IF($C48="","",AA48*VLOOKUP($C48,MINIPELLE!$A$2:$D$28,4,0))</f>
        <v>1.4000000000000001</v>
      </c>
      <c r="AC48" s="364">
        <f>'Outils de calculs'!AC25</f>
        <v>28</v>
      </c>
      <c r="AD48" s="372">
        <f>IF($C48="","",AC48*VLOOKUP($C48,MINIPELLE!$A$2:$D$28,4,0))</f>
        <v>1.4000000000000001</v>
      </c>
      <c r="AE48" s="364">
        <f>'Outils de calculs'!AE25</f>
        <v>32</v>
      </c>
      <c r="AF48" s="372">
        <f>IF($C48="","",AE48*VLOOKUP($C48,MINIPELLE!$A$2:$D$28,4,0))</f>
        <v>1.6</v>
      </c>
      <c r="AG48" s="364">
        <f>'Outils de calculs'!AG25</f>
        <v>36</v>
      </c>
      <c r="AH48" s="372">
        <f>IF($C48="","",AG48*VLOOKUP($C48,MINIPELLE!$A$2:$D$28,4,0))</f>
        <v>1.8</v>
      </c>
      <c r="AI48" s="364">
        <f>'Outils de calculs'!AI25</f>
        <v>36</v>
      </c>
      <c r="AJ48" s="372">
        <f>IF($C48="","",AI48*VLOOKUP($C48,MINIPELLE!$A$2:$D$28,4,0))</f>
        <v>1.8</v>
      </c>
      <c r="AK48" s="364">
        <f>'Outils de calculs'!AK25</f>
        <v>40</v>
      </c>
      <c r="AL48" s="372">
        <f>IF($C48="","",AK48*VLOOKUP($C48,MINIPELLE!$A$2:$D$28,4,0))</f>
        <v>2</v>
      </c>
      <c r="AM48" s="364">
        <f>'Outils de calculs'!AM25</f>
        <v>40</v>
      </c>
      <c r="AN48" s="372">
        <f>IF($C48="","",AM48*VLOOKUP($C48,MINIPELLE!$A$2:$D$28,4,0))</f>
        <v>2</v>
      </c>
      <c r="AO48" s="135"/>
    </row>
    <row r="49" spans="1:45" ht="15" customHeight="1" x14ac:dyDescent="0.2">
      <c r="A49" s="1560"/>
      <c r="B49" s="361" t="s">
        <v>374</v>
      </c>
      <c r="C49" s="1403" t="s">
        <v>373</v>
      </c>
      <c r="D49" s="363" t="str">
        <f>IF(C49="","",VLOOKUP($C49,MINIPELLE!$A$2:$C$28,3,0))</f>
        <v>m²</v>
      </c>
      <c r="E49" s="364">
        <f>'Outils de calculs'!E25</f>
        <v>4</v>
      </c>
      <c r="F49" s="389">
        <f>IF($C49="","",E49*VLOOKUP($C49,MINIPELLE!$A$2:$D$28,4,0))</f>
        <v>0.2</v>
      </c>
      <c r="G49" s="364">
        <f>'Outils de calculs'!G25</f>
        <v>6</v>
      </c>
      <c r="H49" s="389">
        <f>IF($C49="","",G49*VLOOKUP($C49,MINIPELLE!$A$2:$D$28,4,0))</f>
        <v>0.30000000000000004</v>
      </c>
      <c r="I49" s="364">
        <f>'Outils de calculs'!I25</f>
        <v>8</v>
      </c>
      <c r="J49" s="389">
        <f>IF($C49="","",I49*VLOOKUP($C49,MINIPELLE!$A$2:$D$28,4,0))</f>
        <v>0.4</v>
      </c>
      <c r="K49" s="364">
        <f>'Outils de calculs'!K25</f>
        <v>10</v>
      </c>
      <c r="L49" s="389">
        <f>IF($C49="","",K49*VLOOKUP($C49,MINIPELLE!$A$2:$D$28,4,0))</f>
        <v>0.5</v>
      </c>
      <c r="M49" s="364">
        <f>'Outils de calculs'!M25</f>
        <v>12</v>
      </c>
      <c r="N49" s="389">
        <f>IF($C49="","",M49*VLOOKUP($C49,MINIPELLE!$A$2:$D$28,4,0))</f>
        <v>0.60000000000000009</v>
      </c>
      <c r="O49" s="364">
        <f>'Outils de calculs'!O25</f>
        <v>14</v>
      </c>
      <c r="P49" s="389">
        <f>IF($C49="","",O49*VLOOKUP($C49,MINIPELLE!$A$2:$D$28,4,0))</f>
        <v>0.70000000000000007</v>
      </c>
      <c r="Q49" s="364">
        <f>'Outils de calculs'!Q25</f>
        <v>16</v>
      </c>
      <c r="R49" s="389">
        <f>IF($C49="","",Q49*VLOOKUP($C49,MINIPELLE!$A$2:$D$28,4,0))</f>
        <v>0.8</v>
      </c>
      <c r="S49" s="364">
        <f>'Outils de calculs'!S25</f>
        <v>18</v>
      </c>
      <c r="T49" s="389">
        <f>IF($C49="","",S49*VLOOKUP($C49,MINIPELLE!$A$2:$D$28,4,0))</f>
        <v>0.9</v>
      </c>
      <c r="U49" s="364">
        <f>'Outils de calculs'!U25</f>
        <v>20</v>
      </c>
      <c r="V49" s="389">
        <f>IF($C49="","",U49*VLOOKUP($C49,MINIPELLE!$A$2:$D$28,4,0))</f>
        <v>1</v>
      </c>
      <c r="W49" s="364">
        <f>'Outils de calculs'!W25</f>
        <v>24</v>
      </c>
      <c r="X49" s="389">
        <f>IF($C49="","",W49*VLOOKUP($C49,MINIPELLE!$A$2:$D$28,4,0))</f>
        <v>1.2000000000000002</v>
      </c>
      <c r="Y49" s="364">
        <f>'Outils de calculs'!Y25</f>
        <v>24</v>
      </c>
      <c r="Z49" s="389">
        <f>IF($C49="","",Y49*VLOOKUP($C49,MINIPELLE!$A$2:$D$28,4,0))</f>
        <v>1.2000000000000002</v>
      </c>
      <c r="AA49" s="364">
        <f>'Outils de calculs'!AA25</f>
        <v>28</v>
      </c>
      <c r="AB49" s="389">
        <f>IF($C49="","",AA49*VLOOKUP($C49,MINIPELLE!$A$2:$D$28,4,0))</f>
        <v>1.4000000000000001</v>
      </c>
      <c r="AC49" s="364">
        <f>'Outils de calculs'!AC25</f>
        <v>28</v>
      </c>
      <c r="AD49" s="389">
        <f>IF($C49="","",AC49*VLOOKUP($C49,MINIPELLE!$A$2:$D$28,4,0))</f>
        <v>1.4000000000000001</v>
      </c>
      <c r="AE49" s="364">
        <f>'Outils de calculs'!AE25</f>
        <v>32</v>
      </c>
      <c r="AF49" s="389">
        <f>IF($C49="","",AE49*VLOOKUP($C49,MINIPELLE!$A$2:$D$28,4,0))</f>
        <v>1.6</v>
      </c>
      <c r="AG49" s="364">
        <f>'Outils de calculs'!AG25</f>
        <v>36</v>
      </c>
      <c r="AH49" s="389">
        <f>IF($C49="","",AG49*VLOOKUP($C49,MINIPELLE!$A$2:$D$28,4,0))</f>
        <v>1.8</v>
      </c>
      <c r="AI49" s="364">
        <f>'Outils de calculs'!AI25</f>
        <v>36</v>
      </c>
      <c r="AJ49" s="389">
        <f>IF($C49="","",AI49*VLOOKUP($C49,MINIPELLE!$A$2:$D$28,4,0))</f>
        <v>1.8</v>
      </c>
      <c r="AK49" s="364">
        <f>'Outils de calculs'!AK25</f>
        <v>40</v>
      </c>
      <c r="AL49" s="389">
        <f>IF($C49="","",AK49*VLOOKUP($C49,MINIPELLE!$A$2:$D$28,4,0))</f>
        <v>2</v>
      </c>
      <c r="AM49" s="364">
        <f>'Outils de calculs'!AM25</f>
        <v>40</v>
      </c>
      <c r="AN49" s="389">
        <f>IF($C49="","",AM49*VLOOKUP($C49,MINIPELLE!$A$2:$D$28,4,0))</f>
        <v>2</v>
      </c>
      <c r="AO49" s="135"/>
    </row>
    <row r="50" spans="1:45" ht="15" customHeight="1" x14ac:dyDescent="0.2">
      <c r="A50" s="1560"/>
      <c r="B50" s="361" t="s">
        <v>374</v>
      </c>
      <c r="C50" s="1403" t="s">
        <v>379</v>
      </c>
      <c r="D50" s="363" t="str">
        <f>IF(C50="","",VLOOKUP($C50,MINIPELLE!$A$2:$C$28,3,0))</f>
        <v>m3</v>
      </c>
      <c r="E50" s="364">
        <f>'Outils de calculs'!E25*0.6</f>
        <v>2.4</v>
      </c>
      <c r="F50" s="389">
        <f>IF($C50="","",E50*VLOOKUP($C50,MINIPELLE!$A$2:$D$28,4,0))</f>
        <v>0.72</v>
      </c>
      <c r="G50" s="364">
        <f>'Outils de calculs'!G25*0.6</f>
        <v>3.5999999999999996</v>
      </c>
      <c r="H50" s="389">
        <f>IF($C50="","",G50*VLOOKUP($C50,MINIPELLE!$A$2:$D$28,4,0))</f>
        <v>1.0799999999999998</v>
      </c>
      <c r="I50" s="364">
        <f>'Outils de calculs'!I25*0.6</f>
        <v>4.8</v>
      </c>
      <c r="J50" s="389">
        <f>IF($C50="","",I50*VLOOKUP($C50,MINIPELLE!$A$2:$D$28,4,0))</f>
        <v>1.44</v>
      </c>
      <c r="K50" s="364">
        <f>'Outils de calculs'!K25*0.6</f>
        <v>6</v>
      </c>
      <c r="L50" s="389">
        <f>IF($C50="","",K50*VLOOKUP($C50,MINIPELLE!$A$2:$D$28,4,0))</f>
        <v>1.7999999999999998</v>
      </c>
      <c r="M50" s="364">
        <f>'Outils de calculs'!M25*0.6</f>
        <v>7.1999999999999993</v>
      </c>
      <c r="N50" s="389">
        <f>IF($C50="","",M50*VLOOKUP($C50,MINIPELLE!$A$2:$D$28,4,0))</f>
        <v>2.1599999999999997</v>
      </c>
      <c r="O50" s="364">
        <f>'Outils de calculs'!O25*0.6</f>
        <v>8.4</v>
      </c>
      <c r="P50" s="389">
        <f>IF($C50="","",O50*VLOOKUP($C50,MINIPELLE!$A$2:$D$28,4,0))</f>
        <v>2.52</v>
      </c>
      <c r="Q50" s="364">
        <f>'Outils de calculs'!Q25*0.6</f>
        <v>9.6</v>
      </c>
      <c r="R50" s="389">
        <f>IF($C50="","",Q50*VLOOKUP($C50,MINIPELLE!$A$2:$D$28,4,0))</f>
        <v>2.88</v>
      </c>
      <c r="S50" s="364">
        <f>'Outils de calculs'!S25*0.6</f>
        <v>10.799999999999999</v>
      </c>
      <c r="T50" s="389">
        <f>IF($C50="","",S50*VLOOKUP($C50,MINIPELLE!$A$2:$D$28,4,0))</f>
        <v>3.2399999999999998</v>
      </c>
      <c r="U50" s="364">
        <f>'Outils de calculs'!U25*0.6</f>
        <v>12</v>
      </c>
      <c r="V50" s="389">
        <f>IF($C50="","",U50*VLOOKUP($C50,MINIPELLE!$A$2:$D$28,4,0))</f>
        <v>3.5999999999999996</v>
      </c>
      <c r="W50" s="364">
        <f>'Outils de calculs'!W25*0.6</f>
        <v>14.399999999999999</v>
      </c>
      <c r="X50" s="389">
        <f>IF($C50="","",W50*VLOOKUP($C50,MINIPELLE!$A$2:$D$28,4,0))</f>
        <v>4.3199999999999994</v>
      </c>
      <c r="Y50" s="364">
        <f>'Outils de calculs'!Y25*0.6</f>
        <v>14.399999999999999</v>
      </c>
      <c r="Z50" s="389">
        <f>IF($C50="","",Y50*VLOOKUP($C50,MINIPELLE!$A$2:$D$28,4,0))</f>
        <v>4.3199999999999994</v>
      </c>
      <c r="AA50" s="364">
        <f>'Outils de calculs'!AA25*0.6</f>
        <v>16.8</v>
      </c>
      <c r="AB50" s="389">
        <f>IF($C50="","",AA50*VLOOKUP($C50,MINIPELLE!$A$2:$D$28,4,0))</f>
        <v>5.04</v>
      </c>
      <c r="AC50" s="364">
        <f>'Outils de calculs'!AC25*0.6</f>
        <v>16.8</v>
      </c>
      <c r="AD50" s="389">
        <f>IF($C50="","",AC50*VLOOKUP($C50,MINIPELLE!$A$2:$D$28,4,0))</f>
        <v>5.04</v>
      </c>
      <c r="AE50" s="364">
        <f>'Outils de calculs'!AE25*0.6</f>
        <v>19.2</v>
      </c>
      <c r="AF50" s="389">
        <f>IF($C50="","",AE50*VLOOKUP($C50,MINIPELLE!$A$2:$D$28,4,0))</f>
        <v>5.76</v>
      </c>
      <c r="AG50" s="364">
        <f>'Outils de calculs'!AG25*0.6</f>
        <v>21.599999999999998</v>
      </c>
      <c r="AH50" s="389">
        <f>IF($C50="","",AG50*VLOOKUP($C50,MINIPELLE!$A$2:$D$28,4,0))</f>
        <v>6.4799999999999995</v>
      </c>
      <c r="AI50" s="364">
        <f>'Outils de calculs'!AI25*0.6</f>
        <v>21.599999999999998</v>
      </c>
      <c r="AJ50" s="389">
        <f>IF($C50="","",AI50*VLOOKUP($C50,MINIPELLE!$A$2:$D$28,4,0))</f>
        <v>6.4799999999999995</v>
      </c>
      <c r="AK50" s="364">
        <f>'Outils de calculs'!AK25*0.6</f>
        <v>24</v>
      </c>
      <c r="AL50" s="389">
        <f>IF($C50="","",AK50*VLOOKUP($C50,MINIPELLE!$A$2:$D$28,4,0))</f>
        <v>7.1999999999999993</v>
      </c>
      <c r="AM50" s="364">
        <f>'Outils de calculs'!AM25*0.6</f>
        <v>24</v>
      </c>
      <c r="AN50" s="389">
        <f>IF($C50="","",AM50*VLOOKUP($C50,MINIPELLE!$A$2:$D$28,4,0))</f>
        <v>7.1999999999999993</v>
      </c>
      <c r="AO50" s="135"/>
    </row>
    <row r="51" spans="1:45" ht="15" customHeight="1" x14ac:dyDescent="0.2">
      <c r="A51" s="1560"/>
      <c r="B51" s="361" t="s">
        <v>1067</v>
      </c>
      <c r="C51" s="1403" t="s">
        <v>405</v>
      </c>
      <c r="D51" s="363" t="str">
        <f>IF(C51="","",VLOOKUP($C51,MINIPELLE!$A$2:$C$28,3,0))</f>
        <v>ml</v>
      </c>
      <c r="E51" s="364">
        <f>'Outils de calculs'!E31</f>
        <v>1.6</v>
      </c>
      <c r="F51" s="389">
        <f>IF($C51="","",E51*VLOOKUP($C51,MINIPELLE!$A$2:$D$28,4,0))</f>
        <v>0.128</v>
      </c>
      <c r="G51" s="364">
        <f>'Outils de calculs'!G31</f>
        <v>2</v>
      </c>
      <c r="H51" s="389">
        <f>IF($C51="","",G51*VLOOKUP($C51,MINIPELLE!$A$2:$D$28,4,0))</f>
        <v>0.16</v>
      </c>
      <c r="I51" s="364">
        <f>'Outils de calculs'!I31</f>
        <v>2</v>
      </c>
      <c r="J51" s="389">
        <f>IF($C51="","",I51*VLOOKUP($C51,MINIPELLE!$A$2:$D$28,4,0))</f>
        <v>0.16</v>
      </c>
      <c r="K51" s="364">
        <f>'Outils de calculs'!K31</f>
        <v>2.5</v>
      </c>
      <c r="L51" s="389">
        <f>IF($C51="","",K51*VLOOKUP($C51,MINIPELLE!$A$2:$D$28,4,0))</f>
        <v>0.2</v>
      </c>
      <c r="M51" s="364">
        <f>'Outils de calculs'!M31</f>
        <v>3</v>
      </c>
      <c r="N51" s="389">
        <f>IF($C51="","",M51*VLOOKUP($C51,MINIPELLE!$A$2:$D$28,4,0))</f>
        <v>0.24</v>
      </c>
      <c r="O51" s="364">
        <f>'Outils de calculs'!O31</f>
        <v>3.5</v>
      </c>
      <c r="P51" s="389">
        <f>IF($C51="","",O51*VLOOKUP($C51,MINIPELLE!$A$2:$D$28,4,0))</f>
        <v>0.28000000000000003</v>
      </c>
      <c r="Q51" s="364">
        <f>'Outils de calculs'!Q31</f>
        <v>4</v>
      </c>
      <c r="R51" s="389">
        <f>IF($C51="","",Q51*VLOOKUP($C51,MINIPELLE!$A$2:$D$28,4,0))</f>
        <v>0.32</v>
      </c>
      <c r="S51" s="364">
        <f>'Outils de calculs'!S31</f>
        <v>4</v>
      </c>
      <c r="T51" s="389">
        <f>IF($C51="","",S51*VLOOKUP($C51,MINIPELLE!$A$2:$D$28,4,0))</f>
        <v>0.32</v>
      </c>
      <c r="U51" s="364">
        <f>'Outils de calculs'!U31</f>
        <v>4</v>
      </c>
      <c r="V51" s="389">
        <f>IF($C51="","",U51*VLOOKUP($C51,MINIPELLE!$A$2:$D$28,4,0))</f>
        <v>0.32</v>
      </c>
      <c r="W51" s="364">
        <f>'Outils de calculs'!W31</f>
        <v>4</v>
      </c>
      <c r="X51" s="389">
        <f>IF($C51="","",W51*VLOOKUP($C51,MINIPELLE!$A$2:$D$28,4,0))</f>
        <v>0.32</v>
      </c>
      <c r="Y51" s="364">
        <f>'Outils de calculs'!Y31</f>
        <v>3</v>
      </c>
      <c r="Z51" s="389">
        <f>IF($C51="","",Y51*VLOOKUP($C51,MINIPELLE!$A$2:$D$28,4,0))</f>
        <v>0.24</v>
      </c>
      <c r="AA51" s="364">
        <f>'Outils de calculs'!AA31</f>
        <v>3.5</v>
      </c>
      <c r="AB51" s="389">
        <f>IF($C51="","",AA51*VLOOKUP($C51,MINIPELLE!$A$2:$D$28,4,0))</f>
        <v>0.28000000000000003</v>
      </c>
      <c r="AC51" s="364">
        <f>'Outils de calculs'!AC31</f>
        <v>4</v>
      </c>
      <c r="AD51" s="389">
        <f>IF($C51="","",AC51*VLOOKUP($C51,MINIPELLE!$A$2:$D$28,4,0))</f>
        <v>0.32</v>
      </c>
      <c r="AE51" s="364">
        <f>'Outils de calculs'!AE31</f>
        <v>4</v>
      </c>
      <c r="AF51" s="389">
        <f>IF($C51="","",AE51*VLOOKUP($C51,MINIPELLE!$A$2:$D$28,4,0))</f>
        <v>0.32</v>
      </c>
      <c r="AG51" s="364">
        <f>'Outils de calculs'!AG31</f>
        <v>4.5</v>
      </c>
      <c r="AH51" s="389">
        <f>IF($C51="","",AG51*VLOOKUP($C51,MINIPELLE!$A$2:$D$28,4,0))</f>
        <v>0.36</v>
      </c>
      <c r="AI51" s="364">
        <f>'Outils de calculs'!AI31</f>
        <v>4</v>
      </c>
      <c r="AJ51" s="389">
        <f>IF($C51="","",AI51*VLOOKUP($C51,MINIPELLE!$A$2:$D$28,4,0))</f>
        <v>0.32</v>
      </c>
      <c r="AK51" s="364">
        <f>'Outils de calculs'!AK31</f>
        <v>4</v>
      </c>
      <c r="AL51" s="389">
        <f>IF($C51="","",AK51*VLOOKUP($C51,MINIPELLE!$A$2:$D$28,4,0))</f>
        <v>0.32</v>
      </c>
      <c r="AM51" s="364">
        <f>'Outils de calculs'!AM31</f>
        <v>5</v>
      </c>
      <c r="AN51" s="389">
        <f>IF($C51="","",AM51*VLOOKUP($C51,MINIPELLE!$A$2:$D$28,4,0))</f>
        <v>0.4</v>
      </c>
      <c r="AO51" s="135"/>
    </row>
    <row r="52" spans="1:45" ht="29.25" customHeight="1" x14ac:dyDescent="0.2">
      <c r="A52" s="1560"/>
      <c r="B52" s="384" t="s">
        <v>454</v>
      </c>
      <c r="C52" s="385" t="s">
        <v>455</v>
      </c>
      <c r="D52" s="386" t="s">
        <v>451</v>
      </c>
      <c r="E52" s="387">
        <f>F52*Simulation!$P$10</f>
        <v>99.840000000000018</v>
      </c>
      <c r="F52" s="388">
        <f>SUM(F48:F51)</f>
        <v>1.2480000000000002</v>
      </c>
      <c r="G52" s="387">
        <f>H52*Simulation!$P$10</f>
        <v>147.19999999999999</v>
      </c>
      <c r="H52" s="388">
        <f>SUM(H48:H51)</f>
        <v>1.8399999999999999</v>
      </c>
      <c r="I52" s="387">
        <f>J52*Simulation!$P$10</f>
        <v>192.00000000000003</v>
      </c>
      <c r="J52" s="388">
        <f>SUM(J48:J51)</f>
        <v>2.4000000000000004</v>
      </c>
      <c r="K52" s="387">
        <f>L52*Simulation!$P$10</f>
        <v>240</v>
      </c>
      <c r="L52" s="388">
        <f>SUM(L48:L51)</f>
        <v>3</v>
      </c>
      <c r="M52" s="387">
        <f>N52*Simulation!$P$10</f>
        <v>288</v>
      </c>
      <c r="N52" s="388">
        <f>SUM(N48:N51)</f>
        <v>3.5999999999999996</v>
      </c>
      <c r="O52" s="387">
        <f>P52*Simulation!$P$10</f>
        <v>336</v>
      </c>
      <c r="P52" s="388">
        <f>SUM(P48:P51)</f>
        <v>4.2</v>
      </c>
      <c r="Q52" s="387">
        <f>R52*Simulation!$P$10</f>
        <v>384.00000000000006</v>
      </c>
      <c r="R52" s="388">
        <f>SUM(R48:R51)</f>
        <v>4.8000000000000007</v>
      </c>
      <c r="S52" s="387">
        <f>T52*Simulation!$P$10</f>
        <v>428.8</v>
      </c>
      <c r="T52" s="388">
        <f>SUM(T48:T51)</f>
        <v>5.36</v>
      </c>
      <c r="U52" s="387">
        <f>V52*Simulation!$P$10</f>
        <v>473.6</v>
      </c>
      <c r="V52" s="388">
        <f>SUM(V48:V51)</f>
        <v>5.92</v>
      </c>
      <c r="W52" s="387">
        <f>X52*Simulation!$P$10</f>
        <v>563.20000000000005</v>
      </c>
      <c r="X52" s="388">
        <f>SUM(X48:X51)</f>
        <v>7.04</v>
      </c>
      <c r="Y52" s="387">
        <f>Z52*Simulation!$P$10</f>
        <v>556.79999999999995</v>
      </c>
      <c r="Z52" s="388">
        <f>SUM(Z48:Z51)</f>
        <v>6.96</v>
      </c>
      <c r="AA52" s="387">
        <f>AB52*Simulation!$P$10</f>
        <v>649.59999999999991</v>
      </c>
      <c r="AB52" s="388">
        <f>SUM(AB48:AB51)</f>
        <v>8.1199999999999992</v>
      </c>
      <c r="AC52" s="387">
        <f>AD52*Simulation!$P$10</f>
        <v>652.79999999999995</v>
      </c>
      <c r="AD52" s="388">
        <f>SUM(AD48:AD51)</f>
        <v>8.16</v>
      </c>
      <c r="AE52" s="387">
        <f>AF52*Simulation!$P$10</f>
        <v>742.40000000000009</v>
      </c>
      <c r="AF52" s="388">
        <f>SUM(AF48:AF51)</f>
        <v>9.2800000000000011</v>
      </c>
      <c r="AG52" s="387">
        <f>AH52*Simulation!$P$10</f>
        <v>835.19999999999993</v>
      </c>
      <c r="AH52" s="388">
        <f>SUM(AH48:AH51)</f>
        <v>10.44</v>
      </c>
      <c r="AI52" s="387">
        <f>AJ52*Simulation!$P$10</f>
        <v>832</v>
      </c>
      <c r="AJ52" s="388">
        <f>SUM(AJ48:AJ51)</f>
        <v>10.4</v>
      </c>
      <c r="AK52" s="387">
        <f>AL52*Simulation!$P$10</f>
        <v>921.59999999999991</v>
      </c>
      <c r="AL52" s="388">
        <f>SUM(AL48:AL51)</f>
        <v>11.52</v>
      </c>
      <c r="AM52" s="387">
        <f>AN52*Simulation!$P$10</f>
        <v>928</v>
      </c>
      <c r="AN52" s="388">
        <f>SUM(AN48:AN51)</f>
        <v>11.6</v>
      </c>
      <c r="AO52" s="135"/>
    </row>
    <row r="53" spans="1:45" ht="18" x14ac:dyDescent="0.2">
      <c r="A53" s="199"/>
      <c r="B53" s="172"/>
      <c r="C53" s="200"/>
      <c r="D53" s="201"/>
      <c r="E53" s="202"/>
      <c r="F53" s="203"/>
      <c r="G53" s="202"/>
      <c r="H53" s="203"/>
      <c r="I53" s="202"/>
      <c r="J53" s="203"/>
      <c r="K53" s="202"/>
      <c r="L53" s="203"/>
      <c r="M53" s="202"/>
      <c r="N53" s="203"/>
      <c r="O53" s="202"/>
      <c r="P53" s="203"/>
      <c r="Q53" s="202"/>
      <c r="R53" s="203"/>
      <c r="S53" s="202"/>
      <c r="T53" s="203"/>
      <c r="U53" s="202"/>
      <c r="V53" s="203"/>
      <c r="W53" s="202"/>
      <c r="X53" s="203"/>
      <c r="Y53" s="202"/>
      <c r="Z53" s="203"/>
      <c r="AA53" s="202"/>
      <c r="AB53" s="203"/>
      <c r="AC53" s="202"/>
      <c r="AD53" s="203"/>
      <c r="AE53" s="202"/>
      <c r="AF53" s="203"/>
      <c r="AG53" s="202"/>
      <c r="AH53" s="203"/>
      <c r="AI53" s="202"/>
      <c r="AJ53" s="203"/>
      <c r="AK53" s="202"/>
      <c r="AL53" s="203"/>
      <c r="AM53" s="202"/>
      <c r="AN53" s="203"/>
      <c r="AO53" s="135"/>
      <c r="AP53" s="135"/>
      <c r="AQ53" s="135"/>
      <c r="AR53" s="135"/>
      <c r="AS53" s="135"/>
    </row>
    <row r="54" spans="1:45" ht="36" customHeight="1" x14ac:dyDescent="0.2">
      <c r="A54" s="204"/>
      <c r="B54" s="1561" t="s">
        <v>456</v>
      </c>
      <c r="C54" s="1564" t="s">
        <v>445</v>
      </c>
      <c r="D54" s="1564"/>
      <c r="E54" s="1547">
        <f>E52+E47+E35+E31</f>
        <v>1170.1187000000002</v>
      </c>
      <c r="F54" s="1547"/>
      <c r="G54" s="1547">
        <f>G52+G47+G35+G31</f>
        <v>2013.3235</v>
      </c>
      <c r="H54" s="1547"/>
      <c r="I54" s="1547">
        <f>I52+I47+I35+I31</f>
        <v>2450.1377000000002</v>
      </c>
      <c r="J54" s="1547"/>
      <c r="K54" s="1547">
        <f>K52+K47+K35+K31</f>
        <v>2628.4155000000001</v>
      </c>
      <c r="L54" s="1547"/>
      <c r="M54" s="1547">
        <f>M52+M47+M35+M31</f>
        <v>3399.3113000000003</v>
      </c>
      <c r="N54" s="1547"/>
      <c r="O54" s="1547">
        <f>O52+O47+O35+O31</f>
        <v>3716.7437000000009</v>
      </c>
      <c r="P54" s="1547"/>
      <c r="Q54" s="1547">
        <f>Q52+Q47+Q35+Q31</f>
        <v>4353.721700000001</v>
      </c>
      <c r="R54" s="1547"/>
      <c r="S54" s="1547">
        <f>S52+S47+S35+S31</f>
        <v>4660.7040999999999</v>
      </c>
      <c r="T54" s="1547"/>
      <c r="U54" s="1547">
        <f>U52+U47+U35+U31</f>
        <v>5063.4081000000006</v>
      </c>
      <c r="V54" s="1547"/>
      <c r="W54" s="1547">
        <f>W52+W47+W35+W31</f>
        <v>6082.0342999999993</v>
      </c>
      <c r="X54" s="1547"/>
      <c r="Y54" s="1547">
        <f>Y52+Y47+Y35+Y31</f>
        <v>6061.4552999999996</v>
      </c>
      <c r="Z54" s="1547"/>
      <c r="AA54" s="1547">
        <f>AA52+AA47+AA35+AA31</f>
        <v>6489.9775000000009</v>
      </c>
      <c r="AB54" s="1547"/>
      <c r="AC54" s="1547">
        <f>AC52+AC47+AC35+AC31</f>
        <v>7085.2061000000003</v>
      </c>
      <c r="AD54" s="1547"/>
      <c r="AE54" s="1547">
        <f>AE52+AE47+AE35+AE31</f>
        <v>7927.1623</v>
      </c>
      <c r="AF54" s="1547"/>
      <c r="AG54" s="1547">
        <f>AG52+AG47+AG35+AG31</f>
        <v>8549.1791000000012</v>
      </c>
      <c r="AH54" s="1547"/>
      <c r="AI54" s="1547">
        <f>AI52+AI47+AI35+AI31</f>
        <v>8544.169100000001</v>
      </c>
      <c r="AJ54" s="1547"/>
      <c r="AK54" s="1547">
        <f>AK52+AK47+AK35+AK31</f>
        <v>9388.574499999997</v>
      </c>
      <c r="AL54" s="1547"/>
      <c r="AM54" s="1547">
        <f>AM52+AM47+AM35+AM31</f>
        <v>8674.8064999999988</v>
      </c>
      <c r="AN54" s="1547"/>
      <c r="AO54" s="135"/>
      <c r="AP54" s="135"/>
      <c r="AQ54" s="135"/>
      <c r="AR54" s="135"/>
      <c r="AS54" s="135"/>
    </row>
    <row r="55" spans="1:45" ht="18" customHeight="1" x14ac:dyDescent="0.2">
      <c r="A55" s="154"/>
      <c r="B55" s="1562"/>
      <c r="C55" s="1565" t="s">
        <v>457</v>
      </c>
      <c r="D55" s="1565"/>
      <c r="E55" s="149">
        <f>E31-F31</f>
        <v>206.61720000000003</v>
      </c>
      <c r="F55" s="207">
        <f>E55/E$54</f>
        <v>0.17657798307129011</v>
      </c>
      <c r="G55" s="149">
        <f>G31-H31</f>
        <v>378.25350000000003</v>
      </c>
      <c r="H55" s="207">
        <f>G55/G$54</f>
        <v>0.18787517256913758</v>
      </c>
      <c r="I55" s="149">
        <f>I31-J31</f>
        <v>459.00870000000009</v>
      </c>
      <c r="J55" s="207">
        <f>I55/I$54</f>
        <v>0.18733996052548396</v>
      </c>
      <c r="K55" s="149">
        <f>K31-L31</f>
        <v>478.48050000000012</v>
      </c>
      <c r="L55" s="207">
        <f>K55/K$54</f>
        <v>0.18204142381598348</v>
      </c>
      <c r="M55" s="149">
        <f>M31-N31</f>
        <v>634.71030000000019</v>
      </c>
      <c r="N55" s="207">
        <f>M55/M$54</f>
        <v>0.18671732124092316</v>
      </c>
      <c r="O55" s="149">
        <f>O31-P31</f>
        <v>686.29470000000038</v>
      </c>
      <c r="P55" s="207">
        <f>O55/O$54</f>
        <v>0.18464945538214006</v>
      </c>
      <c r="Q55" s="149">
        <f>Q31-R31</f>
        <v>810.0627000000004</v>
      </c>
      <c r="R55" s="207">
        <f>Q55/Q$54</f>
        <v>0.18606212243653522</v>
      </c>
      <c r="S55" s="149">
        <f>S31-T31</f>
        <v>860.93460000000005</v>
      </c>
      <c r="T55" s="207">
        <f>S55/S$54</f>
        <v>0.18472200369896902</v>
      </c>
      <c r="U55" s="149">
        <f>U31-V31</f>
        <v>933.89610000000039</v>
      </c>
      <c r="V55" s="207">
        <f>U55/U$54</f>
        <v>0.18444021922704595</v>
      </c>
      <c r="W55" s="149">
        <f>W31-X31</f>
        <v>1129.0232999999998</v>
      </c>
      <c r="X55" s="207">
        <f>W55/W$54</f>
        <v>0.18563251114844911</v>
      </c>
      <c r="Y55" s="149">
        <f>Y31-Z31</f>
        <v>1129.0742999999998</v>
      </c>
      <c r="Z55" s="207">
        <f>Y55/Y$54</f>
        <v>0.18627115834707217</v>
      </c>
      <c r="AA55" s="149">
        <f>AA31-AB31</f>
        <v>1186.4025000000006</v>
      </c>
      <c r="AB55" s="207">
        <f>AA55/AA$54</f>
        <v>0.1828053333004622</v>
      </c>
      <c r="AC55" s="149">
        <f>AC31-AD31</f>
        <v>1320.5841</v>
      </c>
      <c r="AD55" s="207">
        <f>AC55/AC$54</f>
        <v>0.18638612361607942</v>
      </c>
      <c r="AE55" s="149">
        <f>AE31-AF31</f>
        <v>1474.9413000000004</v>
      </c>
      <c r="AF55" s="207">
        <f>AE55/AE$54</f>
        <v>0.18606170079298118</v>
      </c>
      <c r="AG55" s="149">
        <f>AG31-AH31</f>
        <v>1576.9221000000007</v>
      </c>
      <c r="AH55" s="207">
        <f>AG55/AG$54</f>
        <v>0.18445304298280527</v>
      </c>
      <c r="AI55" s="149">
        <f>AI31-AJ31</f>
        <v>1577.3870999999999</v>
      </c>
      <c r="AJ55" s="207">
        <f>AI55/AI$54</f>
        <v>0.18461562283452462</v>
      </c>
      <c r="AK55" s="149">
        <f>AK31-AL31</f>
        <v>1732.3094999999994</v>
      </c>
      <c r="AL55" s="207">
        <f>AK55/AK$54</f>
        <v>0.18451251571790797</v>
      </c>
      <c r="AM55" s="149">
        <f>AM31-AN31</f>
        <v>1564.3514999999998</v>
      </c>
      <c r="AN55" s="207">
        <f>AM55/AM$54</f>
        <v>0.1803327255772218</v>
      </c>
      <c r="AO55" s="135"/>
      <c r="AP55" s="135"/>
      <c r="AQ55" s="135"/>
      <c r="AR55" s="135"/>
      <c r="AS55" s="135"/>
    </row>
    <row r="56" spans="1:45" ht="18" customHeight="1" x14ac:dyDescent="0.2">
      <c r="A56" s="154"/>
      <c r="B56" s="1562"/>
      <c r="C56" s="1565" t="s">
        <v>9</v>
      </c>
      <c r="D56" s="1565"/>
      <c r="E56" s="149">
        <f>E31</f>
        <v>895.34120000000019</v>
      </c>
      <c r="F56" s="207">
        <f>E56/E$54</f>
        <v>0.76517125997559055</v>
      </c>
      <c r="G56" s="149">
        <f>G31</f>
        <v>1639.0985000000001</v>
      </c>
      <c r="H56" s="207">
        <f>G56/G$54</f>
        <v>0.81412574779959612</v>
      </c>
      <c r="I56" s="149">
        <f>I31</f>
        <v>1989.0377000000001</v>
      </c>
      <c r="J56" s="207">
        <f>I56/I$54</f>
        <v>0.81180649561043039</v>
      </c>
      <c r="K56" s="149">
        <f>K31</f>
        <v>2073.4155000000001</v>
      </c>
      <c r="L56" s="207">
        <f>K56/K$54</f>
        <v>0.78884616986926159</v>
      </c>
      <c r="M56" s="149">
        <f>M31</f>
        <v>2750.4113000000002</v>
      </c>
      <c r="N56" s="207">
        <f>M56/M$54</f>
        <v>0.8091083920440002</v>
      </c>
      <c r="O56" s="149">
        <f>O31</f>
        <v>2973.9437000000007</v>
      </c>
      <c r="P56" s="207">
        <f>O56/O$54</f>
        <v>0.80014763998927341</v>
      </c>
      <c r="Q56" s="149">
        <f>Q31</f>
        <v>3510.2717000000007</v>
      </c>
      <c r="R56" s="207">
        <f>Q56/Q$54</f>
        <v>0.80626919722498569</v>
      </c>
      <c r="S56" s="149">
        <f>S31</f>
        <v>3730.7165999999997</v>
      </c>
      <c r="T56" s="207">
        <f>S56/S$54</f>
        <v>0.80046201602886569</v>
      </c>
      <c r="U56" s="149">
        <f>U31</f>
        <v>4046.8831000000005</v>
      </c>
      <c r="V56" s="207">
        <f>U56/U$54</f>
        <v>0.79924094998386563</v>
      </c>
      <c r="W56" s="149">
        <f>W31</f>
        <v>4892.4342999999999</v>
      </c>
      <c r="X56" s="207">
        <f>W56/W$54</f>
        <v>0.80440754830994632</v>
      </c>
      <c r="Y56" s="149">
        <f>Y31</f>
        <v>4892.6552999999994</v>
      </c>
      <c r="Z56" s="207">
        <f>Y56/Y$54</f>
        <v>0.80717501950397952</v>
      </c>
      <c r="AA56" s="149">
        <f>AA31</f>
        <v>5141.0775000000012</v>
      </c>
      <c r="AB56" s="207">
        <f>AA56/AA$54</f>
        <v>0.79215644430200272</v>
      </c>
      <c r="AC56" s="149">
        <f>AC31</f>
        <v>5722.5311000000002</v>
      </c>
      <c r="AD56" s="207">
        <f>AC56/AC$54</f>
        <v>0.80767320233634421</v>
      </c>
      <c r="AE56" s="149">
        <f>AE31</f>
        <v>6391.4123</v>
      </c>
      <c r="AF56" s="207">
        <f>AE56/AE$54</f>
        <v>0.80626737010291816</v>
      </c>
      <c r="AG56" s="149">
        <f>AG31</f>
        <v>6833.3291000000008</v>
      </c>
      <c r="AH56" s="207">
        <f>AG56/AG$54</f>
        <v>0.79929651959215586</v>
      </c>
      <c r="AI56" s="149">
        <f>AI31</f>
        <v>6835.3441000000003</v>
      </c>
      <c r="AJ56" s="207">
        <f>AI56/AI$54</f>
        <v>0.80000103228294017</v>
      </c>
      <c r="AK56" s="149">
        <f>AK31</f>
        <v>7506.6744999999974</v>
      </c>
      <c r="AL56" s="207">
        <f>AK56/AK$54</f>
        <v>0.79955423477760124</v>
      </c>
      <c r="AM56" s="149">
        <f>AM31</f>
        <v>6778.856499999999</v>
      </c>
      <c r="AN56" s="207">
        <f>AM56/AM$54</f>
        <v>0.78144181083462783</v>
      </c>
      <c r="AO56" s="135"/>
      <c r="AP56" s="135"/>
      <c r="AQ56" s="135"/>
      <c r="AR56" s="135"/>
      <c r="AS56" s="135"/>
    </row>
    <row r="57" spans="1:45" ht="18" customHeight="1" x14ac:dyDescent="0.2">
      <c r="A57" s="154"/>
      <c r="B57" s="1562"/>
      <c r="C57" s="1565" t="s">
        <v>458</v>
      </c>
      <c r="D57" s="1565"/>
      <c r="E57" s="149">
        <f>E35</f>
        <v>28.8</v>
      </c>
      <c r="F57" s="207">
        <f>E57/E$54</f>
        <v>2.4612887564312916E-2</v>
      </c>
      <c r="G57" s="149">
        <f>G35</f>
        <v>35.550000000000004</v>
      </c>
      <c r="H57" s="207">
        <f>G57/G$54</f>
        <v>1.765737100868291E-2</v>
      </c>
      <c r="I57" s="149">
        <f>I35</f>
        <v>35.550000000000004</v>
      </c>
      <c r="J57" s="207">
        <f>I57/I$54</f>
        <v>1.4509388594771633E-2</v>
      </c>
      <c r="K57" s="149">
        <f>K35</f>
        <v>35.550000000000004</v>
      </c>
      <c r="L57" s="207">
        <f>K57/K$54</f>
        <v>1.3525258848914871E-2</v>
      </c>
      <c r="M57" s="149">
        <f>M35</f>
        <v>35.550000000000004</v>
      </c>
      <c r="N57" s="207">
        <f>M57/M$54</f>
        <v>1.0458000713262125E-2</v>
      </c>
      <c r="O57" s="149">
        <f>O35</f>
        <v>35.550000000000004</v>
      </c>
      <c r="P57" s="207">
        <f>O57/O$54</f>
        <v>9.564824176603837E-3</v>
      </c>
      <c r="Q57" s="149">
        <f>Q35</f>
        <v>42.3</v>
      </c>
      <c r="R57" s="207">
        <f>Q57/Q$54</f>
        <v>9.7158254281618384E-3</v>
      </c>
      <c r="S57" s="149">
        <f>S35</f>
        <v>42.3</v>
      </c>
      <c r="T57" s="207">
        <f>S57/S$54</f>
        <v>9.0758819037664289E-3</v>
      </c>
      <c r="U57" s="149">
        <f>U35</f>
        <v>42.3</v>
      </c>
      <c r="V57" s="207">
        <f>U57/U$54</f>
        <v>8.3540570233712735E-3</v>
      </c>
      <c r="W57" s="149">
        <f>W35</f>
        <v>42.3</v>
      </c>
      <c r="X57" s="207">
        <f>W57/W$54</f>
        <v>6.9549098070689937E-3</v>
      </c>
      <c r="Y57" s="149">
        <f>Y35</f>
        <v>35.550000000000004</v>
      </c>
      <c r="Z57" s="207">
        <f>Y57/Y$54</f>
        <v>5.8649281798712604E-3</v>
      </c>
      <c r="AA57" s="149">
        <f>AA35</f>
        <v>35.550000000000004</v>
      </c>
      <c r="AB57" s="207">
        <f>AA57/AA$54</f>
        <v>5.47767692569042E-3</v>
      </c>
      <c r="AC57" s="149">
        <f>AC35</f>
        <v>42.3</v>
      </c>
      <c r="AD57" s="207">
        <f>AC57/AC$54</f>
        <v>5.9701862448292078E-3</v>
      </c>
      <c r="AE57" s="149">
        <f>AE35</f>
        <v>42.3</v>
      </c>
      <c r="AF57" s="207">
        <f>AE57/AE$54</f>
        <v>5.3360835061999424E-3</v>
      </c>
      <c r="AG57" s="149">
        <f>AG35</f>
        <v>42.3</v>
      </c>
      <c r="AH57" s="207">
        <f>AG57/AG$54</f>
        <v>4.9478434718954467E-3</v>
      </c>
      <c r="AI57" s="149">
        <f>AI35</f>
        <v>42.3</v>
      </c>
      <c r="AJ57" s="207">
        <f>AI57/AI$54</f>
        <v>4.9507447131400982E-3</v>
      </c>
      <c r="AK57" s="149">
        <f>AK35</f>
        <v>42.3</v>
      </c>
      <c r="AL57" s="207">
        <f>AK57/AK$54</f>
        <v>4.5054763105943302E-3</v>
      </c>
      <c r="AM57" s="149">
        <f>AM35</f>
        <v>42.3</v>
      </c>
      <c r="AN57" s="207">
        <f>AM57/AM$54</f>
        <v>4.8761894573671472E-3</v>
      </c>
      <c r="AO57" s="135"/>
      <c r="AP57" s="135"/>
      <c r="AQ57" s="135"/>
      <c r="AR57" s="135"/>
      <c r="AS57" s="135"/>
    </row>
    <row r="58" spans="1:45" ht="18" customHeight="1" x14ac:dyDescent="0.2">
      <c r="A58" s="154"/>
      <c r="B58" s="1562"/>
      <c r="C58" s="1565" t="s">
        <v>459</v>
      </c>
      <c r="D58" s="1565"/>
      <c r="E58" s="149">
        <f>E47</f>
        <v>146.13750000000002</v>
      </c>
      <c r="F58" s="207">
        <f>E58/E$54</f>
        <v>0.12489117557047844</v>
      </c>
      <c r="G58" s="149">
        <f>G47</f>
        <v>191.47499999999999</v>
      </c>
      <c r="H58" s="207">
        <f>G58/G$54</f>
        <v>9.5103941318918694E-2</v>
      </c>
      <c r="I58" s="149">
        <f>I47</f>
        <v>233.55</v>
      </c>
      <c r="J58" s="207">
        <f>I58/I$54</f>
        <v>9.5321173173246551E-2</v>
      </c>
      <c r="K58" s="149">
        <f>K47</f>
        <v>279.45</v>
      </c>
      <c r="L58" s="207">
        <f>K58/K$54</f>
        <v>0.10631880690096371</v>
      </c>
      <c r="M58" s="149">
        <f>M47</f>
        <v>325.34999999999997</v>
      </c>
      <c r="N58" s="207">
        <f>M58/M$54</f>
        <v>9.5710563489728034E-2</v>
      </c>
      <c r="O58" s="149">
        <f>O47</f>
        <v>371.25</v>
      </c>
      <c r="P58" s="207">
        <f>O58/O$54</f>
        <v>9.9885822097445107E-2</v>
      </c>
      <c r="Q58" s="149">
        <f>Q47</f>
        <v>417.15000000000003</v>
      </c>
      <c r="R58" s="207">
        <f>Q58/Q$54</f>
        <v>9.5814576296872608E-2</v>
      </c>
      <c r="S58" s="149">
        <f>S47</f>
        <v>458.88749999999999</v>
      </c>
      <c r="T58" s="207">
        <f>S58/S$54</f>
        <v>9.8458835865593786E-2</v>
      </c>
      <c r="U58" s="149">
        <f>U47</f>
        <v>500.62499999999994</v>
      </c>
      <c r="V58" s="207">
        <f>U58/U$54</f>
        <v>9.8871153601069586E-2</v>
      </c>
      <c r="W58" s="149">
        <f>W47</f>
        <v>584.09999999999991</v>
      </c>
      <c r="X58" s="207">
        <f>W58/W$54</f>
        <v>9.6036946059314399E-2</v>
      </c>
      <c r="Y58" s="149">
        <f>Y47</f>
        <v>576.44999999999982</v>
      </c>
      <c r="Z58" s="207">
        <f>Y58/Y$54</f>
        <v>9.510092403057066E-2</v>
      </c>
      <c r="AA58" s="149">
        <f>AA47</f>
        <v>663.75</v>
      </c>
      <c r="AB58" s="207">
        <f>AA58/AA$54</f>
        <v>0.10227308184042239</v>
      </c>
      <c r="AC58" s="149">
        <f>AC47</f>
        <v>667.57500000000005</v>
      </c>
      <c r="AD58" s="207">
        <f>AC58/AC$54</f>
        <v>9.4220971214937554E-2</v>
      </c>
      <c r="AE58" s="149">
        <f>AE47</f>
        <v>751.05000000000007</v>
      </c>
      <c r="AF58" s="207">
        <f>AE58/AE$54</f>
        <v>9.4743865657954313E-2</v>
      </c>
      <c r="AG58" s="149">
        <f>AG47</f>
        <v>838.35000000000014</v>
      </c>
      <c r="AH58" s="207">
        <f>AG58/AG$54</f>
        <v>9.8062046682353396E-2</v>
      </c>
      <c r="AI58" s="149">
        <f>AI47</f>
        <v>834.52500000000009</v>
      </c>
      <c r="AJ58" s="207">
        <f>AI58/AI$54</f>
        <v>9.7671873090620365E-2</v>
      </c>
      <c r="AK58" s="149">
        <f>AK47</f>
        <v>917.99999999999989</v>
      </c>
      <c r="AL58" s="207">
        <f>AK58/AK$54</f>
        <v>9.7778422059706743E-2</v>
      </c>
      <c r="AM58" s="149">
        <f>AM47</f>
        <v>925.65</v>
      </c>
      <c r="AN58" s="207">
        <f>AM58/AM$54</f>
        <v>0.10670555014685343</v>
      </c>
      <c r="AO58" s="135"/>
      <c r="AP58" s="135"/>
      <c r="AQ58" s="135"/>
      <c r="AR58" s="135"/>
      <c r="AS58" s="135"/>
    </row>
    <row r="59" spans="1:45" ht="18" customHeight="1" x14ac:dyDescent="0.2">
      <c r="A59" s="154"/>
      <c r="B59" s="1563"/>
      <c r="C59" s="1565" t="s">
        <v>5</v>
      </c>
      <c r="D59" s="1565"/>
      <c r="E59" s="149">
        <f>E52</f>
        <v>99.840000000000018</v>
      </c>
      <c r="F59" s="207">
        <f>E59/E$54</f>
        <v>8.5324676889618117E-2</v>
      </c>
      <c r="G59" s="149">
        <f>G52</f>
        <v>147.19999999999999</v>
      </c>
      <c r="H59" s="207">
        <f>G59/G$54</f>
        <v>7.311293987280236E-2</v>
      </c>
      <c r="I59" s="149">
        <f>I52</f>
        <v>192.00000000000003</v>
      </c>
      <c r="J59" s="207">
        <f>I59/I$54</f>
        <v>7.836294262155144E-2</v>
      </c>
      <c r="K59" s="149">
        <f>K52</f>
        <v>240</v>
      </c>
      <c r="L59" s="207">
        <f>K59/K$54</f>
        <v>9.1309764380859873E-2</v>
      </c>
      <c r="M59" s="149">
        <f>M52</f>
        <v>288</v>
      </c>
      <c r="N59" s="207">
        <f>M59/M$54</f>
        <v>8.4723043753009611E-2</v>
      </c>
      <c r="O59" s="149">
        <f>O52</f>
        <v>336</v>
      </c>
      <c r="P59" s="207">
        <f>O59/O$54</f>
        <v>9.0401713736677602E-2</v>
      </c>
      <c r="Q59" s="149">
        <f>Q52</f>
        <v>384.00000000000006</v>
      </c>
      <c r="R59" s="207">
        <f>Q59/Q$54</f>
        <v>8.8200401049979824E-2</v>
      </c>
      <c r="S59" s="149">
        <f>S52</f>
        <v>428.8</v>
      </c>
      <c r="T59" s="207">
        <f>S59/S$54</f>
        <v>9.2003266201774112E-2</v>
      </c>
      <c r="U59" s="149">
        <f>U52</f>
        <v>473.6</v>
      </c>
      <c r="V59" s="207">
        <f>U59/U$54</f>
        <v>9.3533839391693505E-2</v>
      </c>
      <c r="W59" s="149">
        <f>W52</f>
        <v>563.20000000000005</v>
      </c>
      <c r="X59" s="207">
        <f>W59/W$54</f>
        <v>9.2600595823670404E-2</v>
      </c>
      <c r="Y59" s="149">
        <f>Y52</f>
        <v>556.79999999999995</v>
      </c>
      <c r="Z59" s="207">
        <f>Y59/Y$54</f>
        <v>9.1859128285578545E-2</v>
      </c>
      <c r="AA59" s="149">
        <f>AA52</f>
        <v>649.59999999999991</v>
      </c>
      <c r="AB59" s="207">
        <f>AA59/AA$54</f>
        <v>0.10009279693188455</v>
      </c>
      <c r="AC59" s="149">
        <f>AC52</f>
        <v>652.79999999999995</v>
      </c>
      <c r="AD59" s="207">
        <f>AC59/AC$54</f>
        <v>9.2135640203889049E-2</v>
      </c>
      <c r="AE59" s="149">
        <f>AE52</f>
        <v>742.40000000000009</v>
      </c>
      <c r="AF59" s="207">
        <f>AE59/AE$54</f>
        <v>9.365268073292761E-2</v>
      </c>
      <c r="AG59" s="149">
        <f>AG52</f>
        <v>835.19999999999993</v>
      </c>
      <c r="AH59" s="207">
        <f>AG59/AG$54</f>
        <v>9.7693590253595197E-2</v>
      </c>
      <c r="AI59" s="149">
        <f>AI52</f>
        <v>832</v>
      </c>
      <c r="AJ59" s="207">
        <f>AI59/AI$54</f>
        <v>9.737634991329934E-2</v>
      </c>
      <c r="AK59" s="149">
        <f>AK52</f>
        <v>921.59999999999991</v>
      </c>
      <c r="AL59" s="207">
        <f>AK59/AK$54</f>
        <v>9.8161866852097754E-2</v>
      </c>
      <c r="AM59" s="149">
        <f>AM52</f>
        <v>928</v>
      </c>
      <c r="AN59" s="207">
        <f>AM59/AM$54</f>
        <v>0.10697644956115161</v>
      </c>
      <c r="AO59" s="135"/>
      <c r="AP59" s="135"/>
      <c r="AQ59" s="135"/>
      <c r="AR59" s="135"/>
      <c r="AS59" s="135"/>
    </row>
    <row r="60" spans="1:45" ht="18" x14ac:dyDescent="0.2">
      <c r="A60" s="154"/>
      <c r="B60" s="172"/>
      <c r="C60" s="154"/>
      <c r="D60" s="227"/>
      <c r="E60" s="154"/>
      <c r="F60" s="154"/>
      <c r="G60" s="154"/>
      <c r="H60" s="154"/>
      <c r="I60" s="154"/>
      <c r="J60" s="154"/>
      <c r="K60" s="154"/>
      <c r="L60" s="154"/>
      <c r="M60" s="154"/>
      <c r="N60" s="154"/>
      <c r="O60" s="154"/>
      <c r="P60" s="154"/>
      <c r="Q60" s="228"/>
      <c r="R60" s="229"/>
      <c r="S60" s="154"/>
      <c r="T60" s="230"/>
      <c r="U60" s="154"/>
      <c r="V60" s="154"/>
      <c r="W60" s="154"/>
      <c r="X60" s="154"/>
      <c r="Y60" s="154"/>
      <c r="Z60" s="154"/>
      <c r="AA60" s="154"/>
      <c r="AB60" s="154"/>
      <c r="AC60" s="154"/>
      <c r="AD60" s="154"/>
      <c r="AE60" s="154"/>
      <c r="AF60" s="154"/>
      <c r="AG60" s="154"/>
      <c r="AH60" s="154"/>
      <c r="AI60" s="154"/>
      <c r="AJ60" s="154"/>
      <c r="AK60" s="154"/>
      <c r="AL60" s="154"/>
      <c r="AM60" s="154"/>
      <c r="AN60" s="154"/>
      <c r="AO60" s="154"/>
      <c r="AP60" s="154"/>
      <c r="AQ60" s="154"/>
      <c r="AR60" s="154"/>
      <c r="AS60" s="154"/>
    </row>
    <row r="61" spans="1:45" x14ac:dyDescent="0.2">
      <c r="A61" s="154"/>
      <c r="B61" s="1566" t="s">
        <v>1462</v>
      </c>
      <c r="C61" s="1568" t="s">
        <v>1463</v>
      </c>
      <c r="D61" s="1569"/>
      <c r="E61" s="149">
        <f>(VLOOKUP("Prix HT",$C$1:$N$57,E$1,0))-(VLOOKUP("Non margé",$D$1:$N$57,E$1,0))</f>
        <v>481.39470000000006</v>
      </c>
      <c r="F61" s="207">
        <f>E61/VLOOKUP("Prix HT",$C$1:$N$57,E$1,0)</f>
        <v>0.41140672309569959</v>
      </c>
      <c r="G61" s="149">
        <f>(VLOOKUP("Prix HT",$C$1:$N$57,G$1,0))-(VLOOKUP("Non margé",$D$1:$N$57,G$1,0))</f>
        <v>752.47849999999994</v>
      </c>
      <c r="H61" s="207">
        <f>G61/VLOOKUP("Prix HT",$C$1:$N$57,G$1,0)</f>
        <v>0.37374942476954148</v>
      </c>
      <c r="I61" s="149">
        <f>(VLOOKUP("Prix HT",$C$1:$N$57,I$1,0))-(VLOOKUP("Non margé",$D$1:$N$57,I$1,0))</f>
        <v>920.10870000000023</v>
      </c>
      <c r="J61" s="207">
        <f>I61/VLOOKUP("Prix HT",$C$1:$N$57,I$1,0)</f>
        <v>0.37553346491505363</v>
      </c>
      <c r="K61" s="149">
        <f>(VLOOKUP("Prix HT",$C$1:$N$57,K$1,0))-(VLOOKUP("Non margé",$D$1:$N$57,K$1,0))</f>
        <v>1033.4805000000001</v>
      </c>
      <c r="L61" s="207">
        <f>K61/VLOOKUP("Prix HT",$C$1:$N$57,K$1,0)</f>
        <v>0.39319525394672195</v>
      </c>
      <c r="M61" s="149">
        <f>(VLOOKUP("Prix HT",$C$1:$N$57,M$1,0))-(VLOOKUP("Non margé",$D$1:$N$57,M$1,0))</f>
        <v>1283.6103000000003</v>
      </c>
      <c r="N61" s="207">
        <f>M61/VLOOKUP("Prix HT",$C$1:$N$57,M$1,0)</f>
        <v>0.37760892919692296</v>
      </c>
      <c r="O61" s="149">
        <f>(VLOOKUP("Prix HT",$C$1:$AN$57,O$1,0))-(VLOOKUP("Non margé",$D$1:$AN$57,O$1,0))</f>
        <v>1429.0947000000006</v>
      </c>
      <c r="P61" s="207">
        <f>O61/VLOOKUP("Prix HT",$C$1:$AN$57,O$1,0)</f>
        <v>0.38450181539286665</v>
      </c>
      <c r="Q61" s="149">
        <f>(VLOOKUP("Prix HT",$C$1:$AN$57,Q$1,0))-(VLOOKUP("Non margé",$D$1:$AN$57,Q$1,0))</f>
        <v>1653.5127000000007</v>
      </c>
      <c r="R61" s="207">
        <f>Q61/VLOOKUP("Prix HT",$C$1:$AN$57,Q$1,0)</f>
        <v>0.37979292521154956</v>
      </c>
      <c r="S61" s="149">
        <f>(VLOOKUP("Prix HT",$C$1:$AN$57,S$1,0))-(VLOOKUP("Non margé",$D$1:$AN$57,S$1,0))</f>
        <v>1790.9221000000002</v>
      </c>
      <c r="T61" s="207">
        <f>S61/VLOOKUP("Prix HT",$C$1:$AN$57,S$1,0)</f>
        <v>0.38425998767010339</v>
      </c>
      <c r="U61" s="149">
        <f>(VLOOKUP("Prix HT",$C$1:$AN$57,U$1,0))-(VLOOKUP("Non margé",$D$1:$AN$57,U$1,0))</f>
        <v>1950.4211000000005</v>
      </c>
      <c r="V61" s="207">
        <f>U61/VLOOKUP("Prix HT",$C$1:$AN$57,U$1,0)</f>
        <v>0.38519926924318038</v>
      </c>
      <c r="W61" s="149">
        <f>(VLOOKUP("Prix HT",$C$1:$AN$57,W$1,0))-(VLOOKUP("Non margé",$D$1:$AN$57,W$1,0))</f>
        <v>2318.6232999999993</v>
      </c>
      <c r="X61" s="207">
        <f>W61/VLOOKUP("Prix HT",$C$1:$AN$57,W$1,0)</f>
        <v>0.38122496283850282</v>
      </c>
      <c r="Y61" s="149">
        <f>(VLOOKUP("Prix HT",$C$1:$AN$57,Y$1,0))-(VLOOKUP("Non margé",$D$1:$AN$57,Y$1,0))</f>
        <v>2297.8742999999999</v>
      </c>
      <c r="Z61" s="207">
        <f>Y61/VLOOKUP("Prix HT",$C$1:$AN$57,Y$1,0)</f>
        <v>0.37909613884309268</v>
      </c>
      <c r="AA61" s="149">
        <f>(VLOOKUP("Prix HT",$C$1:$AN$57,AA$1,0))-(VLOOKUP("Non margé",$D$1:$AN$57,AA$1,0))</f>
        <v>2535.3025000000002</v>
      </c>
      <c r="AB61" s="207">
        <f>AA61/VLOOKUP("Prix HT",$C$1:$AN$57,AA$1,0)</f>
        <v>0.39064888899845951</v>
      </c>
      <c r="AC61" s="149">
        <f>(VLOOKUP("Prix HT",$C$1:$AN$57,AC$1,0))-(VLOOKUP("Non margé",$D$1:$AN$57,AC$1,0))</f>
        <v>2683.2591000000002</v>
      </c>
      <c r="AD61" s="207">
        <f>AC61/VLOOKUP("Prix HT",$C$1:$AN$57,AC$1,0)</f>
        <v>0.37871292127973527</v>
      </c>
      <c r="AE61" s="149">
        <f>(VLOOKUP("Prix HT",$C$1:$AN$57,AE$1,0))-(VLOOKUP("Non margé",$D$1:$AN$57,AE$1,0))</f>
        <v>3010.6913000000004</v>
      </c>
      <c r="AF61" s="207">
        <f>AE61/VLOOKUP("Prix HT",$C$1:$AN$57,AE$1,0)</f>
        <v>0.37979433069006302</v>
      </c>
      <c r="AG61" s="149">
        <f>(VLOOKUP("Prix HT",$C$1:$AN$57,AG$1,0))-(VLOOKUP("Non margé",$D$1:$AN$57,AG$1,0))</f>
        <v>3292.772100000001</v>
      </c>
      <c r="AH61" s="207">
        <f>AG61/VLOOKUP("Prix HT",$C$1:$AN$57,AG$1,0)</f>
        <v>0.38515652339064937</v>
      </c>
      <c r="AI61" s="149">
        <f>(VLOOKUP("Prix HT",$C$1:$AN$57,AI$1,0))-(VLOOKUP("Non margé",$D$1:$AN$57,AI$1,0))</f>
        <v>3286.2121000000006</v>
      </c>
      <c r="AJ61" s="207">
        <f>AI61/VLOOKUP("Prix HT",$C$1:$AN$57,AI$1,0)</f>
        <v>0.38461459055158448</v>
      </c>
      <c r="AK61" s="149">
        <f>(VLOOKUP("Prix HT",$C$1:$AN$57,AK$1,0))-(VLOOKUP("Non margé",$D$1:$AN$57,AK$1,0))</f>
        <v>3614.209499999999</v>
      </c>
      <c r="AL61" s="207">
        <f>AK61/VLOOKUP("Prix HT",$C$1:$AN$57,AK$1,0)</f>
        <v>0.38495828094030676</v>
      </c>
      <c r="AM61" s="149">
        <f>(VLOOKUP("Prix HT",$C$1:$AN$57,AM$1,0))-(VLOOKUP("Non margé",$D$1:$AN$57,AM$1,0))</f>
        <v>3460.3014999999996</v>
      </c>
      <c r="AN61" s="207">
        <f>AM61/VLOOKUP("Prix HT",$C$1:$AN$57,AM$1,0)</f>
        <v>0.39889091474259397</v>
      </c>
      <c r="AO61" s="154"/>
      <c r="AP61" s="154"/>
      <c r="AQ61" s="154"/>
      <c r="AR61" s="154"/>
      <c r="AS61" s="154"/>
    </row>
    <row r="62" spans="1:45" ht="15" customHeight="1" x14ac:dyDescent="0.2">
      <c r="A62" s="154"/>
      <c r="B62" s="1566"/>
      <c r="C62" s="1568" t="s">
        <v>240</v>
      </c>
      <c r="D62" s="1569"/>
      <c r="E62" s="149">
        <f ca="1">SUMIF($AC$68:$AC$99,$C$62,F4:F29)</f>
        <v>351.35500000000002</v>
      </c>
      <c r="F62" s="207">
        <f ca="1">E62/E54</f>
        <v>0.30027295521385988</v>
      </c>
      <c r="G62" s="149">
        <f ca="1">SUMIF($AC$68:$AC$99,$C$62,H4:H29)</f>
        <v>755.05000000000007</v>
      </c>
      <c r="H62" s="207">
        <f ca="1">G62/G54</f>
        <v>0.37502666610706131</v>
      </c>
      <c r="I62" s="149">
        <f ca="1">SUMIF($AC$68:$AC$99,$C$62,J4:J29)</f>
        <v>918.10399999999993</v>
      </c>
      <c r="J62" s="207">
        <f ca="1">I62/I54</f>
        <v>0.37471526600321275</v>
      </c>
      <c r="K62" s="149">
        <f ca="1">SUMIF($AC$68:$AC$99,$C$62,L4:L29)</f>
        <v>873.51</v>
      </c>
      <c r="L62" s="207">
        <f ca="1">K62/K54</f>
        <v>0.33233330118468712</v>
      </c>
      <c r="M62" s="149">
        <f ca="1">SUMIF($AC$68:$AC$99,$C$62,N4:N29)</f>
        <v>1284.7760000000001</v>
      </c>
      <c r="N62" s="207">
        <f ca="1">M62/M54</f>
        <v>0.3779518516000579</v>
      </c>
      <c r="O62" s="149">
        <f ca="1">SUMIF($AC$68:$AC$99,$C$62,P4:P29)</f>
        <v>1347.2239999999999</v>
      </c>
      <c r="P62" s="207">
        <f ca="1">O62/O54</f>
        <v>0.36247428091423134</v>
      </c>
      <c r="Q62" s="149">
        <f ca="1">SUMIF($AC$68:$AC$99,$C$62,R4:R29)</f>
        <v>1650.2839999999999</v>
      </c>
      <c r="R62" s="207">
        <f ca="1">Q62/Q54</f>
        <v>0.37905132980824185</v>
      </c>
      <c r="S62" s="149">
        <f ca="1">SUMIF($AC$68:$AC$99,$C$62,T4:T29)</f>
        <v>1713.7269999999996</v>
      </c>
      <c r="T62" s="207">
        <f ca="1">S62/S54</f>
        <v>0.36769701813938366</v>
      </c>
      <c r="U62" s="149">
        <f ca="1">SUMIF($AC$68:$AC$99,$C$62,V4:V29)</f>
        <v>1850.8019999999999</v>
      </c>
      <c r="V62" s="207">
        <f ca="1">U62/U54</f>
        <v>0.36552495146500236</v>
      </c>
      <c r="W62" s="149">
        <f ca="1">SUMIF($AC$68:$AC$99,$C$62,X4:X29)</f>
        <v>2291.8960000000002</v>
      </c>
      <c r="X62" s="207">
        <f ca="1">W62/W54</f>
        <v>0.3768304956780662</v>
      </c>
      <c r="Y62" s="149">
        <f ca="1">SUMIF($AC$68:$AC$99,$C$62,Z4:Z29)</f>
        <v>2295.8760000000002</v>
      </c>
      <c r="Z62" s="207">
        <f ca="1">Y62/Y54</f>
        <v>0.37876646553839971</v>
      </c>
      <c r="AA62" s="149">
        <f ca="1">SUMIF($AC$68:$AC$99,$C$62,AB4:AB29)</f>
        <v>59.46</v>
      </c>
      <c r="AB62" s="207">
        <f ca="1">AA62/AA54</f>
        <v>9.1618191280324144E-3</v>
      </c>
      <c r="AC62" s="149">
        <f ca="1">SUMIF($AC$68:$AC$99,$C$62,AD4:AD29)</f>
        <v>57.47</v>
      </c>
      <c r="AD62" s="207">
        <f ca="1">AC62/AC54</f>
        <v>8.1112672219937256E-3</v>
      </c>
      <c r="AE62" s="149">
        <f ca="1">SUMIF($AC$68:$AC$99,$C$62,AF4:AF29)</f>
        <v>59.46</v>
      </c>
      <c r="AF62" s="207">
        <f ca="1">AE62/AE54</f>
        <v>7.5007925597789264E-3</v>
      </c>
      <c r="AG62" s="149">
        <f ca="1">SUMIF($AC$68:$AC$99,$C$62,AH4:AH29)</f>
        <v>3147.672</v>
      </c>
      <c r="AH62" s="207">
        <f ca="1">AG62/AG54</f>
        <v>0.36818412191177508</v>
      </c>
      <c r="AI62" s="149">
        <f ca="1">SUMIF($AC$68:$AC$99,$C$62,AJ4:AJ29)</f>
        <v>3149.6619999999998</v>
      </c>
      <c r="AJ62" s="207">
        <f ca="1">AI62/AI54</f>
        <v>0.36863291949594018</v>
      </c>
      <c r="AK62" s="149">
        <f ca="1">SUMIF($AC$68:$AC$99,$C$62,AL4:AL29)</f>
        <v>3456.74</v>
      </c>
      <c r="AL62" s="207">
        <f ca="1">AK62/AK54</f>
        <v>0.36818581990269139</v>
      </c>
      <c r="AM62" s="149">
        <f ca="1">SUMIF($AC$68:$AC$99,$C$62,AN4:AN29)</f>
        <v>2887.21</v>
      </c>
      <c r="AN62" s="207">
        <f ca="1">AM62/AM54</f>
        <v>0.33282702040673767</v>
      </c>
      <c r="AO62" s="154"/>
      <c r="AP62" s="154"/>
      <c r="AQ62" s="154"/>
      <c r="AR62" s="154"/>
      <c r="AS62" s="154"/>
    </row>
    <row r="63" spans="1:45" x14ac:dyDescent="0.2">
      <c r="A63" s="154"/>
      <c r="B63" s="1566"/>
      <c r="C63" s="1568"/>
      <c r="D63" s="1569"/>
      <c r="E63" s="149"/>
      <c r="F63" s="207"/>
      <c r="G63" s="149"/>
      <c r="H63" s="207"/>
      <c r="I63" s="149"/>
      <c r="J63" s="207"/>
      <c r="K63" s="149"/>
      <c r="L63" s="207"/>
      <c r="M63" s="149"/>
      <c r="N63" s="207"/>
      <c r="O63" s="149"/>
      <c r="P63" s="207"/>
      <c r="Q63" s="149"/>
      <c r="R63" s="207"/>
      <c r="S63" s="149"/>
      <c r="T63" s="207"/>
      <c r="U63" s="149"/>
      <c r="V63" s="207"/>
      <c r="W63" s="149"/>
      <c r="X63" s="207"/>
      <c r="Y63" s="149"/>
      <c r="Z63" s="207"/>
      <c r="AA63" s="149"/>
      <c r="AB63" s="207"/>
      <c r="AC63" s="149"/>
      <c r="AD63" s="207"/>
      <c r="AE63" s="149"/>
      <c r="AF63" s="207"/>
      <c r="AG63" s="149"/>
      <c r="AH63" s="207"/>
      <c r="AI63" s="149"/>
      <c r="AJ63" s="207"/>
      <c r="AK63" s="149"/>
      <c r="AL63" s="207"/>
      <c r="AM63" s="149"/>
      <c r="AN63" s="207"/>
      <c r="AO63" s="154"/>
      <c r="AP63" s="154"/>
      <c r="AQ63" s="154"/>
      <c r="AR63" s="154"/>
      <c r="AS63" s="154"/>
    </row>
    <row r="64" spans="1:45" x14ac:dyDescent="0.2">
      <c r="A64" s="154"/>
      <c r="B64" s="1566"/>
      <c r="C64" s="1569"/>
      <c r="D64" s="1569"/>
      <c r="E64" s="149"/>
      <c r="F64" s="207"/>
      <c r="G64" s="149"/>
      <c r="H64" s="207"/>
      <c r="I64" s="149"/>
      <c r="J64" s="207"/>
      <c r="K64" s="149"/>
      <c r="L64" s="207"/>
      <c r="M64" s="149"/>
      <c r="N64" s="207"/>
      <c r="O64" s="149"/>
      <c r="P64" s="207"/>
      <c r="Q64" s="149"/>
      <c r="R64" s="207"/>
      <c r="S64" s="149"/>
      <c r="T64" s="207"/>
      <c r="U64" s="149"/>
      <c r="V64" s="207"/>
      <c r="W64" s="149"/>
      <c r="X64" s="207"/>
      <c r="Y64" s="149"/>
      <c r="Z64" s="207"/>
      <c r="AA64" s="149"/>
      <c r="AB64" s="207"/>
      <c r="AC64" s="149"/>
      <c r="AD64" s="207"/>
      <c r="AE64" s="149"/>
      <c r="AF64" s="207"/>
      <c r="AG64" s="149"/>
      <c r="AH64" s="207"/>
      <c r="AI64" s="149"/>
      <c r="AJ64" s="207"/>
      <c r="AK64" s="149"/>
      <c r="AL64" s="207"/>
      <c r="AM64" s="149"/>
      <c r="AN64" s="207"/>
      <c r="AO64" s="154"/>
      <c r="AP64" s="154"/>
      <c r="AQ64" s="154"/>
      <c r="AR64" s="154"/>
      <c r="AS64" s="154"/>
    </row>
    <row r="65" spans="1:45" x14ac:dyDescent="0.2">
      <c r="A65" s="154"/>
      <c r="B65" s="1567"/>
      <c r="C65" s="1569"/>
      <c r="D65" s="1569"/>
      <c r="E65" s="149"/>
      <c r="F65" s="207"/>
      <c r="G65" s="149"/>
      <c r="H65" s="207"/>
      <c r="I65" s="149"/>
      <c r="J65" s="207"/>
      <c r="K65" s="149"/>
      <c r="L65" s="207"/>
      <c r="M65" s="149"/>
      <c r="N65" s="207"/>
      <c r="O65" s="149"/>
      <c r="P65" s="207"/>
      <c r="Q65" s="149"/>
      <c r="R65" s="207"/>
      <c r="S65" s="149"/>
      <c r="T65" s="207"/>
      <c r="U65" s="149"/>
      <c r="V65" s="207"/>
      <c r="W65" s="149"/>
      <c r="X65" s="207"/>
      <c r="Y65" s="149"/>
      <c r="Z65" s="207"/>
      <c r="AA65" s="149"/>
      <c r="AB65" s="207"/>
      <c r="AC65" s="149"/>
      <c r="AD65" s="207"/>
      <c r="AE65" s="149"/>
      <c r="AF65" s="207"/>
      <c r="AG65" s="149"/>
      <c r="AH65" s="207"/>
      <c r="AI65" s="149"/>
      <c r="AJ65" s="207"/>
      <c r="AK65" s="149"/>
      <c r="AL65" s="207"/>
      <c r="AM65" s="149"/>
      <c r="AN65" s="207"/>
      <c r="AO65" s="154"/>
      <c r="AP65" s="154"/>
      <c r="AQ65" s="154"/>
      <c r="AR65" s="154"/>
      <c r="AS65" s="154"/>
    </row>
    <row r="66" spans="1:45" ht="18" x14ac:dyDescent="0.2">
      <c r="A66" s="154"/>
      <c r="B66" s="172"/>
      <c r="C66" s="231"/>
      <c r="D66" s="227"/>
      <c r="E66" s="154"/>
      <c r="F66" s="154"/>
      <c r="G66" s="154"/>
      <c r="H66" s="154"/>
      <c r="I66" s="154"/>
      <c r="J66" s="154"/>
      <c r="K66" s="154"/>
      <c r="L66" s="154"/>
      <c r="M66" s="154"/>
      <c r="N66" s="154"/>
      <c r="O66" s="154"/>
      <c r="P66" s="154"/>
      <c r="Q66" s="154"/>
      <c r="R66" s="154"/>
      <c r="S66" s="154"/>
      <c r="T66" s="154"/>
      <c r="U66" s="154"/>
      <c r="V66" s="154"/>
      <c r="W66" s="154"/>
      <c r="X66" s="154"/>
      <c r="Y66" s="154"/>
      <c r="Z66" s="154"/>
      <c r="AA66" s="154"/>
      <c r="AB66" s="154"/>
      <c r="AC66" s="154"/>
      <c r="AD66" s="154"/>
      <c r="AE66" s="154"/>
      <c r="AF66" s="154"/>
      <c r="AG66" s="154"/>
      <c r="AH66" s="154"/>
      <c r="AI66" s="154"/>
      <c r="AJ66" s="154"/>
      <c r="AK66" s="154"/>
      <c r="AL66" s="154"/>
      <c r="AM66" s="154"/>
      <c r="AN66" s="154"/>
      <c r="AO66" s="154"/>
      <c r="AP66" s="154"/>
      <c r="AQ66" s="154"/>
      <c r="AR66" s="154"/>
      <c r="AS66" s="154"/>
    </row>
    <row r="67" spans="1:45" ht="18" x14ac:dyDescent="0.2">
      <c r="A67" s="154"/>
      <c r="B67" s="172"/>
      <c r="C67" s="231"/>
      <c r="D67" s="227"/>
      <c r="E67" s="154"/>
      <c r="F67" s="154"/>
      <c r="G67" s="154"/>
      <c r="H67" s="154"/>
      <c r="I67" s="154"/>
      <c r="J67" s="154"/>
      <c r="K67" s="154"/>
      <c r="L67" s="154"/>
      <c r="M67" s="154"/>
      <c r="N67" s="154"/>
      <c r="O67" s="154"/>
      <c r="P67" s="154"/>
      <c r="Q67" s="154"/>
      <c r="R67" s="154"/>
      <c r="S67" s="154"/>
      <c r="T67" s="154"/>
      <c r="U67" s="154"/>
      <c r="V67" s="154"/>
      <c r="W67" s="154"/>
      <c r="X67" s="154"/>
      <c r="Y67" s="154"/>
      <c r="Z67" s="154"/>
      <c r="AA67" s="154"/>
      <c r="AB67" s="154"/>
      <c r="AC67" s="154"/>
      <c r="AD67" s="154"/>
      <c r="AE67" s="154"/>
      <c r="AF67" s="154"/>
      <c r="AG67" s="154"/>
      <c r="AH67" s="154"/>
      <c r="AI67" s="154"/>
      <c r="AJ67" s="154"/>
      <c r="AK67" s="154"/>
      <c r="AL67" s="154"/>
      <c r="AM67" s="154"/>
      <c r="AN67" s="154"/>
      <c r="AO67" s="154"/>
      <c r="AP67" s="154"/>
      <c r="AQ67" s="154"/>
      <c r="AR67" s="154"/>
      <c r="AS67" s="154"/>
    </row>
    <row r="68" spans="1:45" ht="28.5" x14ac:dyDescent="0.2">
      <c r="A68" s="154"/>
      <c r="B68" s="172"/>
      <c r="C68" s="231"/>
      <c r="D68" s="227"/>
      <c r="E68" s="154"/>
      <c r="F68" s="154"/>
      <c r="G68" s="154"/>
      <c r="H68" s="154"/>
      <c r="I68" s="154"/>
      <c r="J68" s="154"/>
      <c r="K68" s="154"/>
      <c r="L68" s="154"/>
      <c r="M68" s="154"/>
      <c r="N68" s="154"/>
      <c r="O68" s="154"/>
      <c r="P68" s="154"/>
      <c r="Q68" s="154"/>
      <c r="R68" s="154"/>
      <c r="S68" s="154"/>
      <c r="T68" s="154"/>
      <c r="U68" s="154"/>
      <c r="V68" s="154"/>
      <c r="W68" s="154"/>
      <c r="X68" s="154"/>
      <c r="Y68" s="154"/>
      <c r="Z68" s="154"/>
      <c r="AA68" s="154"/>
      <c r="AB68" s="154"/>
      <c r="AC68" s="154" t="str">
        <f>VLOOKUP(C4,MATIERES!A2:G448,3,0)</f>
        <v>JARDINS DE LEONIE</v>
      </c>
      <c r="AD68" s="154"/>
      <c r="AE68" s="154"/>
      <c r="AF68" s="154"/>
      <c r="AG68" s="154"/>
      <c r="AH68" s="154"/>
      <c r="AI68" s="154"/>
      <c r="AJ68" s="154"/>
      <c r="AK68" s="154"/>
      <c r="AL68" s="154"/>
      <c r="AM68" s="154"/>
      <c r="AN68" s="154"/>
      <c r="AO68" s="154"/>
      <c r="AP68" s="154"/>
      <c r="AQ68" s="154"/>
      <c r="AR68" s="154"/>
      <c r="AS68" s="154"/>
    </row>
    <row r="69" spans="1:45" ht="18" x14ac:dyDescent="0.2">
      <c r="A69" s="154"/>
      <c r="B69" s="172"/>
      <c r="C69" s="231"/>
      <c r="D69" s="227"/>
      <c r="E69" s="154"/>
      <c r="F69" s="154"/>
      <c r="G69" s="154"/>
      <c r="H69" s="154"/>
      <c r="I69" s="154"/>
      <c r="J69" s="154"/>
      <c r="K69" s="154"/>
      <c r="L69" s="154"/>
      <c r="M69" s="154"/>
      <c r="N69" s="154"/>
      <c r="O69" s="154"/>
      <c r="P69" s="154"/>
      <c r="Q69" s="154"/>
      <c r="R69" s="154"/>
      <c r="S69" s="154"/>
      <c r="T69" s="154"/>
      <c r="U69" s="154"/>
      <c r="V69" s="154"/>
      <c r="W69" s="154"/>
      <c r="X69" s="154"/>
      <c r="Y69" s="154"/>
      <c r="Z69" s="154"/>
      <c r="AA69" s="154"/>
      <c r="AB69" s="154"/>
      <c r="AC69" s="154" t="str">
        <f>VLOOKUP(C5,MATIERES!A3:G448,3,0)</f>
        <v>PIGEON</v>
      </c>
      <c r="AD69" s="154"/>
      <c r="AE69" s="154"/>
      <c r="AF69" s="154"/>
      <c r="AG69" s="154"/>
      <c r="AH69" s="154"/>
      <c r="AI69" s="154"/>
      <c r="AJ69" s="154"/>
      <c r="AK69" s="154"/>
      <c r="AL69" s="154"/>
      <c r="AM69" s="154"/>
      <c r="AN69" s="154"/>
      <c r="AO69" s="154"/>
      <c r="AP69" s="154"/>
      <c r="AQ69" s="154"/>
      <c r="AR69" s="154"/>
      <c r="AS69" s="154"/>
    </row>
    <row r="70" spans="1:45" ht="18" x14ac:dyDescent="0.2">
      <c r="A70" s="154"/>
      <c r="B70" s="172"/>
      <c r="C70" s="231"/>
      <c r="D70" s="227"/>
      <c r="E70" s="154"/>
      <c r="F70" s="154"/>
      <c r="G70" s="154"/>
      <c r="H70" s="154"/>
      <c r="I70" s="154"/>
      <c r="J70" s="154"/>
      <c r="K70" s="154"/>
      <c r="L70" s="154"/>
      <c r="M70" s="154"/>
      <c r="N70" s="154"/>
      <c r="O70" s="154"/>
      <c r="P70" s="154"/>
      <c r="Q70" s="154"/>
      <c r="R70" s="154"/>
      <c r="S70" s="154"/>
      <c r="T70" s="154"/>
      <c r="U70" s="154"/>
      <c r="V70" s="154"/>
      <c r="W70" s="154"/>
      <c r="X70" s="154"/>
      <c r="Y70" s="154"/>
      <c r="Z70" s="154"/>
      <c r="AA70" s="154"/>
      <c r="AB70" s="154"/>
      <c r="AC70" s="154" t="str">
        <f>VLOOKUP(C6,MATIERES!A4:G448,3,0)</f>
        <v>PIGEON</v>
      </c>
      <c r="AD70" s="154"/>
      <c r="AE70" s="154"/>
      <c r="AF70" s="154"/>
      <c r="AG70" s="154"/>
      <c r="AH70" s="154"/>
      <c r="AI70" s="154"/>
      <c r="AJ70" s="154"/>
      <c r="AK70" s="154"/>
      <c r="AL70" s="154"/>
      <c r="AM70" s="154"/>
      <c r="AN70" s="154"/>
      <c r="AO70" s="154"/>
      <c r="AP70" s="154"/>
      <c r="AQ70" s="154"/>
      <c r="AR70" s="154"/>
      <c r="AS70" s="154"/>
    </row>
    <row r="71" spans="1:45" ht="18" x14ac:dyDescent="0.2">
      <c r="A71" s="154"/>
      <c r="B71" s="172"/>
      <c r="C71" s="231"/>
      <c r="D71" s="227"/>
      <c r="E71" s="154"/>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t="str">
        <f>VLOOKUP(C7,MATIERES!A5:G448,3,0)</f>
        <v>PIGEON</v>
      </c>
      <c r="AD71" s="154"/>
      <c r="AE71" s="154"/>
      <c r="AF71" s="154"/>
      <c r="AG71" s="154"/>
      <c r="AH71" s="154"/>
      <c r="AI71" s="154"/>
      <c r="AJ71" s="154"/>
      <c r="AK71" s="154"/>
      <c r="AL71" s="154"/>
      <c r="AM71" s="154"/>
      <c r="AN71" s="154"/>
      <c r="AO71" s="154"/>
      <c r="AP71" s="154"/>
      <c r="AQ71" s="154"/>
      <c r="AR71" s="154"/>
      <c r="AS71" s="154"/>
    </row>
    <row r="72" spans="1:45" ht="18" x14ac:dyDescent="0.2">
      <c r="A72" s="154"/>
      <c r="B72" s="172"/>
      <c r="C72" s="231"/>
      <c r="D72" s="227"/>
      <c r="E72" s="154"/>
      <c r="F72" s="154"/>
      <c r="G72" s="154"/>
      <c r="H72" s="154"/>
      <c r="I72" s="154"/>
      <c r="J72" s="154"/>
      <c r="K72" s="154"/>
      <c r="L72" s="154"/>
      <c r="M72" s="154"/>
      <c r="N72" s="154"/>
      <c r="O72" s="154"/>
      <c r="P72" s="154"/>
      <c r="Q72" s="154"/>
      <c r="R72" s="154"/>
      <c r="S72" s="154"/>
      <c r="T72" s="154"/>
      <c r="U72" s="154"/>
      <c r="V72" s="154"/>
      <c r="W72" s="154"/>
      <c r="X72" s="154"/>
      <c r="Y72" s="154"/>
      <c r="Z72" s="154"/>
      <c r="AA72" s="154"/>
      <c r="AB72" s="154"/>
      <c r="AC72" s="154" t="str">
        <f>VLOOKUP(C8,MATIERES!A6:G448,3,0)</f>
        <v>SASKIT</v>
      </c>
      <c r="AD72" s="154"/>
      <c r="AE72" s="154"/>
      <c r="AF72" s="154"/>
      <c r="AG72" s="154"/>
      <c r="AH72" s="154"/>
      <c r="AI72" s="154"/>
      <c r="AJ72" s="154"/>
      <c r="AK72" s="154"/>
      <c r="AL72" s="154"/>
      <c r="AM72" s="154"/>
      <c r="AN72" s="154"/>
      <c r="AO72" s="154"/>
      <c r="AP72" s="154"/>
      <c r="AQ72" s="154"/>
      <c r="AR72" s="154"/>
      <c r="AS72" s="154"/>
    </row>
    <row r="73" spans="1:45" ht="18" x14ac:dyDescent="0.2">
      <c r="A73" s="154"/>
      <c r="B73" s="172"/>
      <c r="C73" s="231"/>
      <c r="D73" s="227"/>
      <c r="E73" s="154"/>
      <c r="F73" s="154"/>
      <c r="G73" s="154"/>
      <c r="H73" s="154"/>
      <c r="I73" s="154"/>
      <c r="J73" s="154"/>
      <c r="K73" s="154"/>
      <c r="L73" s="154"/>
      <c r="M73" s="154"/>
      <c r="N73" s="154"/>
      <c r="O73" s="154"/>
      <c r="P73" s="154"/>
      <c r="Q73" s="154"/>
      <c r="R73" s="154"/>
      <c r="S73" s="154"/>
      <c r="T73" s="154"/>
      <c r="U73" s="154"/>
      <c r="V73" s="154"/>
      <c r="W73" s="154"/>
      <c r="X73" s="154"/>
      <c r="Y73" s="154"/>
      <c r="Z73" s="154"/>
      <c r="AA73" s="154"/>
      <c r="AB73" s="154"/>
      <c r="AC73" s="154" t="str">
        <f>VLOOKUP(C9,MATIERES!A7:G448,3,0)</f>
        <v>SASKIT</v>
      </c>
      <c r="AD73" s="154"/>
      <c r="AE73" s="154"/>
      <c r="AF73" s="154"/>
      <c r="AG73" s="154"/>
      <c r="AH73" s="154"/>
      <c r="AI73" s="154"/>
      <c r="AJ73" s="154"/>
      <c r="AK73" s="154"/>
      <c r="AL73" s="154"/>
      <c r="AM73" s="154"/>
      <c r="AN73" s="154"/>
      <c r="AO73" s="154"/>
      <c r="AP73" s="154"/>
      <c r="AQ73" s="154"/>
      <c r="AR73" s="154"/>
      <c r="AS73" s="154"/>
    </row>
    <row r="74" spans="1:45" ht="18" x14ac:dyDescent="0.2">
      <c r="A74" s="154"/>
      <c r="B74" s="172"/>
      <c r="C74" s="231"/>
      <c r="D74" s="227"/>
      <c r="E74" s="154"/>
      <c r="F74" s="154"/>
      <c r="G74" s="154"/>
      <c r="H74" s="154"/>
      <c r="I74" s="154"/>
      <c r="J74" s="154"/>
      <c r="K74" s="154"/>
      <c r="L74" s="154"/>
      <c r="M74" s="154"/>
      <c r="N74" s="154"/>
      <c r="O74" s="154"/>
      <c r="P74" s="154"/>
      <c r="Q74" s="154"/>
      <c r="R74" s="154"/>
      <c r="S74" s="154"/>
      <c r="T74" s="154"/>
      <c r="U74" s="154"/>
      <c r="V74" s="154"/>
      <c r="W74" s="154"/>
      <c r="X74" s="154"/>
      <c r="Y74" s="154"/>
      <c r="Z74" s="154"/>
      <c r="AA74" s="154"/>
      <c r="AB74" s="154"/>
      <c r="AC74" s="154" t="str">
        <f>VLOOKUP(C10,MATIERES!A8:G448,3,0)</f>
        <v>SASKIT</v>
      </c>
      <c r="AD74" s="154"/>
      <c r="AE74" s="154"/>
      <c r="AF74" s="154"/>
      <c r="AG74" s="154"/>
      <c r="AH74" s="154"/>
      <c r="AI74" s="154"/>
      <c r="AJ74" s="154"/>
      <c r="AK74" s="154"/>
      <c r="AL74" s="154"/>
      <c r="AM74" s="154"/>
      <c r="AN74" s="154"/>
      <c r="AO74" s="154"/>
      <c r="AP74" s="154"/>
      <c r="AQ74" s="154"/>
      <c r="AR74" s="154"/>
      <c r="AS74" s="154"/>
    </row>
    <row r="75" spans="1:45" ht="18" x14ac:dyDescent="0.2">
      <c r="A75" s="154"/>
      <c r="B75" s="172"/>
      <c r="C75" s="231"/>
      <c r="D75" s="227"/>
      <c r="E75" s="154"/>
      <c r="F75" s="154"/>
      <c r="G75" s="154"/>
      <c r="H75" s="154"/>
      <c r="I75" s="154"/>
      <c r="J75" s="154"/>
      <c r="K75" s="154"/>
      <c r="L75" s="154"/>
      <c r="M75" s="154"/>
      <c r="N75" s="154"/>
      <c r="O75" s="154"/>
      <c r="P75" s="154"/>
      <c r="Q75" s="154"/>
      <c r="R75" s="154"/>
      <c r="S75" s="154"/>
      <c r="T75" s="154"/>
      <c r="U75" s="154"/>
      <c r="V75" s="154"/>
      <c r="W75" s="154"/>
      <c r="X75" s="154"/>
      <c r="Y75" s="154"/>
      <c r="Z75" s="154"/>
      <c r="AA75" s="154"/>
      <c r="AB75" s="154"/>
      <c r="AC75" s="154" t="str">
        <f>VLOOKUP(C11,MATIERES!A9:G448,3,0)</f>
        <v>SASKIT</v>
      </c>
      <c r="AD75" s="154"/>
      <c r="AE75" s="154"/>
      <c r="AF75" s="154"/>
      <c r="AG75" s="154"/>
      <c r="AH75" s="154"/>
      <c r="AI75" s="154"/>
      <c r="AJ75" s="154"/>
      <c r="AK75" s="154"/>
      <c r="AL75" s="154"/>
      <c r="AM75" s="154"/>
      <c r="AN75" s="154"/>
      <c r="AO75" s="154"/>
      <c r="AP75" s="154"/>
      <c r="AQ75" s="154"/>
      <c r="AR75" s="154"/>
      <c r="AS75" s="154"/>
    </row>
    <row r="76" spans="1:45" ht="18" x14ac:dyDescent="0.2">
      <c r="A76" s="154"/>
      <c r="B76" s="172"/>
      <c r="C76" s="231"/>
      <c r="D76" s="227"/>
      <c r="E76" s="154"/>
      <c r="F76" s="154"/>
      <c r="G76" s="154"/>
      <c r="H76" s="154"/>
      <c r="I76" s="154"/>
      <c r="J76" s="154"/>
      <c r="K76" s="154"/>
      <c r="L76" s="154"/>
      <c r="M76" s="154"/>
      <c r="N76" s="154"/>
      <c r="O76" s="154"/>
      <c r="P76" s="154"/>
      <c r="Q76" s="154"/>
      <c r="R76" s="154"/>
      <c r="S76" s="154"/>
      <c r="T76" s="154"/>
      <c r="U76" s="154"/>
      <c r="V76" s="154"/>
      <c r="W76" s="154"/>
      <c r="X76" s="154"/>
      <c r="Y76" s="154"/>
      <c r="Z76" s="154"/>
      <c r="AA76" s="154"/>
      <c r="AB76" s="154"/>
      <c r="AC76" s="154" t="str">
        <f>VLOOKUP(C12,MATIERES!A10:G448,3,0)</f>
        <v>SASKIT</v>
      </c>
      <c r="AD76" s="154"/>
      <c r="AE76" s="154"/>
      <c r="AF76" s="154"/>
      <c r="AG76" s="154"/>
      <c r="AH76" s="154"/>
      <c r="AI76" s="154"/>
      <c r="AJ76" s="154"/>
      <c r="AK76" s="154"/>
      <c r="AL76" s="154"/>
      <c r="AM76" s="154"/>
      <c r="AN76" s="154"/>
      <c r="AO76" s="154"/>
      <c r="AP76" s="154"/>
      <c r="AQ76" s="154"/>
      <c r="AR76" s="154"/>
      <c r="AS76" s="154"/>
    </row>
    <row r="77" spans="1:45" ht="18" x14ac:dyDescent="0.2">
      <c r="A77" s="154"/>
      <c r="B77" s="172"/>
      <c r="C77" s="231"/>
      <c r="D77" s="227"/>
      <c r="E77" s="154"/>
      <c r="F77" s="154"/>
      <c r="G77" s="154"/>
      <c r="H77" s="154"/>
      <c r="I77" s="154"/>
      <c r="J77" s="154"/>
      <c r="K77" s="154"/>
      <c r="L77" s="154"/>
      <c r="M77" s="154"/>
      <c r="N77" s="154"/>
      <c r="O77" s="154"/>
      <c r="P77" s="154"/>
      <c r="Q77" s="154"/>
      <c r="R77" s="154"/>
      <c r="S77" s="154"/>
      <c r="T77" s="154"/>
      <c r="U77" s="154"/>
      <c r="V77" s="154"/>
      <c r="W77" s="154"/>
      <c r="X77" s="154"/>
      <c r="Y77" s="154"/>
      <c r="Z77" s="154"/>
      <c r="AA77" s="154"/>
      <c r="AB77" s="154"/>
      <c r="AC77" s="154" t="str">
        <f>VLOOKUP(C13,MATIERES!A11:G448,3,0)</f>
        <v>SASKIT</v>
      </c>
      <c r="AD77" s="154"/>
      <c r="AE77" s="154"/>
      <c r="AF77" s="154"/>
      <c r="AG77" s="154"/>
      <c r="AH77" s="154"/>
      <c r="AI77" s="154"/>
      <c r="AJ77" s="154"/>
      <c r="AK77" s="154"/>
      <c r="AL77" s="154"/>
      <c r="AM77" s="154"/>
      <c r="AN77" s="154"/>
      <c r="AO77" s="154"/>
      <c r="AP77" s="154"/>
      <c r="AQ77" s="154"/>
      <c r="AR77" s="154"/>
      <c r="AS77" s="154"/>
    </row>
    <row r="78" spans="1:45" ht="18" x14ac:dyDescent="0.2">
      <c r="A78" s="154"/>
      <c r="B78" s="172"/>
      <c r="C78" s="231"/>
      <c r="D78" s="227"/>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154"/>
      <c r="AC78" s="154" t="str">
        <f>VLOOKUP(C14,MATIERES!A12:G448,3,0)</f>
        <v>SASKIT</v>
      </c>
      <c r="AD78" s="154"/>
      <c r="AE78" s="154"/>
      <c r="AF78" s="154"/>
      <c r="AG78" s="154"/>
      <c r="AH78" s="154"/>
      <c r="AI78" s="154"/>
      <c r="AJ78" s="154"/>
      <c r="AK78" s="154"/>
      <c r="AL78" s="154"/>
      <c r="AM78" s="154"/>
      <c r="AN78" s="154"/>
      <c r="AO78" s="154"/>
      <c r="AP78" s="154"/>
      <c r="AQ78" s="154"/>
      <c r="AR78" s="154"/>
      <c r="AS78" s="154"/>
    </row>
    <row r="79" spans="1:45" ht="18" x14ac:dyDescent="0.2">
      <c r="A79" s="154"/>
      <c r="B79" s="172"/>
      <c r="C79" s="231"/>
      <c r="D79" s="227"/>
      <c r="E79" s="154"/>
      <c r="F79" s="154"/>
      <c r="G79" s="154"/>
      <c r="H79" s="154"/>
      <c r="I79" s="154"/>
      <c r="J79" s="154"/>
      <c r="K79" s="154"/>
      <c r="L79" s="154"/>
      <c r="M79" s="154"/>
      <c r="N79" s="154"/>
      <c r="O79" s="154"/>
      <c r="P79" s="154"/>
      <c r="Q79" s="154"/>
      <c r="R79" s="154"/>
      <c r="S79" s="154"/>
      <c r="T79" s="154"/>
      <c r="U79" s="154"/>
      <c r="V79" s="154"/>
      <c r="W79" s="154"/>
      <c r="X79" s="154"/>
      <c r="Y79" s="154"/>
      <c r="Z79" s="154"/>
      <c r="AA79" s="154"/>
      <c r="AB79" s="154"/>
      <c r="AC79" s="154" t="str">
        <f>VLOOKUP(C15,MATIERES!A13:G448,3,0)</f>
        <v>SASKIT</v>
      </c>
      <c r="AD79" s="154"/>
      <c r="AE79" s="154"/>
      <c r="AF79" s="154"/>
      <c r="AG79" s="154"/>
      <c r="AH79" s="154"/>
      <c r="AI79" s="154"/>
      <c r="AJ79" s="154"/>
      <c r="AK79" s="154"/>
      <c r="AL79" s="154"/>
      <c r="AM79" s="154"/>
      <c r="AN79" s="154"/>
      <c r="AO79" s="154"/>
      <c r="AP79" s="154"/>
      <c r="AQ79" s="154"/>
      <c r="AR79" s="154"/>
      <c r="AS79" s="154"/>
    </row>
    <row r="80" spans="1:45" ht="18" x14ac:dyDescent="0.2">
      <c r="A80" s="154"/>
      <c r="B80" s="172"/>
      <c r="C80" s="231"/>
      <c r="D80" s="227"/>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154"/>
      <c r="AC80" s="154" t="str">
        <f>VLOOKUP(C16,MATIERES!A14:G448,3,0)</f>
        <v>SASKIT</v>
      </c>
      <c r="AD80" s="154"/>
      <c r="AE80" s="154"/>
      <c r="AF80" s="154"/>
      <c r="AG80" s="154"/>
      <c r="AH80" s="154"/>
      <c r="AI80" s="154"/>
      <c r="AJ80" s="154"/>
      <c r="AK80" s="154"/>
      <c r="AL80" s="154"/>
      <c r="AM80" s="154"/>
      <c r="AN80" s="154"/>
      <c r="AO80" s="154"/>
      <c r="AP80" s="154"/>
      <c r="AQ80" s="154"/>
      <c r="AR80" s="154"/>
      <c r="AS80" s="154"/>
    </row>
    <row r="81" spans="1:45" ht="18" x14ac:dyDescent="0.2">
      <c r="A81" s="154"/>
      <c r="B81" s="172"/>
      <c r="C81" s="231"/>
      <c r="D81" s="227"/>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154"/>
      <c r="AC81" s="154" t="str">
        <f>VLOOKUP(C17,MATIERES!A15:G448,3,0)</f>
        <v>SASKIT</v>
      </c>
      <c r="AD81" s="154"/>
      <c r="AE81" s="154"/>
      <c r="AF81" s="154"/>
      <c r="AG81" s="154"/>
      <c r="AH81" s="154"/>
      <c r="AI81" s="154"/>
      <c r="AJ81" s="154"/>
      <c r="AK81" s="154"/>
      <c r="AL81" s="154"/>
      <c r="AM81" s="154"/>
      <c r="AN81" s="154"/>
      <c r="AO81" s="154"/>
      <c r="AP81" s="154"/>
      <c r="AQ81" s="154"/>
      <c r="AR81" s="154"/>
      <c r="AS81" s="154"/>
    </row>
    <row r="82" spans="1:45" ht="18" x14ac:dyDescent="0.2">
      <c r="A82" s="154"/>
      <c r="B82" s="172"/>
      <c r="C82" s="231"/>
      <c r="D82" s="227"/>
      <c r="E82" s="154"/>
      <c r="F82" s="154"/>
      <c r="G82" s="154"/>
      <c r="H82" s="154"/>
      <c r="I82" s="154"/>
      <c r="J82" s="154"/>
      <c r="K82" s="154"/>
      <c r="L82" s="154"/>
      <c r="M82" s="154"/>
      <c r="N82" s="154"/>
      <c r="O82" s="154"/>
      <c r="P82" s="154"/>
      <c r="Q82" s="154"/>
      <c r="R82" s="154"/>
      <c r="S82" s="154"/>
      <c r="T82" s="154"/>
      <c r="U82" s="154"/>
      <c r="V82" s="154"/>
      <c r="W82" s="154"/>
      <c r="X82" s="154"/>
      <c r="Y82" s="154"/>
      <c r="Z82" s="154"/>
      <c r="AA82" s="154"/>
      <c r="AB82" s="154"/>
      <c r="AC82" s="154" t="e">
        <f>VLOOKUP(#REF!,MATIERES!A16:G448,3,0)</f>
        <v>#REF!</v>
      </c>
      <c r="AD82" s="154"/>
      <c r="AE82" s="154"/>
      <c r="AF82" s="154"/>
      <c r="AG82" s="154"/>
      <c r="AH82" s="154"/>
      <c r="AI82" s="154"/>
      <c r="AJ82" s="154"/>
      <c r="AK82" s="154"/>
      <c r="AL82" s="154"/>
      <c r="AM82" s="154"/>
      <c r="AN82" s="154"/>
      <c r="AO82" s="154"/>
      <c r="AP82" s="154"/>
      <c r="AQ82" s="154"/>
      <c r="AR82" s="154"/>
      <c r="AS82" s="154"/>
    </row>
    <row r="83" spans="1:45" ht="18" x14ac:dyDescent="0.2">
      <c r="A83" s="154"/>
      <c r="B83" s="172"/>
      <c r="C83" s="231"/>
      <c r="D83" s="227"/>
      <c r="E83" s="154"/>
      <c r="F83" s="154"/>
      <c r="G83" s="154"/>
      <c r="H83" s="154"/>
      <c r="I83" s="154"/>
      <c r="J83" s="154"/>
      <c r="K83" s="154"/>
      <c r="L83" s="154"/>
      <c r="M83" s="154"/>
      <c r="N83" s="154"/>
      <c r="O83" s="154"/>
      <c r="P83" s="154"/>
      <c r="Q83" s="154"/>
      <c r="R83" s="154"/>
      <c r="S83" s="154"/>
      <c r="T83" s="154"/>
      <c r="U83" s="154"/>
      <c r="V83" s="154"/>
      <c r="W83" s="154"/>
      <c r="X83" s="154"/>
      <c r="Y83" s="154"/>
      <c r="Z83" s="154"/>
      <c r="AA83" s="154"/>
      <c r="AB83" s="154"/>
      <c r="AC83" s="154" t="e">
        <f>VLOOKUP(#REF!,MATIERES!A17:G448,3,0)</f>
        <v>#REF!</v>
      </c>
      <c r="AD83" s="154"/>
      <c r="AE83" s="154"/>
      <c r="AF83" s="154"/>
      <c r="AG83" s="154"/>
      <c r="AH83" s="154"/>
      <c r="AI83" s="154"/>
      <c r="AJ83" s="154"/>
      <c r="AK83" s="154"/>
      <c r="AL83" s="154"/>
      <c r="AM83" s="154"/>
      <c r="AN83" s="154"/>
      <c r="AO83" s="154"/>
      <c r="AP83" s="154"/>
      <c r="AQ83" s="154"/>
      <c r="AR83" s="154"/>
      <c r="AS83" s="154"/>
    </row>
    <row r="84" spans="1:45" ht="18" x14ac:dyDescent="0.2">
      <c r="A84" s="154"/>
      <c r="B84" s="172"/>
      <c r="C84" s="231"/>
      <c r="D84" s="227"/>
      <c r="E84" s="154"/>
      <c r="F84" s="154"/>
      <c r="G84" s="154"/>
      <c r="H84" s="154"/>
      <c r="I84" s="154"/>
      <c r="J84" s="154"/>
      <c r="K84" s="154"/>
      <c r="L84" s="154"/>
      <c r="M84" s="154"/>
      <c r="N84" s="154"/>
      <c r="O84" s="154"/>
      <c r="P84" s="154"/>
      <c r="Q84" s="154"/>
      <c r="R84" s="154"/>
      <c r="S84" s="154"/>
      <c r="T84" s="154"/>
      <c r="U84" s="154"/>
      <c r="V84" s="154"/>
      <c r="W84" s="154"/>
      <c r="X84" s="154"/>
      <c r="Y84" s="154"/>
      <c r="Z84" s="154"/>
      <c r="AA84" s="154"/>
      <c r="AB84" s="154"/>
      <c r="AC84" s="154" t="str">
        <f>VLOOKUP(C18,MATIERES!A18:G448,3,0)</f>
        <v>SASKIT</v>
      </c>
      <c r="AD84" s="154"/>
      <c r="AE84" s="154"/>
      <c r="AF84" s="154"/>
      <c r="AG84" s="154"/>
      <c r="AH84" s="154"/>
      <c r="AI84" s="154"/>
      <c r="AJ84" s="154"/>
      <c r="AK84" s="154"/>
      <c r="AL84" s="154"/>
      <c r="AM84" s="154"/>
      <c r="AN84" s="154"/>
      <c r="AO84" s="154"/>
      <c r="AP84" s="154"/>
      <c r="AQ84" s="154"/>
      <c r="AR84" s="154"/>
      <c r="AS84" s="154"/>
    </row>
    <row r="85" spans="1:45" ht="18" x14ac:dyDescent="0.2">
      <c r="A85" s="154"/>
      <c r="B85" s="172"/>
      <c r="C85" s="231"/>
      <c r="D85" s="227"/>
      <c r="E85" s="154"/>
      <c r="F85" s="154"/>
      <c r="G85" s="154"/>
      <c r="H85" s="154"/>
      <c r="I85" s="154"/>
      <c r="J85" s="154"/>
      <c r="K85" s="154"/>
      <c r="L85" s="154"/>
      <c r="M85" s="154"/>
      <c r="N85" s="154"/>
      <c r="O85" s="154"/>
      <c r="P85" s="154"/>
      <c r="Q85" s="154"/>
      <c r="R85" s="154"/>
      <c r="S85" s="154"/>
      <c r="T85" s="154"/>
      <c r="U85" s="154"/>
      <c r="V85" s="154"/>
      <c r="W85" s="154"/>
      <c r="X85" s="154"/>
      <c r="Y85" s="154"/>
      <c r="Z85" s="154"/>
      <c r="AA85" s="154"/>
      <c r="AB85" s="154"/>
      <c r="AC85" s="154" t="str">
        <f>VLOOKUP(C19,MATIERES!A19:G448,3,0)</f>
        <v>SASKIT</v>
      </c>
      <c r="AD85" s="154"/>
      <c r="AE85" s="154"/>
      <c r="AF85" s="154"/>
      <c r="AG85" s="154"/>
      <c r="AH85" s="154"/>
      <c r="AI85" s="154"/>
      <c r="AJ85" s="154"/>
      <c r="AK85" s="154"/>
      <c r="AL85" s="154"/>
      <c r="AM85" s="154"/>
      <c r="AN85" s="154"/>
      <c r="AO85" s="154"/>
      <c r="AP85" s="154"/>
      <c r="AQ85" s="154"/>
      <c r="AR85" s="154"/>
      <c r="AS85" s="154"/>
    </row>
    <row r="86" spans="1:45" ht="18" x14ac:dyDescent="0.2">
      <c r="A86" s="154"/>
      <c r="B86" s="172"/>
      <c r="C86" s="231"/>
      <c r="D86" s="227"/>
      <c r="E86" s="154"/>
      <c r="F86" s="154"/>
      <c r="G86" s="154"/>
      <c r="H86" s="154"/>
      <c r="I86" s="154"/>
      <c r="J86" s="154"/>
      <c r="K86" s="154"/>
      <c r="L86" s="154"/>
      <c r="M86" s="154"/>
      <c r="N86" s="154"/>
      <c r="O86" s="154"/>
      <c r="P86" s="154"/>
      <c r="Q86" s="154"/>
      <c r="R86" s="154"/>
      <c r="S86" s="154"/>
      <c r="T86" s="154"/>
      <c r="U86" s="154"/>
      <c r="V86" s="154"/>
      <c r="W86" s="154"/>
      <c r="X86" s="154"/>
      <c r="Y86" s="154"/>
      <c r="Z86" s="154"/>
      <c r="AA86" s="154"/>
      <c r="AB86" s="154"/>
      <c r="AC86" s="154" t="str">
        <f>VLOOKUP(C20,MATIERES!A20:G448,3,0)</f>
        <v>SASKIT</v>
      </c>
      <c r="AD86" s="154"/>
      <c r="AE86" s="154"/>
      <c r="AF86" s="154"/>
      <c r="AG86" s="154"/>
      <c r="AH86" s="154"/>
      <c r="AI86" s="154"/>
      <c r="AJ86" s="154"/>
      <c r="AK86" s="154"/>
      <c r="AL86" s="154"/>
      <c r="AM86" s="154"/>
      <c r="AN86" s="154"/>
      <c r="AO86" s="154"/>
      <c r="AP86" s="154"/>
      <c r="AQ86" s="154"/>
      <c r="AR86" s="154"/>
      <c r="AS86" s="154"/>
    </row>
    <row r="87" spans="1:45" ht="18" x14ac:dyDescent="0.2">
      <c r="A87" s="154"/>
      <c r="B87" s="172"/>
      <c r="C87" s="231"/>
      <c r="D87" s="227"/>
      <c r="E87" s="154"/>
      <c r="F87" s="154"/>
      <c r="G87" s="154"/>
      <c r="H87" s="154"/>
      <c r="I87" s="154"/>
      <c r="J87" s="154"/>
      <c r="K87" s="154"/>
      <c r="L87" s="154"/>
      <c r="M87" s="154"/>
      <c r="N87" s="154"/>
      <c r="O87" s="154"/>
      <c r="P87" s="154"/>
      <c r="Q87" s="154"/>
      <c r="R87" s="154"/>
      <c r="S87" s="154"/>
      <c r="T87" s="154"/>
      <c r="U87" s="154"/>
      <c r="V87" s="154"/>
      <c r="W87" s="154"/>
      <c r="X87" s="154"/>
      <c r="Y87" s="154"/>
      <c r="Z87" s="154"/>
      <c r="AA87" s="154"/>
      <c r="AB87" s="154"/>
      <c r="AC87" s="154" t="str">
        <f>VLOOKUP(C21,MATIERES!A21:G448,3,0)</f>
        <v>SASKIT</v>
      </c>
      <c r="AD87" s="154"/>
      <c r="AE87" s="154"/>
      <c r="AF87" s="154"/>
      <c r="AG87" s="154"/>
      <c r="AH87" s="154"/>
      <c r="AI87" s="154"/>
      <c r="AJ87" s="154"/>
      <c r="AK87" s="154"/>
      <c r="AL87" s="154"/>
      <c r="AM87" s="154"/>
      <c r="AN87" s="154"/>
      <c r="AO87" s="154"/>
      <c r="AP87" s="154"/>
      <c r="AQ87" s="154"/>
      <c r="AR87" s="154"/>
      <c r="AS87" s="154"/>
    </row>
    <row r="88" spans="1:45" ht="18" x14ac:dyDescent="0.2">
      <c r="A88" s="154"/>
      <c r="B88" s="172"/>
      <c r="C88" s="231"/>
      <c r="D88" s="227"/>
      <c r="E88" s="154"/>
      <c r="F88" s="154"/>
      <c r="G88" s="154"/>
      <c r="H88" s="154"/>
      <c r="I88" s="154"/>
      <c r="J88" s="154"/>
      <c r="K88" s="154"/>
      <c r="L88" s="154"/>
      <c r="M88" s="154"/>
      <c r="N88" s="154"/>
      <c r="O88" s="154"/>
      <c r="P88" s="154"/>
      <c r="Q88" s="154"/>
      <c r="R88" s="154"/>
      <c r="S88" s="154"/>
      <c r="T88" s="154"/>
      <c r="U88" s="154"/>
      <c r="V88" s="154"/>
      <c r="W88" s="154"/>
      <c r="X88" s="154"/>
      <c r="Y88" s="154"/>
      <c r="Z88" s="154"/>
      <c r="AA88" s="154"/>
      <c r="AB88" s="154"/>
      <c r="AC88" s="154" t="str">
        <f>VLOOKUP(C22,MATIERES!A22:G448,3,0)</f>
        <v>SASKIT</v>
      </c>
      <c r="AD88" s="154"/>
      <c r="AE88" s="154"/>
      <c r="AF88" s="154"/>
      <c r="AG88" s="154"/>
      <c r="AH88" s="154"/>
      <c r="AI88" s="154"/>
      <c r="AJ88" s="154"/>
      <c r="AK88" s="154"/>
      <c r="AL88" s="154"/>
      <c r="AM88" s="154"/>
      <c r="AN88" s="154"/>
      <c r="AO88" s="154"/>
      <c r="AP88" s="154"/>
      <c r="AQ88" s="154"/>
      <c r="AR88" s="154"/>
      <c r="AS88" s="154"/>
    </row>
    <row r="89" spans="1:45" ht="18" x14ac:dyDescent="0.2">
      <c r="A89" s="154"/>
      <c r="B89" s="172"/>
      <c r="C89" s="231"/>
      <c r="D89" s="227"/>
      <c r="E89" s="154"/>
      <c r="F89" s="154"/>
      <c r="G89" s="154"/>
      <c r="H89" s="154"/>
      <c r="I89" s="154"/>
      <c r="J89" s="154"/>
      <c r="K89" s="154"/>
      <c r="L89" s="154"/>
      <c r="M89" s="154"/>
      <c r="N89" s="154"/>
      <c r="O89" s="154"/>
      <c r="P89" s="154"/>
      <c r="Q89" s="154"/>
      <c r="R89" s="154"/>
      <c r="S89" s="154"/>
      <c r="T89" s="154"/>
      <c r="U89" s="154"/>
      <c r="V89" s="154"/>
      <c r="W89" s="154"/>
      <c r="X89" s="154"/>
      <c r="Y89" s="154"/>
      <c r="Z89" s="154"/>
      <c r="AA89" s="154"/>
      <c r="AB89" s="154"/>
      <c r="AC89" s="154" t="e">
        <f>VLOOKUP(#REF!,MATIERES!A23:G448,3,0)</f>
        <v>#REF!</v>
      </c>
      <c r="AD89" s="154"/>
      <c r="AE89" s="154"/>
      <c r="AF89" s="154"/>
      <c r="AG89" s="154"/>
      <c r="AH89" s="154"/>
      <c r="AI89" s="154"/>
      <c r="AJ89" s="154"/>
      <c r="AK89" s="154"/>
      <c r="AL89" s="154"/>
      <c r="AM89" s="154"/>
      <c r="AN89" s="154"/>
      <c r="AO89" s="154"/>
      <c r="AP89" s="154"/>
      <c r="AQ89" s="154"/>
      <c r="AR89" s="154"/>
      <c r="AS89" s="154"/>
    </row>
    <row r="90" spans="1:45" ht="18" x14ac:dyDescent="0.2">
      <c r="A90" s="154"/>
      <c r="B90" s="172"/>
      <c r="C90" s="231"/>
      <c r="D90" s="227"/>
      <c r="E90" s="154"/>
      <c r="F90" s="154"/>
      <c r="G90" s="154"/>
      <c r="H90" s="154"/>
      <c r="I90" s="154"/>
      <c r="J90" s="154"/>
      <c r="K90" s="154"/>
      <c r="L90" s="154"/>
      <c r="M90" s="154"/>
      <c r="N90" s="154"/>
      <c r="O90" s="154"/>
      <c r="P90" s="154"/>
      <c r="Q90" s="154"/>
      <c r="R90" s="154"/>
      <c r="S90" s="154"/>
      <c r="T90" s="154"/>
      <c r="U90" s="154"/>
      <c r="V90" s="154"/>
      <c r="W90" s="154"/>
      <c r="X90" s="154"/>
      <c r="Y90" s="154"/>
      <c r="Z90" s="154"/>
      <c r="AA90" s="154"/>
      <c r="AB90" s="154"/>
      <c r="AC90" s="154" t="str">
        <f>VLOOKUP(C23,MATIERES!A24:G448,3,0)</f>
        <v>PUM</v>
      </c>
      <c r="AD90" s="154"/>
      <c r="AE90" s="154"/>
      <c r="AF90" s="154"/>
      <c r="AG90" s="154"/>
      <c r="AH90" s="154"/>
      <c r="AI90" s="154"/>
      <c r="AJ90" s="154"/>
      <c r="AK90" s="154"/>
      <c r="AL90" s="154"/>
      <c r="AM90" s="154"/>
      <c r="AN90" s="154"/>
      <c r="AO90" s="154"/>
      <c r="AP90" s="154"/>
      <c r="AQ90" s="154"/>
      <c r="AR90" s="154"/>
      <c r="AS90" s="154"/>
    </row>
    <row r="91" spans="1:45" ht="18" x14ac:dyDescent="0.2">
      <c r="A91" s="154"/>
      <c r="B91" s="172"/>
      <c r="C91" s="231"/>
      <c r="D91" s="227"/>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154"/>
      <c r="AC91" s="154" t="e">
        <f>VLOOKUP(#REF!,MATIERES!A25:G448,3,0)</f>
        <v>#REF!</v>
      </c>
      <c r="AD91" s="154"/>
      <c r="AE91" s="154"/>
      <c r="AF91" s="154"/>
      <c r="AG91" s="154"/>
      <c r="AH91" s="154"/>
      <c r="AI91" s="154"/>
      <c r="AJ91" s="154"/>
      <c r="AK91" s="154"/>
      <c r="AL91" s="154"/>
      <c r="AM91" s="154"/>
      <c r="AN91" s="154"/>
      <c r="AO91" s="154"/>
      <c r="AP91" s="154"/>
      <c r="AQ91" s="154"/>
      <c r="AR91" s="154"/>
      <c r="AS91" s="154"/>
    </row>
    <row r="92" spans="1:45" ht="18" x14ac:dyDescent="0.2">
      <c r="A92" s="154"/>
      <c r="B92" s="172"/>
      <c r="C92" s="231"/>
      <c r="D92" s="227"/>
      <c r="E92" s="154"/>
      <c r="F92" s="154"/>
      <c r="G92" s="154"/>
      <c r="H92" s="154"/>
      <c r="I92" s="154"/>
      <c r="J92" s="154"/>
      <c r="K92" s="154"/>
      <c r="L92" s="154"/>
      <c r="M92" s="154"/>
      <c r="N92" s="154"/>
      <c r="O92" s="154"/>
      <c r="P92" s="154"/>
      <c r="Q92" s="154"/>
      <c r="R92" s="154"/>
      <c r="S92" s="154"/>
      <c r="T92" s="154"/>
      <c r="U92" s="154"/>
      <c r="V92" s="154"/>
      <c r="W92" s="154"/>
      <c r="X92" s="154"/>
      <c r="Y92" s="154"/>
      <c r="Z92" s="154"/>
      <c r="AA92" s="154"/>
      <c r="AB92" s="154"/>
      <c r="AC92" s="154" t="str">
        <f>VLOOKUP(C24,MATIERES!A26:G448,3,0)</f>
        <v>PUM</v>
      </c>
      <c r="AD92" s="154"/>
      <c r="AE92" s="154"/>
      <c r="AF92" s="154"/>
      <c r="AG92" s="154"/>
      <c r="AH92" s="154"/>
      <c r="AI92" s="154"/>
      <c r="AJ92" s="154"/>
      <c r="AK92" s="154"/>
      <c r="AL92" s="154"/>
      <c r="AM92" s="154"/>
      <c r="AN92" s="154"/>
      <c r="AO92" s="154"/>
      <c r="AP92" s="154"/>
      <c r="AQ92" s="154"/>
      <c r="AR92" s="154"/>
      <c r="AS92" s="154"/>
    </row>
    <row r="93" spans="1:45" ht="18" x14ac:dyDescent="0.2">
      <c r="A93" s="154"/>
      <c r="B93" s="172"/>
      <c r="C93" s="231"/>
      <c r="D93" s="227"/>
      <c r="E93" s="154"/>
      <c r="F93" s="154"/>
      <c r="G93" s="154"/>
      <c r="H93" s="154"/>
      <c r="I93" s="154"/>
      <c r="J93" s="154"/>
      <c r="K93" s="154"/>
      <c r="L93" s="154"/>
      <c r="M93" s="154"/>
      <c r="N93" s="154"/>
      <c r="O93" s="154"/>
      <c r="P93" s="154"/>
      <c r="Q93" s="154"/>
      <c r="R93" s="154"/>
      <c r="S93" s="154"/>
      <c r="T93" s="154"/>
      <c r="U93" s="154"/>
      <c r="V93" s="154"/>
      <c r="W93" s="154"/>
      <c r="X93" s="154"/>
      <c r="Y93" s="154"/>
      <c r="Z93" s="154"/>
      <c r="AA93" s="154"/>
      <c r="AB93" s="154"/>
      <c r="AC93" s="154" t="str">
        <f>VLOOKUP(C25,MATIERES!A27:G448,3,0)</f>
        <v>PIGEON</v>
      </c>
      <c r="AD93" s="154"/>
      <c r="AE93" s="154"/>
      <c r="AF93" s="154"/>
      <c r="AG93" s="154"/>
      <c r="AH93" s="154"/>
      <c r="AI93" s="154"/>
      <c r="AJ93" s="154"/>
      <c r="AK93" s="154"/>
      <c r="AL93" s="154"/>
      <c r="AM93" s="154"/>
      <c r="AN93" s="154"/>
      <c r="AO93" s="154"/>
      <c r="AP93" s="154"/>
      <c r="AQ93" s="154"/>
      <c r="AR93" s="154"/>
      <c r="AS93" s="154"/>
    </row>
    <row r="94" spans="1:45" ht="18" x14ac:dyDescent="0.2">
      <c r="A94" s="154"/>
      <c r="B94" s="172"/>
      <c r="C94" s="231"/>
      <c r="D94" s="227"/>
      <c r="E94" s="154"/>
      <c r="F94" s="154"/>
      <c r="G94" s="154"/>
      <c r="H94" s="154"/>
      <c r="I94" s="154"/>
      <c r="J94" s="154"/>
      <c r="K94" s="154"/>
      <c r="L94" s="154"/>
      <c r="M94" s="154"/>
      <c r="N94" s="154"/>
      <c r="O94" s="154"/>
      <c r="P94" s="154"/>
      <c r="Q94" s="154"/>
      <c r="R94" s="154"/>
      <c r="S94" s="154"/>
      <c r="T94" s="154"/>
      <c r="U94" s="154"/>
      <c r="V94" s="154"/>
      <c r="W94" s="154"/>
      <c r="X94" s="154"/>
      <c r="Y94" s="154"/>
      <c r="Z94" s="154"/>
      <c r="AA94" s="154"/>
      <c r="AB94" s="154"/>
      <c r="AC94" s="154" t="str">
        <f>VLOOKUP(C26,MATIERES!A28:G448,3,0)</f>
        <v>PUM</v>
      </c>
      <c r="AD94" s="154"/>
      <c r="AE94" s="154"/>
      <c r="AF94" s="154"/>
      <c r="AG94" s="154"/>
      <c r="AH94" s="154"/>
      <c r="AI94" s="154"/>
      <c r="AJ94" s="154"/>
      <c r="AK94" s="154"/>
      <c r="AL94" s="154"/>
      <c r="AM94" s="154"/>
      <c r="AN94" s="154"/>
      <c r="AO94" s="154"/>
      <c r="AP94" s="154"/>
      <c r="AQ94" s="154"/>
      <c r="AR94" s="154"/>
      <c r="AS94" s="154"/>
    </row>
    <row r="95" spans="1:45" ht="18" x14ac:dyDescent="0.2">
      <c r="A95" s="154"/>
      <c r="B95" s="172"/>
      <c r="C95" s="231"/>
      <c r="D95" s="227"/>
      <c r="E95" s="154"/>
      <c r="F95" s="154"/>
      <c r="G95" s="154"/>
      <c r="H95" s="154"/>
      <c r="I95" s="154"/>
      <c r="J95" s="154"/>
      <c r="K95" s="154"/>
      <c r="L95" s="154"/>
      <c r="M95" s="154"/>
      <c r="N95" s="154"/>
      <c r="O95" s="154"/>
      <c r="P95" s="154"/>
      <c r="Q95" s="154"/>
      <c r="R95" s="154"/>
      <c r="S95" s="154"/>
      <c r="T95" s="154"/>
      <c r="U95" s="154"/>
      <c r="V95" s="154"/>
      <c r="W95" s="154"/>
      <c r="X95" s="154"/>
      <c r="Y95" s="154"/>
      <c r="Z95" s="154"/>
      <c r="AA95" s="154"/>
      <c r="AB95" s="154"/>
      <c r="AC95" s="154" t="str">
        <f>VLOOKUP(C27,MATIERES!A30:G448,3,0)</f>
        <v>PUM</v>
      </c>
      <c r="AD95" s="154"/>
      <c r="AE95" s="154"/>
      <c r="AF95" s="154"/>
      <c r="AG95" s="154"/>
      <c r="AH95" s="154"/>
      <c r="AI95" s="154"/>
      <c r="AJ95" s="154"/>
      <c r="AK95" s="154"/>
      <c r="AL95" s="154"/>
      <c r="AM95" s="154"/>
      <c r="AN95" s="154"/>
      <c r="AO95" s="154"/>
      <c r="AP95" s="154"/>
      <c r="AQ95" s="154"/>
      <c r="AR95" s="154"/>
      <c r="AS95" s="154"/>
    </row>
    <row r="96" spans="1:45" ht="18" x14ac:dyDescent="0.2">
      <c r="A96" s="154"/>
      <c r="B96" s="172"/>
      <c r="C96" s="231"/>
      <c r="D96" s="227"/>
      <c r="E96" s="154"/>
      <c r="F96" s="154"/>
      <c r="G96" s="154"/>
      <c r="H96" s="154"/>
      <c r="I96" s="154"/>
      <c r="J96" s="154"/>
      <c r="K96" s="154"/>
      <c r="L96" s="154"/>
      <c r="M96" s="154"/>
      <c r="N96" s="154"/>
      <c r="O96" s="154"/>
      <c r="P96" s="154"/>
      <c r="Q96" s="154"/>
      <c r="R96" s="154"/>
      <c r="S96" s="154"/>
      <c r="T96" s="154"/>
      <c r="U96" s="154"/>
      <c r="V96" s="154"/>
      <c r="W96" s="154"/>
      <c r="X96" s="154"/>
      <c r="Y96" s="154"/>
      <c r="Z96" s="154"/>
      <c r="AA96" s="154"/>
      <c r="AB96" s="154"/>
      <c r="AC96" s="154" t="e">
        <f>VLOOKUP(C28,MATIERES!A31:G448,3,0)</f>
        <v>#N/A</v>
      </c>
      <c r="AD96" s="154"/>
      <c r="AE96" s="154"/>
      <c r="AF96" s="154"/>
      <c r="AG96" s="154"/>
      <c r="AH96" s="154"/>
      <c r="AI96" s="154"/>
      <c r="AJ96" s="154"/>
      <c r="AK96" s="154"/>
      <c r="AL96" s="154"/>
      <c r="AM96" s="154"/>
      <c r="AN96" s="154"/>
      <c r="AO96" s="154"/>
      <c r="AP96" s="154"/>
      <c r="AQ96" s="154"/>
      <c r="AR96" s="154"/>
      <c r="AS96" s="154"/>
    </row>
    <row r="97" spans="1:45" ht="18" x14ac:dyDescent="0.2">
      <c r="A97" s="154"/>
      <c r="B97" s="172"/>
      <c r="C97" s="231"/>
      <c r="D97" s="227"/>
      <c r="E97" s="154"/>
      <c r="F97" s="154"/>
      <c r="G97" s="154"/>
      <c r="H97" s="154"/>
      <c r="I97" s="154"/>
      <c r="J97" s="154"/>
      <c r="K97" s="154"/>
      <c r="L97" s="154"/>
      <c r="M97" s="154"/>
      <c r="N97" s="154"/>
      <c r="O97" s="154"/>
      <c r="P97" s="154"/>
      <c r="Q97" s="154"/>
      <c r="R97" s="154"/>
      <c r="S97" s="154"/>
      <c r="T97" s="154"/>
      <c r="U97" s="154"/>
      <c r="V97" s="154"/>
      <c r="W97" s="154"/>
      <c r="X97" s="154"/>
      <c r="Y97" s="154"/>
      <c r="Z97" s="154"/>
      <c r="AA97" s="154"/>
      <c r="AB97" s="154"/>
      <c r="AC97" s="154" t="str">
        <f>VLOOKUP(C29,MATIERES!A32:G448,3,0)</f>
        <v>PIGEON</v>
      </c>
      <c r="AD97" s="154"/>
      <c r="AE97" s="154"/>
      <c r="AF97" s="154"/>
      <c r="AG97" s="154"/>
      <c r="AH97" s="154"/>
      <c r="AI97" s="154"/>
      <c r="AJ97" s="154"/>
      <c r="AK97" s="154"/>
      <c r="AL97" s="154"/>
      <c r="AM97" s="154"/>
      <c r="AN97" s="154"/>
      <c r="AO97" s="154"/>
      <c r="AP97" s="154"/>
      <c r="AQ97" s="154"/>
      <c r="AR97" s="154"/>
      <c r="AS97" s="154"/>
    </row>
    <row r="98" spans="1:45" ht="18" x14ac:dyDescent="0.2">
      <c r="A98" s="154"/>
      <c r="B98" s="172"/>
      <c r="C98" s="231"/>
      <c r="D98" s="227"/>
      <c r="E98" s="154"/>
      <c r="F98" s="154"/>
      <c r="G98" s="154"/>
      <c r="H98" s="154"/>
      <c r="I98" s="154"/>
      <c r="J98" s="154"/>
      <c r="K98" s="154"/>
      <c r="L98" s="154"/>
      <c r="M98" s="154"/>
      <c r="N98" s="154"/>
      <c r="O98" s="154"/>
      <c r="P98" s="154"/>
      <c r="Q98" s="154"/>
      <c r="R98" s="154"/>
      <c r="S98" s="154"/>
      <c r="T98" s="154"/>
      <c r="U98" s="154"/>
      <c r="V98" s="154"/>
      <c r="W98" s="154"/>
      <c r="X98" s="154"/>
      <c r="Y98" s="154"/>
      <c r="Z98" s="154"/>
      <c r="AA98" s="154"/>
      <c r="AB98" s="154"/>
      <c r="AC98" s="154" t="e">
        <f>VLOOKUP(C30,MATIERES!A33:G448,3,0)</f>
        <v>#N/A</v>
      </c>
      <c r="AD98" s="154"/>
      <c r="AE98" s="154"/>
      <c r="AF98" s="154"/>
      <c r="AG98" s="154"/>
      <c r="AH98" s="154"/>
      <c r="AI98" s="154"/>
      <c r="AJ98" s="154"/>
      <c r="AK98" s="154"/>
      <c r="AL98" s="154"/>
      <c r="AM98" s="154"/>
      <c r="AN98" s="154"/>
      <c r="AO98" s="154"/>
      <c r="AP98" s="154"/>
      <c r="AQ98" s="154"/>
      <c r="AR98" s="154"/>
      <c r="AS98" s="154"/>
    </row>
    <row r="99" spans="1:45" ht="18" x14ac:dyDescent="0.2">
      <c r="A99" s="154"/>
      <c r="B99" s="172"/>
      <c r="C99" s="231"/>
      <c r="D99" s="227"/>
      <c r="E99" s="154"/>
      <c r="F99" s="154"/>
      <c r="G99" s="154"/>
      <c r="H99" s="154"/>
      <c r="I99" s="154"/>
      <c r="J99" s="154"/>
      <c r="K99" s="154"/>
      <c r="L99" s="154"/>
      <c r="M99" s="154"/>
      <c r="N99" s="154"/>
      <c r="O99" s="154"/>
      <c r="P99" s="154"/>
      <c r="Q99" s="154"/>
      <c r="R99" s="154"/>
      <c r="S99" s="154"/>
      <c r="T99" s="154"/>
      <c r="U99" s="154"/>
      <c r="V99" s="154"/>
      <c r="W99" s="154"/>
      <c r="X99" s="154"/>
      <c r="Y99" s="154"/>
      <c r="Z99" s="154"/>
      <c r="AA99" s="154"/>
      <c r="AB99" s="154"/>
      <c r="AC99" s="154" t="e">
        <f>VLOOKUP(C31,MATIERES!A34:G448,3,0)</f>
        <v>#N/A</v>
      </c>
      <c r="AD99" s="154"/>
      <c r="AE99" s="154"/>
      <c r="AF99" s="154"/>
      <c r="AG99" s="154"/>
      <c r="AH99" s="154"/>
      <c r="AI99" s="154"/>
      <c r="AJ99" s="154"/>
      <c r="AK99" s="154"/>
      <c r="AL99" s="154"/>
      <c r="AM99" s="154"/>
      <c r="AN99" s="154"/>
      <c r="AO99" s="154"/>
      <c r="AP99" s="154"/>
      <c r="AQ99" s="154"/>
      <c r="AR99" s="154"/>
      <c r="AS99" s="154"/>
    </row>
  </sheetData>
  <mergeCells count="47">
    <mergeCell ref="B61:B65"/>
    <mergeCell ref="C61:D61"/>
    <mergeCell ref="C62:D62"/>
    <mergeCell ref="C63:D63"/>
    <mergeCell ref="C64:D64"/>
    <mergeCell ref="C65:D65"/>
    <mergeCell ref="AI54:AJ54"/>
    <mergeCell ref="AK54:AL54"/>
    <mergeCell ref="AM54:AN54"/>
    <mergeCell ref="C55:D55"/>
    <mergeCell ref="AE54:AF54"/>
    <mergeCell ref="AG54:AH54"/>
    <mergeCell ref="W54:X54"/>
    <mergeCell ref="Y54:Z54"/>
    <mergeCell ref="AA54:AB54"/>
    <mergeCell ref="AC54:AD54"/>
    <mergeCell ref="K54:L54"/>
    <mergeCell ref="M54:N54"/>
    <mergeCell ref="O54:P54"/>
    <mergeCell ref="Q54:R54"/>
    <mergeCell ref="S54:T54"/>
    <mergeCell ref="U54:V54"/>
    <mergeCell ref="A48:A52"/>
    <mergeCell ref="B54:B59"/>
    <mergeCell ref="C54:D54"/>
    <mergeCell ref="E54:F54"/>
    <mergeCell ref="G54:H54"/>
    <mergeCell ref="C58:D58"/>
    <mergeCell ref="C59:D59"/>
    <mergeCell ref="C57:D57"/>
    <mergeCell ref="C56:D56"/>
    <mergeCell ref="I54:J54"/>
    <mergeCell ref="S2:T2"/>
    <mergeCell ref="U2:V2"/>
    <mergeCell ref="AE2:AF2"/>
    <mergeCell ref="A4:A30"/>
    <mergeCell ref="A32:A35"/>
    <mergeCell ref="I2:J2"/>
    <mergeCell ref="K2:L2"/>
    <mergeCell ref="M2:N2"/>
    <mergeCell ref="O2:P2"/>
    <mergeCell ref="Q2:R2"/>
    <mergeCell ref="A36:A47"/>
    <mergeCell ref="B2:B3"/>
    <mergeCell ref="C2:C3"/>
    <mergeCell ref="E2:F2"/>
    <mergeCell ref="G2:H2"/>
  </mergeCells>
  <dataValidations count="9">
    <dataValidation type="list" allowBlank="1" showInputMessage="1" promptTitle="MINIPELLE" prompt="choisir la prestation" sqref="C48:C51" xr:uid="{853E8940-D1B0-4311-92E9-EDE4F5A75001}">
      <formula1>INDIRECT(B48)</formula1>
    </dataValidation>
    <dataValidation type="list" allowBlank="1" showInputMessage="1" showErrorMessage="1" promptTitle="Main d'oeuvre ATELIER" prompt="choisir la prestation" sqref="C32:C34" xr:uid="{C3CA344B-4241-4305-84DD-99087FAFF34E}">
      <formula1>INDIRECT(B32)</formula1>
    </dataValidation>
    <dataValidation type="list" allowBlank="1" showInputMessage="1" showErrorMessage="1" promptTitle="MATIERES" prompt="choisir catégorie" sqref="B30" xr:uid="{FBA60CDA-E168-47B1-AA40-E1EA8DC72928}">
      <formula1>MA_CATEGORIE</formula1>
    </dataValidation>
    <dataValidation type="list" allowBlank="1" showInputMessage="1" showErrorMessage="1" promptTitle="MO ATELIER" prompt="choisir catégorie" sqref="B32:B34" xr:uid="{8F421643-4975-464D-977E-42DC5E8F8952}">
      <formula1>CATEGORIE_MOA</formula1>
    </dataValidation>
    <dataValidation type="list" allowBlank="1" showInputMessage="1" showErrorMessage="1" promptTitle="MINIPELLE" prompt="choisir catégorie" sqref="B48:B51" xr:uid="{5C8A737C-C7E1-4970-830E-240F10119C97}">
      <formula1>CATEGORIE_MP</formula1>
    </dataValidation>
    <dataValidation type="list" allowBlank="1" showInputMessage="1" showErrorMessage="1" promptTitle="Catégorie MOC" prompt="choisir" sqref="B36:B46" xr:uid="{C796C6AB-B75A-4D75-AA21-DCFF2485BA9B}">
      <formula1>CATEGORIE_MOC</formula1>
    </dataValidation>
    <dataValidation type="list" allowBlank="1" showInputMessage="1" promptTitle="Main d'oeuvre CHANTIER" prompt="choisir la prestation" sqref="C36:C46" xr:uid="{62CDDF39-DD24-4525-A368-4E178170B633}">
      <formula1>INDIRECT(B36)</formula1>
    </dataValidation>
    <dataValidation type="list" allowBlank="1" showInputMessage="1" showErrorMessage="1" promptTitle="MATIERES" prompt="choisir catégorie" sqref="B4:B29" xr:uid="{19F94FE4-FDBA-41C8-BC7F-9D48C18FE333}">
      <formula1>MOA_ALIM</formula1>
    </dataValidation>
    <dataValidation type="list" allowBlank="1" showInputMessage="1" showErrorMessage="1" promptTitle="MATIERES" prompt="choisir le produit" sqref="C4:C30" xr:uid="{0B0C0B3A-EC2D-468A-88DA-BB47AF9E446F}">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published="0" codeName="Feuil9"/>
  <dimension ref="A1:AS101"/>
  <sheetViews>
    <sheetView zoomScaleNormal="100" workbookViewId="0">
      <pane xSplit="4" ySplit="3" topLeftCell="E40" activePane="bottomRight" state="frozen"/>
      <selection pane="topRight" activeCell="E1" sqref="E1"/>
      <selection pane="bottomLeft" activeCell="A4" sqref="A4"/>
      <selection pane="bottomRight" activeCell="B4" sqref="B4"/>
    </sheetView>
  </sheetViews>
  <sheetFormatPr baseColWidth="10" defaultRowHeight="14.25" x14ac:dyDescent="0.2"/>
  <cols>
    <col min="1" max="1" width="16.125" customWidth="1"/>
    <col min="2" max="2" width="22.5" customWidth="1"/>
    <col min="3" max="3" width="37.5" customWidth="1"/>
    <col min="4" max="4" width="7.125" customWidth="1"/>
    <col min="5" max="5" width="10.625" customWidth="1"/>
    <col min="6" max="6" width="13.625" customWidth="1"/>
    <col min="7" max="7" width="10.625" customWidth="1"/>
    <col min="8" max="8" width="18.625" customWidth="1"/>
    <col min="9" max="9" width="10.125" customWidth="1"/>
    <col min="10" max="10" width="13.125" customWidth="1"/>
    <col min="11" max="11" width="11" customWidth="1"/>
    <col min="12" max="13" width="14.5" customWidth="1"/>
    <col min="14" max="15" width="13" customWidth="1"/>
    <col min="16" max="19" width="11" customWidth="1"/>
    <col min="20" max="21" width="18.125" customWidth="1"/>
    <col min="22" max="23" width="16.5" customWidth="1"/>
    <col min="24" max="25" width="11" customWidth="1"/>
    <col min="26" max="27" width="12" customWidth="1"/>
    <col min="28" max="29" width="10.625" customWidth="1"/>
    <col min="30" max="31" width="11" customWidth="1"/>
    <col min="32" max="33" width="10.5" customWidth="1"/>
    <col min="34" max="35" width="11" customWidth="1"/>
    <col min="36" max="36" width="10.5" customWidth="1"/>
    <col min="37" max="37" width="10.625" customWidth="1"/>
    <col min="38" max="39" width="11" customWidth="1"/>
    <col min="40" max="40" width="10" customWidth="1"/>
    <col min="41" max="41" width="11.5" customWidth="1"/>
    <col min="42" max="43" width="27.5" customWidth="1"/>
    <col min="44" max="44" width="11.5" customWidth="1"/>
    <col min="45" max="45" width="26.5" customWidth="1"/>
    <col min="46" max="816" width="11.5" customWidth="1"/>
  </cols>
  <sheetData>
    <row r="1" spans="1:45" ht="14.85" customHeight="1" x14ac:dyDescent="0.2">
      <c r="A1" s="215"/>
      <c r="B1" s="216"/>
      <c r="C1" s="215"/>
      <c r="D1" s="217"/>
      <c r="E1" s="215">
        <v>3</v>
      </c>
      <c r="F1" s="215">
        <v>2</v>
      </c>
      <c r="G1" s="215">
        <v>5</v>
      </c>
      <c r="H1" s="215">
        <v>3</v>
      </c>
      <c r="I1" s="215">
        <v>7</v>
      </c>
      <c r="J1" s="215">
        <v>4</v>
      </c>
      <c r="K1" s="215">
        <v>9</v>
      </c>
      <c r="L1" s="215">
        <v>5</v>
      </c>
      <c r="M1" s="215">
        <v>11</v>
      </c>
      <c r="N1" s="215">
        <v>6</v>
      </c>
      <c r="O1" s="215">
        <v>13</v>
      </c>
      <c r="P1" s="215">
        <v>7</v>
      </c>
      <c r="Q1" s="215">
        <v>15</v>
      </c>
      <c r="R1" s="215">
        <v>8</v>
      </c>
      <c r="S1" s="215">
        <v>17</v>
      </c>
      <c r="T1" s="215">
        <v>9</v>
      </c>
      <c r="U1" s="215">
        <v>19</v>
      </c>
      <c r="V1" s="215">
        <v>10</v>
      </c>
      <c r="W1" s="215">
        <v>21</v>
      </c>
      <c r="X1" s="215" t="s">
        <v>460</v>
      </c>
      <c r="Y1" s="215">
        <v>23</v>
      </c>
      <c r="Z1" s="215" t="s">
        <v>461</v>
      </c>
      <c r="AA1" s="215">
        <v>25</v>
      </c>
      <c r="AB1" s="215" t="s">
        <v>462</v>
      </c>
      <c r="AC1" s="215">
        <v>27</v>
      </c>
      <c r="AD1" s="215" t="s">
        <v>463</v>
      </c>
      <c r="AE1" s="215">
        <v>29</v>
      </c>
      <c r="AF1" s="215">
        <v>16</v>
      </c>
      <c r="AG1" s="215">
        <v>31</v>
      </c>
      <c r="AH1" s="215" t="s">
        <v>464</v>
      </c>
      <c r="AI1" s="215">
        <v>33</v>
      </c>
      <c r="AJ1" s="215" t="s">
        <v>465</v>
      </c>
      <c r="AK1" s="215">
        <v>35</v>
      </c>
      <c r="AL1" s="215" t="s">
        <v>466</v>
      </c>
      <c r="AM1" s="215">
        <v>37</v>
      </c>
      <c r="AN1" s="215" t="s">
        <v>467</v>
      </c>
      <c r="AO1" s="215"/>
      <c r="AP1" s="1570" t="s">
        <v>1464</v>
      </c>
      <c r="AQ1" s="1570"/>
      <c r="AR1" s="215"/>
      <c r="AS1" s="215"/>
    </row>
    <row r="2" spans="1:45" ht="19.350000000000001" customHeight="1" x14ac:dyDescent="0.2">
      <c r="A2" s="351"/>
      <c r="B2" s="1556" t="s">
        <v>1824</v>
      </c>
      <c r="C2" s="1558" t="s">
        <v>468</v>
      </c>
      <c r="D2" s="352" t="s">
        <v>203</v>
      </c>
      <c r="E2" s="1548">
        <v>2</v>
      </c>
      <c r="F2" s="1548"/>
      <c r="G2" s="1548">
        <v>3</v>
      </c>
      <c r="H2" s="1548"/>
      <c r="I2" s="1548">
        <v>4</v>
      </c>
      <c r="J2" s="1548"/>
      <c r="K2" s="1548">
        <v>5</v>
      </c>
      <c r="L2" s="1548"/>
      <c r="M2" s="1548">
        <v>6</v>
      </c>
      <c r="N2" s="1548"/>
      <c r="O2" s="1548">
        <v>7</v>
      </c>
      <c r="P2" s="1548"/>
      <c r="Q2" s="1548">
        <v>8</v>
      </c>
      <c r="R2" s="1548"/>
      <c r="S2" s="1548">
        <v>9</v>
      </c>
      <c r="T2" s="1548"/>
      <c r="U2" s="1548">
        <v>10</v>
      </c>
      <c r="V2" s="1548"/>
      <c r="W2" s="353">
        <v>12</v>
      </c>
      <c r="X2" s="354" t="s">
        <v>469</v>
      </c>
      <c r="Y2" s="354">
        <v>12</v>
      </c>
      <c r="Z2" s="355" t="s">
        <v>470</v>
      </c>
      <c r="AA2" s="353">
        <v>14</v>
      </c>
      <c r="AB2" s="354" t="s">
        <v>471</v>
      </c>
      <c r="AC2" s="353">
        <v>14</v>
      </c>
      <c r="AD2" s="354" t="s">
        <v>472</v>
      </c>
      <c r="AE2" s="1548">
        <v>16</v>
      </c>
      <c r="AF2" s="1548"/>
      <c r="AG2" s="353">
        <v>18</v>
      </c>
      <c r="AH2" s="354" t="s">
        <v>473</v>
      </c>
      <c r="AI2" s="353">
        <v>18</v>
      </c>
      <c r="AJ2" s="354" t="s">
        <v>474</v>
      </c>
      <c r="AK2" s="353">
        <v>20</v>
      </c>
      <c r="AL2" s="354" t="s">
        <v>475</v>
      </c>
      <c r="AM2" s="353">
        <v>20</v>
      </c>
      <c r="AN2" s="354" t="s">
        <v>476</v>
      </c>
      <c r="AO2" s="178"/>
      <c r="AP2" s="1570"/>
      <c r="AQ2" s="1570"/>
      <c r="AR2" s="242"/>
      <c r="AS2" s="242"/>
    </row>
    <row r="3" spans="1:45" ht="35.1" customHeight="1" x14ac:dyDescent="0.2">
      <c r="A3" s="351"/>
      <c r="B3" s="1557"/>
      <c r="C3" s="1558"/>
      <c r="D3" s="356" t="s">
        <v>222</v>
      </c>
      <c r="E3" s="357" t="s">
        <v>444</v>
      </c>
      <c r="F3" s="358" t="s">
        <v>477</v>
      </c>
      <c r="G3" s="357" t="s">
        <v>444</v>
      </c>
      <c r="H3" s="358" t="s">
        <v>477</v>
      </c>
      <c r="I3" s="357" t="s">
        <v>444</v>
      </c>
      <c r="J3" s="358" t="s">
        <v>477</v>
      </c>
      <c r="K3" s="357" t="s">
        <v>444</v>
      </c>
      <c r="L3" s="358" t="s">
        <v>477</v>
      </c>
      <c r="M3" s="357" t="s">
        <v>444</v>
      </c>
      <c r="N3" s="358" t="s">
        <v>477</v>
      </c>
      <c r="O3" s="357" t="s">
        <v>444</v>
      </c>
      <c r="P3" s="358" t="s">
        <v>477</v>
      </c>
      <c r="Q3" s="359" t="s">
        <v>444</v>
      </c>
      <c r="R3" s="360" t="s">
        <v>477</v>
      </c>
      <c r="S3" s="357" t="s">
        <v>444</v>
      </c>
      <c r="T3" s="358" t="s">
        <v>477</v>
      </c>
      <c r="U3" s="357" t="s">
        <v>444</v>
      </c>
      <c r="V3" s="358" t="s">
        <v>477</v>
      </c>
      <c r="W3" s="357" t="s">
        <v>444</v>
      </c>
      <c r="X3" s="358" t="s">
        <v>477</v>
      </c>
      <c r="Y3" s="357" t="s">
        <v>444</v>
      </c>
      <c r="Z3" s="358" t="s">
        <v>477</v>
      </c>
      <c r="AA3" s="357" t="s">
        <v>444</v>
      </c>
      <c r="AB3" s="358" t="s">
        <v>477</v>
      </c>
      <c r="AC3" s="357" t="s">
        <v>444</v>
      </c>
      <c r="AD3" s="358" t="s">
        <v>477</v>
      </c>
      <c r="AE3" s="357" t="s">
        <v>444</v>
      </c>
      <c r="AF3" s="358" t="s">
        <v>477</v>
      </c>
      <c r="AG3" s="357" t="s">
        <v>444</v>
      </c>
      <c r="AH3" s="358" t="s">
        <v>477</v>
      </c>
      <c r="AI3" s="357" t="s">
        <v>444</v>
      </c>
      <c r="AJ3" s="358" t="s">
        <v>477</v>
      </c>
      <c r="AK3" s="357" t="s">
        <v>444</v>
      </c>
      <c r="AL3" s="358" t="s">
        <v>477</v>
      </c>
      <c r="AM3" s="357" t="s">
        <v>444</v>
      </c>
      <c r="AN3" s="358" t="s">
        <v>477</v>
      </c>
      <c r="AO3" s="178"/>
      <c r="AP3" s="531" t="s">
        <v>1465</v>
      </c>
      <c r="AQ3" s="533" t="s">
        <v>543</v>
      </c>
      <c r="AR3" s="357" t="s">
        <v>444</v>
      </c>
      <c r="AS3" s="358" t="s">
        <v>477</v>
      </c>
    </row>
    <row r="4" spans="1:45" ht="15" customHeight="1" x14ac:dyDescent="0.2">
      <c r="A4" s="1549" t="s">
        <v>1078</v>
      </c>
      <c r="B4" s="361" t="s">
        <v>1140</v>
      </c>
      <c r="C4" s="1400" t="s">
        <v>814</v>
      </c>
      <c r="D4" s="363" t="str">
        <f>IF($C4="","",VLOOKUP($C4,MATIERES!$A$2:$F$413,5,0))</f>
        <v>pc</v>
      </c>
      <c r="E4" s="364">
        <f>'Outils de calculs'!E25*6</f>
        <v>24</v>
      </c>
      <c r="F4" s="365">
        <f>IF($C4="","",E4*VLOOKUP($C4,MATIERES!$A$2:$F$448,4,0))</f>
        <v>39.599999999999994</v>
      </c>
      <c r="G4" s="364">
        <f>'Outils de calculs'!G25*6</f>
        <v>36</v>
      </c>
      <c r="H4" s="365">
        <f>IF($C4="","",G4*VLOOKUP($C4,MATIERES!$A$2:$F$448,4,0))</f>
        <v>59.4</v>
      </c>
      <c r="I4" s="364">
        <f>'Outils de calculs'!I25*6</f>
        <v>48</v>
      </c>
      <c r="J4" s="365">
        <f>IF($C4="","",I4*VLOOKUP($C4,MATIERES!$A$2:$F$448,4,0))</f>
        <v>79.199999999999989</v>
      </c>
      <c r="K4" s="364">
        <f>'Outils de calculs'!K25*6</f>
        <v>60</v>
      </c>
      <c r="L4" s="365">
        <f>IF($C4="","",K4*VLOOKUP($C4,MATIERES!$A$2:$F$448,4,0))</f>
        <v>99</v>
      </c>
      <c r="M4" s="364">
        <f>'Outils de calculs'!M25*6</f>
        <v>72</v>
      </c>
      <c r="N4" s="365">
        <f>IF($C4="","",M4*VLOOKUP($C4,MATIERES!$A$2:$F$448,4,0))</f>
        <v>118.8</v>
      </c>
      <c r="O4" s="364">
        <f>'Outils de calculs'!O25*6</f>
        <v>84</v>
      </c>
      <c r="P4" s="365">
        <f>IF($C4="","",O4*VLOOKUP($C4,MATIERES!$A$2:$F$448,4,0))</f>
        <v>138.6</v>
      </c>
      <c r="Q4" s="364">
        <f>'Outils de calculs'!Q25*6</f>
        <v>96</v>
      </c>
      <c r="R4" s="365">
        <f>IF($C4="","",Q4*VLOOKUP($C4,MATIERES!$A$2:$F$448,4,0))</f>
        <v>158.39999999999998</v>
      </c>
      <c r="S4" s="364">
        <f>'Outils de calculs'!S25*6</f>
        <v>108</v>
      </c>
      <c r="T4" s="365">
        <f>IF($C4="","",S4*VLOOKUP($C4,MATIERES!$A$2:$F$448,4,0))</f>
        <v>178.2</v>
      </c>
      <c r="U4" s="364">
        <f>'Outils de calculs'!U25*6</f>
        <v>120</v>
      </c>
      <c r="V4" s="365">
        <f>IF($C4="","",U4*VLOOKUP($C4,MATIERES!$A$2:$F$448,4,0))</f>
        <v>198</v>
      </c>
      <c r="W4" s="364">
        <f>'Outils de calculs'!W25*6</f>
        <v>144</v>
      </c>
      <c r="X4" s="365">
        <f>IF($C4="","",W4*VLOOKUP($C4,MATIERES!$A$2:$F$448,4,0))</f>
        <v>237.6</v>
      </c>
      <c r="Y4" s="364">
        <f>'Outils de calculs'!Y25*6</f>
        <v>144</v>
      </c>
      <c r="Z4" s="365">
        <f>IF($C4="","",Y4*VLOOKUP($C4,MATIERES!$A$2:$F$448,4,0))</f>
        <v>237.6</v>
      </c>
      <c r="AA4" s="364">
        <f>'Outils de calculs'!AA25*6</f>
        <v>168</v>
      </c>
      <c r="AB4" s="365">
        <f>IF($C4="","",AA4*VLOOKUP($C4,MATIERES!$A$2:$F$448,4,0))</f>
        <v>277.2</v>
      </c>
      <c r="AC4" s="364">
        <f>'Outils de calculs'!AC25*6</f>
        <v>168</v>
      </c>
      <c r="AD4" s="365">
        <f>IF($C4="","",AC4*VLOOKUP($C4,MATIERES!$A$2:$F$448,4,0))</f>
        <v>277.2</v>
      </c>
      <c r="AE4" s="364">
        <f>'Outils de calculs'!AE25*6</f>
        <v>192</v>
      </c>
      <c r="AF4" s="365">
        <f>IF($C4="","",AE4*VLOOKUP($C4,MATIERES!$A$2:$F$448,4,0))</f>
        <v>316.79999999999995</v>
      </c>
      <c r="AG4" s="364">
        <f>'Outils de calculs'!AG25*6</f>
        <v>216</v>
      </c>
      <c r="AH4" s="365">
        <f>IF($C4="","",AG4*VLOOKUP($C4,MATIERES!$A$2:$F$448,4,0))</f>
        <v>356.4</v>
      </c>
      <c r="AI4" s="364">
        <f>'Outils de calculs'!AI25*6</f>
        <v>216</v>
      </c>
      <c r="AJ4" s="365">
        <f>IF($C4="","",AI4*VLOOKUP($C4,MATIERES!$A$2:$F$448,4,0))</f>
        <v>356.4</v>
      </c>
      <c r="AK4" s="364">
        <f>'Outils de calculs'!AK25*6</f>
        <v>240</v>
      </c>
      <c r="AL4" s="365">
        <f>IF($C4="","",AK4*VLOOKUP($C4,MATIERES!$A$2:$F$448,4,0))</f>
        <v>396</v>
      </c>
      <c r="AM4" s="364">
        <f>'Outils de calculs'!AM25*6</f>
        <v>240</v>
      </c>
      <c r="AN4" s="365">
        <f>IF($C4="","",AM4*VLOOKUP($C4,MATIERES!$A$2:$F$448,4,0))</f>
        <v>396</v>
      </c>
      <c r="AO4" s="135"/>
      <c r="AP4" s="532" t="str">
        <f>IFERROR(IF(VLOOKUP(C4,MATIERES!$A$2:$D$390,3,0)="SASKIT",C4,""),"")</f>
        <v/>
      </c>
      <c r="AQ4" s="534"/>
      <c r="AR4" s="135"/>
      <c r="AS4" s="135"/>
    </row>
    <row r="5" spans="1:45" ht="15" customHeight="1" x14ac:dyDescent="0.2">
      <c r="A5" s="1550"/>
      <c r="B5" s="361" t="s">
        <v>127</v>
      </c>
      <c r="C5" s="1400" t="s">
        <v>1113</v>
      </c>
      <c r="D5" s="363" t="str">
        <f>IF($C5="","",VLOOKUP($C5,MATIERES!$A$2:$F$413,5,0))</f>
        <v>t</v>
      </c>
      <c r="E5" s="364">
        <f>'Outils de calculs'!E25*1.6*0.31</f>
        <v>1.984</v>
      </c>
      <c r="F5" s="365">
        <f>IF($C5="","",E5*VLOOKUP($C5,MATIERES!$A$2:$F$448,4,0))</f>
        <v>59.519999999999996</v>
      </c>
      <c r="G5" s="364">
        <f>'Outils de calculs'!G25*1.6*0.31</f>
        <v>2.9760000000000004</v>
      </c>
      <c r="H5" s="365">
        <f>IF($C5="","",G5*VLOOKUP($C5,MATIERES!$A$2:$F$448,4,0))</f>
        <v>89.280000000000015</v>
      </c>
      <c r="I5" s="364">
        <f>'Outils de calculs'!I25*1.6*0.31</f>
        <v>3.968</v>
      </c>
      <c r="J5" s="365">
        <f>IF($C5="","",I5*VLOOKUP($C5,MATIERES!$A$2:$F$448,4,0))</f>
        <v>119.03999999999999</v>
      </c>
      <c r="K5" s="364">
        <f>'Outils de calculs'!K25*1.6*0.31</f>
        <v>4.96</v>
      </c>
      <c r="L5" s="365">
        <f>IF($C5="","",K5*VLOOKUP($C5,MATIERES!$A$2:$F$448,4,0))</f>
        <v>148.80000000000001</v>
      </c>
      <c r="M5" s="364">
        <f>'Outils de calculs'!M25*1.6*0.31</f>
        <v>5.9520000000000008</v>
      </c>
      <c r="N5" s="365">
        <f>IF($C5="","",M5*VLOOKUP($C5,MATIERES!$A$2:$F$448,4,0))</f>
        <v>178.56000000000003</v>
      </c>
      <c r="O5" s="364">
        <f>'Outils de calculs'!O25*1.6*0.31</f>
        <v>6.9440000000000008</v>
      </c>
      <c r="P5" s="365">
        <f>IF($C5="","",O5*VLOOKUP($C5,MATIERES!$A$2:$F$448,4,0))</f>
        <v>208.32000000000002</v>
      </c>
      <c r="Q5" s="364">
        <f>'Outils de calculs'!Q25*1.6*0.31</f>
        <v>7.9359999999999999</v>
      </c>
      <c r="R5" s="365">
        <f>IF($C5="","",Q5*VLOOKUP($C5,MATIERES!$A$2:$F$448,4,0))</f>
        <v>238.07999999999998</v>
      </c>
      <c r="S5" s="364">
        <f>'Outils de calculs'!S25*1.6*0.31</f>
        <v>8.9280000000000008</v>
      </c>
      <c r="T5" s="365">
        <f>IF($C5="","",S5*VLOOKUP($C5,MATIERES!$A$2:$F$448,4,0))</f>
        <v>267.84000000000003</v>
      </c>
      <c r="U5" s="364">
        <f>'Outils de calculs'!U25*1.6*0.31</f>
        <v>9.92</v>
      </c>
      <c r="V5" s="365">
        <f>IF($C5="","",U5*VLOOKUP($C5,MATIERES!$A$2:$F$448,4,0))</f>
        <v>297.60000000000002</v>
      </c>
      <c r="W5" s="364">
        <f>'Outils de calculs'!W25*1.6*0.31</f>
        <v>11.904000000000002</v>
      </c>
      <c r="X5" s="365">
        <f>IF($C5="","",W5*VLOOKUP($C5,MATIERES!$A$2:$F$448,4,0))</f>
        <v>357.12000000000006</v>
      </c>
      <c r="Y5" s="364">
        <f>'Outils de calculs'!Y25*1.6*0.31</f>
        <v>11.904000000000002</v>
      </c>
      <c r="Z5" s="365">
        <f>IF($C5="","",Y5*VLOOKUP($C5,MATIERES!$A$2:$F$448,4,0))</f>
        <v>357.12000000000006</v>
      </c>
      <c r="AA5" s="364">
        <f>'Outils de calculs'!AA25*1.6*0.31</f>
        <v>13.888000000000002</v>
      </c>
      <c r="AB5" s="365">
        <f>IF($C5="","",AA5*VLOOKUP($C5,MATIERES!$A$2:$F$448,4,0))</f>
        <v>416.64000000000004</v>
      </c>
      <c r="AC5" s="364">
        <f>'Outils de calculs'!AC25*1.6*0.31</f>
        <v>13.888000000000002</v>
      </c>
      <c r="AD5" s="365">
        <f>IF($C5="","",AC5*VLOOKUP($C5,MATIERES!$A$2:$F$448,4,0))</f>
        <v>416.64000000000004</v>
      </c>
      <c r="AE5" s="364">
        <f>'Outils de calculs'!AE25*1.6*0.31</f>
        <v>15.872</v>
      </c>
      <c r="AF5" s="365">
        <f>IF($C5="","",AE5*VLOOKUP($C5,MATIERES!$A$2:$F$448,4,0))</f>
        <v>476.15999999999997</v>
      </c>
      <c r="AG5" s="364">
        <f>'Outils de calculs'!AG25*1.6*0.31</f>
        <v>17.856000000000002</v>
      </c>
      <c r="AH5" s="365">
        <f>IF($C5="","",AG5*VLOOKUP($C5,MATIERES!$A$2:$F$448,4,0))</f>
        <v>535.68000000000006</v>
      </c>
      <c r="AI5" s="364">
        <f>'Outils de calculs'!AI25*1.6*0.31</f>
        <v>17.856000000000002</v>
      </c>
      <c r="AJ5" s="365">
        <f>IF($C5="","",AI5*VLOOKUP($C5,MATIERES!$A$2:$F$448,4,0))</f>
        <v>535.68000000000006</v>
      </c>
      <c r="AK5" s="364">
        <f>'Outils de calculs'!AK25*1.6*0.31</f>
        <v>19.84</v>
      </c>
      <c r="AL5" s="365">
        <f>IF($C5="","",AK5*VLOOKUP($C5,MATIERES!$A$2:$F$448,4,0))</f>
        <v>595.20000000000005</v>
      </c>
      <c r="AM5" s="364">
        <f>'Outils de calculs'!AM25*1.6*0.31</f>
        <v>19.84</v>
      </c>
      <c r="AN5" s="365">
        <f>IF($C5="","",AM5*VLOOKUP($C5,MATIERES!$A$2:$F$448,4,0))</f>
        <v>595.20000000000005</v>
      </c>
      <c r="AO5" s="135"/>
      <c r="AP5" s="532" t="str">
        <f>IFERROR(IF(VLOOKUP(C5,MATIERES!$A$2:$D$390,3,0)="SASKIT",C5,""),"")</f>
        <v/>
      </c>
      <c r="AQ5" s="534"/>
      <c r="AR5" s="135"/>
      <c r="AS5" s="135"/>
    </row>
    <row r="6" spans="1:45" ht="15" customHeight="1" x14ac:dyDescent="0.2">
      <c r="A6" s="1550"/>
      <c r="B6" s="361" t="s">
        <v>127</v>
      </c>
      <c r="C6" s="1400" t="s">
        <v>1211</v>
      </c>
      <c r="D6" s="363" t="str">
        <f>IF($C6="","",VLOOKUP($C6,MATIERES!$A$2:$F$413,5,0))</f>
        <v>t</v>
      </c>
      <c r="E6" s="404">
        <f>1.8*0.9*'Outils de calculs'!E25</f>
        <v>6.48</v>
      </c>
      <c r="F6" s="365">
        <f>IF($C6="","",E6*VLOOKUP($C6,MATIERES!$A$2:$F$448,4,0))</f>
        <v>324</v>
      </c>
      <c r="G6" s="404">
        <f>1.8*0.9*'Outils de calculs'!G25</f>
        <v>9.7200000000000006</v>
      </c>
      <c r="H6" s="365">
        <f>IF($C6="","",G6*VLOOKUP($C6,MATIERES!$A$2:$F$448,4,0))</f>
        <v>486.00000000000006</v>
      </c>
      <c r="I6" s="404">
        <f>1.8*0.9*'Outils de calculs'!I25</f>
        <v>12.96</v>
      </c>
      <c r="J6" s="365">
        <f>IF($C6="","",I6*VLOOKUP($C6,MATIERES!$A$2:$F$448,4,0))</f>
        <v>648</v>
      </c>
      <c r="K6" s="404">
        <f>1.8*0.9*'Outils de calculs'!K25</f>
        <v>16.200000000000003</v>
      </c>
      <c r="L6" s="365">
        <f>IF($C6="","",K6*VLOOKUP($C6,MATIERES!$A$2:$F$448,4,0))</f>
        <v>810.00000000000011</v>
      </c>
      <c r="M6" s="404">
        <f>1.8*0.9*'Outils de calculs'!M25</f>
        <v>19.440000000000001</v>
      </c>
      <c r="N6" s="365">
        <f>IF($C6="","",M6*VLOOKUP($C6,MATIERES!$A$2:$F$448,4,0))</f>
        <v>972.00000000000011</v>
      </c>
      <c r="O6" s="404">
        <f>1.8*0.9*'Outils de calculs'!O25</f>
        <v>22.68</v>
      </c>
      <c r="P6" s="365">
        <f>IF($C6="","",O6*VLOOKUP($C6,MATIERES!$A$2:$F$448,4,0))</f>
        <v>1134</v>
      </c>
      <c r="Q6" s="404">
        <f>1.8*0.9*'Outils de calculs'!Q25</f>
        <v>25.92</v>
      </c>
      <c r="R6" s="365">
        <f>IF($C6="","",Q6*VLOOKUP($C6,MATIERES!$A$2:$F$448,4,0))</f>
        <v>1296</v>
      </c>
      <c r="S6" s="404">
        <f>1.8*0.9*'Outils de calculs'!S25</f>
        <v>29.160000000000004</v>
      </c>
      <c r="T6" s="365">
        <f>IF($C6="","",S6*VLOOKUP($C6,MATIERES!$A$2:$F$448,4,0))</f>
        <v>1458.0000000000002</v>
      </c>
      <c r="U6" s="404">
        <f>1.8*0.9*'Outils de calculs'!U25</f>
        <v>32.400000000000006</v>
      </c>
      <c r="V6" s="365">
        <f>IF($C6="","",U6*VLOOKUP($C6,MATIERES!$A$2:$F$448,4,0))</f>
        <v>1620.0000000000002</v>
      </c>
      <c r="W6" s="404">
        <f>1.8*0.9*'Outils de calculs'!W25</f>
        <v>38.880000000000003</v>
      </c>
      <c r="X6" s="365">
        <f>IF($C6="","",W6*VLOOKUP($C6,MATIERES!$A$2:$F$448,4,0))</f>
        <v>1944.0000000000002</v>
      </c>
      <c r="Y6" s="404">
        <f>1.8*0.9*'Outils de calculs'!Y25</f>
        <v>38.880000000000003</v>
      </c>
      <c r="Z6" s="365">
        <f>IF($C6="","",Y6*VLOOKUP($C6,MATIERES!$A$2:$F$448,4,0))</f>
        <v>1944.0000000000002</v>
      </c>
      <c r="AA6" s="404">
        <f>1.8*0.9*'Outils de calculs'!AA25</f>
        <v>45.36</v>
      </c>
      <c r="AB6" s="365">
        <f>IF($C6="","",AA6*VLOOKUP($C6,MATIERES!$A$2:$F$448,4,0))</f>
        <v>2268</v>
      </c>
      <c r="AC6" s="404">
        <f>1.8*0.9*'Outils de calculs'!AC25</f>
        <v>45.36</v>
      </c>
      <c r="AD6" s="365">
        <f>IF($C6="","",AC6*VLOOKUP($C6,MATIERES!$A$2:$F$448,4,0))</f>
        <v>2268</v>
      </c>
      <c r="AE6" s="404">
        <f>1.8*0.9*'Outils de calculs'!AE25</f>
        <v>51.84</v>
      </c>
      <c r="AF6" s="365">
        <f>IF($C6="","",AE6*VLOOKUP($C6,MATIERES!$A$2:$F$448,4,0))</f>
        <v>2592</v>
      </c>
      <c r="AG6" s="404">
        <f>1.8*0.9*'Outils de calculs'!AG25</f>
        <v>58.320000000000007</v>
      </c>
      <c r="AH6" s="365">
        <f>IF($C6="","",AG6*VLOOKUP($C6,MATIERES!$A$2:$F$448,4,0))</f>
        <v>2916.0000000000005</v>
      </c>
      <c r="AI6" s="404">
        <f>1.8*0.9*'Outils de calculs'!AI25</f>
        <v>58.320000000000007</v>
      </c>
      <c r="AJ6" s="365">
        <f>IF($C6="","",AI6*VLOOKUP($C6,MATIERES!$A$2:$F$448,4,0))</f>
        <v>2916.0000000000005</v>
      </c>
      <c r="AK6" s="404">
        <f>1.8*0.9*'Outils de calculs'!AK25</f>
        <v>64.800000000000011</v>
      </c>
      <c r="AL6" s="365">
        <f>IF($C6="","",AK6*VLOOKUP($C6,MATIERES!$A$2:$F$448,4,0))</f>
        <v>3240.0000000000005</v>
      </c>
      <c r="AM6" s="404">
        <f>1.8*0.9*'Outils de calculs'!AM25</f>
        <v>64.800000000000011</v>
      </c>
      <c r="AN6" s="365">
        <f>IF($C6="","",AM6*VLOOKUP($C6,MATIERES!$A$2:$F$448,4,0))</f>
        <v>3240.0000000000005</v>
      </c>
      <c r="AO6" s="135"/>
      <c r="AP6" s="532" t="str">
        <f>IFERROR(IF(VLOOKUP(C6,MATIERES!$A$2:$D$390,3,0)="SASKIT",C6,""),"")</f>
        <v/>
      </c>
      <c r="AQ6" s="534"/>
      <c r="AR6" s="135"/>
      <c r="AS6" s="135"/>
    </row>
    <row r="7" spans="1:45" ht="10.35" customHeight="1" x14ac:dyDescent="0.2">
      <c r="A7" s="1550"/>
      <c r="B7" s="361" t="s">
        <v>127</v>
      </c>
      <c r="C7" s="1400" t="s">
        <v>1209</v>
      </c>
      <c r="D7" s="363" t="str">
        <f>IF($C7="","",VLOOKUP($C7,MATIERES!$A$2:$F$413,5,0))</f>
        <v>t</v>
      </c>
      <c r="E7" s="364">
        <f>'Outils de calculs'!E25*1.6*0.3+2</f>
        <v>3.92</v>
      </c>
      <c r="F7" s="365">
        <f>IF($C7="","",E7*VLOOKUP($C7,MATIERES!$A$2:$F$448,4,0))</f>
        <v>117.6</v>
      </c>
      <c r="G7" s="364">
        <f>'Outils de calculs'!G25*1.6*0.3+2</f>
        <v>4.8800000000000008</v>
      </c>
      <c r="H7" s="365">
        <f>IF($C7="","",G7*VLOOKUP($C7,MATIERES!$A$2:$F$448,4,0))</f>
        <v>146.40000000000003</v>
      </c>
      <c r="I7" s="364">
        <f>'Outils de calculs'!I25*1.6*0.3+2</f>
        <v>5.84</v>
      </c>
      <c r="J7" s="365">
        <f>IF($C7="","",I7*VLOOKUP($C7,MATIERES!$A$2:$F$448,4,0))</f>
        <v>175.2</v>
      </c>
      <c r="K7" s="364">
        <f>'Outils de calculs'!K25*1.6*0.3+2</f>
        <v>6.8</v>
      </c>
      <c r="L7" s="365">
        <f>IF($C7="","",K7*VLOOKUP($C7,MATIERES!$A$2:$F$448,4,0))</f>
        <v>204</v>
      </c>
      <c r="M7" s="364">
        <f>'Outils de calculs'!M25*1.6*0.3+2</f>
        <v>7.7600000000000007</v>
      </c>
      <c r="N7" s="365">
        <f>IF($C7="","",M7*VLOOKUP($C7,MATIERES!$A$2:$F$448,4,0))</f>
        <v>232.8</v>
      </c>
      <c r="O7" s="364">
        <f>'Outils de calculs'!O25*1.6*0.3+2</f>
        <v>8.7200000000000006</v>
      </c>
      <c r="P7" s="365">
        <f>IF($C7="","",O7*VLOOKUP($C7,MATIERES!$A$2:$F$448,4,0))</f>
        <v>261.60000000000002</v>
      </c>
      <c r="Q7" s="364">
        <f>'Outils de calculs'!Q25*1.6*0.3+2</f>
        <v>9.68</v>
      </c>
      <c r="R7" s="365">
        <f>IF($C7="","",Q7*VLOOKUP($C7,MATIERES!$A$2:$F$448,4,0))</f>
        <v>290.39999999999998</v>
      </c>
      <c r="S7" s="364">
        <f>'Outils de calculs'!S25*1.6*0.3+2</f>
        <v>10.64</v>
      </c>
      <c r="T7" s="365">
        <f>IF($C7="","",S7*VLOOKUP($C7,MATIERES!$A$2:$F$448,4,0))</f>
        <v>319.20000000000005</v>
      </c>
      <c r="U7" s="364">
        <f>'Outils de calculs'!U25*1.6*0.3+2</f>
        <v>11.6</v>
      </c>
      <c r="V7" s="365">
        <f>IF($C7="","",U7*VLOOKUP($C7,MATIERES!$A$2:$F$448,4,0))</f>
        <v>348</v>
      </c>
      <c r="W7" s="364">
        <f>'Outils de calculs'!W25*1.6*0.3+2</f>
        <v>13.520000000000001</v>
      </c>
      <c r="X7" s="365">
        <f>IF($C7="","",W7*VLOOKUP($C7,MATIERES!$A$2:$F$448,4,0))</f>
        <v>405.6</v>
      </c>
      <c r="Y7" s="364">
        <f>'Outils de calculs'!Y25*1.6*0.3+2</f>
        <v>13.520000000000001</v>
      </c>
      <c r="Z7" s="365">
        <f>IF($C7="","",Y7*VLOOKUP($C7,MATIERES!$A$2:$F$448,4,0))</f>
        <v>405.6</v>
      </c>
      <c r="AA7" s="364">
        <f>'Outils de calculs'!AA25*1.6*0.3+2</f>
        <v>15.440000000000001</v>
      </c>
      <c r="AB7" s="365">
        <f>IF($C7="","",AA7*VLOOKUP($C7,MATIERES!$A$2:$F$448,4,0))</f>
        <v>463.20000000000005</v>
      </c>
      <c r="AC7" s="364">
        <f>'Outils de calculs'!AC25*1.6*0.3+2</f>
        <v>15.440000000000001</v>
      </c>
      <c r="AD7" s="365">
        <f>IF($C7="","",AC7*VLOOKUP($C7,MATIERES!$A$2:$F$448,4,0))</f>
        <v>463.20000000000005</v>
      </c>
      <c r="AE7" s="364">
        <f>'Outils de calculs'!AE25*1.6*0.3+2</f>
        <v>17.36</v>
      </c>
      <c r="AF7" s="365">
        <f>IF($C7="","",AE7*VLOOKUP($C7,MATIERES!$A$2:$F$448,4,0))</f>
        <v>520.79999999999995</v>
      </c>
      <c r="AG7" s="364">
        <f>'Outils de calculs'!AG25*1.6*0.3+2</f>
        <v>19.28</v>
      </c>
      <c r="AH7" s="365">
        <f>IF($C7="","",AG7*VLOOKUP($C7,MATIERES!$A$2:$F$448,4,0))</f>
        <v>578.40000000000009</v>
      </c>
      <c r="AI7" s="364">
        <f>'Outils de calculs'!AI25*1.6*0.3+2</f>
        <v>19.28</v>
      </c>
      <c r="AJ7" s="365">
        <f>IF($C7="","",AI7*VLOOKUP($C7,MATIERES!$A$2:$F$448,4,0))</f>
        <v>578.40000000000009</v>
      </c>
      <c r="AK7" s="364">
        <f>'Outils de calculs'!AK25*1.6*0.3+2</f>
        <v>21.2</v>
      </c>
      <c r="AL7" s="365">
        <f>IF($C7="","",AK7*VLOOKUP($C7,MATIERES!$A$2:$F$448,4,0))</f>
        <v>636</v>
      </c>
      <c r="AM7" s="364">
        <f>'Outils de calculs'!AM25*1.6*0.3+2</f>
        <v>21.2</v>
      </c>
      <c r="AN7" s="365">
        <f>IF($C7="","",AM7*VLOOKUP($C7,MATIERES!$A$2:$F$448,4,0))</f>
        <v>636</v>
      </c>
      <c r="AO7" s="135"/>
      <c r="AP7" s="532" t="str">
        <f>IFERROR(IF(VLOOKUP(C7,MATIERES!$A$2:$D$390,3,0)="SASKIT",C7,""),"")</f>
        <v/>
      </c>
      <c r="AQ7" s="534"/>
      <c r="AR7" s="135"/>
      <c r="AS7" s="135"/>
    </row>
    <row r="8" spans="1:45" ht="10.35" customHeight="1" x14ac:dyDescent="0.2">
      <c r="A8" s="1550"/>
      <c r="B8" s="361" t="s">
        <v>1148</v>
      </c>
      <c r="C8" s="1401" t="s">
        <v>296</v>
      </c>
      <c r="D8" s="363" t="str">
        <f>IF($C8="","",VLOOKUP($C8,MATIERES!$A$2:$F$413,5,0))</f>
        <v>pc</v>
      </c>
      <c r="E8" s="364">
        <f>1</f>
        <v>1</v>
      </c>
      <c r="F8" s="365">
        <f>IF($C8="","",E8*VLOOKUP($C8,MATIERES!$A$2:$F$448,4,0))*IF(FHchoix="",1.2,1)</f>
        <v>297.52799999999996</v>
      </c>
      <c r="G8" s="364">
        <v>0</v>
      </c>
      <c r="H8" s="365">
        <f>IF($C8="","",G8*VLOOKUP($C8,MATIERES!$A$2:$F$448,4,0))</f>
        <v>0</v>
      </c>
      <c r="I8" s="364">
        <v>0</v>
      </c>
      <c r="J8" s="365">
        <f>IF($C8="","",I8*VLOOKUP($C8,MATIERES!$A$2:$F$448,4,0))</f>
        <v>0</v>
      </c>
      <c r="K8" s="364">
        <v>0</v>
      </c>
      <c r="L8" s="365">
        <f>IF($C8="","",K8*VLOOKUP($C8,MATIERES!$A$2:$F$448,4,0))</f>
        <v>0</v>
      </c>
      <c r="M8" s="364">
        <v>0</v>
      </c>
      <c r="N8" s="365">
        <f>IF($C8="","",M8*VLOOKUP($C8,MATIERES!$A$2:$F$448,4,0))</f>
        <v>0</v>
      </c>
      <c r="O8" s="364">
        <v>0</v>
      </c>
      <c r="P8" s="365">
        <f>IF($C8="","",O8*VLOOKUP($C8,MATIERES!$A$2:$F$448,4,0))</f>
        <v>0</v>
      </c>
      <c r="Q8" s="364">
        <v>0</v>
      </c>
      <c r="R8" s="365">
        <f>IF($C8="","",Q8*VLOOKUP($C8,MATIERES!$A$2:$F$448,4,0))</f>
        <v>0</v>
      </c>
      <c r="S8" s="364">
        <v>0</v>
      </c>
      <c r="T8" s="365">
        <f>IF($C8="","",S8*VLOOKUP($C8,MATIERES!$A$2:$F$448,4,0))</f>
        <v>0</v>
      </c>
      <c r="U8" s="364">
        <v>0</v>
      </c>
      <c r="V8" s="365">
        <f>IF($C8="","",U8*VLOOKUP($C8,MATIERES!$A$2:$F$448,4,0))</f>
        <v>0</v>
      </c>
      <c r="W8" s="364">
        <v>0</v>
      </c>
      <c r="X8" s="365">
        <f>IF($C8="","",W8*VLOOKUP($C8,MATIERES!$A$2:$F$448,4,0))</f>
        <v>0</v>
      </c>
      <c r="Y8" s="364">
        <v>0</v>
      </c>
      <c r="Z8" s="365">
        <f>IF($C8="","",Y8*VLOOKUP($C8,MATIERES!$A$2:$F$448,4,0))</f>
        <v>0</v>
      </c>
      <c r="AA8" s="364">
        <v>0</v>
      </c>
      <c r="AB8" s="365">
        <f>IF($C8="","",AA8*VLOOKUP($C8,MATIERES!$A$2:$F$448,4,0))</f>
        <v>0</v>
      </c>
      <c r="AC8" s="364">
        <v>0</v>
      </c>
      <c r="AD8" s="365">
        <f>IF($C8="","",AC8*VLOOKUP($C8,MATIERES!$A$2:$F$448,4,0))</f>
        <v>0</v>
      </c>
      <c r="AE8" s="364">
        <v>0</v>
      </c>
      <c r="AF8" s="365">
        <f>IF($C8="","",AE8*VLOOKUP($C8,MATIERES!$A$2:$F$448,4,0))</f>
        <v>0</v>
      </c>
      <c r="AG8" s="364">
        <v>0</v>
      </c>
      <c r="AH8" s="365">
        <f>IF($C8="","",AG8*VLOOKUP($C8,MATIERES!$A$2:$F$448,4,0))</f>
        <v>0</v>
      </c>
      <c r="AI8" s="364">
        <v>0</v>
      </c>
      <c r="AJ8" s="365">
        <f>IF($C8="","",AI8*VLOOKUP($C8,MATIERES!$A$2:$F$448,4,0))</f>
        <v>0</v>
      </c>
      <c r="AK8" s="364">
        <v>0</v>
      </c>
      <c r="AL8" s="365">
        <f>IF($C8="","",AK8*VLOOKUP($C8,MATIERES!$A$2:$F$448,4,0))</f>
        <v>0</v>
      </c>
      <c r="AM8" s="364">
        <v>0</v>
      </c>
      <c r="AN8" s="365">
        <f>IF($C8="","",AM8*VLOOKUP($C8,MATIERES!$A$2:$F$448,4,0))</f>
        <v>0</v>
      </c>
      <c r="AO8" s="135"/>
      <c r="AP8" s="532" t="str">
        <f>IFERROR(IF(VLOOKUP(C8,MATIERES!$A$2:$D$390,3,0)="SASKIT",C8,""),"")</f>
        <v>PFV2EH</v>
      </c>
      <c r="AQ8" s="534"/>
      <c r="AR8" s="135"/>
      <c r="AS8" s="135"/>
    </row>
    <row r="9" spans="1:45" ht="10.35" customHeight="1" x14ac:dyDescent="0.2">
      <c r="A9" s="1550"/>
      <c r="B9" s="361" t="s">
        <v>1148</v>
      </c>
      <c r="C9" s="1401" t="s">
        <v>298</v>
      </c>
      <c r="D9" s="363" t="str">
        <f>IF($C9="","",VLOOKUP($C9,MATIERES!$A$2:$F$413,5,0))</f>
        <v>pc</v>
      </c>
      <c r="E9" s="364">
        <v>0</v>
      </c>
      <c r="F9" s="365">
        <f>IF($C9="","",E9*VLOOKUP($C9,MATIERES!$A$2:$F$448,4,0))</f>
        <v>0</v>
      </c>
      <c r="G9" s="364">
        <v>1</v>
      </c>
      <c r="H9" s="365">
        <f>IF($C9="","",G9*VLOOKUP($C9,MATIERES!$A$2:$F$448,4,0))*IF(FHchoix="",1.2,1)</f>
        <v>340.62</v>
      </c>
      <c r="I9" s="364">
        <v>0</v>
      </c>
      <c r="J9" s="365">
        <f>IF($C9="","",I9*VLOOKUP($C9,MATIERES!$A$2:$F$448,4,0))</f>
        <v>0</v>
      </c>
      <c r="K9" s="364">
        <v>0</v>
      </c>
      <c r="L9" s="365">
        <f>IF($C9="","",K9*VLOOKUP($C9,MATIERES!$A$2:$F$448,4,0))</f>
        <v>0</v>
      </c>
      <c r="M9" s="364">
        <v>0</v>
      </c>
      <c r="N9" s="365">
        <f>IF($C9="","",M9*VLOOKUP($C9,MATIERES!$A$2:$F$448,4,0))</f>
        <v>0</v>
      </c>
      <c r="O9" s="364">
        <v>0</v>
      </c>
      <c r="P9" s="365">
        <f>IF($C9="","",O9*VLOOKUP($C9,MATIERES!$A$2:$F$448,4,0))</f>
        <v>0</v>
      </c>
      <c r="Q9" s="364">
        <v>0</v>
      </c>
      <c r="R9" s="365">
        <f>IF($C9="","",Q9*VLOOKUP($C9,MATIERES!$A$2:$F$448,4,0))</f>
        <v>0</v>
      </c>
      <c r="S9" s="364">
        <v>0</v>
      </c>
      <c r="T9" s="365">
        <f>IF($C9="","",S9*VLOOKUP($C9,MATIERES!$A$2:$F$448,4,0))</f>
        <v>0</v>
      </c>
      <c r="U9" s="364">
        <v>0</v>
      </c>
      <c r="V9" s="365">
        <f>IF($C9="","",U9*VLOOKUP($C9,MATIERES!$A$2:$F$448,4,0))</f>
        <v>0</v>
      </c>
      <c r="W9" s="364">
        <v>0</v>
      </c>
      <c r="X9" s="365">
        <f>IF($C9="","",W9*VLOOKUP($C9,MATIERES!$A$2:$F$448,4,0))</f>
        <v>0</v>
      </c>
      <c r="Y9" s="364">
        <v>0</v>
      </c>
      <c r="Z9" s="365">
        <f>IF($C9="","",Y9*VLOOKUP($C9,MATIERES!$A$2:$F$448,4,0))</f>
        <v>0</v>
      </c>
      <c r="AA9" s="364">
        <v>0</v>
      </c>
      <c r="AB9" s="365">
        <f>IF($C9="","",AA9*VLOOKUP($C9,MATIERES!$A$2:$F$448,4,0))</f>
        <v>0</v>
      </c>
      <c r="AC9" s="364">
        <v>0</v>
      </c>
      <c r="AD9" s="365">
        <f>IF($C9="","",AC9*VLOOKUP($C9,MATIERES!$A$2:$F$448,4,0))</f>
        <v>0</v>
      </c>
      <c r="AE9" s="364">
        <v>0</v>
      </c>
      <c r="AF9" s="365">
        <f>IF($C9="","",AE9*VLOOKUP($C9,MATIERES!$A$2:$F$448,4,0))</f>
        <v>0</v>
      </c>
      <c r="AG9" s="364">
        <v>0</v>
      </c>
      <c r="AH9" s="365">
        <f>IF($C9="","",AG9*VLOOKUP($C9,MATIERES!$A$2:$F$448,4,0))</f>
        <v>0</v>
      </c>
      <c r="AI9" s="364">
        <v>0</v>
      </c>
      <c r="AJ9" s="365">
        <f>IF($C9="","",AI9*VLOOKUP($C9,MATIERES!$A$2:$F$448,4,0))</f>
        <v>0</v>
      </c>
      <c r="AK9" s="364">
        <v>0</v>
      </c>
      <c r="AL9" s="365">
        <f>IF($C9="","",AK9*VLOOKUP($C9,MATIERES!$A$2:$F$448,4,0))</f>
        <v>0</v>
      </c>
      <c r="AM9" s="364">
        <v>0</v>
      </c>
      <c r="AN9" s="365">
        <f>IF($C9="","",AM9*VLOOKUP($C9,MATIERES!$A$2:$F$448,4,0))</f>
        <v>0</v>
      </c>
      <c r="AO9" s="135"/>
      <c r="AP9" s="532" t="str">
        <f>IFERROR(IF(VLOOKUP(C9,MATIERES!$A$2:$D$390,3,0)="SASKIT",C9,""),"")</f>
        <v>PFV3EH3X2</v>
      </c>
      <c r="AQ9" s="534"/>
      <c r="AR9" s="135"/>
      <c r="AS9" s="135"/>
    </row>
    <row r="10" spans="1:45" ht="10.35" customHeight="1" x14ac:dyDescent="0.2">
      <c r="A10" s="1550"/>
      <c r="B10" s="361" t="s">
        <v>1148</v>
      </c>
      <c r="C10" s="1401" t="s">
        <v>301</v>
      </c>
      <c r="D10" s="363" t="str">
        <f>IF($C10="","",VLOOKUP($C10,MATIERES!$A$2:$F$413,5,0))</f>
        <v>pc</v>
      </c>
      <c r="E10" s="364">
        <v>0</v>
      </c>
      <c r="F10" s="365">
        <f>IF($C10="","",E10*VLOOKUP($C10,MATIERES!$A$2:$F$448,4,0))</f>
        <v>0</v>
      </c>
      <c r="G10" s="364">
        <v>0</v>
      </c>
      <c r="H10" s="365">
        <f>IF($C10="","",G10*VLOOKUP($C10,MATIERES!$A$2:$F$448,4,0))</f>
        <v>0</v>
      </c>
      <c r="I10" s="364">
        <v>1</v>
      </c>
      <c r="J10" s="365">
        <f>IF($C10="","",I10*VLOOKUP($C10,MATIERES!$A$2:$F$448,4,0))*IF(FHchoix="",1.2,1)</f>
        <v>411.12</v>
      </c>
      <c r="K10" s="364">
        <v>0</v>
      </c>
      <c r="L10" s="365">
        <f>IF($C10="","",K10*VLOOKUP($C10,MATIERES!$A$2:$F$448,4,0))</f>
        <v>0</v>
      </c>
      <c r="M10" s="364">
        <v>0</v>
      </c>
      <c r="N10" s="365">
        <f>IF($C10="","",M10*VLOOKUP($C10,MATIERES!$A$2:$F$448,4,0))</f>
        <v>0</v>
      </c>
      <c r="O10" s="364">
        <v>0</v>
      </c>
      <c r="P10" s="365">
        <f>IF($C10="","",O10*VLOOKUP($C10,MATIERES!$A$2:$F$448,4,0))</f>
        <v>0</v>
      </c>
      <c r="Q10" s="364">
        <v>0</v>
      </c>
      <c r="R10" s="365">
        <f>IF($C10="","",Q10*VLOOKUP($C10,MATIERES!$A$2:$F$448,4,0))</f>
        <v>0</v>
      </c>
      <c r="S10" s="364">
        <v>0</v>
      </c>
      <c r="T10" s="365">
        <f>IF($C10="","",S10*VLOOKUP($C10,MATIERES!$A$2:$F$448,4,0))</f>
        <v>0</v>
      </c>
      <c r="U10" s="364">
        <v>0</v>
      </c>
      <c r="V10" s="365">
        <f>IF($C10="","",U10*VLOOKUP($C10,MATIERES!$A$2:$F$448,4,0))</f>
        <v>0</v>
      </c>
      <c r="W10" s="364">
        <v>0</v>
      </c>
      <c r="X10" s="365">
        <f>IF($C10="","",W10*VLOOKUP($C10,MATIERES!$A$2:$F$448,4,0))</f>
        <v>0</v>
      </c>
      <c r="Y10" s="364">
        <v>0</v>
      </c>
      <c r="Z10" s="365">
        <f>IF($C10="","",Y10*VLOOKUP($C10,MATIERES!$A$2:$F$448,4,0))</f>
        <v>0</v>
      </c>
      <c r="AA10" s="364">
        <v>0</v>
      </c>
      <c r="AB10" s="365">
        <f>IF($C10="","",AA10*VLOOKUP($C10,MATIERES!$A$2:$F$448,4,0))</f>
        <v>0</v>
      </c>
      <c r="AC10" s="364">
        <v>0</v>
      </c>
      <c r="AD10" s="365">
        <f>IF($C10="","",AC10*VLOOKUP($C10,MATIERES!$A$2:$F$448,4,0))</f>
        <v>0</v>
      </c>
      <c r="AE10" s="364">
        <v>0</v>
      </c>
      <c r="AF10" s="365">
        <f>IF($C10="","",AE10*VLOOKUP($C10,MATIERES!$A$2:$F$448,4,0))</f>
        <v>0</v>
      </c>
      <c r="AG10" s="364">
        <v>0</v>
      </c>
      <c r="AH10" s="365">
        <f>IF($C10="","",AG10*VLOOKUP($C10,MATIERES!$A$2:$F$448,4,0))</f>
        <v>0</v>
      </c>
      <c r="AI10" s="364">
        <v>0</v>
      </c>
      <c r="AJ10" s="365">
        <f>IF($C10="","",AI10*VLOOKUP($C10,MATIERES!$A$2:$F$448,4,0))</f>
        <v>0</v>
      </c>
      <c r="AK10" s="364">
        <v>0</v>
      </c>
      <c r="AL10" s="365">
        <f>IF($C10="","",AK10*VLOOKUP($C10,MATIERES!$A$2:$F$448,4,0))</f>
        <v>0</v>
      </c>
      <c r="AM10" s="364">
        <v>0</v>
      </c>
      <c r="AN10" s="365">
        <f>IF($C10="","",AM10*VLOOKUP($C10,MATIERES!$A$2:$F$448,4,0))</f>
        <v>0</v>
      </c>
      <c r="AO10" s="135"/>
      <c r="AP10" s="532" t="str">
        <f>IFERROR(IF(VLOOKUP(C10,MATIERES!$A$2:$D$390,3,0)="SASKIT",C10,""),"")</f>
        <v>PFV4EH4X2</v>
      </c>
      <c r="AQ10" s="534"/>
      <c r="AR10" s="135"/>
      <c r="AS10" s="135"/>
    </row>
    <row r="11" spans="1:45" ht="10.35" customHeight="1" x14ac:dyDescent="0.2">
      <c r="A11" s="1550"/>
      <c r="B11" s="361" t="s">
        <v>1148</v>
      </c>
      <c r="C11" s="1401" t="s">
        <v>304</v>
      </c>
      <c r="D11" s="363" t="str">
        <f>IF($C11="","",VLOOKUP($C11,MATIERES!$A$2:$F$413,5,0))</f>
        <v>pc</v>
      </c>
      <c r="E11" s="364">
        <v>0</v>
      </c>
      <c r="F11" s="365">
        <f>IF($C11="","",E11*VLOOKUP($C11,MATIERES!$A$2:$F$448,4,0))</f>
        <v>0</v>
      </c>
      <c r="G11" s="364">
        <v>0</v>
      </c>
      <c r="H11" s="365">
        <f>IF($C11="","",G11*VLOOKUP($C11,MATIERES!$A$2:$F$448,4,0))</f>
        <v>0</v>
      </c>
      <c r="I11" s="364">
        <v>0</v>
      </c>
      <c r="J11" s="365">
        <f>IF($C11="","",I11*VLOOKUP($C11,MATIERES!$A$2:$F$448,4,0))</f>
        <v>0</v>
      </c>
      <c r="K11" s="364">
        <v>1</v>
      </c>
      <c r="L11" s="365">
        <f>IF($C11="","",K11*VLOOKUP($C11,MATIERES!$A$2:$F$448,4,0))*IF(FHchoix="",1.2,1)</f>
        <v>454.21199999999999</v>
      </c>
      <c r="M11" s="364">
        <v>0</v>
      </c>
      <c r="N11" s="365">
        <f>IF($C11="","",M11*VLOOKUP($C11,MATIERES!$A$2:$F$448,4,0))</f>
        <v>0</v>
      </c>
      <c r="O11" s="364">
        <v>0</v>
      </c>
      <c r="P11" s="365">
        <f>IF($C11="","",O11*VLOOKUP($C11,MATIERES!$A$2:$F$448,4,0))</f>
        <v>0</v>
      </c>
      <c r="Q11" s="364">
        <v>0</v>
      </c>
      <c r="R11" s="365">
        <f>IF($C11="","",Q11*VLOOKUP($C11,MATIERES!$A$2:$F$448,4,0))</f>
        <v>0</v>
      </c>
      <c r="S11" s="364">
        <v>0</v>
      </c>
      <c r="T11" s="365">
        <f>IF($C11="","",S11*VLOOKUP($C11,MATIERES!$A$2:$F$448,4,0))</f>
        <v>0</v>
      </c>
      <c r="U11" s="364">
        <v>0</v>
      </c>
      <c r="V11" s="365">
        <f>IF($C11="","",U11*VLOOKUP($C11,MATIERES!$A$2:$F$448,4,0))</f>
        <v>0</v>
      </c>
      <c r="W11" s="364">
        <v>0</v>
      </c>
      <c r="X11" s="365">
        <f>IF($C11="","",W11*VLOOKUP($C11,MATIERES!$A$2:$F$448,4,0))</f>
        <v>0</v>
      </c>
      <c r="Y11" s="364">
        <v>0</v>
      </c>
      <c r="Z11" s="365">
        <f>IF($C11="","",Y11*VLOOKUP($C11,MATIERES!$A$2:$F$448,4,0))</f>
        <v>0</v>
      </c>
      <c r="AA11" s="364">
        <v>0</v>
      </c>
      <c r="AB11" s="365">
        <f>IF($C11="","",AA11*VLOOKUP($C11,MATIERES!$A$2:$F$448,4,0))</f>
        <v>0</v>
      </c>
      <c r="AC11" s="364">
        <v>0</v>
      </c>
      <c r="AD11" s="365">
        <f>IF($C11="","",AC11*VLOOKUP($C11,MATIERES!$A$2:$F$448,4,0))</f>
        <v>0</v>
      </c>
      <c r="AE11" s="364">
        <v>0</v>
      </c>
      <c r="AF11" s="365">
        <f>IF($C11="","",AE11*VLOOKUP($C11,MATIERES!$A$2:$F$448,4,0))</f>
        <v>0</v>
      </c>
      <c r="AG11" s="364">
        <v>0</v>
      </c>
      <c r="AH11" s="365">
        <f>IF($C11="","",AG11*VLOOKUP($C11,MATIERES!$A$2:$F$448,4,0))</f>
        <v>0</v>
      </c>
      <c r="AI11" s="364">
        <v>0</v>
      </c>
      <c r="AJ11" s="365">
        <f>IF($C11="","",AI11*VLOOKUP($C11,MATIERES!$A$2:$F$448,4,0))</f>
        <v>0</v>
      </c>
      <c r="AK11" s="364">
        <v>0</v>
      </c>
      <c r="AL11" s="365">
        <f>IF($C11="","",AK11*VLOOKUP($C11,MATIERES!$A$2:$F$448,4,0))</f>
        <v>0</v>
      </c>
      <c r="AM11" s="364">
        <v>0</v>
      </c>
      <c r="AN11" s="365">
        <f>IF($C11="","",AM11*VLOOKUP($C11,MATIERES!$A$2:$F$448,4,0))</f>
        <v>0</v>
      </c>
      <c r="AO11" s="135"/>
      <c r="AP11" s="532" t="str">
        <f>IFERROR(IF(VLOOKUP(C11,MATIERES!$A$2:$D$390,3,0)="SASKIT",C11,""),"")</f>
        <v>PFV5EH4X2,5</v>
      </c>
      <c r="AQ11" s="534"/>
      <c r="AR11" s="135"/>
      <c r="AS11" s="135"/>
    </row>
    <row r="12" spans="1:45" ht="10.35" customHeight="1" x14ac:dyDescent="0.2">
      <c r="A12" s="1550"/>
      <c r="B12" s="361" t="s">
        <v>1148</v>
      </c>
      <c r="C12" s="1401" t="s">
        <v>308</v>
      </c>
      <c r="D12" s="363" t="str">
        <f>IF($C12="","",VLOOKUP($C12,MATIERES!$A$2:$F$413,5,0))</f>
        <v>pc</v>
      </c>
      <c r="E12" s="364">
        <v>0</v>
      </c>
      <c r="F12" s="365">
        <f>IF($C12="","",E12*VLOOKUP($C12,MATIERES!$A$2:$F$448,4,0))</f>
        <v>0</v>
      </c>
      <c r="G12" s="364">
        <v>0</v>
      </c>
      <c r="H12" s="365">
        <f>IF($C12="","",G12*VLOOKUP($C12,MATIERES!$A$2:$F$448,4,0))</f>
        <v>0</v>
      </c>
      <c r="I12" s="364">
        <v>0</v>
      </c>
      <c r="J12" s="365">
        <f>IF($C12="","",I12*VLOOKUP($C12,MATIERES!$A$2:$F$448,4,0))</f>
        <v>0</v>
      </c>
      <c r="K12" s="364">
        <v>0</v>
      </c>
      <c r="L12" s="365">
        <f>IF($C12="","",K12*VLOOKUP($C12,MATIERES!$A$2:$F$448,4,0))</f>
        <v>0</v>
      </c>
      <c r="M12" s="364">
        <v>1</v>
      </c>
      <c r="N12" s="365">
        <f>IF($C12="","",M12*VLOOKUP($C12,MATIERES!$A$2:$F$448,4,0))*IF(FHchoix="",1.2,1)</f>
        <v>556.06799999999998</v>
      </c>
      <c r="O12" s="364">
        <v>0</v>
      </c>
      <c r="P12" s="365">
        <f>IF($C12="","",O12*VLOOKUP($C12,MATIERES!$A$2:$F$448,4,0))</f>
        <v>0</v>
      </c>
      <c r="Q12" s="364">
        <v>0</v>
      </c>
      <c r="R12" s="365">
        <f>IF($C12="","",Q12*VLOOKUP($C12,MATIERES!$A$2:$F$448,4,0))</f>
        <v>0</v>
      </c>
      <c r="S12" s="364">
        <v>0</v>
      </c>
      <c r="T12" s="365">
        <f>IF($C12="","",S12*VLOOKUP($C12,MATIERES!$A$2:$F$448,4,0))</f>
        <v>0</v>
      </c>
      <c r="U12" s="364">
        <v>0</v>
      </c>
      <c r="V12" s="365">
        <f>IF($C12="","",U12*VLOOKUP($C12,MATIERES!$A$2:$F$448,4,0))</f>
        <v>0</v>
      </c>
      <c r="W12" s="364">
        <v>0</v>
      </c>
      <c r="X12" s="365">
        <f>IF($C12="","",W12*VLOOKUP($C12,MATIERES!$A$2:$F$448,4,0))</f>
        <v>0</v>
      </c>
      <c r="Y12" s="364">
        <v>0</v>
      </c>
      <c r="Z12" s="365">
        <f>IF($C12="","",Y12*VLOOKUP($C12,MATIERES!$A$2:$F$448,4,0))</f>
        <v>0</v>
      </c>
      <c r="AA12" s="364">
        <v>0</v>
      </c>
      <c r="AB12" s="365">
        <f>IF($C12="","",AA12*VLOOKUP($C12,MATIERES!$A$2:$F$448,4,0))</f>
        <v>0</v>
      </c>
      <c r="AC12" s="364">
        <v>0</v>
      </c>
      <c r="AD12" s="365">
        <f>IF($C12="","",AC12*VLOOKUP($C12,MATIERES!$A$2:$F$448,4,0))</f>
        <v>0</v>
      </c>
      <c r="AE12" s="364">
        <v>0</v>
      </c>
      <c r="AF12" s="365">
        <f>IF($C12="","",AE12*VLOOKUP($C12,MATIERES!$A$2:$F$448,4,0))</f>
        <v>0</v>
      </c>
      <c r="AG12" s="364">
        <v>0</v>
      </c>
      <c r="AH12" s="365">
        <f>IF($C12="","",AG12*VLOOKUP($C12,MATIERES!$A$2:$F$448,4,0))</f>
        <v>0</v>
      </c>
      <c r="AI12" s="364">
        <v>0</v>
      </c>
      <c r="AJ12" s="365">
        <f>IF($C12="","",AI12*VLOOKUP($C12,MATIERES!$A$2:$F$448,4,0))</f>
        <v>0</v>
      </c>
      <c r="AK12" s="364">
        <v>0</v>
      </c>
      <c r="AL12" s="365">
        <f>IF($C12="","",AK12*VLOOKUP($C12,MATIERES!$A$2:$F$448,4,0))</f>
        <v>0</v>
      </c>
      <c r="AM12" s="364">
        <v>0</v>
      </c>
      <c r="AN12" s="365">
        <f>IF($C12="","",AM12*VLOOKUP($C12,MATIERES!$A$2:$F$448,4,0))</f>
        <v>0</v>
      </c>
      <c r="AO12" s="135"/>
      <c r="AP12" s="532" t="str">
        <f>IFERROR(IF(VLOOKUP(C12,MATIERES!$A$2:$D$390,3,0)="SASKIT",C12,""),"")</f>
        <v>PFV6EH4X3</v>
      </c>
      <c r="AQ12" s="534"/>
      <c r="AR12" s="135"/>
      <c r="AS12" s="135"/>
    </row>
    <row r="13" spans="1:45" ht="10.35" customHeight="1" x14ac:dyDescent="0.2">
      <c r="A13" s="1550"/>
      <c r="B13" s="361" t="s">
        <v>1148</v>
      </c>
      <c r="C13" s="1401" t="s">
        <v>314</v>
      </c>
      <c r="D13" s="363" t="str">
        <f>IF($C13="","",VLOOKUP($C13,MATIERES!$A$2:$F$413,5,0))</f>
        <v>pc</v>
      </c>
      <c r="E13" s="364">
        <v>0</v>
      </c>
      <c r="F13" s="365">
        <f>IF($C13="","",E13*VLOOKUP($C13,MATIERES!$A$2:$F$448,4,0))</f>
        <v>0</v>
      </c>
      <c r="G13" s="364">
        <v>0</v>
      </c>
      <c r="H13" s="365">
        <f>IF($C13="","",G13*VLOOKUP($C13,MATIERES!$A$2:$F$448,4,0))</f>
        <v>0</v>
      </c>
      <c r="I13" s="364">
        <v>0</v>
      </c>
      <c r="J13" s="365">
        <f>IF($C13="","",I13*VLOOKUP($C13,MATIERES!$A$2:$F$448,4,0))</f>
        <v>0</v>
      </c>
      <c r="K13" s="364">
        <v>0</v>
      </c>
      <c r="L13" s="365">
        <f>IF($C13="","",K13*VLOOKUP($C13,MATIERES!$A$2:$F$448,4,0))</f>
        <v>0</v>
      </c>
      <c r="M13" s="364">
        <v>0</v>
      </c>
      <c r="N13" s="365">
        <f>IF($C13="","",M13*VLOOKUP($C13,MATIERES!$A$2:$F$448,4,0))</f>
        <v>0</v>
      </c>
      <c r="O13" s="364">
        <v>1</v>
      </c>
      <c r="P13" s="365">
        <f>IF($C13="","",O13*VLOOKUP($C13,MATIERES!$A$2:$F$448,4,0))*IF(FHchoix="",1.2,1)</f>
        <v>609.3359999999999</v>
      </c>
      <c r="Q13" s="364">
        <v>0</v>
      </c>
      <c r="R13" s="365">
        <f>IF($C13="","",Q13*VLOOKUP($C13,MATIERES!$A$2:$F$448,4,0))</f>
        <v>0</v>
      </c>
      <c r="S13" s="364">
        <v>0</v>
      </c>
      <c r="T13" s="365">
        <f>IF($C13="","",S13*VLOOKUP($C13,MATIERES!$A$2:$F$448,4,0))</f>
        <v>0</v>
      </c>
      <c r="U13" s="364">
        <v>0</v>
      </c>
      <c r="V13" s="365">
        <f>IF($C13="","",U13*VLOOKUP($C13,MATIERES!$A$2:$F$448,4,0))</f>
        <v>0</v>
      </c>
      <c r="W13" s="364">
        <v>0</v>
      </c>
      <c r="X13" s="365">
        <f>IF($C13="","",W13*VLOOKUP($C13,MATIERES!$A$2:$F$448,4,0))</f>
        <v>0</v>
      </c>
      <c r="Y13" s="364">
        <v>0</v>
      </c>
      <c r="Z13" s="365">
        <f>IF($C13="","",Y13*VLOOKUP($C13,MATIERES!$A$2:$F$448,4,0))</f>
        <v>0</v>
      </c>
      <c r="AA13" s="364">
        <v>0</v>
      </c>
      <c r="AB13" s="365">
        <f>IF($C13="","",AA13*VLOOKUP($C13,MATIERES!$A$2:$F$448,4,0))</f>
        <v>0</v>
      </c>
      <c r="AC13" s="364">
        <v>0</v>
      </c>
      <c r="AD13" s="365">
        <f>IF($C13="","",AC13*VLOOKUP($C13,MATIERES!$A$2:$F$448,4,0))</f>
        <v>0</v>
      </c>
      <c r="AE13" s="364">
        <v>0</v>
      </c>
      <c r="AF13" s="365">
        <f>IF($C13="","",AE13*VLOOKUP($C13,MATIERES!$A$2:$F$448,4,0))</f>
        <v>0</v>
      </c>
      <c r="AG13" s="364">
        <v>0</v>
      </c>
      <c r="AH13" s="365">
        <f>IF($C13="","",AG13*VLOOKUP($C13,MATIERES!$A$2:$F$448,4,0))</f>
        <v>0</v>
      </c>
      <c r="AI13" s="364">
        <v>0</v>
      </c>
      <c r="AJ13" s="365">
        <f>IF($C13="","",AI13*VLOOKUP($C13,MATIERES!$A$2:$F$448,4,0))</f>
        <v>0</v>
      </c>
      <c r="AK13" s="364">
        <v>0</v>
      </c>
      <c r="AL13" s="365">
        <f>IF($C13="","",AK13*VLOOKUP($C13,MATIERES!$A$2:$F$448,4,0))</f>
        <v>0</v>
      </c>
      <c r="AM13" s="364">
        <v>0</v>
      </c>
      <c r="AN13" s="365">
        <f>IF($C13="","",AM13*VLOOKUP($C13,MATIERES!$A$2:$F$448,4,0))</f>
        <v>0</v>
      </c>
      <c r="AO13" s="186"/>
      <c r="AP13" s="532" t="str">
        <f>IFERROR(IF(VLOOKUP(C13,MATIERES!$A$2:$D$390,3,0)="SASKIT",C13,""),"")</f>
        <v>PFV7EH4X3,5</v>
      </c>
      <c r="AQ13" s="534"/>
      <c r="AR13" s="528"/>
      <c r="AS13" s="135"/>
    </row>
    <row r="14" spans="1:45" ht="10.35" customHeight="1" x14ac:dyDescent="0.2">
      <c r="A14" s="1550"/>
      <c r="B14" s="361" t="s">
        <v>1148</v>
      </c>
      <c r="C14" s="1401" t="s">
        <v>320</v>
      </c>
      <c r="D14" s="363" t="str">
        <f>IF($C14="","",VLOOKUP($C14,MATIERES!$A$2:$F$413,5,0))</f>
        <v>pc</v>
      </c>
      <c r="E14" s="364">
        <v>0</v>
      </c>
      <c r="F14" s="365">
        <f>IF($C14="","",E14*VLOOKUP($C14,MATIERES!$A$2:$F$448,4,0))</f>
        <v>0</v>
      </c>
      <c r="G14" s="364">
        <v>0</v>
      </c>
      <c r="H14" s="365">
        <f>IF($C14="","",G14*VLOOKUP($C14,MATIERES!$A$2:$F$448,4,0))</f>
        <v>0</v>
      </c>
      <c r="I14" s="364">
        <v>0</v>
      </c>
      <c r="J14" s="365">
        <f>IF($C14="","",I14*VLOOKUP($C14,MATIERES!$A$2:$F$448,4,0))</f>
        <v>0</v>
      </c>
      <c r="K14" s="364">
        <v>0</v>
      </c>
      <c r="L14" s="365">
        <f>IF($C14="","",K14*VLOOKUP($C14,MATIERES!$A$2:$F$448,4,0))</f>
        <v>0</v>
      </c>
      <c r="M14" s="364">
        <v>0</v>
      </c>
      <c r="N14" s="365">
        <f>IF($C14="","",M14*VLOOKUP($C14,MATIERES!$A$2:$F$448,4,0))</f>
        <v>0</v>
      </c>
      <c r="O14" s="364">
        <v>0</v>
      </c>
      <c r="P14" s="365">
        <f>IF($C14="","",O14*VLOOKUP($C14,MATIERES!$A$2:$F$448,4,0))</f>
        <v>0</v>
      </c>
      <c r="Q14" s="364">
        <v>1</v>
      </c>
      <c r="R14" s="365">
        <f>IF($C14="","",Q14*VLOOKUP($C14,MATIERES!$A$2:$F$448,4,0))*IF(FHchoix="",1.2,1)</f>
        <v>662.61599999999987</v>
      </c>
      <c r="S14" s="364">
        <v>0</v>
      </c>
      <c r="T14" s="365">
        <f>IF($C14="","",S14*VLOOKUP($C14,MATIERES!$A$2:$F$448,4,0))</f>
        <v>0</v>
      </c>
      <c r="U14" s="364">
        <v>0</v>
      </c>
      <c r="V14" s="365">
        <f>IF($C14="","",U14*VLOOKUP($C14,MATIERES!$A$2:$F$448,4,0))</f>
        <v>0</v>
      </c>
      <c r="W14" s="364">
        <v>0</v>
      </c>
      <c r="X14" s="365">
        <f>IF($C14="","",W14*VLOOKUP($C14,MATIERES!$A$2:$F$448,4,0))</f>
        <v>0</v>
      </c>
      <c r="Y14" s="364">
        <v>0</v>
      </c>
      <c r="Z14" s="365">
        <f>IF($C14="","",Y14*VLOOKUP($C14,MATIERES!$A$2:$F$448,4,0))</f>
        <v>0</v>
      </c>
      <c r="AA14" s="364">
        <v>0</v>
      </c>
      <c r="AB14" s="365">
        <f>IF($C14="","",AA14*VLOOKUP($C14,MATIERES!$A$2:$F$448,4,0))</f>
        <v>0</v>
      </c>
      <c r="AC14" s="364">
        <v>0</v>
      </c>
      <c r="AD14" s="365">
        <f>IF($C14="","",AC14*VLOOKUP($C14,MATIERES!$A$2:$F$448,4,0))</f>
        <v>0</v>
      </c>
      <c r="AE14" s="364">
        <v>0</v>
      </c>
      <c r="AF14" s="365">
        <f>IF($C14="","",AE14*VLOOKUP($C14,MATIERES!$A$2:$F$448,4,0))</f>
        <v>0</v>
      </c>
      <c r="AG14" s="364">
        <v>0</v>
      </c>
      <c r="AH14" s="365">
        <f>IF($C14="","",AG14*VLOOKUP($C14,MATIERES!$A$2:$F$448,4,0))</f>
        <v>0</v>
      </c>
      <c r="AI14" s="364">
        <v>0</v>
      </c>
      <c r="AJ14" s="365">
        <f>IF($C14="","",AI14*VLOOKUP($C14,MATIERES!$A$2:$F$448,4,0))</f>
        <v>0</v>
      </c>
      <c r="AK14" s="364">
        <v>0</v>
      </c>
      <c r="AL14" s="365">
        <f>IF($C14="","",AK14*VLOOKUP($C14,MATIERES!$A$2:$F$448,4,0))</f>
        <v>0</v>
      </c>
      <c r="AM14" s="364">
        <v>0</v>
      </c>
      <c r="AN14" s="365">
        <f>IF($C14="","",AM14*VLOOKUP($C14,MATIERES!$A$2:$F$448,4,0))</f>
        <v>0</v>
      </c>
      <c r="AO14" s="135"/>
      <c r="AP14" s="532" t="str">
        <f>IFERROR(IF(VLOOKUP(C14,MATIERES!$A$2:$D$390,3,0)="SASKIT",C14,""),"")</f>
        <v>PFV8EH4X4</v>
      </c>
      <c r="AQ14" s="534"/>
      <c r="AR14" s="135"/>
      <c r="AS14" s="135"/>
    </row>
    <row r="15" spans="1:45" ht="10.35" customHeight="1" x14ac:dyDescent="0.2">
      <c r="A15" s="1550"/>
      <c r="B15" s="361" t="s">
        <v>1148</v>
      </c>
      <c r="C15" s="1401" t="s">
        <v>321</v>
      </c>
      <c r="D15" s="363" t="str">
        <f>IF($C15="","",VLOOKUP($C15,MATIERES!$A$2:$F$413,5,0))</f>
        <v>pc</v>
      </c>
      <c r="E15" s="364">
        <v>0</v>
      </c>
      <c r="F15" s="365">
        <f>IF($C15="","",E15*VLOOKUP($C15,MATIERES!$A$2:$F$448,4,0))</f>
        <v>0</v>
      </c>
      <c r="G15" s="364">
        <v>0</v>
      </c>
      <c r="H15" s="365">
        <f>IF($C15="","",G15*VLOOKUP($C15,MATIERES!$A$2:$F$448,4,0))</f>
        <v>0</v>
      </c>
      <c r="I15" s="364">
        <v>0</v>
      </c>
      <c r="J15" s="365">
        <f>IF($C15="","",I15*VLOOKUP($C15,MATIERES!$A$2:$F$448,4,0))</f>
        <v>0</v>
      </c>
      <c r="K15" s="364">
        <v>0</v>
      </c>
      <c r="L15" s="365">
        <f>IF($C15="","",K15*VLOOKUP($C15,MATIERES!$A$2:$F$448,4,0))</f>
        <v>0</v>
      </c>
      <c r="M15" s="364">
        <v>0</v>
      </c>
      <c r="N15" s="365">
        <f>IF($C15="","",M15*VLOOKUP($C15,MATIERES!$A$2:$F$448,4,0))</f>
        <v>0</v>
      </c>
      <c r="O15" s="364">
        <v>0</v>
      </c>
      <c r="P15" s="365">
        <f>IF($C15="","",O15*VLOOKUP($C15,MATIERES!$A$2:$F$448,4,0))</f>
        <v>0</v>
      </c>
      <c r="Q15" s="364">
        <v>0</v>
      </c>
      <c r="R15" s="365">
        <f>IF($C15="","",Q15*VLOOKUP($C15,MATIERES!$A$2:$F$448,4,0))</f>
        <v>0</v>
      </c>
      <c r="S15" s="364">
        <v>1</v>
      </c>
      <c r="T15" s="365">
        <f>IF($C15="","",S15*VLOOKUP($C15,MATIERES!$A$2:$F$448,4,0))*IF(FHchoix="",1.2,1)</f>
        <v>662.61599999999987</v>
      </c>
      <c r="U15" s="364">
        <v>0</v>
      </c>
      <c r="V15" s="365">
        <f>IF($C15="","",U15*VLOOKUP($C15,MATIERES!$A$2:$F$448,4,0))</f>
        <v>0</v>
      </c>
      <c r="W15" s="364">
        <v>0</v>
      </c>
      <c r="X15" s="365">
        <f>IF($C15="","",W15*VLOOKUP($C15,MATIERES!$A$2:$F$448,4,0))</f>
        <v>0</v>
      </c>
      <c r="Y15" s="364">
        <v>0</v>
      </c>
      <c r="Z15" s="365">
        <f>IF($C15="","",Y15*VLOOKUP($C15,MATIERES!$A$2:$F$448,4,0))</f>
        <v>0</v>
      </c>
      <c r="AA15" s="364">
        <v>0</v>
      </c>
      <c r="AB15" s="365">
        <f>IF($C15="","",AA15*VLOOKUP($C15,MATIERES!$A$2:$F$448,4,0))</f>
        <v>0</v>
      </c>
      <c r="AC15" s="364">
        <v>0</v>
      </c>
      <c r="AD15" s="365">
        <f>IF($C15="","",AC15*VLOOKUP($C15,MATIERES!$A$2:$F$448,4,0))</f>
        <v>0</v>
      </c>
      <c r="AE15" s="364">
        <v>0</v>
      </c>
      <c r="AF15" s="365">
        <f>IF($C15="","",AE15*VLOOKUP($C15,MATIERES!$A$2:$F$448,4,0))</f>
        <v>0</v>
      </c>
      <c r="AG15" s="364">
        <v>0</v>
      </c>
      <c r="AH15" s="365">
        <f>IF($C15="","",AG15*VLOOKUP($C15,MATIERES!$A$2:$F$448,4,0))</f>
        <v>0</v>
      </c>
      <c r="AI15" s="364">
        <v>0</v>
      </c>
      <c r="AJ15" s="365">
        <f>IF($C15="","",AI15*VLOOKUP($C15,MATIERES!$A$2:$F$448,4,0))</f>
        <v>0</v>
      </c>
      <c r="AK15" s="364">
        <v>0</v>
      </c>
      <c r="AL15" s="365">
        <f>IF($C15="","",AK15*VLOOKUP($C15,MATIERES!$A$2:$F$448,4,0))</f>
        <v>0</v>
      </c>
      <c r="AM15" s="364">
        <v>0</v>
      </c>
      <c r="AN15" s="365">
        <f>IF($C15="","",AM15*VLOOKUP($C15,MATIERES!$A$2:$F$448,4,0))</f>
        <v>0</v>
      </c>
      <c r="AO15" s="135"/>
      <c r="AP15" s="532" t="str">
        <f>IFERROR(IF(VLOOKUP(C15,MATIERES!$A$2:$D$390,3,0)="SASKIT",C15,""),"")</f>
        <v>PFV9EH4X4,5</v>
      </c>
      <c r="AQ15" s="534"/>
      <c r="AR15" s="135"/>
      <c r="AS15" s="135"/>
    </row>
    <row r="16" spans="1:45" ht="10.35" customHeight="1" x14ac:dyDescent="0.2">
      <c r="A16" s="1550"/>
      <c r="B16" s="361" t="s">
        <v>1148</v>
      </c>
      <c r="C16" s="1401" t="s">
        <v>324</v>
      </c>
      <c r="D16" s="363" t="str">
        <f>IF($C16="","",VLOOKUP($C16,MATIERES!$A$2:$F$413,5,0))</f>
        <v>pc</v>
      </c>
      <c r="E16" s="364">
        <v>0</v>
      </c>
      <c r="F16" s="365">
        <f>IF($C16="","",E16*VLOOKUP($C16,MATIERES!$A$2:$F$448,4,0))</f>
        <v>0</v>
      </c>
      <c r="G16" s="364">
        <v>0</v>
      </c>
      <c r="H16" s="365">
        <f>IF($C16="","",G16*VLOOKUP($C16,MATIERES!$A$2:$F$448,4,0))</f>
        <v>0</v>
      </c>
      <c r="I16" s="364">
        <v>0</v>
      </c>
      <c r="J16" s="365">
        <f>IF($C16="","",I16*VLOOKUP($C16,MATIERES!$A$2:$F$448,4,0))</f>
        <v>0</v>
      </c>
      <c r="K16" s="364">
        <v>0</v>
      </c>
      <c r="L16" s="365">
        <f>IF($C16="","",K16*VLOOKUP($C16,MATIERES!$A$2:$F$448,4,0))</f>
        <v>0</v>
      </c>
      <c r="M16" s="364">
        <v>0</v>
      </c>
      <c r="N16" s="365">
        <f>IF($C16="","",M16*VLOOKUP($C16,MATIERES!$A$2:$F$448,4,0))</f>
        <v>0</v>
      </c>
      <c r="O16" s="364">
        <v>0</v>
      </c>
      <c r="P16" s="365">
        <f>IF($C16="","",O16*VLOOKUP($C16,MATIERES!$A$2:$F$448,4,0))</f>
        <v>0</v>
      </c>
      <c r="Q16" s="364">
        <v>0</v>
      </c>
      <c r="R16" s="365">
        <f>IF($C16="","",Q16*VLOOKUP($C16,MATIERES!$A$2:$F$448,4,0))</f>
        <v>0</v>
      </c>
      <c r="S16" s="364">
        <v>0</v>
      </c>
      <c r="T16" s="365">
        <f>IF($C16="","",S16*VLOOKUP($C16,MATIERES!$A$2:$F$448,4,0))</f>
        <v>0</v>
      </c>
      <c r="U16" s="364">
        <v>1</v>
      </c>
      <c r="V16" s="365">
        <f>IF($C16="","",U16*VLOOKUP($C16,MATIERES!$A$2:$F$448,4,0))*IF(FHchoix="",1.2,1)</f>
        <v>715.02</v>
      </c>
      <c r="W16" s="364">
        <v>0</v>
      </c>
      <c r="X16" s="365">
        <f>IF($C16="","",W16*VLOOKUP($C16,MATIERES!$A$2:$F$448,4,0))</f>
        <v>0</v>
      </c>
      <c r="Y16" s="364">
        <v>0</v>
      </c>
      <c r="Z16" s="365">
        <f>IF($C16="","",Y16*VLOOKUP($C16,MATIERES!$A$2:$F$448,4,0))</f>
        <v>0</v>
      </c>
      <c r="AA16" s="364">
        <v>0</v>
      </c>
      <c r="AB16" s="365">
        <f>IF($C16="","",AA16*VLOOKUP($C16,MATIERES!$A$2:$F$448,4,0))</f>
        <v>0</v>
      </c>
      <c r="AC16" s="364">
        <v>0</v>
      </c>
      <c r="AD16" s="365">
        <f>IF($C16="","",AC16*VLOOKUP($C16,MATIERES!$A$2:$F$448,4,0))</f>
        <v>0</v>
      </c>
      <c r="AE16" s="364">
        <v>0</v>
      </c>
      <c r="AF16" s="365">
        <f>IF($C16="","",AE16*VLOOKUP($C16,MATIERES!$A$2:$F$448,4,0))</f>
        <v>0</v>
      </c>
      <c r="AG16" s="364">
        <v>0</v>
      </c>
      <c r="AH16" s="365">
        <f>IF($C16="","",AG16*VLOOKUP($C16,MATIERES!$A$2:$F$448,4,0))</f>
        <v>0</v>
      </c>
      <c r="AI16" s="364">
        <v>0</v>
      </c>
      <c r="AJ16" s="365">
        <f>IF($C16="","",AI16*VLOOKUP($C16,MATIERES!$A$2:$F$448,4,0))</f>
        <v>0</v>
      </c>
      <c r="AK16" s="364">
        <v>0</v>
      </c>
      <c r="AL16" s="365">
        <f>IF($C16="","",AK16*VLOOKUP($C16,MATIERES!$A$2:$F$448,4,0))</f>
        <v>0</v>
      </c>
      <c r="AM16" s="364">
        <v>0</v>
      </c>
      <c r="AN16" s="365">
        <f>IF($C16="","",AM16*VLOOKUP($C16,MATIERES!$A$2:$F$448,4,0))</f>
        <v>0</v>
      </c>
      <c r="AO16" s="135"/>
      <c r="AP16" s="532" t="str">
        <f>IFERROR(IF(VLOOKUP(C16,MATIERES!$A$2:$D$390,3,0)="SASKIT",C16,""),"")</f>
        <v>PFV10EH4X5</v>
      </c>
      <c r="AQ16" s="534"/>
      <c r="AR16" s="135"/>
      <c r="AS16" s="135"/>
    </row>
    <row r="17" spans="1:45" ht="10.35" customHeight="1" x14ac:dyDescent="0.2">
      <c r="A17" s="1551"/>
      <c r="B17" s="361" t="s">
        <v>1148</v>
      </c>
      <c r="C17" s="1401" t="s">
        <v>329</v>
      </c>
      <c r="D17" s="363" t="str">
        <f>IF($C17="","",VLOOKUP($C17,MATIERES!$A$2:$F$413,5,0))</f>
        <v>pc</v>
      </c>
      <c r="E17" s="364">
        <v>0</v>
      </c>
      <c r="F17" s="365">
        <f>IF($C17="","",E17*VLOOKUP($C17,MATIERES!$A$2:$F$448,4,0))</f>
        <v>0</v>
      </c>
      <c r="G17" s="364">
        <v>0</v>
      </c>
      <c r="H17" s="365">
        <f>IF($C17="","",G17*VLOOKUP($C17,MATIERES!$A$2:$F$448,4,0))</f>
        <v>0</v>
      </c>
      <c r="I17" s="364">
        <v>0</v>
      </c>
      <c r="J17" s="365">
        <f>IF($C17="","",I17*VLOOKUP($C17,MATIERES!$A$2:$F$448,4,0))</f>
        <v>0</v>
      </c>
      <c r="K17" s="364">
        <v>0</v>
      </c>
      <c r="L17" s="365">
        <f>IF($C17="","",K17*VLOOKUP($C17,MATIERES!$A$2:$F$448,4,0))</f>
        <v>0</v>
      </c>
      <c r="M17" s="364">
        <v>0</v>
      </c>
      <c r="N17" s="365">
        <f>IF($C17="","",M17*VLOOKUP($C17,MATIERES!$A$2:$F$448,4,0))</f>
        <v>0</v>
      </c>
      <c r="O17" s="364">
        <v>0</v>
      </c>
      <c r="P17" s="365">
        <f>IF($C17="","",O17*VLOOKUP($C17,MATIERES!$A$2:$F$448,4,0))</f>
        <v>0</v>
      </c>
      <c r="Q17" s="364">
        <v>0</v>
      </c>
      <c r="R17" s="365">
        <f>IF($C17="","",Q17*VLOOKUP($C17,MATIERES!$A$2:$F$448,4,0))</f>
        <v>0</v>
      </c>
      <c r="S17" s="364">
        <v>0</v>
      </c>
      <c r="T17" s="365">
        <f>IF($C17="","",S17*VLOOKUP($C17,MATIERES!$A$2:$F$448,4,0))</f>
        <v>0</v>
      </c>
      <c r="U17" s="364">
        <v>0</v>
      </c>
      <c r="V17" s="365">
        <f>IF($C17="","",U17*VLOOKUP($C17,MATIERES!$A$2:$F$448,4,0))</f>
        <v>0</v>
      </c>
      <c r="W17" s="364">
        <v>1</v>
      </c>
      <c r="X17" s="365">
        <f>IF($C17="","",W17*VLOOKUP($C17,MATIERES!$A$2:$F$448,4,0))*IF(FHchoix="",1.2,1)</f>
        <v>845.94</v>
      </c>
      <c r="Y17" s="364">
        <v>0</v>
      </c>
      <c r="Z17" s="365">
        <f>IF($C17="","",Y17*VLOOKUP($C17,MATIERES!$A$2:$F$448,4,0))</f>
        <v>0</v>
      </c>
      <c r="AA17" s="364">
        <v>0</v>
      </c>
      <c r="AB17" s="365">
        <f>IF($C17="","",AA17*VLOOKUP($C17,MATIERES!$A$2:$F$448,4,0))</f>
        <v>0</v>
      </c>
      <c r="AC17" s="364">
        <v>0</v>
      </c>
      <c r="AD17" s="365">
        <f>IF($C17="","",AC17*VLOOKUP($C17,MATIERES!$A$2:$F$448,4,0))</f>
        <v>0</v>
      </c>
      <c r="AE17" s="364">
        <v>0</v>
      </c>
      <c r="AF17" s="365">
        <f>IF($C17="","",AE17*VLOOKUP($C17,MATIERES!$A$2:$F$448,4,0))</f>
        <v>0</v>
      </c>
      <c r="AG17" s="364">
        <v>0</v>
      </c>
      <c r="AH17" s="365">
        <f>IF($C17="","",AG17*VLOOKUP($C17,MATIERES!$A$2:$F$448,4,0))</f>
        <v>0</v>
      </c>
      <c r="AI17" s="364">
        <v>0</v>
      </c>
      <c r="AJ17" s="365">
        <f>IF($C17="","",AI17*VLOOKUP($C17,MATIERES!$A$2:$F$448,4,0))</f>
        <v>0</v>
      </c>
      <c r="AK17" s="364">
        <v>0</v>
      </c>
      <c r="AL17" s="365">
        <f>IF($C17="","",AK17*VLOOKUP($C17,MATIERES!$A$2:$F$448,4,0))</f>
        <v>0</v>
      </c>
      <c r="AM17" s="364">
        <v>0</v>
      </c>
      <c r="AN17" s="365">
        <f>IF($C17="","",AM17*VLOOKUP($C17,MATIERES!$A$2:$F$448,4,0))</f>
        <v>0</v>
      </c>
      <c r="AO17" s="135"/>
      <c r="AP17" s="532" t="str">
        <f>IFERROR(IF(VLOOKUP(C17,MATIERES!$A$2:$D$390,3,0)="SASKIT",C17,""),"")</f>
        <v>PFV12EH6X4</v>
      </c>
      <c r="AQ17" s="534"/>
      <c r="AR17" s="135"/>
      <c r="AS17" s="135"/>
    </row>
    <row r="18" spans="1:45" ht="10.35" customHeight="1" x14ac:dyDescent="0.2">
      <c r="A18" s="1550"/>
      <c r="B18" s="361" t="s">
        <v>1148</v>
      </c>
      <c r="C18" s="1401" t="s">
        <v>247</v>
      </c>
      <c r="D18" s="363" t="str">
        <f>IF($C18="","",VLOOKUP($C18,MATIERES!$A$2:$F$413,5,0))</f>
        <v>pc</v>
      </c>
      <c r="E18" s="364">
        <v>0</v>
      </c>
      <c r="F18" s="365">
        <f>IF($C18="","",E18*VLOOKUP($C18,MATIERES!$A$2:$F$448,4,0))</f>
        <v>0</v>
      </c>
      <c r="G18" s="364">
        <v>0</v>
      </c>
      <c r="H18" s="365">
        <f>IF($C18="","",G18*VLOOKUP($C18,MATIERES!$A$2:$F$448,4,0))</f>
        <v>0</v>
      </c>
      <c r="I18" s="364">
        <v>0</v>
      </c>
      <c r="J18" s="365">
        <f>IF($C18="","",I18*VLOOKUP($C18,MATIERES!$A$2:$F$448,4,0))</f>
        <v>0</v>
      </c>
      <c r="K18" s="364">
        <v>0</v>
      </c>
      <c r="L18" s="365">
        <f>IF($C18="","",K18*VLOOKUP($C18,MATIERES!$A$2:$F$448,4,0))</f>
        <v>0</v>
      </c>
      <c r="M18" s="364">
        <v>0</v>
      </c>
      <c r="N18" s="365">
        <f>IF($C18="","",M18*VLOOKUP($C18,MATIERES!$A$2:$F$448,4,0))</f>
        <v>0</v>
      </c>
      <c r="O18" s="364">
        <v>0</v>
      </c>
      <c r="P18" s="365">
        <f>IF($C18="","",O18*VLOOKUP($C18,MATIERES!$A$2:$F$448,4,0))</f>
        <v>0</v>
      </c>
      <c r="Q18" s="364">
        <v>0</v>
      </c>
      <c r="R18" s="365">
        <f>IF($C18="","",Q18*VLOOKUP($C18,MATIERES!$A$2:$F$448,4,0))</f>
        <v>0</v>
      </c>
      <c r="S18" s="364">
        <v>0</v>
      </c>
      <c r="T18" s="365">
        <f>IF($C18="","",S18*VLOOKUP($C18,MATIERES!$A$2:$F$448,4,0))</f>
        <v>0</v>
      </c>
      <c r="U18" s="364">
        <v>0</v>
      </c>
      <c r="V18" s="365">
        <f>IF($C18="","",U18*VLOOKUP($C18,MATIERES!$A$2:$F$448,4,0))</f>
        <v>0</v>
      </c>
      <c r="W18" s="364">
        <v>0</v>
      </c>
      <c r="X18" s="365">
        <f>IF($C18="","",W18*VLOOKUP($C18,MATIERES!$A$2:$F$448,4,0))</f>
        <v>0</v>
      </c>
      <c r="Y18" s="364">
        <v>1</v>
      </c>
      <c r="Z18" s="365">
        <f>IF($C18="","",Y18*VLOOKUP($C18,MATIERES!$A$2:$F$448,4,0))*IF(FHchoix="",1.2,1)</f>
        <v>868.66800000000001</v>
      </c>
      <c r="AA18" s="364">
        <v>0</v>
      </c>
      <c r="AB18" s="365">
        <f>IF($C18="","",AA18*VLOOKUP($C18,MATIERES!$A$2:$F$448,4,0))</f>
        <v>0</v>
      </c>
      <c r="AC18" s="364">
        <v>0</v>
      </c>
      <c r="AD18" s="365">
        <f>IF($C18="","",AC18*VLOOKUP($C18,MATIERES!$A$2:$F$448,4,0))</f>
        <v>0</v>
      </c>
      <c r="AE18" s="364">
        <v>0</v>
      </c>
      <c r="AF18" s="365">
        <f>IF($C18="","",AE18*VLOOKUP($C18,MATIERES!$A$2:$F$448,4,0))</f>
        <v>0</v>
      </c>
      <c r="AG18" s="364">
        <v>0</v>
      </c>
      <c r="AH18" s="365">
        <f>IF($C18="","",AG18*VLOOKUP($C18,MATIERES!$A$2:$F$448,4,0))</f>
        <v>0</v>
      </c>
      <c r="AI18" s="364">
        <v>0</v>
      </c>
      <c r="AJ18" s="365">
        <f>IF($C18="","",AI18*VLOOKUP($C18,MATIERES!$A$2:$F$448,4,0))</f>
        <v>0</v>
      </c>
      <c r="AK18" s="364">
        <v>0</v>
      </c>
      <c r="AL18" s="365">
        <f>IF($C18="","",AK18*VLOOKUP($C18,MATIERES!$A$2:$F$448,4,0))</f>
        <v>0</v>
      </c>
      <c r="AM18" s="364">
        <v>0</v>
      </c>
      <c r="AN18" s="365">
        <f>IF($C18="","",AM18*VLOOKUP($C18,MATIERES!$A$2:$F$448,4,0))</f>
        <v>0</v>
      </c>
      <c r="AO18" s="135"/>
      <c r="AP18" s="532" t="str">
        <f>IFERROR(IF(VLOOKUP(C18,MATIERES!$A$2:$D$390,3,0)="SASKIT",C18,""),"")</f>
        <v>PFV12EH8X3</v>
      </c>
      <c r="AQ18" s="534"/>
      <c r="AR18" s="135"/>
      <c r="AS18" s="135"/>
    </row>
    <row r="19" spans="1:45" ht="10.35" customHeight="1" x14ac:dyDescent="0.2">
      <c r="A19" s="1550"/>
      <c r="B19" s="361" t="s">
        <v>1148</v>
      </c>
      <c r="C19" s="1401" t="s">
        <v>336</v>
      </c>
      <c r="D19" s="363" t="str">
        <f>IF($C19="","",VLOOKUP($C19,MATIERES!$A$2:$F$413,5,0))</f>
        <v>pc</v>
      </c>
      <c r="E19" s="364">
        <v>0</v>
      </c>
      <c r="F19" s="365">
        <f>IF($C19="","",E19*VLOOKUP($C19,MATIERES!$A$2:$F$448,4,0))</f>
        <v>0</v>
      </c>
      <c r="G19" s="364">
        <v>0</v>
      </c>
      <c r="H19" s="365">
        <f>IF($C19="","",G19*VLOOKUP($C19,MATIERES!$A$2:$F$448,4,0))</f>
        <v>0</v>
      </c>
      <c r="I19" s="364">
        <v>0</v>
      </c>
      <c r="J19" s="365">
        <f>IF($C19="","",I19*VLOOKUP($C19,MATIERES!$A$2:$F$448,4,0))</f>
        <v>0</v>
      </c>
      <c r="K19" s="364">
        <v>0</v>
      </c>
      <c r="L19" s="365">
        <f>IF($C19="","",K19*VLOOKUP($C19,MATIERES!$A$2:$F$448,4,0))</f>
        <v>0</v>
      </c>
      <c r="M19" s="364">
        <v>0</v>
      </c>
      <c r="N19" s="365">
        <f>IF($C19="","",M19*VLOOKUP($C19,MATIERES!$A$2:$F$448,4,0))</f>
        <v>0</v>
      </c>
      <c r="O19" s="364">
        <v>0</v>
      </c>
      <c r="P19" s="365">
        <f>IF($C19="","",O19*VLOOKUP($C19,MATIERES!$A$2:$F$448,4,0))</f>
        <v>0</v>
      </c>
      <c r="Q19" s="364">
        <v>0</v>
      </c>
      <c r="R19" s="365">
        <f>IF($C19="","",Q19*VLOOKUP($C19,MATIERES!$A$2:$F$448,4,0))</f>
        <v>0</v>
      </c>
      <c r="S19" s="364">
        <v>0</v>
      </c>
      <c r="T19" s="365">
        <f>IF($C19="","",S19*VLOOKUP($C19,MATIERES!$A$2:$F$448,4,0))</f>
        <v>0</v>
      </c>
      <c r="U19" s="364">
        <v>0</v>
      </c>
      <c r="V19" s="365">
        <f>IF($C19="","",U19*VLOOKUP($C19,MATIERES!$A$2:$F$448,4,0))</f>
        <v>0</v>
      </c>
      <c r="W19" s="364">
        <v>0</v>
      </c>
      <c r="X19" s="365">
        <f>IF($C19="","",W19*VLOOKUP($C19,MATIERES!$A$2:$F$448,4,0))</f>
        <v>0</v>
      </c>
      <c r="Y19" s="364">
        <v>0</v>
      </c>
      <c r="Z19" s="365">
        <f>IF($C19="","",Y19*VLOOKUP($C19,MATIERES!$A$2:$F$448,4,0))</f>
        <v>0</v>
      </c>
      <c r="AA19" s="364">
        <v>1</v>
      </c>
      <c r="AB19" s="365">
        <f>IF($C19="","",AA19*VLOOKUP($C19,MATIERES!$A$2:$F$448,4,0))*IF(FHchoix="",1.2,1)</f>
        <v>939.12</v>
      </c>
      <c r="AC19" s="364">
        <v>0</v>
      </c>
      <c r="AD19" s="365">
        <f>IF($C19="","",AC19*VLOOKUP($C19,MATIERES!$A$2:$F$448,4,0))</f>
        <v>0</v>
      </c>
      <c r="AE19" s="364">
        <v>0</v>
      </c>
      <c r="AF19" s="365">
        <f>IF($C19="","",AE19*VLOOKUP($C19,MATIERES!$A$2:$F$448,4,0))</f>
        <v>0</v>
      </c>
      <c r="AG19" s="364">
        <v>0</v>
      </c>
      <c r="AH19" s="365">
        <f>IF($C19="","",AG19*VLOOKUP($C19,MATIERES!$A$2:$F$448,4,0))</f>
        <v>0</v>
      </c>
      <c r="AI19" s="364">
        <v>0</v>
      </c>
      <c r="AJ19" s="365">
        <f>IF($C19="","",AI19*VLOOKUP($C19,MATIERES!$A$2:$F$448,4,0))</f>
        <v>0</v>
      </c>
      <c r="AK19" s="364">
        <v>0</v>
      </c>
      <c r="AL19" s="365">
        <f>IF($C19="","",AK19*VLOOKUP($C19,MATIERES!$A$2:$F$448,4,0))</f>
        <v>0</v>
      </c>
      <c r="AM19" s="364">
        <v>0</v>
      </c>
      <c r="AN19" s="365">
        <f>IF($C19="","",AM19*VLOOKUP($C19,MATIERES!$A$2:$F$448,4,0))</f>
        <v>0</v>
      </c>
      <c r="AO19" s="135"/>
      <c r="AP19" s="532" t="str">
        <f>IFERROR(IF(VLOOKUP(C19,MATIERES!$A$2:$D$390,3,0)="SASKIT",C19,""),"")</f>
        <v>PFV14EH8X3,5</v>
      </c>
      <c r="AQ19" s="534"/>
      <c r="AR19" s="135"/>
      <c r="AS19" s="135"/>
    </row>
    <row r="20" spans="1:45" ht="10.35" customHeight="1" x14ac:dyDescent="0.2">
      <c r="A20" s="1550"/>
      <c r="B20" s="361" t="s">
        <v>1148</v>
      </c>
      <c r="C20" s="1401" t="s">
        <v>341</v>
      </c>
      <c r="D20" s="363" t="str">
        <f>IF($C20="","",VLOOKUP($C20,MATIERES!$A$2:$F$413,5,0))</f>
        <v>pc</v>
      </c>
      <c r="E20" s="364">
        <v>0</v>
      </c>
      <c r="F20" s="365">
        <f>IF($C20="","",E20*VLOOKUP($C20,MATIERES!$A$2:$F$448,4,0))</f>
        <v>0</v>
      </c>
      <c r="G20" s="364">
        <v>0</v>
      </c>
      <c r="H20" s="365">
        <f>IF($C20="","",G20*VLOOKUP($C20,MATIERES!$A$2:$F$448,4,0))</f>
        <v>0</v>
      </c>
      <c r="I20" s="364">
        <v>0</v>
      </c>
      <c r="J20" s="365">
        <f>IF($C20="","",I20*VLOOKUP($C20,MATIERES!$A$2:$F$448,4,0))</f>
        <v>0</v>
      </c>
      <c r="K20" s="364">
        <v>0</v>
      </c>
      <c r="L20" s="365">
        <f>IF($C20="","",K20*VLOOKUP($C20,MATIERES!$A$2:$F$448,4,0))</f>
        <v>0</v>
      </c>
      <c r="M20" s="364">
        <v>0</v>
      </c>
      <c r="N20" s="365">
        <f>IF($C20="","",M20*VLOOKUP($C20,MATIERES!$A$2:$F$448,4,0))</f>
        <v>0</v>
      </c>
      <c r="O20" s="364">
        <v>0</v>
      </c>
      <c r="P20" s="365">
        <f>IF($C20="","",O20*VLOOKUP($C20,MATIERES!$A$2:$F$448,4,0))</f>
        <v>0</v>
      </c>
      <c r="Q20" s="364">
        <v>0</v>
      </c>
      <c r="R20" s="365">
        <f>IF($C20="","",Q20*VLOOKUP($C20,MATIERES!$A$2:$F$448,4,0))</f>
        <v>0</v>
      </c>
      <c r="S20" s="364">
        <v>0</v>
      </c>
      <c r="T20" s="365">
        <f>IF($C20="","",S20*VLOOKUP($C20,MATIERES!$A$2:$F$448,4,0))</f>
        <v>0</v>
      </c>
      <c r="U20" s="364">
        <v>0</v>
      </c>
      <c r="V20" s="365">
        <f>IF($C20="","",U20*VLOOKUP($C20,MATIERES!$A$2:$F$448,4,0))</f>
        <v>0</v>
      </c>
      <c r="W20" s="364">
        <v>0</v>
      </c>
      <c r="X20" s="365">
        <f>IF($C20="","",W20*VLOOKUP($C20,MATIERES!$A$2:$F$448,4,0))</f>
        <v>0</v>
      </c>
      <c r="Y20" s="364">
        <v>0</v>
      </c>
      <c r="Z20" s="365">
        <f>IF($C20="","",Y20*VLOOKUP($C20,MATIERES!$A$2:$F$448,4,0))</f>
        <v>0</v>
      </c>
      <c r="AA20" s="364">
        <v>0</v>
      </c>
      <c r="AB20" s="365">
        <f>IF($C20="","",AA20*VLOOKUP($C20,MATIERES!$A$2:$F$448,4,0))</f>
        <v>0</v>
      </c>
      <c r="AC20" s="364">
        <v>1</v>
      </c>
      <c r="AD20" s="365">
        <f>IF($C20="","",AC20*VLOOKUP($C20,MATIERES!$A$2:$F$448,4,0))*IF(FHchoix="",1.2,1)</f>
        <v>963.4559999999999</v>
      </c>
      <c r="AE20" s="364">
        <v>0</v>
      </c>
      <c r="AF20" s="365">
        <f>IF($C20="","",AE20*VLOOKUP($C20,MATIERES!$A$2:$F$448,4,0))</f>
        <v>0</v>
      </c>
      <c r="AG20" s="364">
        <v>0</v>
      </c>
      <c r="AH20" s="365">
        <f>IF($C20="","",AG20*VLOOKUP($C20,MATIERES!$A$2:$F$448,4,0))</f>
        <v>0</v>
      </c>
      <c r="AI20" s="364">
        <v>0</v>
      </c>
      <c r="AJ20" s="365">
        <f>IF($C20="","",AI20*VLOOKUP($C20,MATIERES!$A$2:$F$448,4,0))</f>
        <v>0</v>
      </c>
      <c r="AK20" s="364">
        <v>0</v>
      </c>
      <c r="AL20" s="365">
        <f>IF($C20="","",AK20*VLOOKUP($C20,MATIERES!$A$2:$F$448,4,0))</f>
        <v>0</v>
      </c>
      <c r="AM20" s="364">
        <v>0</v>
      </c>
      <c r="AN20" s="365">
        <f>IF($C20="","",AM20*VLOOKUP($C20,MATIERES!$A$2:$F$448,4,0))</f>
        <v>0</v>
      </c>
      <c r="AO20" s="135"/>
      <c r="AP20" s="532" t="str">
        <f>IFERROR(IF(VLOOKUP(C20,MATIERES!$A$2:$D$390,3,0)="SASKIT",C20,""),"")</f>
        <v>PFV14EH7X4</v>
      </c>
      <c r="AQ20" s="534"/>
      <c r="AR20" s="135"/>
      <c r="AS20" s="135"/>
    </row>
    <row r="21" spans="1:45" ht="10.35" customHeight="1" x14ac:dyDescent="0.2">
      <c r="A21" s="1550"/>
      <c r="B21" s="361" t="s">
        <v>1148</v>
      </c>
      <c r="C21" s="1401" t="s">
        <v>344</v>
      </c>
      <c r="D21" s="363" t="str">
        <f>IF($C21="","",VLOOKUP($C21,MATIERES!$A$2:$F$413,5,0))</f>
        <v>pc</v>
      </c>
      <c r="E21" s="364">
        <v>0</v>
      </c>
      <c r="F21" s="365">
        <f>IF($C21="","",E21*VLOOKUP($C21,MATIERES!$A$2:$F$448,4,0))</f>
        <v>0</v>
      </c>
      <c r="G21" s="364">
        <v>0</v>
      </c>
      <c r="H21" s="365">
        <f>IF($C21="","",G21*VLOOKUP($C21,MATIERES!$A$2:$F$448,4,0))</f>
        <v>0</v>
      </c>
      <c r="I21" s="364">
        <v>0</v>
      </c>
      <c r="J21" s="365">
        <f>IF($C21="","",I21*VLOOKUP($C21,MATIERES!$A$2:$F$448,4,0))</f>
        <v>0</v>
      </c>
      <c r="K21" s="364">
        <v>0</v>
      </c>
      <c r="L21" s="365">
        <f>IF($C21="","",K21*VLOOKUP($C21,MATIERES!$A$2:$F$448,4,0))</f>
        <v>0</v>
      </c>
      <c r="M21" s="364">
        <v>0</v>
      </c>
      <c r="N21" s="365">
        <f>IF($C21="","",M21*VLOOKUP($C21,MATIERES!$A$2:$F$448,4,0))</f>
        <v>0</v>
      </c>
      <c r="O21" s="364">
        <v>0</v>
      </c>
      <c r="P21" s="365">
        <f>IF($C21="","",O21*VLOOKUP($C21,MATIERES!$A$2:$F$448,4,0))</f>
        <v>0</v>
      </c>
      <c r="Q21" s="364">
        <v>0</v>
      </c>
      <c r="R21" s="365">
        <f>IF($C21="","",Q21*VLOOKUP($C21,MATIERES!$A$2:$F$448,4,0))</f>
        <v>0</v>
      </c>
      <c r="S21" s="364">
        <v>0</v>
      </c>
      <c r="T21" s="365">
        <f>IF($C21="","",S21*VLOOKUP($C21,MATIERES!$A$2:$F$448,4,0))</f>
        <v>0</v>
      </c>
      <c r="U21" s="364">
        <v>0</v>
      </c>
      <c r="V21" s="365">
        <f>IF($C21="","",U21*VLOOKUP($C21,MATIERES!$A$2:$F$448,4,0))</f>
        <v>0</v>
      </c>
      <c r="W21" s="364">
        <v>0</v>
      </c>
      <c r="X21" s="365">
        <f>IF($C21="","",W21*VLOOKUP($C21,MATIERES!$A$2:$F$448,4,0))</f>
        <v>0</v>
      </c>
      <c r="Y21" s="364">
        <v>0</v>
      </c>
      <c r="Z21" s="365">
        <f>IF($C21="","",Y21*VLOOKUP($C21,MATIERES!$A$2:$F$448,4,0))</f>
        <v>0</v>
      </c>
      <c r="AA21" s="364">
        <v>0</v>
      </c>
      <c r="AB21" s="365">
        <f>IF($C21="","",AA21*VLOOKUP($C21,MATIERES!$A$2:$F$448,4,0))</f>
        <v>0</v>
      </c>
      <c r="AC21" s="364">
        <v>0</v>
      </c>
      <c r="AD21" s="365">
        <f>IF($C21="","",AC21*VLOOKUP($C21,MATIERES!$A$2:$F$448,4,0))</f>
        <v>0</v>
      </c>
      <c r="AE21" s="364">
        <v>1</v>
      </c>
      <c r="AF21" s="365">
        <f>IF($C21="","",AE21*VLOOKUP($C21,MATIERES!$A$2:$F$448,4,0))*IF(FHchoix="",1.2,1)</f>
        <v>1009.5719999999999</v>
      </c>
      <c r="AG21" s="364">
        <v>0</v>
      </c>
      <c r="AH21" s="365">
        <f>IF($C21="","",AG21*VLOOKUP($C21,MATIERES!$A$2:$F$448,4,0))</f>
        <v>0</v>
      </c>
      <c r="AI21" s="364">
        <v>0</v>
      </c>
      <c r="AJ21" s="365">
        <f>IF($C21="","",AI21*VLOOKUP($C21,MATIERES!$A$2:$F$448,4,0))</f>
        <v>0</v>
      </c>
      <c r="AK21" s="364">
        <v>0</v>
      </c>
      <c r="AL21" s="365">
        <f>IF($C21="","",AK21*VLOOKUP($C21,MATIERES!$A$2:$F$448,4,0))</f>
        <v>0</v>
      </c>
      <c r="AM21" s="364">
        <v>0</v>
      </c>
      <c r="AN21" s="365">
        <f>IF($C21="","",AM21*VLOOKUP($C21,MATIERES!$A$2:$F$448,4,0))</f>
        <v>0</v>
      </c>
      <c r="AO21" s="135"/>
      <c r="AP21" s="532" t="str">
        <f>IFERROR(IF(VLOOKUP(C21,MATIERES!$A$2:$D$390,3,0)="SASKIT",C21,""),"")</f>
        <v>PFV16EH8X4</v>
      </c>
      <c r="AQ21" s="534"/>
      <c r="AR21" s="135"/>
      <c r="AS21" s="135"/>
    </row>
    <row r="22" spans="1:45" ht="10.35" customHeight="1" x14ac:dyDescent="0.2">
      <c r="A22" s="1550"/>
      <c r="B22" s="361" t="s">
        <v>1148</v>
      </c>
      <c r="C22" s="1401" t="s">
        <v>357</v>
      </c>
      <c r="D22" s="363" t="str">
        <f>IF($C22="","",VLOOKUP($C22,MATIERES!$A$2:$F$413,5,0))</f>
        <v>pc</v>
      </c>
      <c r="E22" s="364">
        <v>0</v>
      </c>
      <c r="F22" s="365">
        <f>IF($C22="","",E22*VLOOKUP($C22,MATIERES!$A$2:$F$448,4,0))</f>
        <v>0</v>
      </c>
      <c r="G22" s="364">
        <v>0</v>
      </c>
      <c r="H22" s="365">
        <f>IF($C22="","",G22*VLOOKUP($C22,MATIERES!$A$2:$F$448,4,0))</f>
        <v>0</v>
      </c>
      <c r="I22" s="364">
        <v>0</v>
      </c>
      <c r="J22" s="365">
        <f>IF($C22="","",I22*VLOOKUP($C22,MATIERES!$A$2:$F$448,4,0))</f>
        <v>0</v>
      </c>
      <c r="K22" s="364">
        <v>0</v>
      </c>
      <c r="L22" s="365">
        <f>IF($C22="","",K22*VLOOKUP($C22,MATIERES!$A$2:$F$448,4,0))</f>
        <v>0</v>
      </c>
      <c r="M22" s="364">
        <v>0</v>
      </c>
      <c r="N22" s="365">
        <f>IF($C22="","",M22*VLOOKUP($C22,MATIERES!$A$2:$F$448,4,0))</f>
        <v>0</v>
      </c>
      <c r="O22" s="364">
        <v>0</v>
      </c>
      <c r="P22" s="365">
        <f>IF($C22="","",O22*VLOOKUP($C22,MATIERES!$A$2:$F$448,4,0))</f>
        <v>0</v>
      </c>
      <c r="Q22" s="364">
        <v>0</v>
      </c>
      <c r="R22" s="365">
        <f>IF($C22="","",Q22*VLOOKUP($C22,MATIERES!$A$2:$F$448,4,0))</f>
        <v>0</v>
      </c>
      <c r="S22" s="364">
        <v>0</v>
      </c>
      <c r="T22" s="365">
        <f>IF($C22="","",S22*VLOOKUP($C22,MATIERES!$A$2:$F$448,4,0))</f>
        <v>0</v>
      </c>
      <c r="U22" s="364">
        <v>0</v>
      </c>
      <c r="V22" s="365">
        <f>IF($C22="","",U22*VLOOKUP($C22,MATIERES!$A$2:$F$448,4,0))</f>
        <v>0</v>
      </c>
      <c r="W22" s="364">
        <v>0</v>
      </c>
      <c r="X22" s="365">
        <f>IF($C22="","",W22*VLOOKUP($C22,MATIERES!$A$2:$F$448,4,0))</f>
        <v>0</v>
      </c>
      <c r="Y22" s="364">
        <v>0</v>
      </c>
      <c r="Z22" s="365">
        <f>IF($C22="","",Y22*VLOOKUP($C22,MATIERES!$A$2:$F$448,4,0))</f>
        <v>0</v>
      </c>
      <c r="AA22" s="364">
        <v>0</v>
      </c>
      <c r="AB22" s="365">
        <f>IF($C22="","",AA22*VLOOKUP($C22,MATIERES!$A$2:$F$448,4,0))</f>
        <v>0</v>
      </c>
      <c r="AC22" s="364">
        <v>0</v>
      </c>
      <c r="AD22" s="365">
        <f>IF($C22="","",AC22*VLOOKUP($C22,MATIERES!$A$2:$F$448,4,0))</f>
        <v>0</v>
      </c>
      <c r="AE22" s="364">
        <v>0</v>
      </c>
      <c r="AF22" s="365">
        <f>IF($C22="","",AE22*VLOOKUP($C22,MATIERES!$A$2:$F$448,4,0))</f>
        <v>0</v>
      </c>
      <c r="AG22" s="364">
        <v>1</v>
      </c>
      <c r="AH22" s="365">
        <f>IF($C22="","",AG22*VLOOKUP($C22,MATIERES!$A$2:$F$448,4,0))*IF(FHchoix="",1.2,1)</f>
        <v>1246.6560000000002</v>
      </c>
      <c r="AI22" s="364">
        <v>0</v>
      </c>
      <c r="AJ22" s="365">
        <f>IF($C22="","",AI22*VLOOKUP($C22,MATIERES!$A$2:$F$448,4,0))</f>
        <v>0</v>
      </c>
      <c r="AK22" s="364">
        <v>0</v>
      </c>
      <c r="AL22" s="365">
        <f>IF($C22="","",AK22*VLOOKUP($C22,MATIERES!$A$2:$F$448,4,0))</f>
        <v>0</v>
      </c>
      <c r="AM22" s="364">
        <v>0</v>
      </c>
      <c r="AN22" s="365">
        <f>IF($C22="","",AM22*VLOOKUP($C22,MATIERES!$A$2:$F$448,4,0))</f>
        <v>0</v>
      </c>
      <c r="AO22" s="135"/>
      <c r="AP22" s="532" t="str">
        <f>IFERROR(IF(VLOOKUP(C22,MATIERES!$A$2:$D$390,3,0)="SASKIT",C22,""),"")</f>
        <v>PFV18EH8X4,5</v>
      </c>
      <c r="AQ22" s="534"/>
      <c r="AR22" s="135"/>
      <c r="AS22" s="135"/>
    </row>
    <row r="23" spans="1:45" ht="10.35" customHeight="1" x14ac:dyDescent="0.2">
      <c r="A23" s="1550"/>
      <c r="B23" s="361" t="s">
        <v>1148</v>
      </c>
      <c r="C23" s="1401" t="s">
        <v>359</v>
      </c>
      <c r="D23" s="363" t="str">
        <f>IF($C23="","",VLOOKUP($C23,MATIERES!$A$2:$F$413,5,0))</f>
        <v>pc</v>
      </c>
      <c r="E23" s="364">
        <v>0</v>
      </c>
      <c r="F23" s="365">
        <f>IF($C23="","",E23*VLOOKUP($C23,MATIERES!$A$2:$F$448,4,0))</f>
        <v>0</v>
      </c>
      <c r="G23" s="364">
        <v>0</v>
      </c>
      <c r="H23" s="365">
        <f>IF($C23="","",G23*VLOOKUP($C23,MATIERES!$A$2:$F$448,4,0))</f>
        <v>0</v>
      </c>
      <c r="I23" s="364">
        <v>0</v>
      </c>
      <c r="J23" s="365">
        <f>IF($C23="","",I23*VLOOKUP($C23,MATIERES!$A$2:$F$448,4,0))</f>
        <v>0</v>
      </c>
      <c r="K23" s="364">
        <v>0</v>
      </c>
      <c r="L23" s="365">
        <f>IF($C23="","",K23*VLOOKUP($C23,MATIERES!$A$2:$F$448,4,0))</f>
        <v>0</v>
      </c>
      <c r="M23" s="364">
        <v>0</v>
      </c>
      <c r="N23" s="365">
        <f>IF($C23="","",M23*VLOOKUP($C23,MATIERES!$A$2:$F$448,4,0))</f>
        <v>0</v>
      </c>
      <c r="O23" s="364">
        <v>0</v>
      </c>
      <c r="P23" s="365">
        <f>IF($C23="","",O23*VLOOKUP($C23,MATIERES!$A$2:$F$448,4,0))</f>
        <v>0</v>
      </c>
      <c r="Q23" s="364">
        <v>0</v>
      </c>
      <c r="R23" s="365">
        <f>IF($C23="","",Q23*VLOOKUP($C23,MATIERES!$A$2:$F$448,4,0))</f>
        <v>0</v>
      </c>
      <c r="S23" s="364">
        <v>0</v>
      </c>
      <c r="T23" s="365">
        <f>IF($C23="","",S23*VLOOKUP($C23,MATIERES!$A$2:$F$448,4,0))</f>
        <v>0</v>
      </c>
      <c r="U23" s="364">
        <v>0</v>
      </c>
      <c r="V23" s="365">
        <f>IF($C23="","",U23*VLOOKUP($C23,MATIERES!$A$2:$F$448,4,0))</f>
        <v>0</v>
      </c>
      <c r="W23" s="364">
        <v>0</v>
      </c>
      <c r="X23" s="365">
        <f>IF($C23="","",W23*VLOOKUP($C23,MATIERES!$A$2:$F$448,4,0))</f>
        <v>0</v>
      </c>
      <c r="Y23" s="364">
        <v>0</v>
      </c>
      <c r="Z23" s="365">
        <f>IF($C23="","",Y23*VLOOKUP($C23,MATIERES!$A$2:$F$448,4,0))</f>
        <v>0</v>
      </c>
      <c r="AA23" s="364">
        <v>0</v>
      </c>
      <c r="AB23" s="365">
        <f>IF($C23="","",AA23*VLOOKUP($C23,MATIERES!$A$2:$F$448,4,0))</f>
        <v>0</v>
      </c>
      <c r="AC23" s="364">
        <v>0</v>
      </c>
      <c r="AD23" s="365">
        <f>IF($C23="","",AC23*VLOOKUP($C23,MATIERES!$A$2:$F$448,4,0))</f>
        <v>0</v>
      </c>
      <c r="AE23" s="364">
        <v>0</v>
      </c>
      <c r="AF23" s="365">
        <f>IF($C23="","",AE23*VLOOKUP($C23,MATIERES!$A$2:$F$448,4,0))</f>
        <v>0</v>
      </c>
      <c r="AG23" s="364">
        <v>0</v>
      </c>
      <c r="AH23" s="365">
        <f>IF($C23="","",AG23*VLOOKUP($C23,MATIERES!$A$2:$F$448,4,0))</f>
        <v>0</v>
      </c>
      <c r="AI23" s="364">
        <v>1</v>
      </c>
      <c r="AJ23" s="365">
        <f>IF($C23="","",AI23*VLOOKUP($C23,MATIERES!$A$2:$F$448,4,0))*IF(FHchoix="",1.2,1)</f>
        <v>1281.9959999999999</v>
      </c>
      <c r="AK23" s="364">
        <v>0</v>
      </c>
      <c r="AL23" s="365">
        <f>IF($C23="","",AK23*VLOOKUP($C23,MATIERES!$A$2:$F$448,4,0))</f>
        <v>0</v>
      </c>
      <c r="AM23" s="364">
        <v>0</v>
      </c>
      <c r="AN23" s="365">
        <f>IF($C23="","",AM23*VLOOKUP($C23,MATIERES!$A$2:$F$448,4,0))</f>
        <v>0</v>
      </c>
      <c r="AO23" s="135"/>
      <c r="AP23" s="532" t="str">
        <f>IFERROR(IF(VLOOKUP(C23,MATIERES!$A$2:$D$390,3,0)="SASKIT",C23,""),"")</f>
        <v>PFV18EH9X4</v>
      </c>
      <c r="AQ23" s="534"/>
      <c r="AR23" s="135"/>
      <c r="AS23" s="135"/>
    </row>
    <row r="24" spans="1:45" ht="10.35" customHeight="1" x14ac:dyDescent="0.2">
      <c r="A24" s="1550"/>
      <c r="B24" s="361" t="s">
        <v>1148</v>
      </c>
      <c r="C24" s="1401" t="s">
        <v>360</v>
      </c>
      <c r="D24" s="363" t="str">
        <f>IF($C24="","",VLOOKUP($C24,MATIERES!$A$2:$F$413,5,0))</f>
        <v>pc</v>
      </c>
      <c r="E24" s="364">
        <v>0</v>
      </c>
      <c r="F24" s="365">
        <f>IF($C24="","",E24*VLOOKUP($C24,MATIERES!$A$2:$F$448,4,0))</f>
        <v>0</v>
      </c>
      <c r="G24" s="364">
        <v>0</v>
      </c>
      <c r="H24" s="365">
        <f>IF($C24="","",G24*VLOOKUP($C24,MATIERES!$A$2:$F$448,4,0))</f>
        <v>0</v>
      </c>
      <c r="I24" s="364">
        <v>0</v>
      </c>
      <c r="J24" s="365">
        <f>IF($C24="","",I24*VLOOKUP($C24,MATIERES!$A$2:$F$448,4,0))</f>
        <v>0</v>
      </c>
      <c r="K24" s="364">
        <v>0</v>
      </c>
      <c r="L24" s="365">
        <f>IF($C24="","",K24*VLOOKUP($C24,MATIERES!$A$2:$F$448,4,0))</f>
        <v>0</v>
      </c>
      <c r="M24" s="364">
        <v>0</v>
      </c>
      <c r="N24" s="365">
        <f>IF($C24="","",M24*VLOOKUP($C24,MATIERES!$A$2:$F$448,4,0))</f>
        <v>0</v>
      </c>
      <c r="O24" s="364">
        <v>0</v>
      </c>
      <c r="P24" s="365">
        <f>IF($C24="","",O24*VLOOKUP($C24,MATIERES!$A$2:$F$448,4,0))</f>
        <v>0</v>
      </c>
      <c r="Q24" s="364">
        <v>0</v>
      </c>
      <c r="R24" s="365">
        <f>IF($C24="","",Q24*VLOOKUP($C24,MATIERES!$A$2:$F$448,4,0))</f>
        <v>0</v>
      </c>
      <c r="S24" s="364">
        <v>0</v>
      </c>
      <c r="T24" s="365">
        <f>IF($C24="","",S24*VLOOKUP($C24,MATIERES!$A$2:$F$448,4,0))</f>
        <v>0</v>
      </c>
      <c r="U24" s="364">
        <v>0</v>
      </c>
      <c r="V24" s="365">
        <f>IF($C24="","",U24*VLOOKUP($C24,MATIERES!$A$2:$F$448,4,0))</f>
        <v>0</v>
      </c>
      <c r="W24" s="364">
        <v>0</v>
      </c>
      <c r="X24" s="365">
        <f>IF($C24="","",W24*VLOOKUP($C24,MATIERES!$A$2:$F$448,4,0))</f>
        <v>0</v>
      </c>
      <c r="Y24" s="364">
        <v>0</v>
      </c>
      <c r="Z24" s="365">
        <f>IF($C24="","",Y24*VLOOKUP($C24,MATIERES!$A$2:$F$448,4,0))</f>
        <v>0</v>
      </c>
      <c r="AA24" s="364">
        <v>0</v>
      </c>
      <c r="AB24" s="365">
        <f>IF($C24="","",AA24*VLOOKUP($C24,MATIERES!$A$2:$F$448,4,0))</f>
        <v>0</v>
      </c>
      <c r="AC24" s="364">
        <v>0</v>
      </c>
      <c r="AD24" s="365">
        <f>IF($C24="","",AC24*VLOOKUP($C24,MATIERES!$A$2:$F$448,4,0))</f>
        <v>0</v>
      </c>
      <c r="AE24" s="364">
        <v>0</v>
      </c>
      <c r="AF24" s="365">
        <f>IF($C24="","",AE24*VLOOKUP($C24,MATIERES!$A$2:$F$448,4,0))</f>
        <v>0</v>
      </c>
      <c r="AG24" s="364">
        <v>0</v>
      </c>
      <c r="AH24" s="365">
        <f>IF($C24="","",AG24*VLOOKUP($C24,MATIERES!$A$2:$F$448,4,0))</f>
        <v>0</v>
      </c>
      <c r="AI24" s="364">
        <v>0</v>
      </c>
      <c r="AJ24" s="365">
        <f>IF($C24="","",AI24*VLOOKUP($C24,MATIERES!$A$2:$F$448,4,0))</f>
        <v>0</v>
      </c>
      <c r="AK24" s="364">
        <v>1</v>
      </c>
      <c r="AL24" s="365">
        <f>IF($C24="","",AK24*VLOOKUP($C24,MATIERES!$A$2:$F$448,4,0))*IF(FHchoix="",1.2,1)</f>
        <v>1283.1959999999999</v>
      </c>
      <c r="AM24" s="364">
        <v>0</v>
      </c>
      <c r="AN24" s="365">
        <f>IF($C24="","",AM24*VLOOKUP($C24,MATIERES!$A$2:$F$448,4,0))</f>
        <v>0</v>
      </c>
      <c r="AO24" s="135"/>
      <c r="AP24" s="532" t="str">
        <f>IFERROR(IF(VLOOKUP(C24,MATIERES!$A$2:$D$390,3,0)="SASKIT",C24,""),"")</f>
        <v>PFV20EH8X5</v>
      </c>
      <c r="AQ24" s="534"/>
      <c r="AR24" s="135"/>
      <c r="AS24" s="135"/>
    </row>
    <row r="25" spans="1:45" ht="10.35" customHeight="1" x14ac:dyDescent="0.2">
      <c r="A25" s="1550"/>
      <c r="B25" s="361" t="s">
        <v>1148</v>
      </c>
      <c r="C25" s="1401" t="s">
        <v>361</v>
      </c>
      <c r="D25" s="363" t="str">
        <f>IF($C25="","",VLOOKUP($C25,MATIERES!$A$2:$F$413,5,0))</f>
        <v>pc</v>
      </c>
      <c r="E25" s="364">
        <v>0</v>
      </c>
      <c r="F25" s="365">
        <f>IF($C25="","",E25*VLOOKUP($C25,MATIERES!$A$2:$F$448,4,0))</f>
        <v>0</v>
      </c>
      <c r="G25" s="364">
        <v>0</v>
      </c>
      <c r="H25" s="365">
        <f>IF($C25="","",G25*VLOOKUP($C25,MATIERES!$A$2:$F$448,4,0))</f>
        <v>0</v>
      </c>
      <c r="I25" s="364">
        <v>0</v>
      </c>
      <c r="J25" s="365">
        <f>IF($C25="","",I25*VLOOKUP($C25,MATIERES!$A$2:$F$448,4,0))</f>
        <v>0</v>
      </c>
      <c r="K25" s="364">
        <v>0</v>
      </c>
      <c r="L25" s="365">
        <f>IF($C25="","",K25*VLOOKUP($C25,MATIERES!$A$2:$F$448,4,0))</f>
        <v>0</v>
      </c>
      <c r="M25" s="364">
        <v>0</v>
      </c>
      <c r="N25" s="365">
        <f>IF($C25="","",M25*VLOOKUP($C25,MATIERES!$A$2:$F$448,4,0))</f>
        <v>0</v>
      </c>
      <c r="O25" s="364">
        <v>0</v>
      </c>
      <c r="P25" s="365">
        <f>IF($C25="","",O25*VLOOKUP($C25,MATIERES!$A$2:$F$448,4,0))</f>
        <v>0</v>
      </c>
      <c r="Q25" s="364">
        <v>0</v>
      </c>
      <c r="R25" s="365">
        <f>IF($C25="","",Q25*VLOOKUP($C25,MATIERES!$A$2:$F$448,4,0))</f>
        <v>0</v>
      </c>
      <c r="S25" s="364">
        <v>0</v>
      </c>
      <c r="T25" s="365">
        <f>IF($C25="","",S25*VLOOKUP($C25,MATIERES!$A$2:$F$448,4,0))</f>
        <v>0</v>
      </c>
      <c r="U25" s="364">
        <v>0</v>
      </c>
      <c r="V25" s="365">
        <f>IF($C25="","",U25*VLOOKUP($C25,MATIERES!$A$2:$F$448,4,0))</f>
        <v>0</v>
      </c>
      <c r="W25" s="364">
        <v>0</v>
      </c>
      <c r="X25" s="365">
        <f>IF($C25="","",W25*VLOOKUP($C25,MATIERES!$A$2:$F$448,4,0))</f>
        <v>0</v>
      </c>
      <c r="Y25" s="364">
        <v>0</v>
      </c>
      <c r="Z25" s="365">
        <f>IF($C25="","",Y25*VLOOKUP($C25,MATIERES!$A$2:$F$448,4,0))</f>
        <v>0</v>
      </c>
      <c r="AA25" s="364">
        <v>0</v>
      </c>
      <c r="AB25" s="365">
        <f>IF($C25="","",AA25*VLOOKUP($C25,MATIERES!$A$2:$F$448,4,0))</f>
        <v>0</v>
      </c>
      <c r="AC25" s="364">
        <v>0</v>
      </c>
      <c r="AD25" s="365">
        <f>IF($C25="","",AC25*VLOOKUP($C25,MATIERES!$A$2:$F$448,4,0))</f>
        <v>0</v>
      </c>
      <c r="AE25" s="364">
        <v>0</v>
      </c>
      <c r="AF25" s="365">
        <f>IF($C25="","",AE25*VLOOKUP($C25,MATIERES!$A$2:$F$448,4,0))</f>
        <v>0</v>
      </c>
      <c r="AG25" s="364">
        <v>0</v>
      </c>
      <c r="AH25" s="365">
        <f>IF($C25="","",AG25*VLOOKUP($C25,MATIERES!$A$2:$F$448,4,0))</f>
        <v>0</v>
      </c>
      <c r="AI25" s="364">
        <v>0</v>
      </c>
      <c r="AJ25" s="365">
        <f>IF($C25="","",AI25*VLOOKUP($C25,MATIERES!$A$2:$F$448,4,0))</f>
        <v>0</v>
      </c>
      <c r="AK25" s="364">
        <v>0</v>
      </c>
      <c r="AL25" s="365">
        <f>IF($C25="","",AK25*VLOOKUP($C25,MATIERES!$A$2:$F$448,4,0))</f>
        <v>0</v>
      </c>
      <c r="AM25" s="364">
        <v>1</v>
      </c>
      <c r="AN25" s="365">
        <f>IF($C25="","",AM25*VLOOKUP($C25,MATIERES!$A$2:$F$448,4,0))*IF(FHchoix="",1.2,1)</f>
        <v>1344.528</v>
      </c>
      <c r="AO25" s="135"/>
      <c r="AP25" s="532" t="str">
        <f>IFERROR(IF(VLOOKUP(C25,MATIERES!$A$2:$D$390,3,0)="SASKIT",C25,""),"")</f>
        <v>PFV20EH10X4</v>
      </c>
      <c r="AQ25" s="534"/>
      <c r="AR25" s="135"/>
      <c r="AS25" s="135"/>
    </row>
    <row r="26" spans="1:45" ht="10.35" customHeight="1" x14ac:dyDescent="0.2">
      <c r="A26" s="1550"/>
      <c r="B26" s="361" t="s">
        <v>719</v>
      </c>
      <c r="C26" s="1400" t="s">
        <v>720</v>
      </c>
      <c r="D26" s="363" t="str">
        <f>IF($C26="","",VLOOKUP($C26,MATIERES!$A$2:$F$413,5,0))</f>
        <v>ml</v>
      </c>
      <c r="E26" s="364">
        <f>'Outils de calculs'!E32</f>
        <v>2.5</v>
      </c>
      <c r="F26" s="365">
        <f>IF($C26="","",E26*VLOOKUP($C26,MATIERES!$A$2:$F$448,4,0))</f>
        <v>4.9749999999999996</v>
      </c>
      <c r="G26" s="364">
        <f>'Outils de calculs'!G32</f>
        <v>3</v>
      </c>
      <c r="H26" s="365">
        <f>IF($C26="","",G26*VLOOKUP($C26,MATIERES!$A$2:$F$448,4,0))</f>
        <v>5.97</v>
      </c>
      <c r="I26" s="364">
        <f>'Outils de calculs'!I32</f>
        <v>4</v>
      </c>
      <c r="J26" s="365">
        <f>IF($C26="","",I26*VLOOKUP($C26,MATIERES!$A$2:$F$448,4,0))</f>
        <v>7.96</v>
      </c>
      <c r="K26" s="364">
        <f>'Outils de calculs'!K32</f>
        <v>4</v>
      </c>
      <c r="L26" s="365">
        <f>IF($C26="","",K26*VLOOKUP($C26,MATIERES!$A$2:$F$448,4,0))</f>
        <v>7.96</v>
      </c>
      <c r="M26" s="364">
        <f>'Outils de calculs'!M32</f>
        <v>4</v>
      </c>
      <c r="N26" s="365">
        <f>IF($C26="","",M26*VLOOKUP($C26,MATIERES!$A$2:$F$448,4,0))</f>
        <v>7.96</v>
      </c>
      <c r="O26" s="364">
        <f>'Outils de calculs'!O32</f>
        <v>4</v>
      </c>
      <c r="P26" s="365">
        <f>IF($C26="","",O26*VLOOKUP($C26,MATIERES!$A$2:$F$448,4,0))</f>
        <v>7.96</v>
      </c>
      <c r="Q26" s="364">
        <f>'Outils de calculs'!Q32</f>
        <v>4</v>
      </c>
      <c r="R26" s="365">
        <f>IF($C26="","",Q26*VLOOKUP($C26,MATIERES!$A$2:$F$448,4,0))</f>
        <v>7.96</v>
      </c>
      <c r="S26" s="364">
        <f>'Outils de calculs'!S32</f>
        <v>4.5</v>
      </c>
      <c r="T26" s="365">
        <f>IF($C26="","",S26*VLOOKUP($C26,MATIERES!$A$2:$F$448,4,0))</f>
        <v>8.9550000000000001</v>
      </c>
      <c r="U26" s="364">
        <f>'Outils de calculs'!U32</f>
        <v>5</v>
      </c>
      <c r="V26" s="365">
        <f>IF($C26="","",U26*VLOOKUP($C26,MATIERES!$A$2:$F$448,4,0))</f>
        <v>9.9499999999999993</v>
      </c>
      <c r="W26" s="364">
        <f>'Outils de calculs'!W32</f>
        <v>6</v>
      </c>
      <c r="X26" s="365">
        <f>IF($C26="","",W26*VLOOKUP($C26,MATIERES!$A$2:$F$448,4,0))</f>
        <v>11.94</v>
      </c>
      <c r="Y26" s="364">
        <f>'Outils de calculs'!Y32</f>
        <v>8</v>
      </c>
      <c r="Z26" s="365">
        <f>IF($C26="","",Y26*VLOOKUP($C26,MATIERES!$A$2:$F$448,4,0))</f>
        <v>15.92</v>
      </c>
      <c r="AA26" s="364">
        <f>'Outils de calculs'!AA32</f>
        <v>8</v>
      </c>
      <c r="AB26" s="365">
        <f>IF($C26="","",AA26*VLOOKUP($C26,MATIERES!$A$2:$F$448,4,0))</f>
        <v>15.92</v>
      </c>
      <c r="AC26" s="364">
        <f>'Outils de calculs'!AC32</f>
        <v>7</v>
      </c>
      <c r="AD26" s="365">
        <f>IF($C26="","",AC26*VLOOKUP($C26,MATIERES!$A$2:$F$448,4,0))</f>
        <v>13.93</v>
      </c>
      <c r="AE26" s="364">
        <f>'Outils de calculs'!AE32</f>
        <v>8</v>
      </c>
      <c r="AF26" s="365">
        <f>IF($C26="","",AE26*VLOOKUP($C26,MATIERES!$A$2:$F$448,4,0))</f>
        <v>15.92</v>
      </c>
      <c r="AG26" s="364">
        <f>'Outils de calculs'!AG32</f>
        <v>8</v>
      </c>
      <c r="AH26" s="365">
        <f>IF($C26="","",AG26*VLOOKUP($C26,MATIERES!$A$2:$F$448,4,0))</f>
        <v>15.92</v>
      </c>
      <c r="AI26" s="364">
        <f>'Outils de calculs'!AI32</f>
        <v>9</v>
      </c>
      <c r="AJ26" s="365">
        <f>IF($C26="","",AI26*VLOOKUP($C26,MATIERES!$A$2:$F$448,4,0))</f>
        <v>17.91</v>
      </c>
      <c r="AK26" s="364">
        <f>'Outils de calculs'!AK32</f>
        <v>10</v>
      </c>
      <c r="AL26" s="365">
        <f>IF($C26="","",AK26*VLOOKUP($C26,MATIERES!$A$2:$F$448,4,0))</f>
        <v>19.899999999999999</v>
      </c>
      <c r="AM26" s="364">
        <f>'Outils de calculs'!AM32</f>
        <v>8</v>
      </c>
      <c r="AN26" s="365">
        <f>IF($C26="","",AM26*VLOOKUP($C26,MATIERES!$A$2:$F$448,4,0))</f>
        <v>15.92</v>
      </c>
      <c r="AO26" s="135"/>
      <c r="AP26" s="532" t="str">
        <f>IFERROR(IF(VLOOKUP(C26,MATIERES!$A$2:$D$390,3,0)="SASKIT",C26,""),"")</f>
        <v/>
      </c>
      <c r="AQ26" s="534"/>
      <c r="AR26" s="135"/>
      <c r="AS26" s="135"/>
    </row>
    <row r="27" spans="1:45" ht="15" customHeight="1" x14ac:dyDescent="0.2">
      <c r="A27" s="1550"/>
      <c r="B27" s="361" t="s">
        <v>736</v>
      </c>
      <c r="C27" s="1401" t="s">
        <v>742</v>
      </c>
      <c r="D27" s="363" t="str">
        <f>IF($C27="","",VLOOKUP($C27,MATIERES!$A$2:$F$413,5,0))</f>
        <v>pc</v>
      </c>
      <c r="E27" s="364">
        <f>2</f>
        <v>2</v>
      </c>
      <c r="F27" s="365">
        <f>IF($C27="","",E27*VLOOKUP($C27,MATIERES!$A$2:$F$448,4,0))</f>
        <v>43.54</v>
      </c>
      <c r="G27" s="364">
        <f>2</f>
        <v>2</v>
      </c>
      <c r="H27" s="365">
        <f>IF($C27="","",G27*VLOOKUP($C27,MATIERES!$A$2:$F$448,4,0))</f>
        <v>43.54</v>
      </c>
      <c r="I27" s="364">
        <f>2</f>
        <v>2</v>
      </c>
      <c r="J27" s="365">
        <f>IF($C27="","",I27*VLOOKUP($C27,MATIERES!$A$2:$F$448,4,0))</f>
        <v>43.54</v>
      </c>
      <c r="K27" s="364">
        <f>2</f>
        <v>2</v>
      </c>
      <c r="L27" s="365">
        <f>IF($C27="","",K27*VLOOKUP($C27,MATIERES!$A$2:$F$448,4,0))</f>
        <v>43.54</v>
      </c>
      <c r="M27" s="364">
        <f>2</f>
        <v>2</v>
      </c>
      <c r="N27" s="365">
        <f>IF($C27="","",M27*VLOOKUP($C27,MATIERES!$A$2:$F$448,4,0))</f>
        <v>43.54</v>
      </c>
      <c r="O27" s="364">
        <f>2</f>
        <v>2</v>
      </c>
      <c r="P27" s="365">
        <f>IF($C27="","",O27*VLOOKUP($C27,MATIERES!$A$2:$F$448,4,0))</f>
        <v>43.54</v>
      </c>
      <c r="Q27" s="364">
        <f>2</f>
        <v>2</v>
      </c>
      <c r="R27" s="365">
        <f>IF($C27="","",Q27*VLOOKUP($C27,MATIERES!$A$2:$F$448,4,0))</f>
        <v>43.54</v>
      </c>
      <c r="S27" s="364">
        <f>2</f>
        <v>2</v>
      </c>
      <c r="T27" s="365">
        <f>IF($C27="","",S27*VLOOKUP($C27,MATIERES!$A$2:$F$448,4,0))</f>
        <v>43.54</v>
      </c>
      <c r="U27" s="364">
        <f>2</f>
        <v>2</v>
      </c>
      <c r="V27" s="365">
        <f>IF($C27="","",U27*VLOOKUP($C27,MATIERES!$A$2:$F$448,4,0))</f>
        <v>43.54</v>
      </c>
      <c r="W27" s="364">
        <f>2</f>
        <v>2</v>
      </c>
      <c r="X27" s="365">
        <f>IF($C27="","",W27*VLOOKUP($C27,MATIERES!$A$2:$F$448,4,0))</f>
        <v>43.54</v>
      </c>
      <c r="Y27" s="364">
        <f>2</f>
        <v>2</v>
      </c>
      <c r="Z27" s="365">
        <f>IF($C27="","",Y27*VLOOKUP($C27,MATIERES!$A$2:$F$448,4,0))</f>
        <v>43.54</v>
      </c>
      <c r="AA27" s="364">
        <f>2</f>
        <v>2</v>
      </c>
      <c r="AB27" s="365">
        <f>IF($C27="","",AA27*VLOOKUP($C27,MATIERES!$A$2:$F$448,4,0))</f>
        <v>43.54</v>
      </c>
      <c r="AC27" s="364">
        <f>2</f>
        <v>2</v>
      </c>
      <c r="AD27" s="365">
        <f>IF($C27="","",AC27*VLOOKUP($C27,MATIERES!$A$2:$F$448,4,0))</f>
        <v>43.54</v>
      </c>
      <c r="AE27" s="364">
        <f>2</f>
        <v>2</v>
      </c>
      <c r="AF27" s="365">
        <f>IF($C27="","",AE27*VLOOKUP($C27,MATIERES!$A$2:$F$448,4,0))</f>
        <v>43.54</v>
      </c>
      <c r="AG27" s="364">
        <f>2</f>
        <v>2</v>
      </c>
      <c r="AH27" s="365">
        <f>IF($C27="","",AG27*VLOOKUP($C27,MATIERES!$A$2:$F$448,4,0))</f>
        <v>43.54</v>
      </c>
      <c r="AI27" s="364">
        <f>2</f>
        <v>2</v>
      </c>
      <c r="AJ27" s="365">
        <f>IF($C27="","",AI27*VLOOKUP($C27,MATIERES!$A$2:$F$448,4,0))</f>
        <v>43.54</v>
      </c>
      <c r="AK27" s="364">
        <f>2</f>
        <v>2</v>
      </c>
      <c r="AL27" s="365">
        <f>IF($C27="","",AK27*VLOOKUP($C27,MATIERES!$A$2:$F$448,4,0))</f>
        <v>43.54</v>
      </c>
      <c r="AM27" s="364">
        <f>2</f>
        <v>2</v>
      </c>
      <c r="AN27" s="365">
        <f>IF($C27="","",AM27*VLOOKUP($C27,MATIERES!$A$2:$F$448,4,0))</f>
        <v>43.54</v>
      </c>
      <c r="AO27" s="135"/>
      <c r="AP27" s="532" t="str">
        <f>IFERROR(IF(VLOOKUP(C27,MATIERES!$A$2:$D$390,3,0)="SASKIT",C27,""),"")</f>
        <v/>
      </c>
      <c r="AQ27" s="534"/>
      <c r="AR27" s="135"/>
      <c r="AS27" s="135"/>
    </row>
    <row r="28" spans="1:45" ht="15" customHeight="1" x14ac:dyDescent="0.2">
      <c r="A28" s="1550"/>
      <c r="B28" s="361" t="s">
        <v>127</v>
      </c>
      <c r="C28" s="1400" t="s">
        <v>1210</v>
      </c>
      <c r="D28" s="363" t="str">
        <f>IF($C28="","",VLOOKUP($C28,MATIERES!$A$2:$F$448,5,0))</f>
        <v>t</v>
      </c>
      <c r="E28" s="364">
        <f>'Outils de calculs'!E25*0.05*1.8</f>
        <v>0.36000000000000004</v>
      </c>
      <c r="F28" s="365">
        <f>IF($C28="","",E28*VLOOKUP($C28,MATIERES!$A$2:$F$448,4,0))</f>
        <v>7.2000000000000011</v>
      </c>
      <c r="G28" s="364">
        <f>'Outils de calculs'!G25*0.05*1.8</f>
        <v>0.54000000000000015</v>
      </c>
      <c r="H28" s="365">
        <f>IF($C28="","",G28*VLOOKUP($C28,MATIERES!$A$2:$F$448,4,0))</f>
        <v>10.800000000000002</v>
      </c>
      <c r="I28" s="364">
        <f>'Outils de calculs'!I25*0.05*1.8</f>
        <v>0.72000000000000008</v>
      </c>
      <c r="J28" s="365">
        <f>IF($C28="","",I28*VLOOKUP($C28,MATIERES!$A$2:$F$448,4,0))</f>
        <v>14.400000000000002</v>
      </c>
      <c r="K28" s="364">
        <f>'Outils de calculs'!K25*0.05*1.8</f>
        <v>0.9</v>
      </c>
      <c r="L28" s="365">
        <f>IF($C28="","",K28*VLOOKUP($C28,MATIERES!$A$2:$F$448,4,0))</f>
        <v>18</v>
      </c>
      <c r="M28" s="364">
        <f>'Outils de calculs'!M25*0.05*1.8</f>
        <v>1.0800000000000003</v>
      </c>
      <c r="N28" s="365">
        <f>IF($C28="","",M28*VLOOKUP($C28,MATIERES!$A$2:$F$448,4,0))</f>
        <v>21.600000000000005</v>
      </c>
      <c r="O28" s="364">
        <f>'Outils de calculs'!O25*0.05*1.8</f>
        <v>1.2600000000000002</v>
      </c>
      <c r="P28" s="365">
        <f>IF($C28="","",O28*VLOOKUP($C28,MATIERES!$A$2:$F$448,4,0))</f>
        <v>25.200000000000003</v>
      </c>
      <c r="Q28" s="364">
        <f>'Outils de calculs'!Q25*0.05*1.8</f>
        <v>1.4400000000000002</v>
      </c>
      <c r="R28" s="365">
        <f>IF($C28="","",Q28*VLOOKUP($C28,MATIERES!$A$2:$F$448,4,0))</f>
        <v>28.800000000000004</v>
      </c>
      <c r="S28" s="364">
        <f>'Outils de calculs'!S25*0.05*1.8</f>
        <v>1.62</v>
      </c>
      <c r="T28" s="365">
        <f>IF($C28="","",S28*VLOOKUP($C28,MATIERES!$A$2:$F$448,4,0))</f>
        <v>32.400000000000006</v>
      </c>
      <c r="U28" s="364">
        <f>'Outils de calculs'!U25*0.05*1.8</f>
        <v>1.8</v>
      </c>
      <c r="V28" s="365">
        <f>IF($C28="","",U28*VLOOKUP($C28,MATIERES!$A$2:$F$448,4,0))</f>
        <v>36</v>
      </c>
      <c r="W28" s="364">
        <f>'Outils de calculs'!W25*0.05*1.8</f>
        <v>2.1600000000000006</v>
      </c>
      <c r="X28" s="365">
        <f>IF($C28="","",W28*VLOOKUP($C28,MATIERES!$A$2:$F$448,4,0))</f>
        <v>43.20000000000001</v>
      </c>
      <c r="Y28" s="364">
        <f>'Outils de calculs'!Y25*0.05*1.8</f>
        <v>2.1600000000000006</v>
      </c>
      <c r="Z28" s="365">
        <f>IF($C28="","",Y28*VLOOKUP($C28,MATIERES!$A$2:$F$448,4,0))</f>
        <v>43.20000000000001</v>
      </c>
      <c r="AA28" s="364">
        <f>'Outils de calculs'!AA25*0.05*1.8</f>
        <v>2.5200000000000005</v>
      </c>
      <c r="AB28" s="365">
        <f>IF($C28="","",AA28*VLOOKUP($C28,MATIERES!$A$2:$F$448,4,0))</f>
        <v>50.400000000000006</v>
      </c>
      <c r="AC28" s="364">
        <f>'Outils de calculs'!AC25*0.05*1.8</f>
        <v>2.5200000000000005</v>
      </c>
      <c r="AD28" s="365">
        <f>IF($C28="","",AC28*VLOOKUP($C28,MATIERES!$A$2:$F$448,4,0))</f>
        <v>50.400000000000006</v>
      </c>
      <c r="AE28" s="364">
        <f>'Outils de calculs'!AE25*0.05*1.8</f>
        <v>2.8800000000000003</v>
      </c>
      <c r="AF28" s="365">
        <f>IF($C28="","",AE28*VLOOKUP($C28,MATIERES!$A$2:$F$448,4,0))</f>
        <v>57.600000000000009</v>
      </c>
      <c r="AG28" s="364">
        <f>'Outils de calculs'!AG25*0.05*1.8</f>
        <v>3.24</v>
      </c>
      <c r="AH28" s="365">
        <f>IF($C28="","",AG28*VLOOKUP($C28,MATIERES!$A$2:$F$448,4,0))</f>
        <v>64.800000000000011</v>
      </c>
      <c r="AI28" s="364">
        <f>'Outils de calculs'!AI25*0.05*1.8</f>
        <v>3.24</v>
      </c>
      <c r="AJ28" s="365">
        <f>IF($C28="","",AI28*VLOOKUP($C28,MATIERES!$A$2:$F$448,4,0))</f>
        <v>64.800000000000011</v>
      </c>
      <c r="AK28" s="364">
        <f>'Outils de calculs'!AK25*0.05*1.8</f>
        <v>3.6</v>
      </c>
      <c r="AL28" s="365">
        <f>IF($C28="","",AK28*VLOOKUP($C28,MATIERES!$A$2:$F$448,4,0))</f>
        <v>72</v>
      </c>
      <c r="AM28" s="364">
        <f>'Outils de calculs'!AM25*0.05*1.8</f>
        <v>3.6</v>
      </c>
      <c r="AN28" s="365">
        <f>IF($C28="","",AM28*VLOOKUP($C28,MATIERES!$A$2:$F$448,4,0))</f>
        <v>72</v>
      </c>
      <c r="AO28" s="135"/>
      <c r="AP28" s="532" t="str">
        <f>IFERROR(IF(VLOOKUP(C28,MATIERES!$A$2:$D$390,3,0)="SASKIT",C28,""),"")</f>
        <v/>
      </c>
      <c r="AQ28" s="534"/>
      <c r="AR28" s="135"/>
      <c r="AS28" s="135"/>
    </row>
    <row r="29" spans="1:45" ht="15" customHeight="1" x14ac:dyDescent="0.2">
      <c r="A29" s="1550"/>
      <c r="B29" s="361" t="s">
        <v>719</v>
      </c>
      <c r="C29" s="1401" t="s">
        <v>721</v>
      </c>
      <c r="D29" s="363" t="str">
        <f>IF($C29="","",VLOOKUP($C29,MATIERES!$A$2:$F$413,5,0))</f>
        <v>ml</v>
      </c>
      <c r="E29" s="364">
        <f>1.5</f>
        <v>1.5</v>
      </c>
      <c r="F29" s="365">
        <f>IF($C29="","",E29*VLOOKUP($C29,MATIERES!$A$2:$F$448,4,0))</f>
        <v>2.835</v>
      </c>
      <c r="G29" s="364">
        <f t="shared" ref="G29" si="0">1.5</f>
        <v>1.5</v>
      </c>
      <c r="H29" s="365">
        <f>IF($C29="","",G29*VLOOKUP($C29,MATIERES!$A$2:$F$448,4,0))</f>
        <v>2.835</v>
      </c>
      <c r="I29" s="364">
        <f t="shared" ref="I29" si="1">1.5</f>
        <v>1.5</v>
      </c>
      <c r="J29" s="365">
        <f>IF($C29="","",I29*VLOOKUP($C29,MATIERES!$A$2:$F$448,4,0))</f>
        <v>2.835</v>
      </c>
      <c r="K29" s="364">
        <f t="shared" ref="K29" si="2">1.5</f>
        <v>1.5</v>
      </c>
      <c r="L29" s="365">
        <f>IF($C29="","",K29*VLOOKUP($C29,MATIERES!$A$2:$F$448,4,0))</f>
        <v>2.835</v>
      </c>
      <c r="M29" s="364">
        <f t="shared" ref="M29" si="3">1.5</f>
        <v>1.5</v>
      </c>
      <c r="N29" s="365">
        <f>IF($C29="","",M29*VLOOKUP($C29,MATIERES!$A$2:$F$448,4,0))</f>
        <v>2.835</v>
      </c>
      <c r="O29" s="364">
        <f t="shared" ref="O29" si="4">1.5</f>
        <v>1.5</v>
      </c>
      <c r="P29" s="365">
        <f>IF($C29="","",O29*VLOOKUP($C29,MATIERES!$A$2:$F$448,4,0))</f>
        <v>2.835</v>
      </c>
      <c r="Q29" s="364">
        <f t="shared" ref="Q29" si="5">1.5</f>
        <v>1.5</v>
      </c>
      <c r="R29" s="365">
        <f>IF($C29="","",Q29*VLOOKUP($C29,MATIERES!$A$2:$F$448,4,0))</f>
        <v>2.835</v>
      </c>
      <c r="S29" s="364">
        <f t="shared" ref="S29" si="6">1.5</f>
        <v>1.5</v>
      </c>
      <c r="T29" s="365">
        <f>IF($C29="","",S29*VLOOKUP($C29,MATIERES!$A$2:$F$448,4,0))</f>
        <v>2.835</v>
      </c>
      <c r="U29" s="364">
        <f t="shared" ref="U29" si="7">1.5</f>
        <v>1.5</v>
      </c>
      <c r="V29" s="365">
        <f>IF($C29="","",U29*VLOOKUP($C29,MATIERES!$A$2:$F$448,4,0))</f>
        <v>2.835</v>
      </c>
      <c r="W29" s="364">
        <f t="shared" ref="W29" si="8">1.5</f>
        <v>1.5</v>
      </c>
      <c r="X29" s="365">
        <f>IF($C29="","",W29*VLOOKUP($C29,MATIERES!$A$2:$F$448,4,0))</f>
        <v>2.835</v>
      </c>
      <c r="Y29" s="364">
        <f t="shared" ref="Y29" si="9">1.5</f>
        <v>1.5</v>
      </c>
      <c r="Z29" s="365">
        <f>IF($C29="","",Y29*VLOOKUP($C29,MATIERES!$A$2:$F$448,4,0))</f>
        <v>2.835</v>
      </c>
      <c r="AA29" s="364">
        <f t="shared" ref="AA29" si="10">1.5</f>
        <v>1.5</v>
      </c>
      <c r="AB29" s="365">
        <f>IF($C29="","",AA29*VLOOKUP($C29,MATIERES!$A$2:$F$448,4,0))</f>
        <v>2.835</v>
      </c>
      <c r="AC29" s="364">
        <f t="shared" ref="AC29" si="11">1.5</f>
        <v>1.5</v>
      </c>
      <c r="AD29" s="365">
        <f>IF($C29="","",AC29*VLOOKUP($C29,MATIERES!$A$2:$F$448,4,0))</f>
        <v>2.835</v>
      </c>
      <c r="AE29" s="364">
        <f t="shared" ref="AE29" si="12">1.5</f>
        <v>1.5</v>
      </c>
      <c r="AF29" s="365">
        <f>IF($C29="","",AE29*VLOOKUP($C29,MATIERES!$A$2:$F$448,4,0))</f>
        <v>2.835</v>
      </c>
      <c r="AG29" s="364">
        <f t="shared" ref="AG29" si="13">1.5</f>
        <v>1.5</v>
      </c>
      <c r="AH29" s="365">
        <f>IF($C29="","",AG29*VLOOKUP($C29,MATIERES!$A$2:$F$448,4,0))</f>
        <v>2.835</v>
      </c>
      <c r="AI29" s="364">
        <f t="shared" ref="AI29" si="14">1.5</f>
        <v>1.5</v>
      </c>
      <c r="AJ29" s="365">
        <f>IF($C29="","",AI29*VLOOKUP($C29,MATIERES!$A$2:$F$448,4,0))</f>
        <v>2.835</v>
      </c>
      <c r="AK29" s="364">
        <f t="shared" ref="AK29" si="15">1.5</f>
        <v>1.5</v>
      </c>
      <c r="AL29" s="365">
        <f>IF($C29="","",AK29*VLOOKUP($C29,MATIERES!$A$2:$F$448,4,0))</f>
        <v>2.835</v>
      </c>
      <c r="AM29" s="364">
        <f t="shared" ref="AM29" si="16">1.5</f>
        <v>1.5</v>
      </c>
      <c r="AN29" s="365">
        <f>IF($C29="","",AM29*VLOOKUP($C29,MATIERES!$A$2:$F$448,4,0))</f>
        <v>2.835</v>
      </c>
      <c r="AO29" s="135"/>
      <c r="AP29" s="532" t="str">
        <f>IFERROR(IF(VLOOKUP(C29,MATIERES!$A$2:$D$390,3,0)="SASKIT",C29,""),"")</f>
        <v/>
      </c>
      <c r="AQ29" s="534"/>
      <c r="AR29" s="135"/>
      <c r="AS29" s="135"/>
    </row>
    <row r="30" spans="1:45" ht="15" customHeight="1" x14ac:dyDescent="0.2">
      <c r="A30" s="1550"/>
      <c r="B30" s="361" t="s">
        <v>1142</v>
      </c>
      <c r="C30" s="1401" t="s">
        <v>701</v>
      </c>
      <c r="D30" s="363" t="str">
        <f>IF($C30="","",VLOOKUP($C30,MATIERES!$A$2:$F$413,5,0))</f>
        <v>pc</v>
      </c>
      <c r="E30" s="364">
        <f>2</f>
        <v>2</v>
      </c>
      <c r="F30" s="365">
        <f>IF($C30="","",E30*VLOOKUP($C30,MATIERES!$A$2:$F$448,4,0))</f>
        <v>7.12</v>
      </c>
      <c r="G30" s="364">
        <f>2</f>
        <v>2</v>
      </c>
      <c r="H30" s="365">
        <f>IF($C30="","",G30*VLOOKUP($C30,MATIERES!$A$2:$F$448,4,0))</f>
        <v>7.12</v>
      </c>
      <c r="I30" s="364">
        <f>2</f>
        <v>2</v>
      </c>
      <c r="J30" s="365">
        <f>IF($C30="","",I30*VLOOKUP($C30,MATIERES!$A$2:$F$448,4,0))</f>
        <v>7.12</v>
      </c>
      <c r="K30" s="364">
        <f>2</f>
        <v>2</v>
      </c>
      <c r="L30" s="365">
        <f>IF($C30="","",K30*VLOOKUP($C30,MATIERES!$A$2:$F$448,4,0))</f>
        <v>7.12</v>
      </c>
      <c r="M30" s="364">
        <f>2</f>
        <v>2</v>
      </c>
      <c r="N30" s="365">
        <f>IF($C30="","",M30*VLOOKUP($C30,MATIERES!$A$2:$F$448,4,0))</f>
        <v>7.12</v>
      </c>
      <c r="O30" s="364">
        <f>2</f>
        <v>2</v>
      </c>
      <c r="P30" s="365">
        <f>IF($C30="","",O30*VLOOKUP($C30,MATIERES!$A$2:$F$448,4,0))</f>
        <v>7.12</v>
      </c>
      <c r="Q30" s="364">
        <f>2</f>
        <v>2</v>
      </c>
      <c r="R30" s="365">
        <f>IF($C30="","",Q30*VLOOKUP($C30,MATIERES!$A$2:$F$448,4,0))</f>
        <v>7.12</v>
      </c>
      <c r="S30" s="364">
        <f>2</f>
        <v>2</v>
      </c>
      <c r="T30" s="365">
        <f>IF($C30="","",S30*VLOOKUP($C30,MATIERES!$A$2:$F$448,4,0))</f>
        <v>7.12</v>
      </c>
      <c r="U30" s="364">
        <f>2</f>
        <v>2</v>
      </c>
      <c r="V30" s="365">
        <f>IF($C30="","",U30*VLOOKUP($C30,MATIERES!$A$2:$F$448,4,0))</f>
        <v>7.12</v>
      </c>
      <c r="W30" s="364">
        <f>2</f>
        <v>2</v>
      </c>
      <c r="X30" s="365">
        <f>IF($C30="","",W30*VLOOKUP($C30,MATIERES!$A$2:$F$448,4,0))</f>
        <v>7.12</v>
      </c>
      <c r="Y30" s="364">
        <f>2</f>
        <v>2</v>
      </c>
      <c r="Z30" s="365">
        <f>IF($C30="","",Y30*VLOOKUP($C30,MATIERES!$A$2:$F$448,4,0))</f>
        <v>7.12</v>
      </c>
      <c r="AA30" s="364">
        <f>2</f>
        <v>2</v>
      </c>
      <c r="AB30" s="365">
        <f>IF($C30="","",AA30*VLOOKUP($C30,MATIERES!$A$2:$F$448,4,0))</f>
        <v>7.12</v>
      </c>
      <c r="AC30" s="364">
        <f>2</f>
        <v>2</v>
      </c>
      <c r="AD30" s="365">
        <f>IF($C30="","",AC30*VLOOKUP($C30,MATIERES!$A$2:$F$448,4,0))</f>
        <v>7.12</v>
      </c>
      <c r="AE30" s="364">
        <f>2</f>
        <v>2</v>
      </c>
      <c r="AF30" s="365">
        <f>IF($C30="","",AE30*VLOOKUP($C30,MATIERES!$A$2:$F$448,4,0))</f>
        <v>7.12</v>
      </c>
      <c r="AG30" s="364">
        <f>2</f>
        <v>2</v>
      </c>
      <c r="AH30" s="365">
        <f>IF($C30="","",AG30*VLOOKUP($C30,MATIERES!$A$2:$F$448,4,0))</f>
        <v>7.12</v>
      </c>
      <c r="AI30" s="364">
        <f>2</f>
        <v>2</v>
      </c>
      <c r="AJ30" s="365">
        <f>IF($C30="","",AI30*VLOOKUP($C30,MATIERES!$A$2:$F$448,4,0))</f>
        <v>7.12</v>
      </c>
      <c r="AK30" s="364">
        <f>2</f>
        <v>2</v>
      </c>
      <c r="AL30" s="365">
        <f>IF($C30="","",AK30*VLOOKUP($C30,MATIERES!$A$2:$F$448,4,0))</f>
        <v>7.12</v>
      </c>
      <c r="AM30" s="364">
        <f>2</f>
        <v>2</v>
      </c>
      <c r="AN30" s="365">
        <f>IF($C30="","",AM30*VLOOKUP($C30,MATIERES!$A$2:$F$448,4,0))</f>
        <v>7.12</v>
      </c>
      <c r="AO30" s="135"/>
      <c r="AP30" s="532" t="str">
        <f>IFERROR(IF(VLOOKUP(C30,MATIERES!$A$2:$D$390,3,0)="SASKIT",C30,""),"")</f>
        <v/>
      </c>
      <c r="AQ30" s="534"/>
      <c r="AR30" s="135"/>
      <c r="AS30" s="135"/>
    </row>
    <row r="31" spans="1:45" ht="15" customHeight="1" x14ac:dyDescent="0.2">
      <c r="A31" s="1550"/>
      <c r="B31" s="361" t="s">
        <v>1069</v>
      </c>
      <c r="C31" s="1401" t="s">
        <v>761</v>
      </c>
      <c r="D31" s="363" t="str">
        <f>IF($C31="","",VLOOKUP($C31,MATIERES!$A$2:$F$413,5,0))</f>
        <v>ml</v>
      </c>
      <c r="E31" s="364">
        <f>'Outils de calculs'!E31</f>
        <v>1.6</v>
      </c>
      <c r="F31" s="365">
        <f>IF($C31="","",E31*VLOOKUP($C31,MATIERES!$A$2:$F$448,4,0))</f>
        <v>10.784000000000001</v>
      </c>
      <c r="G31" s="364">
        <f>'Outils de calculs'!G31</f>
        <v>2</v>
      </c>
      <c r="H31" s="365">
        <f>IF($C31="","",G31*VLOOKUP($C31,MATIERES!$A$2:$F$448,4,0))</f>
        <v>13.48</v>
      </c>
      <c r="I31" s="364">
        <f>'Outils de calculs'!I31</f>
        <v>2</v>
      </c>
      <c r="J31" s="365">
        <f>IF($C31="","",I31*VLOOKUP($C31,MATIERES!$A$2:$F$448,4,0))</f>
        <v>13.48</v>
      </c>
      <c r="K31" s="364">
        <f>'Outils de calculs'!K31</f>
        <v>2.5</v>
      </c>
      <c r="L31" s="365">
        <f>IF($C31="","",K31*VLOOKUP($C31,MATIERES!$A$2:$F$448,4,0))</f>
        <v>16.850000000000001</v>
      </c>
      <c r="M31" s="364">
        <f>'Outils de calculs'!M31</f>
        <v>3</v>
      </c>
      <c r="N31" s="365">
        <f>IF($C31="","",M31*VLOOKUP($C31,MATIERES!$A$2:$F$448,4,0))</f>
        <v>20.22</v>
      </c>
      <c r="O31" s="364">
        <f>'Outils de calculs'!O31</f>
        <v>3.5</v>
      </c>
      <c r="P31" s="365">
        <f>IF($C31="","",O31*VLOOKUP($C31,MATIERES!$A$2:$F$448,4,0))</f>
        <v>23.59</v>
      </c>
      <c r="Q31" s="364">
        <f>'Outils de calculs'!Q31</f>
        <v>4</v>
      </c>
      <c r="R31" s="365">
        <f>IF($C31="","",Q31*VLOOKUP($C31,MATIERES!$A$2:$F$448,4,0))</f>
        <v>26.96</v>
      </c>
      <c r="S31" s="364">
        <f>'Outils de calculs'!S31</f>
        <v>4</v>
      </c>
      <c r="T31" s="365">
        <f>IF($C31="","",S31*VLOOKUP($C31,MATIERES!$A$2:$F$448,4,0))</f>
        <v>26.96</v>
      </c>
      <c r="U31" s="364">
        <f>'Outils de calculs'!U31</f>
        <v>4</v>
      </c>
      <c r="V31" s="365">
        <f>IF($C31="","",U31*VLOOKUP($C31,MATIERES!$A$2:$F$448,4,0))</f>
        <v>26.96</v>
      </c>
      <c r="W31" s="364">
        <f>'Outils de calculs'!W31</f>
        <v>4</v>
      </c>
      <c r="X31" s="365">
        <f>IF($C31="","",W31*VLOOKUP($C31,MATIERES!$A$2:$F$448,4,0))</f>
        <v>26.96</v>
      </c>
      <c r="Y31" s="364">
        <f>'Outils de calculs'!Y31</f>
        <v>3</v>
      </c>
      <c r="Z31" s="365">
        <f>IF($C31="","",Y31*VLOOKUP($C31,MATIERES!$A$2:$F$448,4,0))</f>
        <v>20.22</v>
      </c>
      <c r="AA31" s="364">
        <f>'Outils de calculs'!AA31</f>
        <v>3.5</v>
      </c>
      <c r="AB31" s="365">
        <f>IF($C31="","",AA31*VLOOKUP($C31,MATIERES!$A$2:$F$448,4,0))</f>
        <v>23.59</v>
      </c>
      <c r="AC31" s="364">
        <f>'Outils de calculs'!AC31</f>
        <v>4</v>
      </c>
      <c r="AD31" s="365">
        <f>IF($C31="","",AC31*VLOOKUP($C31,MATIERES!$A$2:$F$448,4,0))</f>
        <v>26.96</v>
      </c>
      <c r="AE31" s="364">
        <f>'Outils de calculs'!AE31</f>
        <v>4</v>
      </c>
      <c r="AF31" s="365">
        <f>IF($C31="","",AE31*VLOOKUP($C31,MATIERES!$A$2:$F$448,4,0))</f>
        <v>26.96</v>
      </c>
      <c r="AG31" s="364">
        <f>'Outils de calculs'!AG31</f>
        <v>4.5</v>
      </c>
      <c r="AH31" s="365">
        <f>IF($C31="","",AG31*VLOOKUP($C31,MATIERES!$A$2:$F$448,4,0))</f>
        <v>30.330000000000002</v>
      </c>
      <c r="AI31" s="364">
        <f>'Outils de calculs'!AI31</f>
        <v>4</v>
      </c>
      <c r="AJ31" s="365">
        <f>IF($C31="","",AI31*VLOOKUP($C31,MATIERES!$A$2:$F$448,4,0))</f>
        <v>26.96</v>
      </c>
      <c r="AK31" s="364">
        <f>'Outils de calculs'!AK31</f>
        <v>4</v>
      </c>
      <c r="AL31" s="365">
        <f>IF($C31="","",AK31*VLOOKUP($C31,MATIERES!$A$2:$F$448,4,0))</f>
        <v>26.96</v>
      </c>
      <c r="AM31" s="364">
        <f>'Outils de calculs'!AM31</f>
        <v>5</v>
      </c>
      <c r="AN31" s="365">
        <f>IF($C31="","",AM31*VLOOKUP($C31,MATIERES!$A$2:$F$448,4,0))</f>
        <v>33.700000000000003</v>
      </c>
      <c r="AO31" s="135"/>
      <c r="AP31" s="532" t="str">
        <f>IFERROR(IF(VLOOKUP(C31,MATIERES!$A$2:$D$390,3,0)="SASKIT",C31,""),"")</f>
        <v/>
      </c>
      <c r="AQ31" s="534"/>
      <c r="AR31" s="135"/>
      <c r="AS31" s="135"/>
    </row>
    <row r="32" spans="1:45" ht="15" customHeight="1" x14ac:dyDescent="0.2">
      <c r="A32" s="1550"/>
      <c r="B32" s="361" t="s">
        <v>1068</v>
      </c>
      <c r="C32" s="362"/>
      <c r="D32" s="363"/>
      <c r="E32" s="364"/>
      <c r="F32" s="365"/>
      <c r="G32" s="364"/>
      <c r="H32" s="365"/>
      <c r="I32" s="364"/>
      <c r="J32" s="365"/>
      <c r="K32" s="364"/>
      <c r="L32" s="365"/>
      <c r="M32" s="364"/>
      <c r="N32" s="365"/>
      <c r="O32" s="364"/>
      <c r="P32" s="365"/>
      <c r="Q32" s="364"/>
      <c r="R32" s="365"/>
      <c r="S32" s="364"/>
      <c r="T32" s="365"/>
      <c r="U32" s="364"/>
      <c r="V32" s="365"/>
      <c r="W32" s="364"/>
      <c r="X32" s="365"/>
      <c r="Y32" s="364"/>
      <c r="Z32" s="365"/>
      <c r="AA32" s="364"/>
      <c r="AB32" s="365"/>
      <c r="AC32" s="364"/>
      <c r="AD32" s="365"/>
      <c r="AE32" s="364"/>
      <c r="AF32" s="365"/>
      <c r="AG32" s="364"/>
      <c r="AH32" s="365"/>
      <c r="AI32" s="364"/>
      <c r="AJ32" s="365"/>
      <c r="AK32" s="364"/>
      <c r="AL32" s="365"/>
      <c r="AM32" s="364"/>
      <c r="AN32" s="365"/>
      <c r="AO32" s="135"/>
      <c r="AP32" s="532" t="str">
        <f>IFERROR(IF(VLOOKUP(C32,MATIERES!$A$2:$D$390,3,0)="SASKIT",C32,""),"")</f>
        <v/>
      </c>
      <c r="AQ32" s="534"/>
      <c r="AR32" s="135"/>
      <c r="AS32" s="135"/>
    </row>
    <row r="33" spans="1:45" ht="30" customHeight="1" x14ac:dyDescent="0.2">
      <c r="A33" s="366"/>
      <c r="B33" s="367" t="s">
        <v>683</v>
      </c>
      <c r="C33" s="368" t="s">
        <v>446</v>
      </c>
      <c r="D33" s="369" t="s">
        <v>447</v>
      </c>
      <c r="E33" s="370">
        <f>F33*(1+Simulation!$P$11)</f>
        <v>1189.1126000000002</v>
      </c>
      <c r="F33" s="371">
        <f>SUM(F4:F32)</f>
        <v>914.70200000000011</v>
      </c>
      <c r="G33" s="370">
        <f>H33*(1+Simulation!$P$11)</f>
        <v>1567.0785000000003</v>
      </c>
      <c r="H33" s="371">
        <f>SUM(H4:H32)</f>
        <v>1205.4450000000002</v>
      </c>
      <c r="I33" s="370">
        <f>J33*(1+Simulation!$P$11)</f>
        <v>1978.4635000000001</v>
      </c>
      <c r="J33" s="371">
        <f>SUM(J4:J32)</f>
        <v>1521.895</v>
      </c>
      <c r="K33" s="370">
        <f>L33*(1+Simulation!$P$11)</f>
        <v>2356.0120999999999</v>
      </c>
      <c r="L33" s="371">
        <f>SUM(L4:L32)</f>
        <v>1812.317</v>
      </c>
      <c r="M33" s="370">
        <f>N33*(1+Simulation!$P$11)</f>
        <v>2809.9538999999995</v>
      </c>
      <c r="N33" s="371">
        <f>SUM(N4:N32)</f>
        <v>2161.5029999999997</v>
      </c>
      <c r="O33" s="370">
        <f>P33*(1+Simulation!$P$11)</f>
        <v>3200.7312999999995</v>
      </c>
      <c r="P33" s="371">
        <f>SUM(P4:P32)</f>
        <v>2462.1009999999997</v>
      </c>
      <c r="Q33" s="370">
        <f>R33*(1+Simulation!$P$11)</f>
        <v>3591.5243000000005</v>
      </c>
      <c r="R33" s="371">
        <f>SUM(R4:R32)</f>
        <v>2762.7110000000002</v>
      </c>
      <c r="S33" s="370">
        <f>T33*(1+Simulation!$P$11)</f>
        <v>3909.9658000000004</v>
      </c>
      <c r="T33" s="371">
        <f>SUM(T4:T32)</f>
        <v>3007.6660000000002</v>
      </c>
      <c r="U33" s="370">
        <f>V33*(1+Simulation!$P$11)</f>
        <v>4296.5325000000003</v>
      </c>
      <c r="V33" s="371">
        <f>SUM(V4:V32)</f>
        <v>3305.0250000000001</v>
      </c>
      <c r="W33" s="370">
        <f>X33*(1+Simulation!$P$11)</f>
        <v>5103.6115</v>
      </c>
      <c r="X33" s="371">
        <f>SUM(X4:X32)</f>
        <v>3925.855</v>
      </c>
      <c r="Y33" s="370">
        <f>Z33*(1+Simulation!$P$11)</f>
        <v>5129.5699000000004</v>
      </c>
      <c r="Z33" s="371">
        <f>SUM(Z4:Z32)</f>
        <v>3945.8229999999999</v>
      </c>
      <c r="AA33" s="370">
        <f>AB33*(1+Simulation!$P$11)</f>
        <v>5859.8344999999999</v>
      </c>
      <c r="AB33" s="371">
        <f>SUM(AB4:AB32)</f>
        <v>4507.5649999999996</v>
      </c>
      <c r="AC33" s="370">
        <f>AD33*(1+Simulation!$P$11)</f>
        <v>5893.2653</v>
      </c>
      <c r="AD33" s="371">
        <f>SUM(AD4:AD32)</f>
        <v>4533.2809999999999</v>
      </c>
      <c r="AE33" s="370">
        <f>AF33*(1+Simulation!$P$11)</f>
        <v>6590.0991000000013</v>
      </c>
      <c r="AF33" s="371">
        <f>SUM(AF4:AF32)</f>
        <v>5069.3070000000007</v>
      </c>
      <c r="AG33" s="370">
        <f>AH33*(1+Simulation!$P$11)</f>
        <v>7536.9853000000012</v>
      </c>
      <c r="AH33" s="371">
        <f>SUM(AH4:AH32)</f>
        <v>5797.6810000000005</v>
      </c>
      <c r="AI33" s="370">
        <f>AJ33*(1+Simulation!$P$11)</f>
        <v>7581.1333000000013</v>
      </c>
      <c r="AJ33" s="371">
        <f>SUM(AJ4:AJ32)</f>
        <v>5831.6410000000005</v>
      </c>
      <c r="AK33" s="370">
        <f>AL33*(1+Simulation!$P$11)</f>
        <v>8219.5763000000006</v>
      </c>
      <c r="AL33" s="371">
        <f>SUM(AL4:AL32)</f>
        <v>6322.7510000000002</v>
      </c>
      <c r="AM33" s="370">
        <f>AN33*(1+Simulation!$P$11)</f>
        <v>8302.8959000000013</v>
      </c>
      <c r="AN33" s="371">
        <f>SUM(AN4:AN32)</f>
        <v>6386.8430000000008</v>
      </c>
      <c r="AO33" s="135"/>
      <c r="AP33" s="532" t="str">
        <f>IFERROR(IF(VLOOKUP(C33,MATIERES!$A$2:$D$390,3,0)="SASKIT",C33,""),"")</f>
        <v/>
      </c>
      <c r="AQ33" s="534"/>
      <c r="AR33" s="135"/>
      <c r="AS33" s="135"/>
    </row>
    <row r="34" spans="1:45" ht="15" customHeight="1" x14ac:dyDescent="0.2">
      <c r="A34" s="1552" t="s">
        <v>448</v>
      </c>
      <c r="B34" s="361" t="s">
        <v>1156</v>
      </c>
      <c r="C34" s="1401" t="s">
        <v>1199</v>
      </c>
      <c r="D34" s="363" t="str">
        <f>IF($C34="","",VLOOKUP($C34,ATELIER!$A$2:$E$109,3,0))</f>
        <v>pc</v>
      </c>
      <c r="E34" s="364">
        <f>1</f>
        <v>1</v>
      </c>
      <c r="F34" s="372">
        <f>IF($C34="","",E34*VLOOKUP($C34,ATELIER!$A$2:$F$109,4,0))</f>
        <v>0.25</v>
      </c>
      <c r="G34" s="364">
        <f>1</f>
        <v>1</v>
      </c>
      <c r="H34" s="372">
        <f>IF($C34="","",G34*VLOOKUP($C34,ATELIER!$A$2:$F$109,4,0))</f>
        <v>0.25</v>
      </c>
      <c r="I34" s="364">
        <f>1</f>
        <v>1</v>
      </c>
      <c r="J34" s="372">
        <f>IF($C34="","",I34*VLOOKUP($C34,ATELIER!$A$2:$F$109,4,0))</f>
        <v>0.25</v>
      </c>
      <c r="K34" s="364">
        <f>1</f>
        <v>1</v>
      </c>
      <c r="L34" s="372">
        <f>IF($C34="","",K34*VLOOKUP($C34,ATELIER!$A$2:$F$109,4,0))</f>
        <v>0.25</v>
      </c>
      <c r="M34" s="364">
        <f>1</f>
        <v>1</v>
      </c>
      <c r="N34" s="372">
        <f>IF($C34="","",M34*VLOOKUP($C34,ATELIER!$A$2:$F$109,4,0))</f>
        <v>0.25</v>
      </c>
      <c r="O34" s="364">
        <f>1</f>
        <v>1</v>
      </c>
      <c r="P34" s="372">
        <f>IF($C34="","",O34*VLOOKUP($C34,ATELIER!$A$2:$F$109,4,0))</f>
        <v>0.25</v>
      </c>
      <c r="Q34" s="364">
        <f>1</f>
        <v>1</v>
      </c>
      <c r="R34" s="372">
        <f>IF($C34="","",Q34*VLOOKUP($C34,ATELIER!$A$2:$F$109,4,0))</f>
        <v>0.25</v>
      </c>
      <c r="S34" s="364">
        <f>1</f>
        <v>1</v>
      </c>
      <c r="T34" s="372">
        <f>IF($C34="","",S34*VLOOKUP($C34,ATELIER!$A$2:$F$109,4,0))</f>
        <v>0.25</v>
      </c>
      <c r="U34" s="364">
        <f>1</f>
        <v>1</v>
      </c>
      <c r="V34" s="372">
        <f>IF($C34="","",U34*VLOOKUP($C34,ATELIER!$A$2:$F$109,4,0))</f>
        <v>0.25</v>
      </c>
      <c r="W34" s="364">
        <f>1</f>
        <v>1</v>
      </c>
      <c r="X34" s="372">
        <f>IF($C34="","",W34*VLOOKUP($C34,ATELIER!$A$2:$F$109,4,0))</f>
        <v>0.25</v>
      </c>
      <c r="Y34" s="364">
        <f>1</f>
        <v>1</v>
      </c>
      <c r="Z34" s="372">
        <f>IF($C34="","",Y34*VLOOKUP($C34,ATELIER!$A$2:$F$109,4,0))</f>
        <v>0.25</v>
      </c>
      <c r="AA34" s="364">
        <f>1</f>
        <v>1</v>
      </c>
      <c r="AB34" s="372">
        <f>IF($C34="","",AA34*VLOOKUP($C34,ATELIER!$A$2:$F$109,4,0))</f>
        <v>0.25</v>
      </c>
      <c r="AC34" s="364">
        <f>1</f>
        <v>1</v>
      </c>
      <c r="AD34" s="372">
        <f>IF($C34="","",AC34*VLOOKUP($C34,ATELIER!$A$2:$F$109,4,0))</f>
        <v>0.25</v>
      </c>
      <c r="AE34" s="364">
        <f>1</f>
        <v>1</v>
      </c>
      <c r="AF34" s="372">
        <f>IF($C34="","",AE34*VLOOKUP($C34,ATELIER!$A$2:$F$109,4,0))</f>
        <v>0.25</v>
      </c>
      <c r="AG34" s="364">
        <f>1</f>
        <v>1</v>
      </c>
      <c r="AH34" s="372">
        <f>IF($C34="","",AG34*VLOOKUP($C34,ATELIER!$A$2:$F$109,4,0))</f>
        <v>0.25</v>
      </c>
      <c r="AI34" s="364">
        <f>1</f>
        <v>1</v>
      </c>
      <c r="AJ34" s="372">
        <f>IF($C34="","",AI34*VLOOKUP($C34,ATELIER!$A$2:$F$109,4,0))</f>
        <v>0.25</v>
      </c>
      <c r="AK34" s="364">
        <f>1</f>
        <v>1</v>
      </c>
      <c r="AL34" s="372">
        <f>IF($C34="","",AK34*VLOOKUP($C34,ATELIER!$A$2:$F$109,4,0))</f>
        <v>0.25</v>
      </c>
      <c r="AM34" s="364">
        <f>1</f>
        <v>1</v>
      </c>
      <c r="AN34" s="372">
        <f>IF($C34="","",AM34*VLOOKUP($C34,ATELIER!$A$2:$F$109,4,0))</f>
        <v>0.25</v>
      </c>
      <c r="AO34" s="135"/>
      <c r="AP34" s="532" t="str">
        <f>IFERROR(IF(VLOOKUP(C34,MATIERES!$A$2:$D$390,3,0)="SASKIT",C34,""),"")</f>
        <v/>
      </c>
      <c r="AQ34" s="534"/>
      <c r="AR34" s="135"/>
      <c r="AS34" s="135"/>
    </row>
    <row r="35" spans="1:45" ht="15" customHeight="1" x14ac:dyDescent="0.2">
      <c r="A35" s="1553"/>
      <c r="B35" s="361" t="s">
        <v>1156</v>
      </c>
      <c r="C35" s="1401" t="s">
        <v>422</v>
      </c>
      <c r="D35" s="363" t="str">
        <f>IF($C35="","",VLOOKUP($C35,ATELIER!$A$2:$E$109,3,0))</f>
        <v>forfait</v>
      </c>
      <c r="E35" s="364">
        <f>2</f>
        <v>2</v>
      </c>
      <c r="F35" s="372">
        <f>IF($C35="","",E35*VLOOKUP($C35,ATELIER!$A$2:$F$109,4,0))</f>
        <v>0.24</v>
      </c>
      <c r="G35" s="364">
        <f>2</f>
        <v>2</v>
      </c>
      <c r="H35" s="372">
        <f>IF($C35="","",G35*VLOOKUP($C35,ATELIER!$A$2:$F$109,4,0))</f>
        <v>0.24</v>
      </c>
      <c r="I35" s="364">
        <f>2</f>
        <v>2</v>
      </c>
      <c r="J35" s="372">
        <f>IF($C35="","",I35*VLOOKUP($C35,ATELIER!$A$2:$F$109,4,0))</f>
        <v>0.24</v>
      </c>
      <c r="K35" s="364">
        <f>2</f>
        <v>2</v>
      </c>
      <c r="L35" s="372">
        <f>IF($C35="","",K35*VLOOKUP($C35,ATELIER!$A$2:$F$109,4,0))</f>
        <v>0.24</v>
      </c>
      <c r="M35" s="364">
        <f>2</f>
        <v>2</v>
      </c>
      <c r="N35" s="372">
        <f>IF($C35="","",M35*VLOOKUP($C35,ATELIER!$A$2:$F$109,4,0))</f>
        <v>0.24</v>
      </c>
      <c r="O35" s="364">
        <f>2</f>
        <v>2</v>
      </c>
      <c r="P35" s="372">
        <f>IF($C35="","",O35*VLOOKUP($C35,ATELIER!$A$2:$F$109,4,0))</f>
        <v>0.24</v>
      </c>
      <c r="Q35" s="364">
        <f>2</f>
        <v>2</v>
      </c>
      <c r="R35" s="372">
        <f>IF($C35="","",Q35*VLOOKUP($C35,ATELIER!$A$2:$F$109,4,0))</f>
        <v>0.24</v>
      </c>
      <c r="S35" s="364">
        <f>2</f>
        <v>2</v>
      </c>
      <c r="T35" s="372">
        <f>IF($C35="","",S35*VLOOKUP($C35,ATELIER!$A$2:$F$109,4,0))</f>
        <v>0.24</v>
      </c>
      <c r="U35" s="364">
        <f>2</f>
        <v>2</v>
      </c>
      <c r="V35" s="372">
        <f>IF($C35="","",U35*VLOOKUP($C35,ATELIER!$A$2:$F$109,4,0))</f>
        <v>0.24</v>
      </c>
      <c r="W35" s="364">
        <f>2</f>
        <v>2</v>
      </c>
      <c r="X35" s="372">
        <f>IF($C35="","",W35*VLOOKUP($C35,ATELIER!$A$2:$F$109,4,0))</f>
        <v>0.24</v>
      </c>
      <c r="Y35" s="364">
        <f>2</f>
        <v>2</v>
      </c>
      <c r="Z35" s="372">
        <f>IF($C35="","",Y35*VLOOKUP($C35,ATELIER!$A$2:$F$109,4,0))</f>
        <v>0.24</v>
      </c>
      <c r="AA35" s="364">
        <f>2</f>
        <v>2</v>
      </c>
      <c r="AB35" s="372">
        <f>IF($C35="","",AA35*VLOOKUP($C35,ATELIER!$A$2:$F$109,4,0))</f>
        <v>0.24</v>
      </c>
      <c r="AC35" s="364">
        <f>2</f>
        <v>2</v>
      </c>
      <c r="AD35" s="372">
        <f>IF($C35="","",AC35*VLOOKUP($C35,ATELIER!$A$2:$F$109,4,0))</f>
        <v>0.24</v>
      </c>
      <c r="AE35" s="364">
        <f>2</f>
        <v>2</v>
      </c>
      <c r="AF35" s="372">
        <f>IF($C35="","",AE35*VLOOKUP($C35,ATELIER!$A$2:$F$109,4,0))</f>
        <v>0.24</v>
      </c>
      <c r="AG35" s="364">
        <f>2</f>
        <v>2</v>
      </c>
      <c r="AH35" s="372">
        <f>IF($C35="","",AG35*VLOOKUP($C35,ATELIER!$A$2:$F$109,4,0))</f>
        <v>0.24</v>
      </c>
      <c r="AI35" s="364">
        <f>2</f>
        <v>2</v>
      </c>
      <c r="AJ35" s="372">
        <f>IF($C35="","",AI35*VLOOKUP($C35,ATELIER!$A$2:$F$109,4,0))</f>
        <v>0.24</v>
      </c>
      <c r="AK35" s="364">
        <f>2</f>
        <v>2</v>
      </c>
      <c r="AL35" s="372">
        <f>IF($C35="","",AK35*VLOOKUP($C35,ATELIER!$A$2:$F$109,4,0))</f>
        <v>0.24</v>
      </c>
      <c r="AM35" s="364">
        <f>2</f>
        <v>2</v>
      </c>
      <c r="AN35" s="372">
        <f>IF($C35="","",AM35*VLOOKUP($C35,ATELIER!$A$2:$F$109,4,0))</f>
        <v>0.24</v>
      </c>
      <c r="AO35" s="135"/>
      <c r="AP35" s="532" t="str">
        <f>IFERROR(IF(VLOOKUP(C35,MATIERES!$A$2:$D$390,3,0)="SASKIT",C35,""),"")</f>
        <v/>
      </c>
      <c r="AQ35" s="534"/>
      <c r="AR35" s="135"/>
      <c r="AS35" s="135"/>
    </row>
    <row r="36" spans="1:45" ht="15" customHeight="1" x14ac:dyDescent="0.2">
      <c r="A36" s="1553"/>
      <c r="B36" s="361" t="s">
        <v>1154</v>
      </c>
      <c r="C36" s="1407" t="s">
        <v>428</v>
      </c>
      <c r="D36" s="363" t="str">
        <f>IF($C36="","",VLOOKUP($C36,ATELIER!$A$2:$E$109,3,0))</f>
        <v>pc</v>
      </c>
      <c r="E36" s="364">
        <f>_xlfn.CEILING.MATH('Outils de calculs'!E33/1.92,1,0)</f>
        <v>1</v>
      </c>
      <c r="F36" s="372">
        <f>IF($C36="","",E36*VLOOKUP($C36,ATELIER!$A$2:$F$109,4,0))</f>
        <v>0.15</v>
      </c>
      <c r="G36" s="364">
        <f>_xlfn.CEILING.MATH('Outils de calculs'!G33/1.92,1,0)</f>
        <v>1</v>
      </c>
      <c r="H36" s="372">
        <f>IF($C36="","",G36*VLOOKUP($C36,ATELIER!$A$2:$F$109,4,0))</f>
        <v>0.15</v>
      </c>
      <c r="I36" s="364">
        <f>_xlfn.CEILING.MATH('Outils de calculs'!I33/1.92,1,0)</f>
        <v>2</v>
      </c>
      <c r="J36" s="372">
        <f>IF($C36="","",I36*VLOOKUP($C36,ATELIER!$A$2:$F$109,4,0))</f>
        <v>0.3</v>
      </c>
      <c r="K36" s="364">
        <f>_xlfn.CEILING.MATH('Outils de calculs'!K33/1.92,1,0)</f>
        <v>2</v>
      </c>
      <c r="L36" s="372">
        <f>IF($C36="","",K36*VLOOKUP($C36,ATELIER!$A$2:$F$109,4,0))</f>
        <v>0.3</v>
      </c>
      <c r="M36" s="364">
        <f>_xlfn.CEILING.MATH('Outils de calculs'!M33/1.92,1,0)</f>
        <v>2</v>
      </c>
      <c r="N36" s="372">
        <f>IF($C36="","",M36*VLOOKUP($C36,ATELIER!$A$2:$F$109,4,0))</f>
        <v>0.3</v>
      </c>
      <c r="O36" s="364">
        <f>_xlfn.CEILING.MATH('Outils de calculs'!O33/1.92,1,0)</f>
        <v>2</v>
      </c>
      <c r="P36" s="372">
        <f>IF($C36="","",O36*VLOOKUP($C36,ATELIER!$A$2:$F$109,4,0))</f>
        <v>0.3</v>
      </c>
      <c r="Q36" s="364">
        <f>_xlfn.CEILING.MATH('Outils de calculs'!Q33/1.92,1,0)</f>
        <v>2</v>
      </c>
      <c r="R36" s="372">
        <f>IF($C36="","",Q36*VLOOKUP($C36,ATELIER!$A$2:$F$109,4,0))</f>
        <v>0.3</v>
      </c>
      <c r="S36" s="364">
        <f>_xlfn.CEILING.MATH('Outils de calculs'!S33/1.92,1,0)</f>
        <v>2</v>
      </c>
      <c r="T36" s="372">
        <f>IF($C36="","",S36*VLOOKUP($C36,ATELIER!$A$2:$F$109,4,0))</f>
        <v>0.3</v>
      </c>
      <c r="U36" s="364">
        <f>_xlfn.CEILING.MATH('Outils de calculs'!U33/1.92,1,0)</f>
        <v>2</v>
      </c>
      <c r="V36" s="372">
        <f>IF($C36="","",U36*VLOOKUP($C36,ATELIER!$A$2:$F$109,4,0))</f>
        <v>0.3</v>
      </c>
      <c r="W36" s="364">
        <f>_xlfn.CEILING.MATH('Outils de calculs'!W33/1.92,1,0)</f>
        <v>2</v>
      </c>
      <c r="X36" s="372">
        <f>IF($C36="","",W36*VLOOKUP($C36,ATELIER!$A$2:$F$109,4,0))</f>
        <v>0.3</v>
      </c>
      <c r="Y36" s="364">
        <f>_xlfn.CEILING.MATH('Outils de calculs'!Y33/1.92,1,0)</f>
        <v>2</v>
      </c>
      <c r="Z36" s="372">
        <f>IF($C36="","",Y36*VLOOKUP($C36,ATELIER!$A$2:$F$109,4,0))</f>
        <v>0.3</v>
      </c>
      <c r="AA36" s="364">
        <f>_xlfn.CEILING.MATH('Outils de calculs'!AA33/1.92,1,0)</f>
        <v>2</v>
      </c>
      <c r="AB36" s="372">
        <f>IF($C36="","",AA36*VLOOKUP($C36,ATELIER!$A$2:$F$109,4,0))</f>
        <v>0.3</v>
      </c>
      <c r="AC36" s="364">
        <f>_xlfn.CEILING.MATH('Outils de calculs'!AC33/1.92,1,0)</f>
        <v>2</v>
      </c>
      <c r="AD36" s="372">
        <f>IF($C36="","",AC36*VLOOKUP($C36,ATELIER!$A$2:$F$109,4,0))</f>
        <v>0.3</v>
      </c>
      <c r="AE36" s="364">
        <f>_xlfn.CEILING.MATH('Outils de calculs'!AE33/1.92,1,0)</f>
        <v>2</v>
      </c>
      <c r="AF36" s="372">
        <f>IF($C36="","",AE36*VLOOKUP($C36,ATELIER!$A$2:$F$109,4,0))</f>
        <v>0.3</v>
      </c>
      <c r="AG36" s="364">
        <f>_xlfn.CEILING.MATH('Outils de calculs'!AG33/1.92,1,0)</f>
        <v>2</v>
      </c>
      <c r="AH36" s="372">
        <f>IF($C36="","",AG36*VLOOKUP($C36,ATELIER!$A$2:$F$109,4,0))</f>
        <v>0.3</v>
      </c>
      <c r="AI36" s="364">
        <f>_xlfn.CEILING.MATH('Outils de calculs'!AI33/1.92,1,0)</f>
        <v>2</v>
      </c>
      <c r="AJ36" s="372">
        <f>IF($C36="","",AI36*VLOOKUP($C36,ATELIER!$A$2:$F$109,4,0))</f>
        <v>0.3</v>
      </c>
      <c r="AK36" s="364">
        <f>_xlfn.CEILING.MATH('Outils de calculs'!AK33/1.92,1,0)</f>
        <v>2</v>
      </c>
      <c r="AL36" s="372">
        <f>IF($C36="","",AK36*VLOOKUP($C36,ATELIER!$A$2:$F$109,4,0))</f>
        <v>0.3</v>
      </c>
      <c r="AM36" s="364">
        <f>_xlfn.CEILING.MATH('Outils de calculs'!AM33/1.92,1,0)</f>
        <v>2</v>
      </c>
      <c r="AN36" s="372">
        <f>IF($C36="","",AM36*VLOOKUP($C36,ATELIER!$A$2:$F$109,4,0))</f>
        <v>0.3</v>
      </c>
      <c r="AO36" s="135"/>
      <c r="AP36" s="532" t="str">
        <f>IFERROR(IF(VLOOKUP(C36,MATIERES!$A$2:$D$390,3,0)="SASKIT",C36,""),"")</f>
        <v/>
      </c>
      <c r="AQ36" s="534"/>
      <c r="AR36" s="135"/>
      <c r="AS36" s="135"/>
    </row>
    <row r="37" spans="1:45" ht="35.25" customHeight="1" x14ac:dyDescent="0.2">
      <c r="A37" s="1553"/>
      <c r="B37" s="375" t="s">
        <v>449</v>
      </c>
      <c r="C37" s="376" t="s">
        <v>450</v>
      </c>
      <c r="D37" s="377" t="s">
        <v>451</v>
      </c>
      <c r="E37" s="376">
        <f>F37*Simulation!$P$8</f>
        <v>28.8</v>
      </c>
      <c r="F37" s="377">
        <f>SUM(F34:F36)</f>
        <v>0.64</v>
      </c>
      <c r="G37" s="376">
        <f>H37*Simulation!$P$8</f>
        <v>28.8</v>
      </c>
      <c r="H37" s="377">
        <f>SUM(H34:H36)</f>
        <v>0.64</v>
      </c>
      <c r="I37" s="376">
        <f>J37*Simulation!$P$8</f>
        <v>35.550000000000004</v>
      </c>
      <c r="J37" s="377">
        <f>SUM(J34:J36)</f>
        <v>0.79</v>
      </c>
      <c r="K37" s="376">
        <f>L37*Simulation!$P$8</f>
        <v>35.550000000000004</v>
      </c>
      <c r="L37" s="377">
        <f>SUM(L34:L36)</f>
        <v>0.79</v>
      </c>
      <c r="M37" s="376">
        <f>N37*Simulation!$P$8</f>
        <v>35.550000000000004</v>
      </c>
      <c r="N37" s="377">
        <f>SUM(N34:N36)</f>
        <v>0.79</v>
      </c>
      <c r="O37" s="376">
        <f>P37*Simulation!$P$8</f>
        <v>35.550000000000004</v>
      </c>
      <c r="P37" s="377">
        <f>SUM(P34:P36)</f>
        <v>0.79</v>
      </c>
      <c r="Q37" s="376">
        <f>R37*Simulation!$P$8</f>
        <v>35.550000000000004</v>
      </c>
      <c r="R37" s="377">
        <f>SUM(R34:R36)</f>
        <v>0.79</v>
      </c>
      <c r="S37" s="376">
        <f>T37*Simulation!$P$8</f>
        <v>35.550000000000004</v>
      </c>
      <c r="T37" s="377">
        <f>SUM(T34:T36)</f>
        <v>0.79</v>
      </c>
      <c r="U37" s="376">
        <f>V37*Simulation!$P$8</f>
        <v>35.550000000000004</v>
      </c>
      <c r="V37" s="377">
        <f>SUM(V34:V36)</f>
        <v>0.79</v>
      </c>
      <c r="W37" s="376">
        <f>X37*Simulation!$P$8</f>
        <v>35.550000000000004</v>
      </c>
      <c r="X37" s="377">
        <f>SUM(X34:X36)</f>
        <v>0.79</v>
      </c>
      <c r="Y37" s="376">
        <f>Z37*Simulation!$P$8</f>
        <v>35.550000000000004</v>
      </c>
      <c r="Z37" s="377">
        <f>SUM(Z34:Z36)</f>
        <v>0.79</v>
      </c>
      <c r="AA37" s="376">
        <f>AB37*Simulation!$P$8</f>
        <v>35.550000000000004</v>
      </c>
      <c r="AB37" s="377">
        <f>SUM(AB34:AB36)</f>
        <v>0.79</v>
      </c>
      <c r="AC37" s="376">
        <f>AD37*Simulation!$P$8</f>
        <v>35.550000000000004</v>
      </c>
      <c r="AD37" s="377">
        <f>SUM(AD34:AD36)</f>
        <v>0.79</v>
      </c>
      <c r="AE37" s="376">
        <f>AF37*Simulation!$P$8</f>
        <v>35.550000000000004</v>
      </c>
      <c r="AF37" s="377">
        <f>SUM(AF34:AF36)</f>
        <v>0.79</v>
      </c>
      <c r="AG37" s="376">
        <f>AH37*Simulation!$P$8</f>
        <v>35.550000000000004</v>
      </c>
      <c r="AH37" s="377">
        <f>SUM(AH34:AH36)</f>
        <v>0.79</v>
      </c>
      <c r="AI37" s="376">
        <f>AJ37*Simulation!$P$8</f>
        <v>35.550000000000004</v>
      </c>
      <c r="AJ37" s="377">
        <f>SUM(AJ34:AJ36)</f>
        <v>0.79</v>
      </c>
      <c r="AK37" s="376">
        <f>AL37*Simulation!$P$8</f>
        <v>35.550000000000004</v>
      </c>
      <c r="AL37" s="377">
        <f>SUM(AL34:AL36)</f>
        <v>0.79</v>
      </c>
      <c r="AM37" s="376">
        <f>AN37*Simulation!$P$8</f>
        <v>35.550000000000004</v>
      </c>
      <c r="AN37" s="377">
        <f>SUM(AN34:AN36)</f>
        <v>0.79</v>
      </c>
      <c r="AO37" s="224"/>
      <c r="AP37" s="532" t="str">
        <f>IFERROR(IF(VLOOKUP(C37,MATIERES!$A$2:$D$390,3,0)="SASKIT",C37,""),"")</f>
        <v/>
      </c>
      <c r="AQ37" s="324"/>
      <c r="AR37" s="224"/>
      <c r="AS37" s="224"/>
    </row>
    <row r="38" spans="1:45" ht="15" customHeight="1" x14ac:dyDescent="0.2">
      <c r="A38" s="1554" t="s">
        <v>452</v>
      </c>
      <c r="B38" s="361" t="s">
        <v>1159</v>
      </c>
      <c r="C38" s="1403" t="s">
        <v>1223</v>
      </c>
      <c r="D38" s="363" t="str">
        <f>IF(C38="","",VLOOKUP($C38,CHANTIER!$A$2:$C$83,3,0))</f>
        <v>pc</v>
      </c>
      <c r="E38" s="364">
        <f>'Outils de calculs'!E25*6</f>
        <v>24</v>
      </c>
      <c r="F38" s="372">
        <f>IF($C38="","",E38*VLOOKUP($C38,CHANTIER!$A$2:$D$83,4,0))</f>
        <v>0.36</v>
      </c>
      <c r="G38" s="364">
        <f>'Outils de calculs'!G25*6</f>
        <v>36</v>
      </c>
      <c r="H38" s="372">
        <f>IF($C38="","",G38*VLOOKUP($C38,CHANTIER!$A$2:$D$83,4,0))</f>
        <v>0.54</v>
      </c>
      <c r="I38" s="364">
        <f>'Outils de calculs'!I25*6</f>
        <v>48</v>
      </c>
      <c r="J38" s="372">
        <f>IF($C38="","",I38*VLOOKUP($C38,CHANTIER!$A$2:$D$83,4,0))</f>
        <v>0.72</v>
      </c>
      <c r="K38" s="364">
        <f>'Outils de calculs'!K25*6</f>
        <v>60</v>
      </c>
      <c r="L38" s="372">
        <f>IF($C38="","",K38*VLOOKUP($C38,CHANTIER!$A$2:$D$83,4,0))</f>
        <v>0.89999999999999991</v>
      </c>
      <c r="M38" s="364">
        <f>'Outils de calculs'!M25*6</f>
        <v>72</v>
      </c>
      <c r="N38" s="372">
        <f>IF($C38="","",M38*VLOOKUP($C38,CHANTIER!$A$2:$D$83,4,0))</f>
        <v>1.08</v>
      </c>
      <c r="O38" s="364">
        <f>'Outils de calculs'!O25*6</f>
        <v>84</v>
      </c>
      <c r="P38" s="372">
        <f>IF($C38="","",O38*VLOOKUP($C38,CHANTIER!$A$2:$D$83,4,0))</f>
        <v>1.26</v>
      </c>
      <c r="Q38" s="364">
        <f>'Outils de calculs'!Q25*6</f>
        <v>96</v>
      </c>
      <c r="R38" s="372">
        <f>IF($C38="","",Q38*VLOOKUP($C38,CHANTIER!$A$2:$D$83,4,0))</f>
        <v>1.44</v>
      </c>
      <c r="S38" s="364">
        <f>'Outils de calculs'!S25*6</f>
        <v>108</v>
      </c>
      <c r="T38" s="372">
        <f>IF($C38="","",S38*VLOOKUP($C38,CHANTIER!$A$2:$D$83,4,0))</f>
        <v>1.6199999999999999</v>
      </c>
      <c r="U38" s="364">
        <f>'Outils de calculs'!U25*6</f>
        <v>120</v>
      </c>
      <c r="V38" s="372">
        <f>IF($C38="","",U38*VLOOKUP($C38,CHANTIER!$A$2:$D$83,4,0))</f>
        <v>1.7999999999999998</v>
      </c>
      <c r="W38" s="364">
        <f>'Outils de calculs'!W25*6</f>
        <v>144</v>
      </c>
      <c r="X38" s="372">
        <f>IF($C38="","",W38*VLOOKUP($C38,CHANTIER!$A$2:$D$83,4,0))</f>
        <v>2.16</v>
      </c>
      <c r="Y38" s="364">
        <f>'Outils de calculs'!Y25*6</f>
        <v>144</v>
      </c>
      <c r="Z38" s="372">
        <f>IF($C38="","",Y38*VLOOKUP($C38,CHANTIER!$A$2:$D$83,4,0))</f>
        <v>2.16</v>
      </c>
      <c r="AA38" s="364">
        <f>'Outils de calculs'!AA25*6</f>
        <v>168</v>
      </c>
      <c r="AB38" s="372">
        <f>IF($C38="","",AA38*VLOOKUP($C38,CHANTIER!$A$2:$D$83,4,0))</f>
        <v>2.52</v>
      </c>
      <c r="AC38" s="364">
        <f>'Outils de calculs'!AC25*6</f>
        <v>168</v>
      </c>
      <c r="AD38" s="372">
        <f>IF($C38="","",AC38*VLOOKUP($C38,CHANTIER!$A$2:$D$83,4,0))</f>
        <v>2.52</v>
      </c>
      <c r="AE38" s="364">
        <f>'Outils de calculs'!AE25*6</f>
        <v>192</v>
      </c>
      <c r="AF38" s="372">
        <f>IF($C38="","",AE38*VLOOKUP($C38,CHANTIER!$A$2:$D$83,4,0))</f>
        <v>2.88</v>
      </c>
      <c r="AG38" s="364">
        <f>'Outils de calculs'!AG25*6</f>
        <v>216</v>
      </c>
      <c r="AH38" s="372">
        <f>IF($C38="","",AG38*VLOOKUP($C38,CHANTIER!$A$2:$D$83,4,0))</f>
        <v>3.2399999999999998</v>
      </c>
      <c r="AI38" s="364">
        <f>'Outils de calculs'!AI25*6</f>
        <v>216</v>
      </c>
      <c r="AJ38" s="372">
        <f>IF($C38="","",AI38*VLOOKUP($C38,CHANTIER!$A$2:$D$83,4,0))</f>
        <v>3.2399999999999998</v>
      </c>
      <c r="AK38" s="364">
        <f>'Outils de calculs'!AK25*6</f>
        <v>240</v>
      </c>
      <c r="AL38" s="372">
        <f>IF($C38="","",AK38*VLOOKUP($C38,CHANTIER!$A$2:$D$83,4,0))</f>
        <v>3.5999999999999996</v>
      </c>
      <c r="AM38" s="364">
        <f>'Outils de calculs'!AM25*6</f>
        <v>240</v>
      </c>
      <c r="AN38" s="372">
        <f>IF($C38="","",AM38*VLOOKUP($C38,CHANTIER!$A$2:$D$83,4,0))</f>
        <v>3.5999999999999996</v>
      </c>
      <c r="AO38" s="224"/>
      <c r="AP38" s="530" t="str">
        <f>IFERROR(IF(VLOOKUP(C38,MATIERES!$A$2:$D$390,3,0)="SASKIT",C38,""),"")</f>
        <v/>
      </c>
      <c r="AQ38" s="224"/>
      <c r="AR38" s="224"/>
      <c r="AS38" s="224"/>
    </row>
    <row r="39" spans="1:45" ht="15" customHeight="1" x14ac:dyDescent="0.2">
      <c r="A39" s="1554"/>
      <c r="B39" s="361" t="s">
        <v>1159</v>
      </c>
      <c r="C39" s="1402" t="s">
        <v>1225</v>
      </c>
      <c r="D39" s="363" t="str">
        <f>IF(C39="","",VLOOKUP($C39,CHANTIER!$A$2:$C$83,3,0))</f>
        <v>pc</v>
      </c>
      <c r="E39" s="364">
        <f>4</f>
        <v>4</v>
      </c>
      <c r="F39" s="372">
        <f>IF($C39="","",E39*VLOOKUP($C39,CHANTIER!$A$2:$D$83,4,0))</f>
        <v>0.6</v>
      </c>
      <c r="G39" s="364">
        <f>4</f>
        <v>4</v>
      </c>
      <c r="H39" s="372">
        <f>IF($C39="","",G39*VLOOKUP($C39,CHANTIER!$A$2:$D$83,4,0))</f>
        <v>0.6</v>
      </c>
      <c r="I39" s="364">
        <f>4</f>
        <v>4</v>
      </c>
      <c r="J39" s="372">
        <f>IF($C39="","",I39*VLOOKUP($C39,CHANTIER!$A$2:$D$83,4,0))</f>
        <v>0.6</v>
      </c>
      <c r="K39" s="364">
        <f>4</f>
        <v>4</v>
      </c>
      <c r="L39" s="372">
        <f>IF($C39="","",K39*VLOOKUP($C39,CHANTIER!$A$2:$D$83,4,0))</f>
        <v>0.6</v>
      </c>
      <c r="M39" s="364">
        <f>4</f>
        <v>4</v>
      </c>
      <c r="N39" s="372">
        <f>IF($C39="","",M39*VLOOKUP($C39,CHANTIER!$A$2:$D$83,4,0))</f>
        <v>0.6</v>
      </c>
      <c r="O39" s="364">
        <f>4</f>
        <v>4</v>
      </c>
      <c r="P39" s="372">
        <f>IF($C39="","",O39*VLOOKUP($C39,CHANTIER!$A$2:$D$83,4,0))</f>
        <v>0.6</v>
      </c>
      <c r="Q39" s="364">
        <f>4</f>
        <v>4</v>
      </c>
      <c r="R39" s="372">
        <f>IF($C39="","",Q39*VLOOKUP($C39,CHANTIER!$A$2:$D$83,4,0))</f>
        <v>0.6</v>
      </c>
      <c r="S39" s="364">
        <f>4</f>
        <v>4</v>
      </c>
      <c r="T39" s="372">
        <f>IF($C39="","",S39*VLOOKUP($C39,CHANTIER!$A$2:$D$83,4,0))</f>
        <v>0.6</v>
      </c>
      <c r="U39" s="364">
        <f>4</f>
        <v>4</v>
      </c>
      <c r="V39" s="372">
        <f>IF($C39="","",U39*VLOOKUP($C39,CHANTIER!$A$2:$D$83,4,0))</f>
        <v>0.6</v>
      </c>
      <c r="W39" s="364">
        <f>4</f>
        <v>4</v>
      </c>
      <c r="X39" s="372">
        <f>IF($C39="","",W39*VLOOKUP($C39,CHANTIER!$A$2:$D$83,4,0))</f>
        <v>0.6</v>
      </c>
      <c r="Y39" s="364">
        <f>4</f>
        <v>4</v>
      </c>
      <c r="Z39" s="372">
        <f>IF($C39="","",Y39*VLOOKUP($C39,CHANTIER!$A$2:$D$83,4,0))</f>
        <v>0.6</v>
      </c>
      <c r="AA39" s="364">
        <f>4</f>
        <v>4</v>
      </c>
      <c r="AB39" s="372">
        <f>IF($C39="","",AA39*VLOOKUP($C39,CHANTIER!$A$2:$D$83,4,0))</f>
        <v>0.6</v>
      </c>
      <c r="AC39" s="364">
        <f>4</f>
        <v>4</v>
      </c>
      <c r="AD39" s="372">
        <f>IF($C39="","",AC39*VLOOKUP($C39,CHANTIER!$A$2:$D$83,4,0))</f>
        <v>0.6</v>
      </c>
      <c r="AE39" s="364">
        <f>4</f>
        <v>4</v>
      </c>
      <c r="AF39" s="372">
        <f>IF($C39="","",AE39*VLOOKUP($C39,CHANTIER!$A$2:$D$83,4,0))</f>
        <v>0.6</v>
      </c>
      <c r="AG39" s="364">
        <f>4</f>
        <v>4</v>
      </c>
      <c r="AH39" s="372">
        <f>IF($C39="","",AG39*VLOOKUP($C39,CHANTIER!$A$2:$D$83,4,0))</f>
        <v>0.6</v>
      </c>
      <c r="AI39" s="364">
        <f>4</f>
        <v>4</v>
      </c>
      <c r="AJ39" s="372">
        <f>IF($C39="","",AI39*VLOOKUP($C39,CHANTIER!$A$2:$D$83,4,0))</f>
        <v>0.6</v>
      </c>
      <c r="AK39" s="364">
        <f>4</f>
        <v>4</v>
      </c>
      <c r="AL39" s="372">
        <f>IF($C39="","",AK39*VLOOKUP($C39,CHANTIER!$A$2:$D$83,4,0))</f>
        <v>0.6</v>
      </c>
      <c r="AM39" s="364">
        <f>4</f>
        <v>4</v>
      </c>
      <c r="AN39" s="372">
        <f>IF($C39="","",AM39*VLOOKUP($C39,CHANTIER!$A$2:$D$83,4,0))</f>
        <v>0.6</v>
      </c>
      <c r="AO39" s="224"/>
      <c r="AP39" s="530" t="str">
        <f>IFERROR(IF(VLOOKUP(C39,MATIERES!$A$2:$D$390,3,0)="SASKIT",C39,""),"")</f>
        <v/>
      </c>
      <c r="AQ39" s="224"/>
      <c r="AR39" s="224"/>
      <c r="AS39" s="224"/>
    </row>
    <row r="40" spans="1:45" ht="15" customHeight="1" x14ac:dyDescent="0.2">
      <c r="A40" s="1555"/>
      <c r="B40" s="361" t="s">
        <v>1159</v>
      </c>
      <c r="C40" s="1403" t="s">
        <v>1002</v>
      </c>
      <c r="D40" s="363" t="str">
        <f>IF(C40="","",VLOOKUP($C40,CHANTIER!$A$2:$C$83,3,0))</f>
        <v>m²</v>
      </c>
      <c r="E40" s="364">
        <f>'Outils de calculs'!E25</f>
        <v>4</v>
      </c>
      <c r="F40" s="372">
        <f>IF($C40="","",E40*VLOOKUP($C40,CHANTIER!$A$2:$D$83,4,0))</f>
        <v>0.48</v>
      </c>
      <c r="G40" s="364">
        <f>'Outils de calculs'!G25</f>
        <v>6</v>
      </c>
      <c r="H40" s="372">
        <f>IF($C40="","",G40*VLOOKUP($C40,CHANTIER!$A$2:$D$83,4,0))</f>
        <v>0.72</v>
      </c>
      <c r="I40" s="364">
        <f>'Outils de calculs'!I25</f>
        <v>8</v>
      </c>
      <c r="J40" s="372">
        <f>IF($C40="","",I40*VLOOKUP($C40,CHANTIER!$A$2:$D$83,4,0))</f>
        <v>0.96</v>
      </c>
      <c r="K40" s="364">
        <f>'Outils de calculs'!K25</f>
        <v>10</v>
      </c>
      <c r="L40" s="372">
        <f>IF($C40="","",K40*VLOOKUP($C40,CHANTIER!$A$2:$D$83,4,0))</f>
        <v>1.2</v>
      </c>
      <c r="M40" s="364">
        <f>'Outils de calculs'!M25</f>
        <v>12</v>
      </c>
      <c r="N40" s="372">
        <f>IF($C40="","",M40*VLOOKUP($C40,CHANTIER!$A$2:$D$83,4,0))</f>
        <v>1.44</v>
      </c>
      <c r="O40" s="364">
        <f>'Outils de calculs'!O25</f>
        <v>14</v>
      </c>
      <c r="P40" s="372">
        <f>IF($C40="","",O40*VLOOKUP($C40,CHANTIER!$A$2:$D$83,4,0))</f>
        <v>1.68</v>
      </c>
      <c r="Q40" s="364">
        <f>'Outils de calculs'!Q25</f>
        <v>16</v>
      </c>
      <c r="R40" s="372">
        <f>IF($C40="","",Q40*VLOOKUP($C40,CHANTIER!$A$2:$D$83,4,0))</f>
        <v>1.92</v>
      </c>
      <c r="S40" s="364">
        <f>'Outils de calculs'!S25</f>
        <v>18</v>
      </c>
      <c r="T40" s="372">
        <f>IF($C40="","",S40*VLOOKUP($C40,CHANTIER!$A$2:$D$83,4,0))</f>
        <v>2.16</v>
      </c>
      <c r="U40" s="364">
        <f>'Outils de calculs'!U25</f>
        <v>20</v>
      </c>
      <c r="V40" s="372">
        <f>IF($C40="","",U40*VLOOKUP($C40,CHANTIER!$A$2:$D$83,4,0))</f>
        <v>2.4</v>
      </c>
      <c r="W40" s="364">
        <f>'Outils de calculs'!W25</f>
        <v>24</v>
      </c>
      <c r="X40" s="372">
        <f>IF($C40="","",W40*VLOOKUP($C40,CHANTIER!$A$2:$D$83,4,0))</f>
        <v>2.88</v>
      </c>
      <c r="Y40" s="364">
        <f>'Outils de calculs'!Y25</f>
        <v>24</v>
      </c>
      <c r="Z40" s="372">
        <f>IF($C40="","",Y40*VLOOKUP($C40,CHANTIER!$A$2:$D$83,4,0))</f>
        <v>2.88</v>
      </c>
      <c r="AA40" s="364">
        <f>'Outils de calculs'!AA25</f>
        <v>28</v>
      </c>
      <c r="AB40" s="372">
        <f>IF($C40="","",AA40*VLOOKUP($C40,CHANTIER!$A$2:$D$83,4,0))</f>
        <v>3.36</v>
      </c>
      <c r="AC40" s="364">
        <f>'Outils de calculs'!AC25</f>
        <v>28</v>
      </c>
      <c r="AD40" s="372">
        <f>IF($C40="","",AC40*VLOOKUP($C40,CHANTIER!$A$2:$D$83,4,0))</f>
        <v>3.36</v>
      </c>
      <c r="AE40" s="364">
        <f>'Outils de calculs'!AE25</f>
        <v>32</v>
      </c>
      <c r="AF40" s="372">
        <f>IF($C40="","",AE40*VLOOKUP($C40,CHANTIER!$A$2:$D$83,4,0))</f>
        <v>3.84</v>
      </c>
      <c r="AG40" s="364">
        <f>'Outils de calculs'!AG25</f>
        <v>36</v>
      </c>
      <c r="AH40" s="372">
        <f>IF($C40="","",AG40*VLOOKUP($C40,CHANTIER!$A$2:$D$83,4,0))</f>
        <v>4.32</v>
      </c>
      <c r="AI40" s="364">
        <f>'Outils de calculs'!AI25</f>
        <v>36</v>
      </c>
      <c r="AJ40" s="372">
        <f>IF($C40="","",AI40*VLOOKUP($C40,CHANTIER!$A$2:$D$83,4,0))</f>
        <v>4.32</v>
      </c>
      <c r="AK40" s="364">
        <f>'Outils de calculs'!AK25</f>
        <v>40</v>
      </c>
      <c r="AL40" s="372">
        <f>IF($C40="","",AK40*VLOOKUP($C40,CHANTIER!$A$2:$D$83,4,0))</f>
        <v>4.8</v>
      </c>
      <c r="AM40" s="364">
        <f>'Outils de calculs'!AM25</f>
        <v>40</v>
      </c>
      <c r="AN40" s="372">
        <f>IF($C40="","",AM40*VLOOKUP($C40,CHANTIER!$A$2:$D$83,4,0))</f>
        <v>4.8</v>
      </c>
      <c r="AO40" s="224"/>
      <c r="AP40" s="530" t="str">
        <f>IFERROR(IF(VLOOKUP(C40,MATIERES!$A$2:$D$390,3,0)="SASKIT",C40,""),"")</f>
        <v/>
      </c>
      <c r="AQ40" s="224"/>
      <c r="AR40" s="224"/>
      <c r="AS40" s="224"/>
    </row>
    <row r="41" spans="1:45" ht="15" customHeight="1" x14ac:dyDescent="0.2">
      <c r="A41" s="1554"/>
      <c r="B41" s="361" t="s">
        <v>1159</v>
      </c>
      <c r="C41" s="1403" t="s">
        <v>1144</v>
      </c>
      <c r="D41" s="363" t="str">
        <f>IF(C41="","",VLOOKUP($C41,CHANTIER!$A$2:$C$83,3,0))</f>
        <v>ml</v>
      </c>
      <c r="E41" s="364">
        <f>'Outils de calculs'!E31</f>
        <v>1.6</v>
      </c>
      <c r="F41" s="372">
        <f>IF($C41="","",E41*VLOOKUP($C41,CHANTIER!$A$2:$D$83,4,0))</f>
        <v>0.32000000000000006</v>
      </c>
      <c r="G41" s="364">
        <f>'Outils de calculs'!G31</f>
        <v>2</v>
      </c>
      <c r="H41" s="372">
        <f>IF($C41="","",G41*VLOOKUP($C41,CHANTIER!$A$2:$D$83,4,0))</f>
        <v>0.4</v>
      </c>
      <c r="I41" s="364">
        <f>'Outils de calculs'!I31</f>
        <v>2</v>
      </c>
      <c r="J41" s="372">
        <f>IF($C41="","",I41*VLOOKUP($C41,CHANTIER!$A$2:$D$83,4,0))</f>
        <v>0.4</v>
      </c>
      <c r="K41" s="364">
        <f>'Outils de calculs'!K31</f>
        <v>2.5</v>
      </c>
      <c r="L41" s="372">
        <f>IF($C41="","",K41*VLOOKUP($C41,CHANTIER!$A$2:$D$83,4,0))</f>
        <v>0.5</v>
      </c>
      <c r="M41" s="364">
        <f>'Outils de calculs'!M31</f>
        <v>3</v>
      </c>
      <c r="N41" s="372">
        <f>IF($C41="","",M41*VLOOKUP($C41,CHANTIER!$A$2:$D$83,4,0))</f>
        <v>0.60000000000000009</v>
      </c>
      <c r="O41" s="364">
        <f>'Outils de calculs'!O31</f>
        <v>3.5</v>
      </c>
      <c r="P41" s="372">
        <f>IF($C41="","",O41*VLOOKUP($C41,CHANTIER!$A$2:$D$83,4,0))</f>
        <v>0.70000000000000007</v>
      </c>
      <c r="Q41" s="364">
        <f>'Outils de calculs'!Q31</f>
        <v>4</v>
      </c>
      <c r="R41" s="372">
        <f>IF($C41="","",Q41*VLOOKUP($C41,CHANTIER!$A$2:$D$83,4,0))</f>
        <v>0.8</v>
      </c>
      <c r="S41" s="364">
        <f>'Outils de calculs'!S31</f>
        <v>4</v>
      </c>
      <c r="T41" s="372">
        <f>IF($C41="","",S41*VLOOKUP($C41,CHANTIER!$A$2:$D$83,4,0))</f>
        <v>0.8</v>
      </c>
      <c r="U41" s="364">
        <f>'Outils de calculs'!U31</f>
        <v>4</v>
      </c>
      <c r="V41" s="372">
        <f>IF($C41="","",U41*VLOOKUP($C41,CHANTIER!$A$2:$D$83,4,0))</f>
        <v>0.8</v>
      </c>
      <c r="W41" s="364">
        <f>'Outils de calculs'!W31</f>
        <v>4</v>
      </c>
      <c r="X41" s="372">
        <f>IF($C41="","",W41*VLOOKUP($C41,CHANTIER!$A$2:$D$83,4,0))</f>
        <v>0.8</v>
      </c>
      <c r="Y41" s="364">
        <f>'Outils de calculs'!Y31</f>
        <v>3</v>
      </c>
      <c r="Z41" s="372">
        <f>IF($C41="","",Y41*VLOOKUP($C41,CHANTIER!$A$2:$D$83,4,0))</f>
        <v>0.60000000000000009</v>
      </c>
      <c r="AA41" s="364">
        <f>'Outils de calculs'!AA31</f>
        <v>3.5</v>
      </c>
      <c r="AB41" s="372">
        <f>IF($C41="","",AA41*VLOOKUP($C41,CHANTIER!$A$2:$D$83,4,0))</f>
        <v>0.70000000000000007</v>
      </c>
      <c r="AC41" s="364">
        <f>'Outils de calculs'!AC31</f>
        <v>4</v>
      </c>
      <c r="AD41" s="372">
        <f>IF($C41="","",AC41*VLOOKUP($C41,CHANTIER!$A$2:$D$83,4,0))</f>
        <v>0.8</v>
      </c>
      <c r="AE41" s="364">
        <f>'Outils de calculs'!AE31</f>
        <v>4</v>
      </c>
      <c r="AF41" s="372">
        <f>IF($C41="","",AE41*VLOOKUP($C41,CHANTIER!$A$2:$D$83,4,0))</f>
        <v>0.8</v>
      </c>
      <c r="AG41" s="364">
        <f>'Outils de calculs'!AG31</f>
        <v>4.5</v>
      </c>
      <c r="AH41" s="372">
        <f>IF($C41="","",AG41*VLOOKUP($C41,CHANTIER!$A$2:$D$83,4,0))</f>
        <v>0.9</v>
      </c>
      <c r="AI41" s="364">
        <f>'Outils de calculs'!AI31</f>
        <v>4</v>
      </c>
      <c r="AJ41" s="372">
        <f>IF($C41="","",AI41*VLOOKUP($C41,CHANTIER!$A$2:$D$83,4,0))</f>
        <v>0.8</v>
      </c>
      <c r="AK41" s="364">
        <f>'Outils de calculs'!AK31</f>
        <v>4</v>
      </c>
      <c r="AL41" s="372">
        <f>IF($C41="","",AK41*VLOOKUP($C41,CHANTIER!$A$2:$D$83,4,0))</f>
        <v>0.8</v>
      </c>
      <c r="AM41" s="364">
        <f>'Outils de calculs'!AM31</f>
        <v>5</v>
      </c>
      <c r="AN41" s="372">
        <f>IF($C41="","",AM41*VLOOKUP($C41,CHANTIER!$A$2:$D$83,4,0))</f>
        <v>1</v>
      </c>
      <c r="AO41" s="224"/>
      <c r="AP41" s="530" t="str">
        <f>IFERROR(IF(VLOOKUP(C41,MATIERES!$A$2:$D$390,3,0)="SASKIT",C41,""),"")</f>
        <v/>
      </c>
      <c r="AQ41" s="224"/>
      <c r="AR41" s="224"/>
      <c r="AS41" s="224"/>
    </row>
    <row r="42" spans="1:45" ht="15" customHeight="1" x14ac:dyDescent="0.2">
      <c r="A42" s="1554"/>
      <c r="B42" s="361" t="s">
        <v>1159</v>
      </c>
      <c r="C42" s="1403" t="s">
        <v>983</v>
      </c>
      <c r="D42" s="363" t="str">
        <f>IF(C42="","",VLOOKUP($C42,CHANTIER!$A$2:$C$83,3,0))</f>
        <v>m3</v>
      </c>
      <c r="E42" s="364">
        <f>'Outils de calculs'!E25*0.6</f>
        <v>2.4</v>
      </c>
      <c r="F42" s="372">
        <f>IF($C42="","",E42*VLOOKUP($C42,CHANTIER!$A$2:$D$83,4,0))</f>
        <v>0.6</v>
      </c>
      <c r="G42" s="364">
        <f>'Outils de calculs'!G25*0.6</f>
        <v>3.5999999999999996</v>
      </c>
      <c r="H42" s="372">
        <f>IF($C42="","",G42*VLOOKUP($C42,CHANTIER!$A$2:$D$83,4,0))</f>
        <v>0.89999999999999991</v>
      </c>
      <c r="I42" s="364">
        <f>'Outils de calculs'!I25*0.6</f>
        <v>4.8</v>
      </c>
      <c r="J42" s="372">
        <f>IF($C42="","",I42*VLOOKUP($C42,CHANTIER!$A$2:$D$83,4,0))</f>
        <v>1.2</v>
      </c>
      <c r="K42" s="364">
        <f>'Outils de calculs'!K25*0.6</f>
        <v>6</v>
      </c>
      <c r="L42" s="372">
        <f>IF($C42="","",K42*VLOOKUP($C42,CHANTIER!$A$2:$D$83,4,0))</f>
        <v>1.5</v>
      </c>
      <c r="M42" s="364">
        <f>'Outils de calculs'!M25*0.6</f>
        <v>7.1999999999999993</v>
      </c>
      <c r="N42" s="372">
        <f>IF($C42="","",M42*VLOOKUP($C42,CHANTIER!$A$2:$D$83,4,0))</f>
        <v>1.7999999999999998</v>
      </c>
      <c r="O42" s="364">
        <f>'Outils de calculs'!O25*0.6</f>
        <v>8.4</v>
      </c>
      <c r="P42" s="372">
        <f>IF($C42="","",O42*VLOOKUP($C42,CHANTIER!$A$2:$D$83,4,0))</f>
        <v>2.1</v>
      </c>
      <c r="Q42" s="364">
        <f>'Outils de calculs'!Q25*0.6</f>
        <v>9.6</v>
      </c>
      <c r="R42" s="372">
        <f>IF($C42="","",Q42*VLOOKUP($C42,CHANTIER!$A$2:$D$83,4,0))</f>
        <v>2.4</v>
      </c>
      <c r="S42" s="364">
        <f>'Outils de calculs'!S25*0.6</f>
        <v>10.799999999999999</v>
      </c>
      <c r="T42" s="372">
        <f>IF($C42="","",S42*VLOOKUP($C42,CHANTIER!$A$2:$D$83,4,0))</f>
        <v>2.6999999999999997</v>
      </c>
      <c r="U42" s="364">
        <f>'Outils de calculs'!U25*0.6</f>
        <v>12</v>
      </c>
      <c r="V42" s="372">
        <f>IF($C42="","",U42*VLOOKUP($C42,CHANTIER!$A$2:$D$83,4,0))</f>
        <v>3</v>
      </c>
      <c r="W42" s="364">
        <f>'Outils de calculs'!W25*0.6</f>
        <v>14.399999999999999</v>
      </c>
      <c r="X42" s="372">
        <f>IF($C42="","",W42*VLOOKUP($C42,CHANTIER!$A$2:$D$83,4,0))</f>
        <v>3.5999999999999996</v>
      </c>
      <c r="Y42" s="364">
        <f>'Outils de calculs'!Y25*0.6</f>
        <v>14.399999999999999</v>
      </c>
      <c r="Z42" s="372">
        <f>IF($C42="","",Y42*VLOOKUP($C42,CHANTIER!$A$2:$D$83,4,0))</f>
        <v>3.5999999999999996</v>
      </c>
      <c r="AA42" s="364">
        <f>'Outils de calculs'!AA25*0.6</f>
        <v>16.8</v>
      </c>
      <c r="AB42" s="372">
        <f>IF($C42="","",AA42*VLOOKUP($C42,CHANTIER!$A$2:$D$83,4,0))</f>
        <v>4.2</v>
      </c>
      <c r="AC42" s="364">
        <f>'Outils de calculs'!AC25*0.6</f>
        <v>16.8</v>
      </c>
      <c r="AD42" s="372">
        <f>IF($C42="","",AC42*VLOOKUP($C42,CHANTIER!$A$2:$D$83,4,0))</f>
        <v>4.2</v>
      </c>
      <c r="AE42" s="364">
        <f>'Outils de calculs'!AE25*0.6</f>
        <v>19.2</v>
      </c>
      <c r="AF42" s="372">
        <f>IF($C42="","",AE42*VLOOKUP($C42,CHANTIER!$A$2:$D$83,4,0))</f>
        <v>4.8</v>
      </c>
      <c r="AG42" s="364">
        <f>'Outils de calculs'!AG25*0.6</f>
        <v>21.599999999999998</v>
      </c>
      <c r="AH42" s="372">
        <f>IF($C42="","",AG42*VLOOKUP($C42,CHANTIER!$A$2:$D$83,4,0))</f>
        <v>5.3999999999999995</v>
      </c>
      <c r="AI42" s="364">
        <f>'Outils de calculs'!AI25*0.6</f>
        <v>21.599999999999998</v>
      </c>
      <c r="AJ42" s="372">
        <f>IF($C42="","",AI42*VLOOKUP($C42,CHANTIER!$A$2:$D$83,4,0))</f>
        <v>5.3999999999999995</v>
      </c>
      <c r="AK42" s="364">
        <f>'Outils de calculs'!AK25*0.6</f>
        <v>24</v>
      </c>
      <c r="AL42" s="372">
        <f>IF($C42="","",AK42*VLOOKUP($C42,CHANTIER!$A$2:$D$83,4,0))</f>
        <v>6</v>
      </c>
      <c r="AM42" s="364">
        <f>'Outils de calculs'!AM25*0.6</f>
        <v>24</v>
      </c>
      <c r="AN42" s="372">
        <f>IF($C42="","",AM42*VLOOKUP($C42,CHANTIER!$A$2:$D$83,4,0))</f>
        <v>6</v>
      </c>
      <c r="AO42" s="224"/>
      <c r="AP42" s="530" t="str">
        <f>IFERROR(IF(VLOOKUP(C42,MATIERES!$A$2:$D$390,3,0)="SASKIT",C42,""),"")</f>
        <v/>
      </c>
      <c r="AQ42" s="224"/>
      <c r="AR42" s="224"/>
      <c r="AS42" s="224"/>
    </row>
    <row r="43" spans="1:45" ht="15" customHeight="1" x14ac:dyDescent="0.2">
      <c r="A43" s="1554"/>
      <c r="B43" s="361" t="s">
        <v>1159</v>
      </c>
      <c r="C43" s="1402" t="s">
        <v>1212</v>
      </c>
      <c r="D43" s="363" t="str">
        <f>IF(C43="","",VLOOKUP($C43,CHANTIER!$A$2:$C$83,3,0))</f>
        <v>forfait</v>
      </c>
      <c r="E43" s="364">
        <f>1</f>
        <v>1</v>
      </c>
      <c r="F43" s="372">
        <f>IF($C43="","",E43*VLOOKUP($C43,CHANTIER!$A$2:$D$83,4,0))</f>
        <v>0.1</v>
      </c>
      <c r="G43" s="364">
        <f>1</f>
        <v>1</v>
      </c>
      <c r="H43" s="372">
        <f>IF($C43="","",G43*VLOOKUP($C43,CHANTIER!$A$2:$D$83,4,0))</f>
        <v>0.1</v>
      </c>
      <c r="I43" s="364">
        <f>1</f>
        <v>1</v>
      </c>
      <c r="J43" s="372">
        <f>IF($C43="","",I43*VLOOKUP($C43,CHANTIER!$A$2:$D$83,4,0))</f>
        <v>0.1</v>
      </c>
      <c r="K43" s="364">
        <f>1</f>
        <v>1</v>
      </c>
      <c r="L43" s="372">
        <f>IF($C43="","",K43*VLOOKUP($C43,CHANTIER!$A$2:$D$83,4,0))</f>
        <v>0.1</v>
      </c>
      <c r="M43" s="364">
        <f>1</f>
        <v>1</v>
      </c>
      <c r="N43" s="372">
        <f>IF($C43="","",M43*VLOOKUP($C43,CHANTIER!$A$2:$D$83,4,0))</f>
        <v>0.1</v>
      </c>
      <c r="O43" s="364">
        <f>1</f>
        <v>1</v>
      </c>
      <c r="P43" s="372">
        <f>IF($C43="","",O43*VLOOKUP($C43,CHANTIER!$A$2:$D$83,4,0))</f>
        <v>0.1</v>
      </c>
      <c r="Q43" s="364">
        <f>1</f>
        <v>1</v>
      </c>
      <c r="R43" s="372">
        <f>IF($C43="","",Q43*VLOOKUP($C43,CHANTIER!$A$2:$D$83,4,0))</f>
        <v>0.1</v>
      </c>
      <c r="S43" s="364">
        <f>1</f>
        <v>1</v>
      </c>
      <c r="T43" s="372">
        <f>IF($C43="","",S43*VLOOKUP($C43,CHANTIER!$A$2:$D$83,4,0))</f>
        <v>0.1</v>
      </c>
      <c r="U43" s="364">
        <f>1</f>
        <v>1</v>
      </c>
      <c r="V43" s="372">
        <f>IF($C43="","",U43*VLOOKUP($C43,CHANTIER!$A$2:$D$83,4,0))</f>
        <v>0.1</v>
      </c>
      <c r="W43" s="364">
        <f>1</f>
        <v>1</v>
      </c>
      <c r="X43" s="372">
        <f>IF($C43="","",W43*VLOOKUP($C43,CHANTIER!$A$2:$D$83,4,0))</f>
        <v>0.1</v>
      </c>
      <c r="Y43" s="364">
        <f>1</f>
        <v>1</v>
      </c>
      <c r="Z43" s="372">
        <f>IF($C43="","",Y43*VLOOKUP($C43,CHANTIER!$A$2:$D$83,4,0))</f>
        <v>0.1</v>
      </c>
      <c r="AA43" s="364">
        <f>1</f>
        <v>1</v>
      </c>
      <c r="AB43" s="372">
        <f>IF($C43="","",AA43*VLOOKUP($C43,CHANTIER!$A$2:$D$83,4,0))</f>
        <v>0.1</v>
      </c>
      <c r="AC43" s="364">
        <f>1</f>
        <v>1</v>
      </c>
      <c r="AD43" s="372">
        <f>IF($C43="","",AC43*VLOOKUP($C43,CHANTIER!$A$2:$D$83,4,0))</f>
        <v>0.1</v>
      </c>
      <c r="AE43" s="364">
        <f>1</f>
        <v>1</v>
      </c>
      <c r="AF43" s="372">
        <f>IF($C43="","",AE43*VLOOKUP($C43,CHANTIER!$A$2:$D$83,4,0))</f>
        <v>0.1</v>
      </c>
      <c r="AG43" s="364">
        <f>1</f>
        <v>1</v>
      </c>
      <c r="AH43" s="372">
        <f>IF($C43="","",AG43*VLOOKUP($C43,CHANTIER!$A$2:$D$83,4,0))</f>
        <v>0.1</v>
      </c>
      <c r="AI43" s="364">
        <f>1</f>
        <v>1</v>
      </c>
      <c r="AJ43" s="372">
        <f>IF($C43="","",AI43*VLOOKUP($C43,CHANTIER!$A$2:$D$83,4,0))</f>
        <v>0.1</v>
      </c>
      <c r="AK43" s="364">
        <f>1</f>
        <v>1</v>
      </c>
      <c r="AL43" s="372">
        <f>IF($C43="","",AK43*VLOOKUP($C43,CHANTIER!$A$2:$D$83,4,0))</f>
        <v>0.1</v>
      </c>
      <c r="AM43" s="364">
        <f>1</f>
        <v>1</v>
      </c>
      <c r="AN43" s="372">
        <f>IF($C43="","",AM43*VLOOKUP($C43,CHANTIER!$A$2:$D$83,4,0))</f>
        <v>0.1</v>
      </c>
      <c r="AO43" s="224"/>
      <c r="AP43" s="530" t="str">
        <f>IFERROR(IF(VLOOKUP(C43,MATIERES!$A$2:$D$390,3,0)="SASKIT",C43,""),"")</f>
        <v/>
      </c>
      <c r="AQ43" s="224"/>
      <c r="AR43" s="224"/>
      <c r="AS43" s="224"/>
    </row>
    <row r="44" spans="1:45" ht="15" customHeight="1" x14ac:dyDescent="0.2">
      <c r="A44" s="1554"/>
      <c r="B44" s="361" t="s">
        <v>1159</v>
      </c>
      <c r="C44" s="1403" t="s">
        <v>370</v>
      </c>
      <c r="D44" s="363" t="str">
        <f>IF(C44="","",VLOOKUP($C44,CHANTIER!$A$2:$C$83,3,0))</f>
        <v>m²</v>
      </c>
      <c r="E44" s="364">
        <f>'Outils de calculs'!E25</f>
        <v>4</v>
      </c>
      <c r="F44" s="372">
        <f>IF($C44="","",E44*VLOOKUP($C44,CHANTIER!$A$2:$D$83,4,0))</f>
        <v>0.2</v>
      </c>
      <c r="G44" s="364">
        <f>'Outils de calculs'!G25</f>
        <v>6</v>
      </c>
      <c r="H44" s="372">
        <f>IF($C44="","",G44*VLOOKUP($C44,CHANTIER!$A$2:$D$83,4,0))</f>
        <v>0.30000000000000004</v>
      </c>
      <c r="I44" s="364">
        <f>'Outils de calculs'!I25</f>
        <v>8</v>
      </c>
      <c r="J44" s="372">
        <f>IF($C44="","",I44*VLOOKUP($C44,CHANTIER!$A$2:$D$83,4,0))</f>
        <v>0.4</v>
      </c>
      <c r="K44" s="364">
        <f>'Outils de calculs'!K25</f>
        <v>10</v>
      </c>
      <c r="L44" s="372">
        <f>IF($C44="","",K44*VLOOKUP($C44,CHANTIER!$A$2:$D$83,4,0))</f>
        <v>0.5</v>
      </c>
      <c r="M44" s="364">
        <f>'Outils de calculs'!M25</f>
        <v>12</v>
      </c>
      <c r="N44" s="372">
        <f>IF($C44="","",M44*VLOOKUP($C44,CHANTIER!$A$2:$D$83,4,0))</f>
        <v>0.60000000000000009</v>
      </c>
      <c r="O44" s="364">
        <f>'Outils de calculs'!O25</f>
        <v>14</v>
      </c>
      <c r="P44" s="372">
        <f>IF($C44="","",O44*VLOOKUP($C44,CHANTIER!$A$2:$D$83,4,0))</f>
        <v>0.70000000000000007</v>
      </c>
      <c r="Q44" s="364">
        <f>'Outils de calculs'!Q25</f>
        <v>16</v>
      </c>
      <c r="R44" s="372">
        <f>IF($C44="","",Q44*VLOOKUP($C44,CHANTIER!$A$2:$D$83,4,0))</f>
        <v>0.8</v>
      </c>
      <c r="S44" s="364">
        <f>'Outils de calculs'!S25</f>
        <v>18</v>
      </c>
      <c r="T44" s="372">
        <f>IF($C44="","",S44*VLOOKUP($C44,CHANTIER!$A$2:$D$83,4,0))</f>
        <v>0.9</v>
      </c>
      <c r="U44" s="364">
        <f>'Outils de calculs'!U25</f>
        <v>20</v>
      </c>
      <c r="V44" s="372">
        <f>IF($C44="","",U44*VLOOKUP($C44,CHANTIER!$A$2:$D$83,4,0))</f>
        <v>1</v>
      </c>
      <c r="W44" s="364">
        <f>'Outils de calculs'!W25</f>
        <v>24</v>
      </c>
      <c r="X44" s="372">
        <f>IF($C44="","",W44*VLOOKUP($C44,CHANTIER!$A$2:$D$83,4,0))</f>
        <v>1.2000000000000002</v>
      </c>
      <c r="Y44" s="364">
        <f>'Outils de calculs'!Y25</f>
        <v>24</v>
      </c>
      <c r="Z44" s="372">
        <f>IF($C44="","",Y44*VLOOKUP($C44,CHANTIER!$A$2:$D$83,4,0))</f>
        <v>1.2000000000000002</v>
      </c>
      <c r="AA44" s="364">
        <f>'Outils de calculs'!AA25</f>
        <v>28</v>
      </c>
      <c r="AB44" s="372">
        <f>IF($C44="","",AA44*VLOOKUP($C44,CHANTIER!$A$2:$D$83,4,0))</f>
        <v>1.4000000000000001</v>
      </c>
      <c r="AC44" s="364">
        <f>'Outils de calculs'!AC25</f>
        <v>28</v>
      </c>
      <c r="AD44" s="372">
        <f>IF($C44="","",AC44*VLOOKUP($C44,CHANTIER!$A$2:$D$83,4,0))</f>
        <v>1.4000000000000001</v>
      </c>
      <c r="AE44" s="364">
        <f>'Outils de calculs'!AE25</f>
        <v>32</v>
      </c>
      <c r="AF44" s="372">
        <f>IF($C44="","",AE44*VLOOKUP($C44,CHANTIER!$A$2:$D$83,4,0))</f>
        <v>1.6</v>
      </c>
      <c r="AG44" s="364">
        <f>'Outils de calculs'!AG25</f>
        <v>36</v>
      </c>
      <c r="AH44" s="372">
        <f>IF($C44="","",AG44*VLOOKUP($C44,CHANTIER!$A$2:$D$83,4,0))</f>
        <v>1.8</v>
      </c>
      <c r="AI44" s="364">
        <f>'Outils de calculs'!AI25</f>
        <v>36</v>
      </c>
      <c r="AJ44" s="372">
        <f>IF($C44="","",AI44*VLOOKUP($C44,CHANTIER!$A$2:$D$83,4,0))</f>
        <v>1.8</v>
      </c>
      <c r="AK44" s="364">
        <f>'Outils de calculs'!AK25</f>
        <v>40</v>
      </c>
      <c r="AL44" s="372">
        <f>IF($C44="","",AK44*VLOOKUP($C44,CHANTIER!$A$2:$D$83,4,0))</f>
        <v>2</v>
      </c>
      <c r="AM44" s="364">
        <f>'Outils de calculs'!AM25</f>
        <v>40</v>
      </c>
      <c r="AN44" s="372">
        <f>IF($C44="","",AM44*VLOOKUP($C44,CHANTIER!$A$2:$D$83,4,0))</f>
        <v>2</v>
      </c>
      <c r="AO44" s="224"/>
      <c r="AP44" s="530" t="str">
        <f>IFERROR(IF(VLOOKUP(C44,MATIERES!$A$2:$D$390,3,0)="SASKIT",C44,""),"")</f>
        <v/>
      </c>
      <c r="AQ44" s="224"/>
      <c r="AR44" s="224"/>
      <c r="AS44" s="224"/>
    </row>
    <row r="45" spans="1:45" ht="15" customHeight="1" x14ac:dyDescent="0.2">
      <c r="A45" s="1554"/>
      <c r="B45" s="361" t="s">
        <v>1159</v>
      </c>
      <c r="C45" s="1403" t="s">
        <v>373</v>
      </c>
      <c r="D45" s="363" t="str">
        <f>IF(C45="","",VLOOKUP($C45,CHANTIER!$A$2:$C$83,3,0))</f>
        <v>m²</v>
      </c>
      <c r="E45" s="364">
        <f>'Outils de calculs'!E25</f>
        <v>4</v>
      </c>
      <c r="F45" s="372">
        <f>IF($C45="","",E45*VLOOKUP($C45,CHANTIER!$A$2:$D$83,4,0))</f>
        <v>0.2</v>
      </c>
      <c r="G45" s="364">
        <f>'Outils de calculs'!G25</f>
        <v>6</v>
      </c>
      <c r="H45" s="372">
        <f>IF($C45="","",G45*VLOOKUP($C45,CHANTIER!$A$2:$D$83,4,0))</f>
        <v>0.30000000000000004</v>
      </c>
      <c r="I45" s="364">
        <f>'Outils de calculs'!I25</f>
        <v>8</v>
      </c>
      <c r="J45" s="372">
        <f>IF($C45="","",I45*VLOOKUP($C45,CHANTIER!$A$2:$D$83,4,0))</f>
        <v>0.4</v>
      </c>
      <c r="K45" s="364">
        <f>'Outils de calculs'!K25</f>
        <v>10</v>
      </c>
      <c r="L45" s="372">
        <f>IF($C45="","",K45*VLOOKUP($C45,CHANTIER!$A$2:$D$83,4,0))</f>
        <v>0.5</v>
      </c>
      <c r="M45" s="364">
        <f>'Outils de calculs'!M25</f>
        <v>12</v>
      </c>
      <c r="N45" s="372">
        <f>IF($C45="","",M45*VLOOKUP($C45,CHANTIER!$A$2:$D$83,4,0))</f>
        <v>0.60000000000000009</v>
      </c>
      <c r="O45" s="364">
        <f>'Outils de calculs'!O25</f>
        <v>14</v>
      </c>
      <c r="P45" s="372">
        <f>IF($C45="","",O45*VLOOKUP($C45,CHANTIER!$A$2:$D$83,4,0))</f>
        <v>0.70000000000000007</v>
      </c>
      <c r="Q45" s="364">
        <f>'Outils de calculs'!Q25</f>
        <v>16</v>
      </c>
      <c r="R45" s="372">
        <f>IF($C45="","",Q45*VLOOKUP($C45,CHANTIER!$A$2:$D$83,4,0))</f>
        <v>0.8</v>
      </c>
      <c r="S45" s="364">
        <f>'Outils de calculs'!S25</f>
        <v>18</v>
      </c>
      <c r="T45" s="372">
        <f>IF($C45="","",S45*VLOOKUP($C45,CHANTIER!$A$2:$D$83,4,0))</f>
        <v>0.9</v>
      </c>
      <c r="U45" s="364">
        <f>'Outils de calculs'!U25</f>
        <v>20</v>
      </c>
      <c r="V45" s="372">
        <f>IF($C45="","",U45*VLOOKUP($C45,CHANTIER!$A$2:$D$83,4,0))</f>
        <v>1</v>
      </c>
      <c r="W45" s="364">
        <f>'Outils de calculs'!W25</f>
        <v>24</v>
      </c>
      <c r="X45" s="372">
        <f>IF($C45="","",W45*VLOOKUP($C45,CHANTIER!$A$2:$D$83,4,0))</f>
        <v>1.2000000000000002</v>
      </c>
      <c r="Y45" s="364">
        <f>'Outils de calculs'!Y25</f>
        <v>24</v>
      </c>
      <c r="Z45" s="372">
        <f>IF($C45="","",Y45*VLOOKUP($C45,CHANTIER!$A$2:$D$83,4,0))</f>
        <v>1.2000000000000002</v>
      </c>
      <c r="AA45" s="364">
        <f>'Outils de calculs'!AA25</f>
        <v>28</v>
      </c>
      <c r="AB45" s="372">
        <f>IF($C45="","",AA45*VLOOKUP($C45,CHANTIER!$A$2:$D$83,4,0))</f>
        <v>1.4000000000000001</v>
      </c>
      <c r="AC45" s="364">
        <f>'Outils de calculs'!AC25</f>
        <v>28</v>
      </c>
      <c r="AD45" s="372">
        <f>IF($C45="","",AC45*VLOOKUP($C45,CHANTIER!$A$2:$D$83,4,0))</f>
        <v>1.4000000000000001</v>
      </c>
      <c r="AE45" s="364">
        <f>'Outils de calculs'!AE25</f>
        <v>32</v>
      </c>
      <c r="AF45" s="372">
        <f>IF($C45="","",AE45*VLOOKUP($C45,CHANTIER!$A$2:$D$83,4,0))</f>
        <v>1.6</v>
      </c>
      <c r="AG45" s="364">
        <f>'Outils de calculs'!AG25</f>
        <v>36</v>
      </c>
      <c r="AH45" s="372">
        <f>IF($C45="","",AG45*VLOOKUP($C45,CHANTIER!$A$2:$D$83,4,0))</f>
        <v>1.8</v>
      </c>
      <c r="AI45" s="364">
        <f>'Outils de calculs'!AI25</f>
        <v>36</v>
      </c>
      <c r="AJ45" s="372">
        <f>IF($C45="","",AI45*VLOOKUP($C45,CHANTIER!$A$2:$D$83,4,0))</f>
        <v>1.8</v>
      </c>
      <c r="AK45" s="364">
        <f>'Outils de calculs'!AK25</f>
        <v>40</v>
      </c>
      <c r="AL45" s="372">
        <f>IF($C45="","",AK45*VLOOKUP($C45,CHANTIER!$A$2:$D$83,4,0))</f>
        <v>2</v>
      </c>
      <c r="AM45" s="364">
        <f>'Outils de calculs'!AM25</f>
        <v>40</v>
      </c>
      <c r="AN45" s="372">
        <f>IF($C45="","",AM45*VLOOKUP($C45,CHANTIER!$A$2:$D$83,4,0))</f>
        <v>2</v>
      </c>
      <c r="AO45" s="225"/>
      <c r="AP45" s="530" t="str">
        <f>IFERROR(IF(VLOOKUP(C45,MATIERES!$A$2:$D$390,3,0)="SASKIT",C45,""),"")</f>
        <v/>
      </c>
      <c r="AQ45" s="529"/>
      <c r="AR45" s="529"/>
      <c r="AS45" s="226"/>
    </row>
    <row r="46" spans="1:45" ht="15" customHeight="1" x14ac:dyDescent="0.2">
      <c r="A46" s="1554"/>
      <c r="B46" s="361" t="s">
        <v>1159</v>
      </c>
      <c r="C46" s="1403" t="s">
        <v>1235</v>
      </c>
      <c r="D46" s="363" t="str">
        <f>IF(C46="","",VLOOKUP($C46,CHANTIER!$A$2:$C$83,3,0))</f>
        <v>ml</v>
      </c>
      <c r="E46" s="364">
        <f>'Outils de calculs'!E32</f>
        <v>2.5</v>
      </c>
      <c r="F46" s="372">
        <f>IF($C46="","",E46*VLOOKUP($C46,CHANTIER!$A$2:$D$83,4,0))</f>
        <v>3.7499999999999999E-2</v>
      </c>
      <c r="G46" s="364">
        <f>'Outils de calculs'!G32</f>
        <v>3</v>
      </c>
      <c r="H46" s="372">
        <f>IF($C46="","",G46*VLOOKUP($C46,CHANTIER!$A$2:$D$83,4,0))</f>
        <v>4.4999999999999998E-2</v>
      </c>
      <c r="I46" s="364">
        <f>'Outils de calculs'!I32</f>
        <v>4</v>
      </c>
      <c r="J46" s="372">
        <f>IF($C46="","",I46*VLOOKUP($C46,CHANTIER!$A$2:$D$83,4,0))</f>
        <v>0.06</v>
      </c>
      <c r="K46" s="364">
        <f>'Outils de calculs'!K32</f>
        <v>4</v>
      </c>
      <c r="L46" s="372">
        <f>IF($C46="","",K46*VLOOKUP($C46,CHANTIER!$A$2:$D$83,4,0))</f>
        <v>0.06</v>
      </c>
      <c r="M46" s="364">
        <f>'Outils de calculs'!M32</f>
        <v>4</v>
      </c>
      <c r="N46" s="372">
        <f>IF($C46="","",M46*VLOOKUP($C46,CHANTIER!$A$2:$D$83,4,0))</f>
        <v>0.06</v>
      </c>
      <c r="O46" s="364">
        <f>'Outils de calculs'!O32</f>
        <v>4</v>
      </c>
      <c r="P46" s="372">
        <f>IF($C46="","",O46*VLOOKUP($C46,CHANTIER!$A$2:$D$83,4,0))</f>
        <v>0.06</v>
      </c>
      <c r="Q46" s="364">
        <f>'Outils de calculs'!Q32</f>
        <v>4</v>
      </c>
      <c r="R46" s="372">
        <f>IF($C46="","",Q46*VLOOKUP($C46,CHANTIER!$A$2:$D$83,4,0))</f>
        <v>0.06</v>
      </c>
      <c r="S46" s="364">
        <f>'Outils de calculs'!S32</f>
        <v>4.5</v>
      </c>
      <c r="T46" s="372">
        <f>IF($C46="","",S46*VLOOKUP($C46,CHANTIER!$A$2:$D$83,4,0))</f>
        <v>6.7500000000000004E-2</v>
      </c>
      <c r="U46" s="364">
        <f>'Outils de calculs'!U32</f>
        <v>5</v>
      </c>
      <c r="V46" s="372">
        <f>IF($C46="","",U46*VLOOKUP($C46,CHANTIER!$A$2:$D$83,4,0))</f>
        <v>7.4999999999999997E-2</v>
      </c>
      <c r="W46" s="364">
        <f>'Outils de calculs'!W32</f>
        <v>6</v>
      </c>
      <c r="X46" s="372">
        <f>IF($C46="","",W46*VLOOKUP($C46,CHANTIER!$A$2:$D$83,4,0))</f>
        <v>0.09</v>
      </c>
      <c r="Y46" s="364">
        <f>'Outils de calculs'!Y32</f>
        <v>8</v>
      </c>
      <c r="Z46" s="372">
        <f>IF($C46="","",Y46*VLOOKUP($C46,CHANTIER!$A$2:$D$83,4,0))</f>
        <v>0.12</v>
      </c>
      <c r="AA46" s="364">
        <f>'Outils de calculs'!AA32</f>
        <v>8</v>
      </c>
      <c r="AB46" s="372">
        <f>IF($C46="","",AA46*VLOOKUP($C46,CHANTIER!$A$2:$D$83,4,0))</f>
        <v>0.12</v>
      </c>
      <c r="AC46" s="364">
        <f>'Outils de calculs'!AC32</f>
        <v>7</v>
      </c>
      <c r="AD46" s="372">
        <f>IF($C46="","",AC46*VLOOKUP($C46,CHANTIER!$A$2:$D$83,4,0))</f>
        <v>0.105</v>
      </c>
      <c r="AE46" s="364">
        <f>'Outils de calculs'!AE32</f>
        <v>8</v>
      </c>
      <c r="AF46" s="372">
        <f>IF($C46="","",AE46*VLOOKUP($C46,CHANTIER!$A$2:$D$83,4,0))</f>
        <v>0.12</v>
      </c>
      <c r="AG46" s="364">
        <f>'Outils de calculs'!AG32</f>
        <v>8</v>
      </c>
      <c r="AH46" s="372">
        <f>IF($C46="","",AG46*VLOOKUP($C46,CHANTIER!$A$2:$D$83,4,0))</f>
        <v>0.12</v>
      </c>
      <c r="AI46" s="364">
        <f>'Outils de calculs'!AI32</f>
        <v>9</v>
      </c>
      <c r="AJ46" s="372">
        <f>IF($C46="","",AI46*VLOOKUP($C46,CHANTIER!$A$2:$D$83,4,0))</f>
        <v>0.13500000000000001</v>
      </c>
      <c r="AK46" s="364">
        <f>'Outils de calculs'!AK32</f>
        <v>10</v>
      </c>
      <c r="AL46" s="372">
        <f>IF($C46="","",AK46*VLOOKUP($C46,CHANTIER!$A$2:$D$83,4,0))</f>
        <v>0.15</v>
      </c>
      <c r="AM46" s="364">
        <f>'Outils de calculs'!AM32</f>
        <v>8</v>
      </c>
      <c r="AN46" s="372">
        <f>IF($C46="","",AM46*VLOOKUP($C46,CHANTIER!$A$2:$D$83,4,0))</f>
        <v>0.12</v>
      </c>
      <c r="AO46" s="135"/>
      <c r="AP46" s="135"/>
      <c r="AQ46" s="135"/>
      <c r="AR46" s="135"/>
      <c r="AS46" s="135"/>
    </row>
    <row r="47" spans="1:45" ht="15" customHeight="1" x14ac:dyDescent="0.2">
      <c r="A47" s="1554"/>
      <c r="B47" s="361" t="s">
        <v>1159</v>
      </c>
      <c r="C47" s="1402" t="s">
        <v>1227</v>
      </c>
      <c r="D47" s="363" t="str">
        <f>IF(C47="","",VLOOKUP($C47,CHANTIER!$A$2:$C$83,3,0))</f>
        <v>pc</v>
      </c>
      <c r="E47" s="364">
        <f>1</f>
        <v>1</v>
      </c>
      <c r="F47" s="372">
        <f>IF($C47="","",E47*VLOOKUP($C47,CHANTIER!$A$2:$D$83,4,0))</f>
        <v>0.25</v>
      </c>
      <c r="G47" s="364">
        <f>1</f>
        <v>1</v>
      </c>
      <c r="H47" s="372">
        <f>IF($C47="","",G47*VLOOKUP($C47,CHANTIER!$A$2:$D$83,4,0))</f>
        <v>0.25</v>
      </c>
      <c r="I47" s="364">
        <f>1</f>
        <v>1</v>
      </c>
      <c r="J47" s="372">
        <f>IF($C47="","",I47*VLOOKUP($C47,CHANTIER!$A$2:$D$83,4,0))</f>
        <v>0.25</v>
      </c>
      <c r="K47" s="364">
        <f>1</f>
        <v>1</v>
      </c>
      <c r="L47" s="372">
        <f>IF($C47="","",K47*VLOOKUP($C47,CHANTIER!$A$2:$D$83,4,0))</f>
        <v>0.25</v>
      </c>
      <c r="M47" s="364">
        <f>1</f>
        <v>1</v>
      </c>
      <c r="N47" s="372">
        <f>IF($C47="","",M47*VLOOKUP($C47,CHANTIER!$A$2:$D$83,4,0))</f>
        <v>0.25</v>
      </c>
      <c r="O47" s="364">
        <f>1</f>
        <v>1</v>
      </c>
      <c r="P47" s="372">
        <f>IF($C47="","",O47*VLOOKUP($C47,CHANTIER!$A$2:$D$83,4,0))</f>
        <v>0.25</v>
      </c>
      <c r="Q47" s="364">
        <f>1</f>
        <v>1</v>
      </c>
      <c r="R47" s="372">
        <f>IF($C47="","",Q47*VLOOKUP($C47,CHANTIER!$A$2:$D$83,4,0))</f>
        <v>0.25</v>
      </c>
      <c r="S47" s="364">
        <f>1</f>
        <v>1</v>
      </c>
      <c r="T47" s="372">
        <f>IF($C47="","",S47*VLOOKUP($C47,CHANTIER!$A$2:$D$83,4,0))</f>
        <v>0.25</v>
      </c>
      <c r="U47" s="364">
        <f>1</f>
        <v>1</v>
      </c>
      <c r="V47" s="372">
        <f>IF($C47="","",U47*VLOOKUP($C47,CHANTIER!$A$2:$D$83,4,0))</f>
        <v>0.25</v>
      </c>
      <c r="W47" s="364">
        <f>1</f>
        <v>1</v>
      </c>
      <c r="X47" s="372">
        <f>IF($C47="","",W47*VLOOKUP($C47,CHANTIER!$A$2:$D$83,4,0))</f>
        <v>0.25</v>
      </c>
      <c r="Y47" s="364">
        <f>1</f>
        <v>1</v>
      </c>
      <c r="Z47" s="372">
        <f>IF($C47="","",Y47*VLOOKUP($C47,CHANTIER!$A$2:$D$83,4,0))</f>
        <v>0.25</v>
      </c>
      <c r="AA47" s="364">
        <f>1</f>
        <v>1</v>
      </c>
      <c r="AB47" s="372">
        <f>IF($C47="","",AA47*VLOOKUP($C47,CHANTIER!$A$2:$D$83,4,0))</f>
        <v>0.25</v>
      </c>
      <c r="AC47" s="364">
        <f>1</f>
        <v>1</v>
      </c>
      <c r="AD47" s="372">
        <f>IF($C47="","",AC47*VLOOKUP($C47,CHANTIER!$A$2:$D$83,4,0))</f>
        <v>0.25</v>
      </c>
      <c r="AE47" s="364">
        <f>1</f>
        <v>1</v>
      </c>
      <c r="AF47" s="372">
        <f>IF($C47="","",AE47*VLOOKUP($C47,CHANTIER!$A$2:$D$83,4,0))</f>
        <v>0.25</v>
      </c>
      <c r="AG47" s="364">
        <f>1</f>
        <v>1</v>
      </c>
      <c r="AH47" s="372">
        <f>IF($C47="","",AG47*VLOOKUP($C47,CHANTIER!$A$2:$D$83,4,0))</f>
        <v>0.25</v>
      </c>
      <c r="AI47" s="364">
        <f>1</f>
        <v>1</v>
      </c>
      <c r="AJ47" s="372">
        <f>IF($C47="","",AI47*VLOOKUP($C47,CHANTIER!$A$2:$D$83,4,0))</f>
        <v>0.25</v>
      </c>
      <c r="AK47" s="364">
        <f>1</f>
        <v>1</v>
      </c>
      <c r="AL47" s="372">
        <f>IF($C47="","",AK47*VLOOKUP($C47,CHANTIER!$A$2:$D$83,4,0))</f>
        <v>0.25</v>
      </c>
      <c r="AM47" s="364">
        <f>1</f>
        <v>1</v>
      </c>
      <c r="AN47" s="372">
        <f>IF($C47="","",AM47*VLOOKUP($C47,CHANTIER!$A$2:$D$83,4,0))</f>
        <v>0.25</v>
      </c>
      <c r="AO47" s="135"/>
      <c r="AP47" s="135"/>
      <c r="AQ47" s="135"/>
      <c r="AR47" s="135"/>
      <c r="AS47" s="135"/>
    </row>
    <row r="48" spans="1:45" ht="15" customHeight="1" x14ac:dyDescent="0.2">
      <c r="A48" s="1554"/>
      <c r="B48" s="361" t="s">
        <v>1159</v>
      </c>
      <c r="C48" s="378"/>
      <c r="D48" s="363" t="str">
        <f>IF(C48="","",VLOOKUP($C48,CHANTIER!$A$2:$C$83,3,0))</f>
        <v/>
      </c>
      <c r="E48" s="364"/>
      <c r="F48" s="372"/>
      <c r="G48" s="364"/>
      <c r="H48" s="372"/>
      <c r="I48" s="364"/>
      <c r="J48" s="372"/>
      <c r="K48" s="364"/>
      <c r="L48" s="372"/>
      <c r="M48" s="364"/>
      <c r="N48" s="372"/>
      <c r="O48" s="364"/>
      <c r="P48" s="372"/>
      <c r="Q48" s="364"/>
      <c r="R48" s="372"/>
      <c r="S48" s="364"/>
      <c r="T48" s="372"/>
      <c r="U48" s="364"/>
      <c r="V48" s="372"/>
      <c r="W48" s="364"/>
      <c r="X48" s="372"/>
      <c r="Y48" s="364"/>
      <c r="Z48" s="372"/>
      <c r="AA48" s="364"/>
      <c r="AB48" s="372"/>
      <c r="AC48" s="364"/>
      <c r="AD48" s="372"/>
      <c r="AE48" s="364"/>
      <c r="AF48" s="372"/>
      <c r="AG48" s="364"/>
      <c r="AH48" s="372"/>
      <c r="AI48" s="364"/>
      <c r="AJ48" s="372"/>
      <c r="AK48" s="364"/>
      <c r="AL48" s="372"/>
      <c r="AM48" s="364"/>
      <c r="AN48" s="372"/>
      <c r="AO48" s="135"/>
      <c r="AP48" s="135"/>
      <c r="AQ48" s="135"/>
      <c r="AR48" s="135"/>
      <c r="AS48" s="135"/>
    </row>
    <row r="49" spans="1:45" ht="30.75" customHeight="1" x14ac:dyDescent="0.2">
      <c r="A49" s="1554"/>
      <c r="B49" s="379" t="s">
        <v>453</v>
      </c>
      <c r="C49" s="380" t="s">
        <v>450</v>
      </c>
      <c r="D49" s="381" t="s">
        <v>451</v>
      </c>
      <c r="E49" s="382">
        <f>F49*Simulation!$P$9</f>
        <v>141.63750000000002</v>
      </c>
      <c r="F49" s="383">
        <f>SUM(F38:F48)</f>
        <v>3.1475000000000004</v>
      </c>
      <c r="G49" s="382">
        <f>H49*Simulation!$P$9</f>
        <v>186.97500000000002</v>
      </c>
      <c r="H49" s="383">
        <f>SUM(H38:H48)</f>
        <v>4.1550000000000002</v>
      </c>
      <c r="I49" s="382">
        <f>J49*Simulation!$P$9</f>
        <v>229.04999999999998</v>
      </c>
      <c r="J49" s="383">
        <f>SUM(J38:J48)</f>
        <v>5.09</v>
      </c>
      <c r="K49" s="382">
        <f>L49*Simulation!$P$9</f>
        <v>274.95</v>
      </c>
      <c r="L49" s="383">
        <f>SUM(L38:L48)</f>
        <v>6.1099999999999994</v>
      </c>
      <c r="M49" s="382">
        <f>N49*Simulation!$P$9</f>
        <v>320.84999999999991</v>
      </c>
      <c r="N49" s="383">
        <f>SUM(N38:N48)</f>
        <v>7.1299999999999981</v>
      </c>
      <c r="O49" s="382">
        <f>P49*Simulation!$P$9</f>
        <v>366.74999999999994</v>
      </c>
      <c r="P49" s="383">
        <f>SUM(P38:P48)</f>
        <v>8.1499999999999986</v>
      </c>
      <c r="Q49" s="382">
        <f>R49*Simulation!$P$9</f>
        <v>412.65000000000009</v>
      </c>
      <c r="R49" s="383">
        <f>SUM(R38:R48)</f>
        <v>9.1700000000000017</v>
      </c>
      <c r="S49" s="382">
        <f>T49*Simulation!$P$9</f>
        <v>454.38749999999999</v>
      </c>
      <c r="T49" s="383">
        <f>SUM(T38:T48)</f>
        <v>10.0975</v>
      </c>
      <c r="U49" s="382">
        <f>V49*Simulation!$P$9</f>
        <v>496.12499999999994</v>
      </c>
      <c r="V49" s="383">
        <f>SUM(V38:V48)</f>
        <v>11.024999999999999</v>
      </c>
      <c r="W49" s="382">
        <f>X49*Simulation!$P$9</f>
        <v>579.59999999999991</v>
      </c>
      <c r="X49" s="383">
        <f>SUM(X38:X48)</f>
        <v>12.879999999999999</v>
      </c>
      <c r="Y49" s="382">
        <f>Z49*Simulation!$P$9</f>
        <v>571.94999999999993</v>
      </c>
      <c r="Z49" s="383">
        <f>SUM(Z38:Z48)</f>
        <v>12.709999999999999</v>
      </c>
      <c r="AA49" s="382">
        <f>AB49*Simulation!$P$9</f>
        <v>659.25</v>
      </c>
      <c r="AB49" s="383">
        <f>SUM(AB38:AB48)</f>
        <v>14.65</v>
      </c>
      <c r="AC49" s="382">
        <f>AD49*Simulation!$P$9</f>
        <v>663.07500000000005</v>
      </c>
      <c r="AD49" s="383">
        <f>SUM(AD38:AD48)</f>
        <v>14.735000000000001</v>
      </c>
      <c r="AE49" s="382">
        <f>AF49*Simulation!$P$9</f>
        <v>746.55000000000018</v>
      </c>
      <c r="AF49" s="383">
        <f>SUM(AF38:AF48)</f>
        <v>16.590000000000003</v>
      </c>
      <c r="AG49" s="382">
        <f>AH49*Simulation!$P$9</f>
        <v>833.85</v>
      </c>
      <c r="AH49" s="383">
        <f>SUM(AH38:AH48)</f>
        <v>18.53</v>
      </c>
      <c r="AI49" s="382">
        <f>AJ49*Simulation!$P$9</f>
        <v>830.02499999999998</v>
      </c>
      <c r="AJ49" s="383">
        <f>SUM(AJ38:AJ48)</f>
        <v>18.445</v>
      </c>
      <c r="AK49" s="382">
        <f>AL49*Simulation!$P$9</f>
        <v>913.49999999999989</v>
      </c>
      <c r="AL49" s="383">
        <f>SUM(AL38:AL48)</f>
        <v>20.299999999999997</v>
      </c>
      <c r="AM49" s="382">
        <f>AN49*Simulation!$P$9</f>
        <v>921.15000000000009</v>
      </c>
      <c r="AN49" s="383">
        <f>SUM(AN38:AN48)</f>
        <v>20.470000000000002</v>
      </c>
      <c r="AO49" s="135"/>
      <c r="AP49" s="135"/>
      <c r="AQ49" s="135"/>
      <c r="AR49" s="135"/>
      <c r="AS49" s="135"/>
    </row>
    <row r="50" spans="1:45" ht="15" customHeight="1" x14ac:dyDescent="0.2">
      <c r="A50" s="1559" t="s">
        <v>4</v>
      </c>
      <c r="B50" s="361" t="s">
        <v>371</v>
      </c>
      <c r="C50" s="1403" t="s">
        <v>370</v>
      </c>
      <c r="D50" s="363" t="str">
        <f>IF(C50="","",VLOOKUP($C50,MINIPELLE!$A$2:$C$28,3,0))</f>
        <v>m²</v>
      </c>
      <c r="E50" s="364">
        <f>'Outils de calculs'!E25</f>
        <v>4</v>
      </c>
      <c r="F50" s="372">
        <f>IF($C50="","",E50*VLOOKUP($C50,MINIPELLE!$A$2:$D$28,4,0))</f>
        <v>0.2</v>
      </c>
      <c r="G50" s="364">
        <f>'Outils de calculs'!G25</f>
        <v>6</v>
      </c>
      <c r="H50" s="372">
        <f>IF($C50="","",G50*VLOOKUP($C50,MINIPELLE!$A$2:$D$28,4,0))</f>
        <v>0.30000000000000004</v>
      </c>
      <c r="I50" s="364">
        <f>'Outils de calculs'!I25</f>
        <v>8</v>
      </c>
      <c r="J50" s="372">
        <f>IF($C50="","",I50*VLOOKUP($C50,MINIPELLE!$A$2:$D$28,4,0))</f>
        <v>0.4</v>
      </c>
      <c r="K50" s="364">
        <f>'Outils de calculs'!K25</f>
        <v>10</v>
      </c>
      <c r="L50" s="372">
        <f>IF($C50="","",K50*VLOOKUP($C50,MINIPELLE!$A$2:$D$28,4,0))</f>
        <v>0.5</v>
      </c>
      <c r="M50" s="364">
        <f>'Outils de calculs'!M25</f>
        <v>12</v>
      </c>
      <c r="N50" s="372">
        <f>IF($C50="","",M50*VLOOKUP($C50,MINIPELLE!$A$2:$D$28,4,0))</f>
        <v>0.60000000000000009</v>
      </c>
      <c r="O50" s="364">
        <f>'Outils de calculs'!O25</f>
        <v>14</v>
      </c>
      <c r="P50" s="372">
        <f>IF($C50="","",O50*VLOOKUP($C50,MINIPELLE!$A$2:$D$28,4,0))</f>
        <v>0.70000000000000007</v>
      </c>
      <c r="Q50" s="364">
        <f>'Outils de calculs'!Q25</f>
        <v>16</v>
      </c>
      <c r="R50" s="372">
        <f>IF($C50="","",Q50*VLOOKUP($C50,MINIPELLE!$A$2:$D$28,4,0))</f>
        <v>0.8</v>
      </c>
      <c r="S50" s="364">
        <f>'Outils de calculs'!S25</f>
        <v>18</v>
      </c>
      <c r="T50" s="372">
        <f>IF($C50="","",S50*VLOOKUP($C50,MINIPELLE!$A$2:$D$28,4,0))</f>
        <v>0.9</v>
      </c>
      <c r="U50" s="364">
        <f>'Outils de calculs'!U25</f>
        <v>20</v>
      </c>
      <c r="V50" s="372">
        <f>IF($C50="","",U50*VLOOKUP($C50,MINIPELLE!$A$2:$D$28,4,0))</f>
        <v>1</v>
      </c>
      <c r="W50" s="364">
        <f>'Outils de calculs'!W25</f>
        <v>24</v>
      </c>
      <c r="X50" s="372">
        <f>IF($C50="","",W50*VLOOKUP($C50,MINIPELLE!$A$2:$D$28,4,0))</f>
        <v>1.2000000000000002</v>
      </c>
      <c r="Y50" s="364">
        <f>'Outils de calculs'!Y25</f>
        <v>24</v>
      </c>
      <c r="Z50" s="372">
        <f>IF($C50="","",Y50*VLOOKUP($C50,MINIPELLE!$A$2:$D$28,4,0))</f>
        <v>1.2000000000000002</v>
      </c>
      <c r="AA50" s="364">
        <f>'Outils de calculs'!AA25</f>
        <v>28</v>
      </c>
      <c r="AB50" s="372">
        <f>IF($C50="","",AA50*VLOOKUP($C50,MINIPELLE!$A$2:$D$28,4,0))</f>
        <v>1.4000000000000001</v>
      </c>
      <c r="AC50" s="364">
        <f>'Outils de calculs'!AC25</f>
        <v>28</v>
      </c>
      <c r="AD50" s="372">
        <f>IF($C50="","",AC50*VLOOKUP($C50,MINIPELLE!$A$2:$D$28,4,0))</f>
        <v>1.4000000000000001</v>
      </c>
      <c r="AE50" s="364">
        <f>'Outils de calculs'!AE25</f>
        <v>32</v>
      </c>
      <c r="AF50" s="372">
        <f>IF($C50="","",AE50*VLOOKUP($C50,MINIPELLE!$A$2:$D$28,4,0))</f>
        <v>1.6</v>
      </c>
      <c r="AG50" s="364">
        <f>'Outils de calculs'!AG25</f>
        <v>36</v>
      </c>
      <c r="AH50" s="372">
        <f>IF($C50="","",AG50*VLOOKUP($C50,MINIPELLE!$A$2:$D$28,4,0))</f>
        <v>1.8</v>
      </c>
      <c r="AI50" s="364">
        <f>'Outils de calculs'!AI25</f>
        <v>36</v>
      </c>
      <c r="AJ50" s="372">
        <f>IF($C50="","",AI50*VLOOKUP($C50,MINIPELLE!$A$2:$D$28,4,0))</f>
        <v>1.8</v>
      </c>
      <c r="AK50" s="364">
        <f>'Outils de calculs'!AK25</f>
        <v>40</v>
      </c>
      <c r="AL50" s="372">
        <f>IF($C50="","",AK50*VLOOKUP($C50,MINIPELLE!$A$2:$D$28,4,0))</f>
        <v>2</v>
      </c>
      <c r="AM50" s="364">
        <f>'Outils de calculs'!AM25</f>
        <v>40</v>
      </c>
      <c r="AN50" s="372">
        <f>IF($C50="","",AM50*VLOOKUP($C50,MINIPELLE!$A$2:$D$28,4,0))</f>
        <v>2</v>
      </c>
      <c r="AO50" s="135"/>
      <c r="AP50" s="135"/>
      <c r="AQ50" s="135"/>
      <c r="AR50" s="135"/>
      <c r="AS50" s="135"/>
    </row>
    <row r="51" spans="1:45" ht="15" customHeight="1" x14ac:dyDescent="0.2">
      <c r="A51" s="1560"/>
      <c r="B51" s="361" t="s">
        <v>374</v>
      </c>
      <c r="C51" s="1403" t="s">
        <v>373</v>
      </c>
      <c r="D51" s="363" t="str">
        <f>IF(C51="","",VLOOKUP($C51,MINIPELLE!$A$2:$C$28,3,0))</f>
        <v>m²</v>
      </c>
      <c r="E51" s="364">
        <f>'Outils de calculs'!E25</f>
        <v>4</v>
      </c>
      <c r="F51" s="389">
        <f>IF($C51="","",E51*VLOOKUP($C51,MINIPELLE!$A$2:$D$28,4,0))</f>
        <v>0.2</v>
      </c>
      <c r="G51" s="364">
        <f>'Outils de calculs'!G25</f>
        <v>6</v>
      </c>
      <c r="H51" s="389">
        <f>IF($C51="","",G51*VLOOKUP($C51,MINIPELLE!$A$2:$D$28,4,0))</f>
        <v>0.30000000000000004</v>
      </c>
      <c r="I51" s="364">
        <f>'Outils de calculs'!I25</f>
        <v>8</v>
      </c>
      <c r="J51" s="389">
        <f>IF($C51="","",I51*VLOOKUP($C51,MINIPELLE!$A$2:$D$28,4,0))</f>
        <v>0.4</v>
      </c>
      <c r="K51" s="364">
        <f>'Outils de calculs'!K25</f>
        <v>10</v>
      </c>
      <c r="L51" s="389">
        <f>IF($C51="","",K51*VLOOKUP($C51,MINIPELLE!$A$2:$D$28,4,0))</f>
        <v>0.5</v>
      </c>
      <c r="M51" s="364">
        <f>'Outils de calculs'!M25</f>
        <v>12</v>
      </c>
      <c r="N51" s="389">
        <f>IF($C51="","",M51*VLOOKUP($C51,MINIPELLE!$A$2:$D$28,4,0))</f>
        <v>0.60000000000000009</v>
      </c>
      <c r="O51" s="364">
        <f>'Outils de calculs'!O25</f>
        <v>14</v>
      </c>
      <c r="P51" s="389">
        <f>IF($C51="","",O51*VLOOKUP($C51,MINIPELLE!$A$2:$D$28,4,0))</f>
        <v>0.70000000000000007</v>
      </c>
      <c r="Q51" s="364">
        <f>'Outils de calculs'!Q25</f>
        <v>16</v>
      </c>
      <c r="R51" s="389">
        <f>IF($C51="","",Q51*VLOOKUP($C51,MINIPELLE!$A$2:$D$28,4,0))</f>
        <v>0.8</v>
      </c>
      <c r="S51" s="364">
        <f>'Outils de calculs'!S25</f>
        <v>18</v>
      </c>
      <c r="T51" s="389">
        <f>IF($C51="","",S51*VLOOKUP($C51,MINIPELLE!$A$2:$D$28,4,0))</f>
        <v>0.9</v>
      </c>
      <c r="U51" s="364">
        <f>'Outils de calculs'!U25</f>
        <v>20</v>
      </c>
      <c r="V51" s="389">
        <f>IF($C51="","",U51*VLOOKUP($C51,MINIPELLE!$A$2:$D$28,4,0))</f>
        <v>1</v>
      </c>
      <c r="W51" s="364">
        <f>'Outils de calculs'!W25</f>
        <v>24</v>
      </c>
      <c r="X51" s="389">
        <f>IF($C51="","",W51*VLOOKUP($C51,MINIPELLE!$A$2:$D$28,4,0))</f>
        <v>1.2000000000000002</v>
      </c>
      <c r="Y51" s="364">
        <f>'Outils de calculs'!Y25</f>
        <v>24</v>
      </c>
      <c r="Z51" s="389">
        <f>IF($C51="","",Y51*VLOOKUP($C51,MINIPELLE!$A$2:$D$28,4,0))</f>
        <v>1.2000000000000002</v>
      </c>
      <c r="AA51" s="364">
        <f>'Outils de calculs'!AA25</f>
        <v>28</v>
      </c>
      <c r="AB51" s="389">
        <f>IF($C51="","",AA51*VLOOKUP($C51,MINIPELLE!$A$2:$D$28,4,0))</f>
        <v>1.4000000000000001</v>
      </c>
      <c r="AC51" s="364">
        <f>'Outils de calculs'!AC25</f>
        <v>28</v>
      </c>
      <c r="AD51" s="389">
        <f>IF($C51="","",AC51*VLOOKUP($C51,MINIPELLE!$A$2:$D$28,4,0))</f>
        <v>1.4000000000000001</v>
      </c>
      <c r="AE51" s="364">
        <f>'Outils de calculs'!AE25</f>
        <v>32</v>
      </c>
      <c r="AF51" s="389">
        <f>IF($C51="","",AE51*VLOOKUP($C51,MINIPELLE!$A$2:$D$28,4,0))</f>
        <v>1.6</v>
      </c>
      <c r="AG51" s="364">
        <f>'Outils de calculs'!AG25</f>
        <v>36</v>
      </c>
      <c r="AH51" s="389">
        <f>IF($C51="","",AG51*VLOOKUP($C51,MINIPELLE!$A$2:$D$28,4,0))</f>
        <v>1.8</v>
      </c>
      <c r="AI51" s="364">
        <f>'Outils de calculs'!AI25</f>
        <v>36</v>
      </c>
      <c r="AJ51" s="389">
        <f>IF($C51="","",AI51*VLOOKUP($C51,MINIPELLE!$A$2:$D$28,4,0))</f>
        <v>1.8</v>
      </c>
      <c r="AK51" s="364">
        <f>'Outils de calculs'!AK25</f>
        <v>40</v>
      </c>
      <c r="AL51" s="389">
        <f>IF($C51="","",AK51*VLOOKUP($C51,MINIPELLE!$A$2:$D$28,4,0))</f>
        <v>2</v>
      </c>
      <c r="AM51" s="364">
        <f>'Outils de calculs'!AM25</f>
        <v>40</v>
      </c>
      <c r="AN51" s="389">
        <f>IF($C51="","",AM51*VLOOKUP($C51,MINIPELLE!$A$2:$D$28,4,0))</f>
        <v>2</v>
      </c>
      <c r="AO51" s="135"/>
      <c r="AP51" s="135"/>
      <c r="AQ51" s="135"/>
      <c r="AR51" s="135"/>
      <c r="AS51" s="135"/>
    </row>
    <row r="52" spans="1:45" ht="15" customHeight="1" x14ac:dyDescent="0.2">
      <c r="A52" s="1560"/>
      <c r="B52" s="361" t="s">
        <v>374</v>
      </c>
      <c r="C52" s="1403" t="s">
        <v>379</v>
      </c>
      <c r="D52" s="363" t="str">
        <f>IF(C52="","",VLOOKUP($C52,MINIPELLE!$A$2:$C$28,3,0))</f>
        <v>m3</v>
      </c>
      <c r="E52" s="364">
        <f>'Outils de calculs'!E25*0.6</f>
        <v>2.4</v>
      </c>
      <c r="F52" s="389">
        <f>IF($C52="","",E52*VLOOKUP($C52,MINIPELLE!$A$2:$D$28,4,0))</f>
        <v>0.72</v>
      </c>
      <c r="G52" s="364">
        <f>'Outils de calculs'!G25*0.6</f>
        <v>3.5999999999999996</v>
      </c>
      <c r="H52" s="389">
        <f>IF($C52="","",G52*VLOOKUP($C52,MINIPELLE!$A$2:$D$28,4,0))</f>
        <v>1.0799999999999998</v>
      </c>
      <c r="I52" s="364">
        <f>'Outils de calculs'!I25*0.6</f>
        <v>4.8</v>
      </c>
      <c r="J52" s="389">
        <f>IF($C52="","",I52*VLOOKUP($C52,MINIPELLE!$A$2:$D$28,4,0))</f>
        <v>1.44</v>
      </c>
      <c r="K52" s="364">
        <f>'Outils de calculs'!K25*0.6</f>
        <v>6</v>
      </c>
      <c r="L52" s="389">
        <f>IF($C52="","",K52*VLOOKUP($C52,MINIPELLE!$A$2:$D$28,4,0))</f>
        <v>1.7999999999999998</v>
      </c>
      <c r="M52" s="364">
        <f>'Outils de calculs'!M25*0.6</f>
        <v>7.1999999999999993</v>
      </c>
      <c r="N52" s="389">
        <f>IF($C52="","",M52*VLOOKUP($C52,MINIPELLE!$A$2:$D$28,4,0))</f>
        <v>2.1599999999999997</v>
      </c>
      <c r="O52" s="364">
        <f>'Outils de calculs'!O25*0.6</f>
        <v>8.4</v>
      </c>
      <c r="P52" s="389">
        <f>IF($C52="","",O52*VLOOKUP($C52,MINIPELLE!$A$2:$D$28,4,0))</f>
        <v>2.52</v>
      </c>
      <c r="Q52" s="364">
        <f>'Outils de calculs'!Q25*0.6</f>
        <v>9.6</v>
      </c>
      <c r="R52" s="389">
        <f>IF($C52="","",Q52*VLOOKUP($C52,MINIPELLE!$A$2:$D$28,4,0))</f>
        <v>2.88</v>
      </c>
      <c r="S52" s="364">
        <f>'Outils de calculs'!S25*0.6</f>
        <v>10.799999999999999</v>
      </c>
      <c r="T52" s="389">
        <f>IF($C52="","",S52*VLOOKUP($C52,MINIPELLE!$A$2:$D$28,4,0))</f>
        <v>3.2399999999999998</v>
      </c>
      <c r="U52" s="364">
        <f>'Outils de calculs'!U25*0.6</f>
        <v>12</v>
      </c>
      <c r="V52" s="389">
        <f>IF($C52="","",U52*VLOOKUP($C52,MINIPELLE!$A$2:$D$28,4,0))</f>
        <v>3.5999999999999996</v>
      </c>
      <c r="W52" s="364">
        <f>'Outils de calculs'!W25*0.6</f>
        <v>14.399999999999999</v>
      </c>
      <c r="X52" s="389">
        <f>IF($C52="","",W52*VLOOKUP($C52,MINIPELLE!$A$2:$D$28,4,0))</f>
        <v>4.3199999999999994</v>
      </c>
      <c r="Y52" s="364">
        <f>'Outils de calculs'!Y25*0.6</f>
        <v>14.399999999999999</v>
      </c>
      <c r="Z52" s="389">
        <f>IF($C52="","",Y52*VLOOKUP($C52,MINIPELLE!$A$2:$D$28,4,0))</f>
        <v>4.3199999999999994</v>
      </c>
      <c r="AA52" s="364">
        <f>'Outils de calculs'!AA25*0.6</f>
        <v>16.8</v>
      </c>
      <c r="AB52" s="389">
        <f>IF($C52="","",AA52*VLOOKUP($C52,MINIPELLE!$A$2:$D$28,4,0))</f>
        <v>5.04</v>
      </c>
      <c r="AC52" s="364">
        <f>'Outils de calculs'!AC25*0.6</f>
        <v>16.8</v>
      </c>
      <c r="AD52" s="389">
        <f>IF($C52="","",AC52*VLOOKUP($C52,MINIPELLE!$A$2:$D$28,4,0))</f>
        <v>5.04</v>
      </c>
      <c r="AE52" s="364">
        <f>'Outils de calculs'!AE25*0.6</f>
        <v>19.2</v>
      </c>
      <c r="AF52" s="389">
        <f>IF($C52="","",AE52*VLOOKUP($C52,MINIPELLE!$A$2:$D$28,4,0))</f>
        <v>5.76</v>
      </c>
      <c r="AG52" s="364">
        <f>'Outils de calculs'!AG25*0.6</f>
        <v>21.599999999999998</v>
      </c>
      <c r="AH52" s="389">
        <f>IF($C52="","",AG52*VLOOKUP($C52,MINIPELLE!$A$2:$D$28,4,0))</f>
        <v>6.4799999999999995</v>
      </c>
      <c r="AI52" s="364">
        <f>'Outils de calculs'!AI25*0.6</f>
        <v>21.599999999999998</v>
      </c>
      <c r="AJ52" s="389">
        <f>IF($C52="","",AI52*VLOOKUP($C52,MINIPELLE!$A$2:$D$28,4,0))</f>
        <v>6.4799999999999995</v>
      </c>
      <c r="AK52" s="364">
        <f>'Outils de calculs'!AK25*0.6</f>
        <v>24</v>
      </c>
      <c r="AL52" s="389">
        <f>IF($C52="","",AK52*VLOOKUP($C52,MINIPELLE!$A$2:$D$28,4,0))</f>
        <v>7.1999999999999993</v>
      </c>
      <c r="AM52" s="364">
        <f>'Outils de calculs'!AM25*0.6</f>
        <v>24</v>
      </c>
      <c r="AN52" s="389">
        <f>IF($C52="","",AM52*VLOOKUP($C52,MINIPELLE!$A$2:$D$28,4,0))</f>
        <v>7.1999999999999993</v>
      </c>
      <c r="AO52" s="135"/>
      <c r="AP52" s="135"/>
      <c r="AQ52" s="135"/>
      <c r="AR52" s="135"/>
      <c r="AS52" s="135"/>
    </row>
    <row r="53" spans="1:45" ht="15" customHeight="1" x14ac:dyDescent="0.2">
      <c r="A53" s="1560"/>
      <c r="B53" s="361" t="s">
        <v>1067</v>
      </c>
      <c r="C53" s="1403" t="s">
        <v>405</v>
      </c>
      <c r="D53" s="363" t="str">
        <f>IF(C53="","",VLOOKUP($C53,MINIPELLE!$A$2:$C$28,3,0))</f>
        <v>ml</v>
      </c>
      <c r="E53" s="364">
        <f>'Outils de calculs'!E31</f>
        <v>1.6</v>
      </c>
      <c r="F53" s="389">
        <f>IF($C53="","",E53*VLOOKUP($C53,MINIPELLE!$A$2:$D$28,4,0))</f>
        <v>0.128</v>
      </c>
      <c r="G53" s="364">
        <f>'Outils de calculs'!G31</f>
        <v>2</v>
      </c>
      <c r="H53" s="389">
        <f>IF($C53="","",G53*VLOOKUP($C53,MINIPELLE!$A$2:$D$28,4,0))</f>
        <v>0.16</v>
      </c>
      <c r="I53" s="364">
        <f>'Outils de calculs'!I31</f>
        <v>2</v>
      </c>
      <c r="J53" s="389">
        <f>IF($C53="","",I53*VLOOKUP($C53,MINIPELLE!$A$2:$D$28,4,0))</f>
        <v>0.16</v>
      </c>
      <c r="K53" s="364">
        <f>'Outils de calculs'!K31</f>
        <v>2.5</v>
      </c>
      <c r="L53" s="389">
        <f>IF($C53="","",K53*VLOOKUP($C53,MINIPELLE!$A$2:$D$28,4,0))</f>
        <v>0.2</v>
      </c>
      <c r="M53" s="364">
        <f>'Outils de calculs'!M31</f>
        <v>3</v>
      </c>
      <c r="N53" s="389">
        <f>IF($C53="","",M53*VLOOKUP($C53,MINIPELLE!$A$2:$D$28,4,0))</f>
        <v>0.24</v>
      </c>
      <c r="O53" s="364">
        <f>'Outils de calculs'!O31</f>
        <v>3.5</v>
      </c>
      <c r="P53" s="389">
        <f>IF($C53="","",O53*VLOOKUP($C53,MINIPELLE!$A$2:$D$28,4,0))</f>
        <v>0.28000000000000003</v>
      </c>
      <c r="Q53" s="364">
        <f>'Outils de calculs'!Q31</f>
        <v>4</v>
      </c>
      <c r="R53" s="389">
        <f>IF($C53="","",Q53*VLOOKUP($C53,MINIPELLE!$A$2:$D$28,4,0))</f>
        <v>0.32</v>
      </c>
      <c r="S53" s="364">
        <f>'Outils de calculs'!S31</f>
        <v>4</v>
      </c>
      <c r="T53" s="389">
        <f>IF($C53="","",S53*VLOOKUP($C53,MINIPELLE!$A$2:$D$28,4,0))</f>
        <v>0.32</v>
      </c>
      <c r="U53" s="364">
        <f>'Outils de calculs'!U31</f>
        <v>4</v>
      </c>
      <c r="V53" s="389">
        <f>IF($C53="","",U53*VLOOKUP($C53,MINIPELLE!$A$2:$D$28,4,0))</f>
        <v>0.32</v>
      </c>
      <c r="W53" s="364">
        <f>'Outils de calculs'!W31</f>
        <v>4</v>
      </c>
      <c r="X53" s="389">
        <f>IF($C53="","",W53*VLOOKUP($C53,MINIPELLE!$A$2:$D$28,4,0))</f>
        <v>0.32</v>
      </c>
      <c r="Y53" s="364">
        <f>'Outils de calculs'!Y31</f>
        <v>3</v>
      </c>
      <c r="Z53" s="389">
        <f>IF($C53="","",Y53*VLOOKUP($C53,MINIPELLE!$A$2:$D$28,4,0))</f>
        <v>0.24</v>
      </c>
      <c r="AA53" s="364">
        <f>'Outils de calculs'!AA31</f>
        <v>3.5</v>
      </c>
      <c r="AB53" s="389">
        <f>IF($C53="","",AA53*VLOOKUP($C53,MINIPELLE!$A$2:$D$28,4,0))</f>
        <v>0.28000000000000003</v>
      </c>
      <c r="AC53" s="364">
        <f>'Outils de calculs'!AC31</f>
        <v>4</v>
      </c>
      <c r="AD53" s="389">
        <f>IF($C53="","",AC53*VLOOKUP($C53,MINIPELLE!$A$2:$D$28,4,0))</f>
        <v>0.32</v>
      </c>
      <c r="AE53" s="364">
        <f>'Outils de calculs'!AE31</f>
        <v>4</v>
      </c>
      <c r="AF53" s="389">
        <f>IF($C53="","",AE53*VLOOKUP($C53,MINIPELLE!$A$2:$D$28,4,0))</f>
        <v>0.32</v>
      </c>
      <c r="AG53" s="364">
        <f>'Outils de calculs'!AG31</f>
        <v>4.5</v>
      </c>
      <c r="AH53" s="389">
        <f>IF($C53="","",AG53*VLOOKUP($C53,MINIPELLE!$A$2:$D$28,4,0))</f>
        <v>0.36</v>
      </c>
      <c r="AI53" s="364">
        <f>'Outils de calculs'!AI31</f>
        <v>4</v>
      </c>
      <c r="AJ53" s="389">
        <f>IF($C53="","",AI53*VLOOKUP($C53,MINIPELLE!$A$2:$D$28,4,0))</f>
        <v>0.32</v>
      </c>
      <c r="AK53" s="364">
        <f>'Outils de calculs'!AK31</f>
        <v>4</v>
      </c>
      <c r="AL53" s="389">
        <f>IF($C53="","",AK53*VLOOKUP($C53,MINIPELLE!$A$2:$D$28,4,0))</f>
        <v>0.32</v>
      </c>
      <c r="AM53" s="364">
        <f>'Outils de calculs'!AM31</f>
        <v>5</v>
      </c>
      <c r="AN53" s="389">
        <f>IF($C53="","",AM53*VLOOKUP($C53,MINIPELLE!$A$2:$D$28,4,0))</f>
        <v>0.4</v>
      </c>
      <c r="AO53" s="135"/>
      <c r="AP53" s="135"/>
      <c r="AQ53" s="135"/>
      <c r="AR53" s="135"/>
      <c r="AS53" s="135"/>
    </row>
    <row r="54" spans="1:45" ht="29.25" customHeight="1" x14ac:dyDescent="0.2">
      <c r="A54" s="1560"/>
      <c r="B54" s="384" t="s">
        <v>454</v>
      </c>
      <c r="C54" s="385" t="s">
        <v>455</v>
      </c>
      <c r="D54" s="386" t="s">
        <v>451</v>
      </c>
      <c r="E54" s="387">
        <f>F54*Simulation!$P$10</f>
        <v>99.840000000000018</v>
      </c>
      <c r="F54" s="388">
        <f>SUM(F50:F53)</f>
        <v>1.2480000000000002</v>
      </c>
      <c r="G54" s="387">
        <f>H54*Simulation!$P$10</f>
        <v>147.19999999999999</v>
      </c>
      <c r="H54" s="388">
        <f>SUM(H50:H53)</f>
        <v>1.8399999999999999</v>
      </c>
      <c r="I54" s="387">
        <f>J54*Simulation!$P$10</f>
        <v>192.00000000000003</v>
      </c>
      <c r="J54" s="388">
        <f>SUM(J50:J53)</f>
        <v>2.4000000000000004</v>
      </c>
      <c r="K54" s="387">
        <f>L54*Simulation!$P$10</f>
        <v>240</v>
      </c>
      <c r="L54" s="388">
        <f>SUM(L50:L53)</f>
        <v>3</v>
      </c>
      <c r="M54" s="387">
        <f>N54*Simulation!$P$10</f>
        <v>288</v>
      </c>
      <c r="N54" s="388">
        <f>SUM(N50:N53)</f>
        <v>3.5999999999999996</v>
      </c>
      <c r="O54" s="387">
        <f>P54*Simulation!$P$10</f>
        <v>336</v>
      </c>
      <c r="P54" s="388">
        <f>SUM(P50:P53)</f>
        <v>4.2</v>
      </c>
      <c r="Q54" s="387">
        <f>R54*Simulation!$P$10</f>
        <v>384.00000000000006</v>
      </c>
      <c r="R54" s="388">
        <f>SUM(R50:R53)</f>
        <v>4.8000000000000007</v>
      </c>
      <c r="S54" s="387">
        <f>T54*Simulation!$P$10</f>
        <v>428.8</v>
      </c>
      <c r="T54" s="388">
        <f>SUM(T50:T53)</f>
        <v>5.36</v>
      </c>
      <c r="U54" s="387">
        <f>V54*Simulation!$P$10</f>
        <v>473.6</v>
      </c>
      <c r="V54" s="388">
        <f>SUM(V50:V53)</f>
        <v>5.92</v>
      </c>
      <c r="W54" s="387">
        <f>X54*Simulation!$P$10</f>
        <v>563.20000000000005</v>
      </c>
      <c r="X54" s="388">
        <f>SUM(X50:X53)</f>
        <v>7.04</v>
      </c>
      <c r="Y54" s="387">
        <f>Z54*Simulation!$P$10</f>
        <v>556.79999999999995</v>
      </c>
      <c r="Z54" s="388">
        <f>SUM(Z50:Z53)</f>
        <v>6.96</v>
      </c>
      <c r="AA54" s="387">
        <f>AB54*Simulation!$P$10</f>
        <v>649.59999999999991</v>
      </c>
      <c r="AB54" s="388">
        <f>SUM(AB50:AB53)</f>
        <v>8.1199999999999992</v>
      </c>
      <c r="AC54" s="387">
        <f>AD54*Simulation!$P$10</f>
        <v>652.79999999999995</v>
      </c>
      <c r="AD54" s="388">
        <f>SUM(AD50:AD53)</f>
        <v>8.16</v>
      </c>
      <c r="AE54" s="387">
        <f>AF54*Simulation!$P$10</f>
        <v>742.40000000000009</v>
      </c>
      <c r="AF54" s="388">
        <f>SUM(AF50:AF53)</f>
        <v>9.2800000000000011</v>
      </c>
      <c r="AG54" s="387">
        <f>AH54*Simulation!$P$10</f>
        <v>835.19999999999993</v>
      </c>
      <c r="AH54" s="388">
        <f>SUM(AH50:AH53)</f>
        <v>10.44</v>
      </c>
      <c r="AI54" s="387">
        <f>AJ54*Simulation!$P$10</f>
        <v>832</v>
      </c>
      <c r="AJ54" s="388">
        <f>SUM(AJ50:AJ53)</f>
        <v>10.4</v>
      </c>
      <c r="AK54" s="387">
        <f>AL54*Simulation!$P$10</f>
        <v>921.59999999999991</v>
      </c>
      <c r="AL54" s="388">
        <f>SUM(AL50:AL53)</f>
        <v>11.52</v>
      </c>
      <c r="AM54" s="387">
        <f>AN54*Simulation!$P$10</f>
        <v>928</v>
      </c>
      <c r="AN54" s="388">
        <f>SUM(AN50:AN53)</f>
        <v>11.6</v>
      </c>
      <c r="AO54" s="135"/>
      <c r="AP54" s="135"/>
      <c r="AQ54" s="135"/>
      <c r="AR54" s="135"/>
      <c r="AS54" s="135"/>
    </row>
    <row r="55" spans="1:45" ht="18" x14ac:dyDescent="0.2">
      <c r="A55" s="199"/>
      <c r="B55" s="172"/>
      <c r="C55" s="200"/>
      <c r="D55" s="201"/>
      <c r="E55" s="202"/>
      <c r="F55" s="203"/>
      <c r="G55" s="202"/>
      <c r="H55" s="203"/>
      <c r="I55" s="202"/>
      <c r="J55" s="203"/>
      <c r="K55" s="202"/>
      <c r="L55" s="203"/>
      <c r="M55" s="202"/>
      <c r="N55" s="203"/>
      <c r="O55" s="202"/>
      <c r="P55" s="203"/>
      <c r="Q55" s="202"/>
      <c r="R55" s="203"/>
      <c r="S55" s="202"/>
      <c r="T55" s="203"/>
      <c r="U55" s="202"/>
      <c r="V55" s="203"/>
      <c r="W55" s="202"/>
      <c r="X55" s="203"/>
      <c r="Y55" s="202"/>
      <c r="Z55" s="203"/>
      <c r="AA55" s="202"/>
      <c r="AB55" s="203"/>
      <c r="AC55" s="202"/>
      <c r="AD55" s="203"/>
      <c r="AE55" s="202"/>
      <c r="AF55" s="203"/>
      <c r="AG55" s="202"/>
      <c r="AH55" s="203"/>
      <c r="AI55" s="202"/>
      <c r="AJ55" s="203"/>
      <c r="AK55" s="202"/>
      <c r="AL55" s="203"/>
      <c r="AM55" s="202"/>
      <c r="AN55" s="203"/>
      <c r="AO55" s="135"/>
      <c r="AP55" s="135"/>
      <c r="AQ55" s="135"/>
      <c r="AR55" s="135"/>
      <c r="AS55" s="135"/>
    </row>
    <row r="56" spans="1:45" ht="36" customHeight="1" x14ac:dyDescent="0.2">
      <c r="A56" s="204"/>
      <c r="B56" s="1561" t="s">
        <v>456</v>
      </c>
      <c r="C56" s="1564" t="s">
        <v>445</v>
      </c>
      <c r="D56" s="1564"/>
      <c r="E56" s="1547">
        <f>E54+E49+E37+E33</f>
        <v>1459.3901000000001</v>
      </c>
      <c r="F56" s="1547"/>
      <c r="G56" s="1547">
        <f>G54+G49+G37+G33</f>
        <v>1930.0535000000004</v>
      </c>
      <c r="H56" s="1547"/>
      <c r="I56" s="1547">
        <f>I54+I49+I37+I33</f>
        <v>2435.0635000000002</v>
      </c>
      <c r="J56" s="1547"/>
      <c r="K56" s="1547">
        <f>K54+K49+K37+K33</f>
        <v>2906.5120999999999</v>
      </c>
      <c r="L56" s="1547"/>
      <c r="M56" s="1547">
        <f>M54+M49+M37+M33</f>
        <v>3454.3538999999992</v>
      </c>
      <c r="N56" s="1547"/>
      <c r="O56" s="1547">
        <f>O54+O49+O37+O33</f>
        <v>3939.0312999999996</v>
      </c>
      <c r="P56" s="1547"/>
      <c r="Q56" s="1547">
        <f>Q54+Q49+Q37+Q33</f>
        <v>4423.7243000000008</v>
      </c>
      <c r="R56" s="1547"/>
      <c r="S56" s="1547">
        <f>S54+S49+S37+S33</f>
        <v>4828.7033000000001</v>
      </c>
      <c r="T56" s="1547"/>
      <c r="U56" s="1547">
        <f>U54+U49+U37+U33</f>
        <v>5301.8074999999999</v>
      </c>
      <c r="V56" s="1547"/>
      <c r="W56" s="1547">
        <f>W54+W49+W37+W33</f>
        <v>6281.9614999999994</v>
      </c>
      <c r="X56" s="1547"/>
      <c r="Y56" s="1547">
        <f>Y54+Y49+Y37+Y33</f>
        <v>6293.8699000000006</v>
      </c>
      <c r="Z56" s="1547"/>
      <c r="AA56" s="1547">
        <f>AA54+AA49+AA37+AA33</f>
        <v>7204.2344999999996</v>
      </c>
      <c r="AB56" s="1547"/>
      <c r="AC56" s="1547">
        <f>AC54+AC49+AC37+AC33</f>
        <v>7244.6903000000002</v>
      </c>
      <c r="AD56" s="1547"/>
      <c r="AE56" s="1547">
        <f>AE54+AE49+AE37+AE33</f>
        <v>8114.5991000000013</v>
      </c>
      <c r="AF56" s="1547"/>
      <c r="AG56" s="1547">
        <f>AG54+AG49+AG37+AG33</f>
        <v>9241.5853000000006</v>
      </c>
      <c r="AH56" s="1547"/>
      <c r="AI56" s="1547">
        <f>AI54+AI49+AI37+AI33</f>
        <v>9278.7083000000021</v>
      </c>
      <c r="AJ56" s="1547"/>
      <c r="AK56" s="1547">
        <f>AK54+AK49+AK37+AK33</f>
        <v>10090.2263</v>
      </c>
      <c r="AL56" s="1547"/>
      <c r="AM56" s="1547">
        <f>AM54+AM49+AM37+AM33</f>
        <v>10187.595900000002</v>
      </c>
      <c r="AN56" s="1547"/>
      <c r="AO56" s="135"/>
      <c r="AP56" s="135"/>
      <c r="AQ56" s="135"/>
      <c r="AR56" s="135"/>
      <c r="AS56" s="135"/>
    </row>
    <row r="57" spans="1:45" ht="18" customHeight="1" x14ac:dyDescent="0.2">
      <c r="A57" s="154"/>
      <c r="B57" s="1562"/>
      <c r="C57" s="1565" t="s">
        <v>457</v>
      </c>
      <c r="D57" s="1565"/>
      <c r="E57" s="149">
        <f>E33-F33</f>
        <v>274.41060000000004</v>
      </c>
      <c r="F57" s="207">
        <f>E57/E$56</f>
        <v>0.18803101377760478</v>
      </c>
      <c r="G57" s="149">
        <f>G33-H33</f>
        <v>361.63350000000014</v>
      </c>
      <c r="H57" s="207">
        <f>G57/G$56</f>
        <v>0.18736967654005449</v>
      </c>
      <c r="I57" s="149">
        <f>I33-J33</f>
        <v>456.56850000000009</v>
      </c>
      <c r="J57" s="207">
        <f>I57/I$56</f>
        <v>0.1874975744985706</v>
      </c>
      <c r="K57" s="149">
        <f>K33-L33</f>
        <v>543.69509999999991</v>
      </c>
      <c r="L57" s="207">
        <f>K57/K$56</f>
        <v>0.18706101378349668</v>
      </c>
      <c r="M57" s="149">
        <f>M33-N33</f>
        <v>648.45089999999982</v>
      </c>
      <c r="N57" s="207">
        <f>M57/M$56</f>
        <v>0.18771988011998422</v>
      </c>
      <c r="O57" s="149">
        <f>O33-P33</f>
        <v>738.63029999999981</v>
      </c>
      <c r="P57" s="207">
        <f>O57/O$56</f>
        <v>0.18751572245694009</v>
      </c>
      <c r="Q57" s="149">
        <f>Q33-R33</f>
        <v>828.81330000000025</v>
      </c>
      <c r="R57" s="207">
        <f>Q57/Q$56</f>
        <v>0.18735645437940157</v>
      </c>
      <c r="S57" s="149">
        <f>S33-T33</f>
        <v>902.29980000000023</v>
      </c>
      <c r="T57" s="207">
        <f>S57/S$56</f>
        <v>0.18686171917003064</v>
      </c>
      <c r="U57" s="149">
        <f>U33-V33</f>
        <v>991.50750000000016</v>
      </c>
      <c r="V57" s="207">
        <f>U57/U$56</f>
        <v>0.18701310826543593</v>
      </c>
      <c r="W57" s="149">
        <f>W33-X33</f>
        <v>1177.7565</v>
      </c>
      <c r="X57" s="207">
        <f>W57/W$56</f>
        <v>0.18748228558866528</v>
      </c>
      <c r="Y57" s="149">
        <f>Y33-Z33</f>
        <v>1183.7469000000006</v>
      </c>
      <c r="Z57" s="207">
        <f>Y57/Y$56</f>
        <v>0.18807934050241495</v>
      </c>
      <c r="AA57" s="149">
        <f>AA33-AB33</f>
        <v>1352.2695000000003</v>
      </c>
      <c r="AB57" s="207">
        <f>AA57/AA$56</f>
        <v>0.18770481443934126</v>
      </c>
      <c r="AC57" s="149">
        <f>AC33-AD33</f>
        <v>1359.9843000000001</v>
      </c>
      <c r="AD57" s="207">
        <f>AC57/AC$56</f>
        <v>0.18772152344455637</v>
      </c>
      <c r="AE57" s="149">
        <f>AE33-AF33</f>
        <v>1520.7921000000006</v>
      </c>
      <c r="AF57" s="207">
        <f>AE57/AE$56</f>
        <v>0.18741432340138656</v>
      </c>
      <c r="AG57" s="149">
        <f>AG33-AH33</f>
        <v>1739.3043000000007</v>
      </c>
      <c r="AH57" s="207">
        <f>AG57/AG$56</f>
        <v>0.18820410606392396</v>
      </c>
      <c r="AI57" s="149">
        <f>AI33-AJ33</f>
        <v>1749.4923000000008</v>
      </c>
      <c r="AJ57" s="207">
        <f>AI57/AI$56</f>
        <v>0.18854912164875368</v>
      </c>
      <c r="AK57" s="149">
        <f>AK33-AL33</f>
        <v>1896.8253000000004</v>
      </c>
      <c r="AL57" s="207">
        <f>AK57/AK$56</f>
        <v>0.18798639828325758</v>
      </c>
      <c r="AM57" s="149">
        <f>AM33-AN33</f>
        <v>1916.0529000000006</v>
      </c>
      <c r="AN57" s="207">
        <f>AM57/AM$56</f>
        <v>0.18807704180728255</v>
      </c>
      <c r="AO57" s="135"/>
      <c r="AP57" s="135"/>
      <c r="AQ57" s="135"/>
      <c r="AR57" s="135"/>
      <c r="AS57" s="135"/>
    </row>
    <row r="58" spans="1:45" ht="18" customHeight="1" x14ac:dyDescent="0.2">
      <c r="A58" s="154"/>
      <c r="B58" s="1562"/>
      <c r="C58" s="1565" t="s">
        <v>9</v>
      </c>
      <c r="D58" s="1565"/>
      <c r="E58" s="149">
        <f>E33</f>
        <v>1189.1126000000002</v>
      </c>
      <c r="F58" s="207">
        <f>E58/E$56</f>
        <v>0.81480105970295402</v>
      </c>
      <c r="G58" s="149">
        <f>G33</f>
        <v>1567.0785000000003</v>
      </c>
      <c r="H58" s="207">
        <f>G58/G$56</f>
        <v>0.81193526500690261</v>
      </c>
      <c r="I58" s="149">
        <f>I33</f>
        <v>1978.4635000000001</v>
      </c>
      <c r="J58" s="207">
        <f>I58/I$56</f>
        <v>0.81248948949380573</v>
      </c>
      <c r="K58" s="149">
        <f>K33</f>
        <v>2356.0120999999999</v>
      </c>
      <c r="L58" s="207">
        <f>K58/K$56</f>
        <v>0.81059772639515248</v>
      </c>
      <c r="M58" s="149">
        <f>M33</f>
        <v>2809.9538999999995</v>
      </c>
      <c r="N58" s="207">
        <f>M58/M$56</f>
        <v>0.81345281385326507</v>
      </c>
      <c r="O58" s="149">
        <f>O33</f>
        <v>3200.7312999999995</v>
      </c>
      <c r="P58" s="207">
        <f>O58/O$56</f>
        <v>0.81256813064674038</v>
      </c>
      <c r="Q58" s="149">
        <f>Q33</f>
        <v>3591.5243000000005</v>
      </c>
      <c r="R58" s="207">
        <f>Q58/Q$56</f>
        <v>0.81187796897740661</v>
      </c>
      <c r="S58" s="149">
        <f>S33</f>
        <v>3909.9658000000004</v>
      </c>
      <c r="T58" s="207">
        <f>S58/S$56</f>
        <v>0.80973411640346593</v>
      </c>
      <c r="U58" s="149">
        <f>U33</f>
        <v>4296.5325000000003</v>
      </c>
      <c r="V58" s="207">
        <f>U58/U$56</f>
        <v>0.8103901358168889</v>
      </c>
      <c r="W58" s="149">
        <f>W33</f>
        <v>5103.6115</v>
      </c>
      <c r="X58" s="207">
        <f>W58/W$56</f>
        <v>0.81242323755088286</v>
      </c>
      <c r="Y58" s="149">
        <f>Y33</f>
        <v>5129.5699000000004</v>
      </c>
      <c r="Z58" s="207">
        <f>Y58/Y$56</f>
        <v>0.81501047551046457</v>
      </c>
      <c r="AA58" s="149">
        <f>AA33</f>
        <v>5859.8344999999999</v>
      </c>
      <c r="AB58" s="207">
        <f>AA58/AA$56</f>
        <v>0.81338752923714519</v>
      </c>
      <c r="AC58" s="149">
        <f>AC33</f>
        <v>5893.2653</v>
      </c>
      <c r="AD58" s="207">
        <f>AC58/AC$56</f>
        <v>0.81345993492641089</v>
      </c>
      <c r="AE58" s="149">
        <f>AE33</f>
        <v>6590.0991000000013</v>
      </c>
      <c r="AF58" s="207">
        <f>AE58/AE$56</f>
        <v>0.81212873473934166</v>
      </c>
      <c r="AG58" s="149">
        <f>AG33</f>
        <v>7536.9853000000012</v>
      </c>
      <c r="AH58" s="207">
        <f>AG58/AG$56</f>
        <v>0.81555112627700366</v>
      </c>
      <c r="AI58" s="149">
        <f>AI33</f>
        <v>7581.1333000000013</v>
      </c>
      <c r="AJ58" s="207">
        <f>AI58/AI$56</f>
        <v>0.81704619381126564</v>
      </c>
      <c r="AK58" s="149">
        <f>AK33</f>
        <v>8219.5763000000006</v>
      </c>
      <c r="AL58" s="207">
        <f>AK58/AK$56</f>
        <v>0.81460772589411601</v>
      </c>
      <c r="AM58" s="149">
        <f>AM33</f>
        <v>8302.8959000000013</v>
      </c>
      <c r="AN58" s="207">
        <f>AM58/AM$56</f>
        <v>0.81500051449822419</v>
      </c>
      <c r="AO58" s="135"/>
      <c r="AP58" s="135"/>
      <c r="AQ58" s="135"/>
      <c r="AR58" s="135"/>
      <c r="AS58" s="135"/>
    </row>
    <row r="59" spans="1:45" ht="18" customHeight="1" x14ac:dyDescent="0.2">
      <c r="A59" s="154"/>
      <c r="B59" s="1562"/>
      <c r="C59" s="1565" t="s">
        <v>458</v>
      </c>
      <c r="D59" s="1565"/>
      <c r="E59" s="149">
        <f>E37</f>
        <v>28.8</v>
      </c>
      <c r="F59" s="207">
        <f>E59/E$56</f>
        <v>1.9734271186298988E-2</v>
      </c>
      <c r="G59" s="149">
        <f>G37</f>
        <v>28.8</v>
      </c>
      <c r="H59" s="207">
        <f>G59/G$56</f>
        <v>1.4921866155523666E-2</v>
      </c>
      <c r="I59" s="149">
        <f>I37</f>
        <v>35.550000000000004</v>
      </c>
      <c r="J59" s="207">
        <f>I59/I$56</f>
        <v>1.4599208603800271E-2</v>
      </c>
      <c r="K59" s="149">
        <f>K37</f>
        <v>35.550000000000004</v>
      </c>
      <c r="L59" s="207">
        <f>K59/K$56</f>
        <v>1.2231154998460184E-2</v>
      </c>
      <c r="M59" s="149">
        <f>M37</f>
        <v>35.550000000000004</v>
      </c>
      <c r="N59" s="207">
        <f>M59/M$56</f>
        <v>1.02913601296034E-2</v>
      </c>
      <c r="O59" s="149">
        <f>O37</f>
        <v>35.550000000000004</v>
      </c>
      <c r="P59" s="207">
        <f>O59/O$56</f>
        <v>9.0250615678022176E-3</v>
      </c>
      <c r="Q59" s="149">
        <f>Q37</f>
        <v>35.550000000000004</v>
      </c>
      <c r="R59" s="207">
        <f>Q59/Q$56</f>
        <v>8.0362150959543289E-3</v>
      </c>
      <c r="S59" s="149">
        <f>S37</f>
        <v>35.550000000000004</v>
      </c>
      <c r="T59" s="207">
        <f>S59/S$56</f>
        <v>7.3622249683470932E-3</v>
      </c>
      <c r="U59" s="149">
        <f>U37</f>
        <v>35.550000000000004</v>
      </c>
      <c r="V59" s="207">
        <f>U59/U$56</f>
        <v>6.7052604229783912E-3</v>
      </c>
      <c r="W59" s="149">
        <f>W37</f>
        <v>35.550000000000004</v>
      </c>
      <c r="X59" s="207">
        <f>W59/W$56</f>
        <v>5.6590604702050481E-3</v>
      </c>
      <c r="Y59" s="149">
        <f>Y37</f>
        <v>35.550000000000004</v>
      </c>
      <c r="Z59" s="207">
        <f>Y59/Y$56</f>
        <v>5.6483531698041612E-3</v>
      </c>
      <c r="AA59" s="149">
        <f>AA37</f>
        <v>35.550000000000004</v>
      </c>
      <c r="AB59" s="207">
        <f>AA59/AA$56</f>
        <v>4.9345978396455594E-3</v>
      </c>
      <c r="AC59" s="149">
        <f>AC37</f>
        <v>35.550000000000004</v>
      </c>
      <c r="AD59" s="207">
        <f>AC59/AC$56</f>
        <v>4.9070420580987432E-3</v>
      </c>
      <c r="AE59" s="149">
        <f>AE37</f>
        <v>35.550000000000004</v>
      </c>
      <c r="AF59" s="207">
        <f>AE59/AE$56</f>
        <v>4.3809927714112207E-3</v>
      </c>
      <c r="AG59" s="149">
        <f>AG37</f>
        <v>35.550000000000004</v>
      </c>
      <c r="AH59" s="207">
        <f>AG59/AG$56</f>
        <v>3.8467426146031464E-3</v>
      </c>
      <c r="AI59" s="149">
        <f>AI37</f>
        <v>35.550000000000004</v>
      </c>
      <c r="AJ59" s="207">
        <f>AI59/AI$56</f>
        <v>3.8313522583741529E-3</v>
      </c>
      <c r="AK59" s="149">
        <f>AK37</f>
        <v>35.550000000000004</v>
      </c>
      <c r="AL59" s="207">
        <f>AK59/AK$56</f>
        <v>3.523211367419976E-3</v>
      </c>
      <c r="AM59" s="149">
        <f>AM37</f>
        <v>35.550000000000004</v>
      </c>
      <c r="AN59" s="207">
        <f>AM59/AM$56</f>
        <v>3.4895377033947721E-3</v>
      </c>
      <c r="AO59" s="135"/>
      <c r="AP59" s="135"/>
      <c r="AQ59" s="135"/>
      <c r="AR59" s="135"/>
      <c r="AS59" s="135"/>
    </row>
    <row r="60" spans="1:45" ht="18" customHeight="1" x14ac:dyDescent="0.2">
      <c r="A60" s="154"/>
      <c r="B60" s="1562"/>
      <c r="C60" s="1565" t="s">
        <v>459</v>
      </c>
      <c r="D60" s="1565"/>
      <c r="E60" s="149">
        <f>E49</f>
        <v>141.63750000000002</v>
      </c>
      <c r="F60" s="207">
        <f>E60/E$56</f>
        <v>9.7052528998243862E-2</v>
      </c>
      <c r="G60" s="149">
        <f>G49</f>
        <v>186.97500000000002</v>
      </c>
      <c r="H60" s="207">
        <f>G60/G$56</f>
        <v>9.6875552931563802E-2</v>
      </c>
      <c r="I60" s="149">
        <f>I49</f>
        <v>229.04999999999998</v>
      </c>
      <c r="J60" s="207">
        <f>I60/I$56</f>
        <v>9.4063255434611859E-2</v>
      </c>
      <c r="K60" s="149">
        <f>K49</f>
        <v>274.95</v>
      </c>
      <c r="L60" s="207">
        <f>K60/K$56</f>
        <v>9.4597920304546473E-2</v>
      </c>
      <c r="M60" s="149">
        <f>M49</f>
        <v>320.84999999999991</v>
      </c>
      <c r="N60" s="207">
        <f>M60/M$56</f>
        <v>9.2882781929205335E-2</v>
      </c>
      <c r="O60" s="149">
        <f>O49</f>
        <v>366.74999999999994</v>
      </c>
      <c r="P60" s="207">
        <f>O60/O$56</f>
        <v>9.3106647819731714E-2</v>
      </c>
      <c r="Q60" s="149">
        <f>Q49</f>
        <v>412.65000000000009</v>
      </c>
      <c r="R60" s="207">
        <f>Q60/Q$56</f>
        <v>9.3281129658102799E-2</v>
      </c>
      <c r="S60" s="149">
        <f>S49</f>
        <v>454.38749999999999</v>
      </c>
      <c r="T60" s="207">
        <f>S60/S$56</f>
        <v>9.4101350149221219E-2</v>
      </c>
      <c r="U60" s="149">
        <f>U49</f>
        <v>496.12499999999994</v>
      </c>
      <c r="V60" s="207">
        <f>U60/U$56</f>
        <v>9.3576577421945237E-2</v>
      </c>
      <c r="W60" s="149">
        <f>W49</f>
        <v>579.59999999999991</v>
      </c>
      <c r="X60" s="207">
        <f>W60/W$56</f>
        <v>9.2264175767393666E-2</v>
      </c>
      <c r="Y60" s="149">
        <f>Y49</f>
        <v>571.94999999999993</v>
      </c>
      <c r="Z60" s="207">
        <f>Y60/Y$56</f>
        <v>9.0874137706596039E-2</v>
      </c>
      <c r="AA60" s="149">
        <f>AA49</f>
        <v>659.25</v>
      </c>
      <c r="AB60" s="207">
        <f>AA60/AA$56</f>
        <v>9.1508681456718269E-2</v>
      </c>
      <c r="AC60" s="149">
        <f>AC49</f>
        <v>663.07500000000005</v>
      </c>
      <c r="AD60" s="207">
        <f>AC60/AC$56</f>
        <v>9.1525651552006301E-2</v>
      </c>
      <c r="AE60" s="149">
        <f>AE49</f>
        <v>746.55000000000018</v>
      </c>
      <c r="AF60" s="207">
        <f>AE60/AE$56</f>
        <v>9.2000848199635651E-2</v>
      </c>
      <c r="AG60" s="149">
        <f>AG49</f>
        <v>833.85</v>
      </c>
      <c r="AH60" s="207">
        <f>AG60/AG$56</f>
        <v>9.0228026137463668E-2</v>
      </c>
      <c r="AI60" s="149">
        <f>AI49</f>
        <v>830.02499999999998</v>
      </c>
      <c r="AJ60" s="207">
        <f>AI60/AI$56</f>
        <v>8.945480051355853E-2</v>
      </c>
      <c r="AK60" s="149">
        <f>AK49</f>
        <v>913.49999999999989</v>
      </c>
      <c r="AL60" s="207">
        <f>AK60/AK$56</f>
        <v>9.0533152859019611E-2</v>
      </c>
      <c r="AM60" s="149">
        <f>AM49</f>
        <v>921.15000000000009</v>
      </c>
      <c r="AN60" s="207">
        <f>AM60/AM$56</f>
        <v>9.0418780744925292E-2</v>
      </c>
      <c r="AO60" s="135"/>
      <c r="AP60" s="135"/>
      <c r="AQ60" s="135"/>
      <c r="AR60" s="135"/>
      <c r="AS60" s="135"/>
    </row>
    <row r="61" spans="1:45" ht="18" customHeight="1" x14ac:dyDescent="0.2">
      <c r="A61" s="154"/>
      <c r="B61" s="1563"/>
      <c r="C61" s="1565" t="s">
        <v>5</v>
      </c>
      <c r="D61" s="1565"/>
      <c r="E61" s="149">
        <f>E54</f>
        <v>99.840000000000018</v>
      </c>
      <c r="F61" s="207">
        <f>E61/E$56</f>
        <v>6.841214011250317E-2</v>
      </c>
      <c r="G61" s="149">
        <f>G54</f>
        <v>147.19999999999999</v>
      </c>
      <c r="H61" s="207">
        <f>G61/G$56</f>
        <v>7.6267315906009839E-2</v>
      </c>
      <c r="I61" s="149">
        <f>I54</f>
        <v>192.00000000000003</v>
      </c>
      <c r="J61" s="207">
        <f>I61/I$56</f>
        <v>7.8848046467782054E-2</v>
      </c>
      <c r="K61" s="149">
        <f>K54</f>
        <v>240</v>
      </c>
      <c r="L61" s="207">
        <f>K61/K$56</f>
        <v>8.2573198301840886E-2</v>
      </c>
      <c r="M61" s="149">
        <f>M54</f>
        <v>288</v>
      </c>
      <c r="N61" s="207">
        <f>M61/M$56</f>
        <v>8.3373044087926271E-2</v>
      </c>
      <c r="O61" s="149">
        <f>O54</f>
        <v>336</v>
      </c>
      <c r="P61" s="207">
        <f>O61/O$56</f>
        <v>8.5300159965725597E-2</v>
      </c>
      <c r="Q61" s="149">
        <f>Q54</f>
        <v>384.00000000000006</v>
      </c>
      <c r="R61" s="207">
        <f>Q61/Q$56</f>
        <v>8.6804686268536213E-2</v>
      </c>
      <c r="S61" s="149">
        <f>S54</f>
        <v>428.8</v>
      </c>
      <c r="T61" s="207">
        <f>S61/S$56</f>
        <v>8.8802308478965766E-2</v>
      </c>
      <c r="U61" s="149">
        <f>U54</f>
        <v>473.6</v>
      </c>
      <c r="V61" s="207">
        <f>U61/U$56</f>
        <v>8.9328026338187497E-2</v>
      </c>
      <c r="W61" s="149">
        <f>W54</f>
        <v>563.20000000000005</v>
      </c>
      <c r="X61" s="207">
        <f>W61/W$56</f>
        <v>8.9653526211518508E-2</v>
      </c>
      <c r="Y61" s="149">
        <f>Y54</f>
        <v>556.79999999999995</v>
      </c>
      <c r="Z61" s="207">
        <f>Y61/Y$56</f>
        <v>8.846703361313521E-2</v>
      </c>
      <c r="AA61" s="149">
        <f>AA54</f>
        <v>649.59999999999991</v>
      </c>
      <c r="AB61" s="207">
        <f>AA61/AA$56</f>
        <v>9.016919146649098E-2</v>
      </c>
      <c r="AC61" s="149">
        <f>AC54</f>
        <v>652.79999999999995</v>
      </c>
      <c r="AD61" s="207">
        <f>AC61/AC$56</f>
        <v>9.0107371463484076E-2</v>
      </c>
      <c r="AE61" s="149">
        <f>AE54</f>
        <v>742.40000000000009</v>
      </c>
      <c r="AF61" s="207">
        <f>AE61/AE$56</f>
        <v>9.1489424289611543E-2</v>
      </c>
      <c r="AG61" s="149">
        <f>AG54</f>
        <v>835.19999999999993</v>
      </c>
      <c r="AH61" s="207">
        <f>AG61/AG$56</f>
        <v>9.0374104970929597E-2</v>
      </c>
      <c r="AI61" s="149">
        <f>AI54</f>
        <v>832</v>
      </c>
      <c r="AJ61" s="207">
        <f>AI61/AI$56</f>
        <v>8.9667653416801538E-2</v>
      </c>
      <c r="AK61" s="149">
        <f>AK54</f>
        <v>921.59999999999991</v>
      </c>
      <c r="AL61" s="207">
        <f>AK61/AK$56</f>
        <v>9.1335909879444413E-2</v>
      </c>
      <c r="AM61" s="149">
        <f>AM54</f>
        <v>928</v>
      </c>
      <c r="AN61" s="207">
        <f>AM61/AM$56</f>
        <v>9.1091167053455643E-2</v>
      </c>
      <c r="AO61" s="135"/>
      <c r="AP61" s="135"/>
      <c r="AQ61" s="135"/>
      <c r="AR61" s="135"/>
      <c r="AS61" s="135"/>
    </row>
    <row r="62" spans="1:45" ht="18" x14ac:dyDescent="0.2">
      <c r="A62" s="154"/>
      <c r="B62" s="172"/>
      <c r="C62" s="154"/>
      <c r="D62" s="227"/>
      <c r="E62" s="154"/>
      <c r="F62" s="154"/>
      <c r="G62" s="154"/>
      <c r="H62" s="154"/>
      <c r="I62" s="154"/>
      <c r="J62" s="154"/>
      <c r="K62" s="154"/>
      <c r="L62" s="154"/>
      <c r="M62" s="154"/>
      <c r="N62" s="154"/>
      <c r="O62" s="154"/>
      <c r="P62" s="154"/>
      <c r="Q62" s="228"/>
      <c r="R62" s="229"/>
      <c r="S62" s="154"/>
      <c r="T62" s="230"/>
      <c r="U62" s="154"/>
      <c r="V62" s="154"/>
      <c r="W62" s="154"/>
      <c r="X62" s="154"/>
      <c r="Y62" s="154"/>
      <c r="Z62" s="154"/>
      <c r="AA62" s="154"/>
      <c r="AB62" s="154"/>
      <c r="AC62" s="154"/>
      <c r="AD62" s="154"/>
      <c r="AE62" s="154"/>
      <c r="AF62" s="154"/>
      <c r="AG62" s="154"/>
      <c r="AH62" s="154"/>
      <c r="AI62" s="154"/>
      <c r="AJ62" s="154"/>
      <c r="AK62" s="154"/>
      <c r="AL62" s="154"/>
      <c r="AM62" s="154"/>
      <c r="AN62" s="154"/>
      <c r="AO62" s="154"/>
      <c r="AP62" s="154"/>
      <c r="AQ62" s="154"/>
      <c r="AR62" s="154"/>
      <c r="AS62" s="154"/>
    </row>
    <row r="63" spans="1:45" x14ac:dyDescent="0.2">
      <c r="A63" s="154"/>
      <c r="B63" s="1566" t="s">
        <v>1462</v>
      </c>
      <c r="C63" s="1568" t="s">
        <v>1463</v>
      </c>
      <c r="D63" s="1569"/>
      <c r="E63" s="149">
        <f>(VLOOKUP("Prix HT",$C$1:$N$59,E$1,0))-(VLOOKUP("Non margé",$D$1:$N$59,E$1,0))</f>
        <v>544.68809999999996</v>
      </c>
      <c r="F63" s="207">
        <f>E63/VLOOKUP("Prix HT",$C$1:$N$59,E$1,0)</f>
        <v>0.3732299540746507</v>
      </c>
      <c r="G63" s="149">
        <f>(VLOOKUP("Prix HT",$C$1:$N$59,G$1,0))-(VLOOKUP("Non margé",$D$1:$N$59,G$1,0))</f>
        <v>724.60850000000028</v>
      </c>
      <c r="H63" s="207">
        <f>G63/VLOOKUP("Prix HT",$C$1:$N$59,G$1,0)</f>
        <v>0.37543441153315188</v>
      </c>
      <c r="I63" s="149">
        <f>(VLOOKUP("Prix HT",$C$1:$N$59,I$1,0))-(VLOOKUP("Non margé",$D$1:$N$59,I$1,0))</f>
        <v>913.16850000000022</v>
      </c>
      <c r="J63" s="207">
        <f>I63/VLOOKUP("Prix HT",$C$1:$N$59,I$1,0)</f>
        <v>0.37500808500476485</v>
      </c>
      <c r="K63" s="149">
        <f>(VLOOKUP("Prix HT",$C$1:$N$59,K$1,0))-(VLOOKUP("Non margé",$D$1:$N$59,K$1,0))</f>
        <v>1094.1950999999999</v>
      </c>
      <c r="L63" s="207">
        <f>K63/VLOOKUP("Prix HT",$C$1:$N$59,K$1,0)</f>
        <v>0.37646328738834423</v>
      </c>
      <c r="M63" s="149">
        <f>(VLOOKUP("Prix HT",$C$1:$N$59,M$1,0))-(VLOOKUP("Non margé",$D$1:$N$59,M$1,0))</f>
        <v>1292.8508999999995</v>
      </c>
      <c r="N63" s="207">
        <f>M63/VLOOKUP("Prix HT",$C$1:$N$59,M$1,0)</f>
        <v>0.37426706626671918</v>
      </c>
      <c r="O63" s="149">
        <f>(VLOOKUP("Prix HT",$C$1:$AN$59,O$1,0))-(VLOOKUP("Non margé",$D$1:$AN$59,O$1,0))</f>
        <v>1476.9303</v>
      </c>
      <c r="P63" s="207">
        <f>O63/VLOOKUP("Prix HT",$C$1:$AN$59,O$1,0)</f>
        <v>0.37494759181019965</v>
      </c>
      <c r="Q63" s="149">
        <f>(VLOOKUP("Prix HT",$C$1:$AN$59,Q$1,0))-(VLOOKUP("Non margé",$D$1:$AN$59,Q$1,0))</f>
        <v>1661.0133000000005</v>
      </c>
      <c r="R63" s="207">
        <f>Q63/VLOOKUP("Prix HT",$C$1:$AN$59,Q$1,0)</f>
        <v>0.37547848540199491</v>
      </c>
      <c r="S63" s="149">
        <f>(VLOOKUP("Prix HT",$C$1:$AN$59,S$1,0))-(VLOOKUP("Non margé",$D$1:$AN$59,S$1,0))</f>
        <v>1821.0373</v>
      </c>
      <c r="T63" s="207">
        <f>S63/VLOOKUP("Prix HT",$C$1:$AN$59,S$1,0)</f>
        <v>0.37712760276656465</v>
      </c>
      <c r="U63" s="149">
        <f>(VLOOKUP("Prix HT",$C$1:$AN$59,U$1,0))-(VLOOKUP("Non margé",$D$1:$AN$59,U$1,0))</f>
        <v>1996.7824999999998</v>
      </c>
      <c r="V63" s="207">
        <f>U63/VLOOKUP("Prix HT",$C$1:$AN$59,U$1,0)</f>
        <v>0.37662297244854698</v>
      </c>
      <c r="W63" s="149">
        <f>(VLOOKUP("Prix HT",$C$1:$AN$59,W$1,0))-(VLOOKUP("Non margé",$D$1:$AN$59,W$1,0))</f>
        <v>2356.1064999999994</v>
      </c>
      <c r="X63" s="207">
        <f>W63/VLOOKUP("Prix HT",$C$1:$AN$59,W$1,0)</f>
        <v>0.37505904803778239</v>
      </c>
      <c r="Y63" s="149">
        <f>(VLOOKUP("Prix HT",$C$1:$AN$59,Y$1,0))-(VLOOKUP("Non margé",$D$1:$AN$59,Y$1,0))</f>
        <v>2348.0469000000007</v>
      </c>
      <c r="Z63" s="207">
        <f>Y63/VLOOKUP("Prix HT",$C$1:$AN$59,Y$1,0)</f>
        <v>0.37306886499195041</v>
      </c>
      <c r="AA63" s="149">
        <f>(VLOOKUP("Prix HT",$C$1:$AN$59,AA$1,0))-(VLOOKUP("Non margé",$D$1:$AN$59,AA$1,0))</f>
        <v>2696.6695</v>
      </c>
      <c r="AB63" s="207">
        <f>AA63/VLOOKUP("Prix HT",$C$1:$AN$59,AA$1,0)</f>
        <v>0.37431728520219604</v>
      </c>
      <c r="AC63" s="149">
        <f>(VLOOKUP("Prix HT",$C$1:$AN$59,AC$1,0))-(VLOOKUP("Non margé",$D$1:$AN$59,AC$1,0))</f>
        <v>2711.4093000000003</v>
      </c>
      <c r="AD63" s="207">
        <f>AC63/VLOOKUP("Prix HT",$C$1:$AN$59,AC$1,0)</f>
        <v>0.3742615885181455</v>
      </c>
      <c r="AE63" s="149">
        <f>(VLOOKUP("Prix HT",$C$1:$AN$59,AE$1,0))-(VLOOKUP("Non margé",$D$1:$AN$59,AE$1,0))</f>
        <v>3045.2921000000006</v>
      </c>
      <c r="AF63" s="207">
        <f>AE63/VLOOKUP("Prix HT",$C$1:$AN$59,AE$1,0)</f>
        <v>0.37528558866204492</v>
      </c>
      <c r="AG63" s="149">
        <f>(VLOOKUP("Prix HT",$C$1:$AN$59,AG$1,0))-(VLOOKUP("Non margé",$D$1:$AN$59,AG$1,0))</f>
        <v>3443.9043000000001</v>
      </c>
      <c r="AH63" s="207">
        <f>AG63/VLOOKUP("Prix HT",$C$1:$AN$59,AG$1,0)</f>
        <v>0.3726529797869203</v>
      </c>
      <c r="AI63" s="149">
        <f>(VLOOKUP("Prix HT",$C$1:$AN$59,AI$1,0))-(VLOOKUP("Non margé",$D$1:$AN$59,AI$1,0))</f>
        <v>3447.0673000000015</v>
      </c>
      <c r="AJ63" s="207">
        <f>AI63/VLOOKUP("Prix HT",$C$1:$AN$59,AI$1,0)</f>
        <v>0.37150292783748801</v>
      </c>
      <c r="AK63" s="149">
        <f>(VLOOKUP("Prix HT",$C$1:$AN$59,AK$1,0))-(VLOOKUP("Non margé",$D$1:$AN$59,AK$1,0))</f>
        <v>3767.4753000000001</v>
      </c>
      <c r="AL63" s="207">
        <f>AK63/VLOOKUP("Prix HT",$C$1:$AN$59,AK$1,0)</f>
        <v>0.37337867238914157</v>
      </c>
      <c r="AM63" s="149">
        <f>(VLOOKUP("Prix HT",$C$1:$AN$59,AM$1,0))-(VLOOKUP("Non margé",$D$1:$AN$59,AM$1,0))</f>
        <v>3800.7529000000013</v>
      </c>
      <c r="AN63" s="207">
        <f>AM63/VLOOKUP("Prix HT",$C$1:$AN$59,AM$1,0)</f>
        <v>0.37307652730905833</v>
      </c>
      <c r="AO63" s="154"/>
      <c r="AP63" s="154"/>
      <c r="AQ63" s="154"/>
      <c r="AR63" s="154"/>
      <c r="AS63" s="154"/>
    </row>
    <row r="64" spans="1:45" ht="15" customHeight="1" x14ac:dyDescent="0.2">
      <c r="A64" s="154"/>
      <c r="B64" s="1566"/>
      <c r="C64" s="1568" t="s">
        <v>240</v>
      </c>
      <c r="D64" s="1569"/>
      <c r="E64" s="149">
        <f ca="1">SUMIF($AC$70:$AC$101,$C$64,F4:F31)</f>
        <v>297.52799999999996</v>
      </c>
      <c r="F64" s="207">
        <f ca="1">E64/E56</f>
        <v>0.2038714665804571</v>
      </c>
      <c r="G64" s="149">
        <f ca="1">SUMIF($AC$70:$AC$101,$C$64,H4:H31)</f>
        <v>340.62</v>
      </c>
      <c r="H64" s="207">
        <f ca="1">G64/G56</f>
        <v>0.17648215451022467</v>
      </c>
      <c r="I64" s="149">
        <f ca="1">SUMIF($AC$70:$AC$101,$C$64,J4:J31)</f>
        <v>411.12</v>
      </c>
      <c r="J64" s="207">
        <f ca="1">I64/I56</f>
        <v>0.16883337949913832</v>
      </c>
      <c r="K64" s="149">
        <f ca="1">SUMIF($AC$70:$AC$101,$C$64,L4:L31)</f>
        <v>454.21199999999999</v>
      </c>
      <c r="L64" s="207">
        <f ca="1">K64/K56</f>
        <v>0.15627390644614897</v>
      </c>
      <c r="M64" s="149">
        <f ca="1">SUMIF($AC$70:$AC$101,$C$64,N4:N31)</f>
        <v>556.06799999999998</v>
      </c>
      <c r="N64" s="207">
        <f ca="1">M64/M56</f>
        <v>0.16097597874960065</v>
      </c>
      <c r="O64" s="149">
        <f ca="1">SUMIF($AC$70:$AC$101,$C$64,P4:P31)</f>
        <v>609.3359999999999</v>
      </c>
      <c r="P64" s="207">
        <f ca="1">O64/O56</f>
        <v>0.15469184009784334</v>
      </c>
      <c r="Q64" s="149">
        <f ca="1">SUMIF($AC$70:$AC$101,$C$64,R4:R31)</f>
        <v>662.61599999999987</v>
      </c>
      <c r="R64" s="207">
        <f ca="1">Q64/Q56</f>
        <v>0.14978691144925096</v>
      </c>
      <c r="S64" s="149">
        <f ca="1">SUMIF($AC$70:$AC$101,$C$64,T4:T31)</f>
        <v>662.61599999999987</v>
      </c>
      <c r="T64" s="207">
        <f ca="1">S64/S56</f>
        <v>0.13722441799230031</v>
      </c>
      <c r="U64" s="149">
        <f ca="1">SUMIF($AC$70:$AC$101,$C$64,V4:V31)</f>
        <v>715.02</v>
      </c>
      <c r="V64" s="207">
        <f ca="1">U64/U56</f>
        <v>0.13486344043988771</v>
      </c>
      <c r="W64" s="149">
        <f ca="1">SUMIF($AC$70:$AC$101,$C$64,X4:X31)</f>
        <v>845.94</v>
      </c>
      <c r="X64" s="207">
        <f ca="1">W64/W56</f>
        <v>0.13466176129860077</v>
      </c>
      <c r="Y64" s="149">
        <f ca="1">SUMIF($AC$70:$AC$101,$C$64,Z4:Z31)</f>
        <v>868.66800000000001</v>
      </c>
      <c r="Z64" s="207">
        <f ca="1">Y64/Y56</f>
        <v>0.13801810552200958</v>
      </c>
      <c r="AA64" s="149">
        <f ca="1">SUMIF($AC$70:$AC$101,$C$64,AB4:AB31)</f>
        <v>939.12</v>
      </c>
      <c r="AB64" s="207">
        <f ca="1">AA64/AA56</f>
        <v>0.13035666731836673</v>
      </c>
      <c r="AC64" s="149">
        <f ca="1">SUMIF($AC$70:$AC$101,$C$64,AD4:AD31)</f>
        <v>963.4559999999999</v>
      </c>
      <c r="AD64" s="207">
        <f ca="1">AC64/AC56</f>
        <v>0.13298787941287149</v>
      </c>
      <c r="AE64" s="149">
        <f ca="1">SUMIF($AC$70:$AC$101,$C$64,AF4:AF31)</f>
        <v>1009.5719999999999</v>
      </c>
      <c r="AF64" s="207">
        <f ca="1">AE64/AE56</f>
        <v>0.12441427944357716</v>
      </c>
      <c r="AG64" s="149">
        <f ca="1">SUMIF($AC$70:$AC$101,$C$64,AH4:AH31)</f>
        <v>1246.6560000000002</v>
      </c>
      <c r="AH64" s="207">
        <f ca="1">AG64/AG56</f>
        <v>0.13489633645430943</v>
      </c>
      <c r="AI64" s="149">
        <f ca="1">SUMIF($AC$70:$AC$101,$C$64,AJ4:AJ31)</f>
        <v>1281.9959999999999</v>
      </c>
      <c r="AJ64" s="207">
        <f ca="1">AI64/AI56</f>
        <v>0.13816535217515133</v>
      </c>
      <c r="AK64" s="149">
        <f ca="1">SUMIF($AC$70:$AC$101,$C$64,AL4:AL31)</f>
        <v>1283.1959999999999</v>
      </c>
      <c r="AL64" s="207">
        <f ca="1">AK64/AK56</f>
        <v>0.12717217254086757</v>
      </c>
      <c r="AM64" s="149">
        <f ca="1">SUMIF($AC$70:$AC$101,$C$64,AN4:AN31)</f>
        <v>1344.528</v>
      </c>
      <c r="AN64" s="207">
        <f ca="1">AM64/AM56</f>
        <v>0.13197696622419031</v>
      </c>
      <c r="AO64" s="154"/>
      <c r="AP64" s="154"/>
      <c r="AQ64" s="154"/>
      <c r="AR64" s="154"/>
      <c r="AS64" s="154"/>
    </row>
    <row r="65" spans="1:45" x14ac:dyDescent="0.2">
      <c r="A65" s="154"/>
      <c r="B65" s="1566"/>
      <c r="C65" s="1568"/>
      <c r="D65" s="1569"/>
      <c r="E65" s="149"/>
      <c r="F65" s="207"/>
      <c r="G65" s="149"/>
      <c r="H65" s="207"/>
      <c r="I65" s="149"/>
      <c r="J65" s="207"/>
      <c r="K65" s="149"/>
      <c r="L65" s="207"/>
      <c r="M65" s="149"/>
      <c r="N65" s="207"/>
      <c r="O65" s="149"/>
      <c r="P65" s="207"/>
      <c r="Q65" s="149"/>
      <c r="R65" s="207"/>
      <c r="S65" s="149"/>
      <c r="T65" s="207"/>
      <c r="U65" s="149"/>
      <c r="V65" s="207"/>
      <c r="W65" s="149"/>
      <c r="X65" s="207"/>
      <c r="Y65" s="149"/>
      <c r="Z65" s="207"/>
      <c r="AA65" s="149"/>
      <c r="AB65" s="207"/>
      <c r="AC65" s="149"/>
      <c r="AD65" s="207"/>
      <c r="AE65" s="149"/>
      <c r="AF65" s="207"/>
      <c r="AG65" s="149"/>
      <c r="AH65" s="207"/>
      <c r="AI65" s="149"/>
      <c r="AJ65" s="207"/>
      <c r="AK65" s="149"/>
      <c r="AL65" s="207"/>
      <c r="AM65" s="149"/>
      <c r="AN65" s="207"/>
      <c r="AO65" s="154"/>
      <c r="AP65" s="154"/>
      <c r="AQ65" s="154"/>
      <c r="AR65" s="154"/>
      <c r="AS65" s="154"/>
    </row>
    <row r="66" spans="1:45" x14ac:dyDescent="0.2">
      <c r="A66" s="154"/>
      <c r="B66" s="1566"/>
      <c r="C66" s="1569"/>
      <c r="D66" s="1569"/>
      <c r="E66" s="149"/>
      <c r="F66" s="207"/>
      <c r="G66" s="149"/>
      <c r="H66" s="207"/>
      <c r="I66" s="149"/>
      <c r="J66" s="207"/>
      <c r="K66" s="149"/>
      <c r="L66" s="207"/>
      <c r="M66" s="149"/>
      <c r="N66" s="207"/>
      <c r="O66" s="149"/>
      <c r="P66" s="207"/>
      <c r="Q66" s="149"/>
      <c r="R66" s="207"/>
      <c r="S66" s="149"/>
      <c r="T66" s="207"/>
      <c r="U66" s="149"/>
      <c r="V66" s="207"/>
      <c r="W66" s="149"/>
      <c r="X66" s="207"/>
      <c r="Y66" s="149"/>
      <c r="Z66" s="207"/>
      <c r="AA66" s="149"/>
      <c r="AB66" s="207"/>
      <c r="AC66" s="149"/>
      <c r="AD66" s="207"/>
      <c r="AE66" s="149"/>
      <c r="AF66" s="207"/>
      <c r="AG66" s="149"/>
      <c r="AH66" s="207"/>
      <c r="AI66" s="149"/>
      <c r="AJ66" s="207"/>
      <c r="AK66" s="149"/>
      <c r="AL66" s="207"/>
      <c r="AM66" s="149"/>
      <c r="AN66" s="207"/>
      <c r="AO66" s="154"/>
      <c r="AP66" s="154"/>
      <c r="AQ66" s="154"/>
      <c r="AR66" s="154"/>
      <c r="AS66" s="154"/>
    </row>
    <row r="67" spans="1:45" x14ac:dyDescent="0.2">
      <c r="A67" s="154"/>
      <c r="B67" s="1567"/>
      <c r="C67" s="1569"/>
      <c r="D67" s="1569"/>
      <c r="E67" s="149"/>
      <c r="F67" s="207"/>
      <c r="G67" s="149"/>
      <c r="H67" s="207"/>
      <c r="I67" s="149"/>
      <c r="J67" s="207"/>
      <c r="K67" s="149"/>
      <c r="L67" s="207"/>
      <c r="M67" s="149"/>
      <c r="N67" s="207"/>
      <c r="O67" s="149"/>
      <c r="P67" s="207"/>
      <c r="Q67" s="149"/>
      <c r="R67" s="207"/>
      <c r="S67" s="149"/>
      <c r="T67" s="207"/>
      <c r="U67" s="149"/>
      <c r="V67" s="207"/>
      <c r="W67" s="149"/>
      <c r="X67" s="207"/>
      <c r="Y67" s="149"/>
      <c r="Z67" s="207"/>
      <c r="AA67" s="149"/>
      <c r="AB67" s="207"/>
      <c r="AC67" s="149"/>
      <c r="AD67" s="207"/>
      <c r="AE67" s="149"/>
      <c r="AF67" s="207"/>
      <c r="AG67" s="149"/>
      <c r="AH67" s="207"/>
      <c r="AI67" s="149"/>
      <c r="AJ67" s="207"/>
      <c r="AK67" s="149"/>
      <c r="AL67" s="207"/>
      <c r="AM67" s="149"/>
      <c r="AN67" s="207"/>
      <c r="AO67" s="154"/>
      <c r="AP67" s="154"/>
      <c r="AQ67" s="154"/>
      <c r="AR67" s="154"/>
      <c r="AS67" s="154"/>
    </row>
    <row r="68" spans="1:45" ht="18" x14ac:dyDescent="0.2">
      <c r="A68" s="154"/>
      <c r="B68" s="172"/>
      <c r="C68" s="231"/>
      <c r="D68" s="227"/>
      <c r="E68" s="154"/>
      <c r="F68" s="154"/>
      <c r="G68" s="154"/>
      <c r="H68" s="154"/>
      <c r="I68" s="154"/>
      <c r="J68" s="154"/>
      <c r="K68" s="154"/>
      <c r="L68" s="154"/>
      <c r="M68" s="154"/>
      <c r="N68" s="154"/>
      <c r="O68" s="154"/>
      <c r="P68" s="154"/>
      <c r="Q68" s="154"/>
      <c r="R68" s="154"/>
      <c r="S68" s="154"/>
      <c r="T68" s="154"/>
      <c r="U68" s="154"/>
      <c r="V68" s="154"/>
      <c r="W68" s="154"/>
      <c r="X68" s="154"/>
      <c r="Y68" s="154"/>
      <c r="Z68" s="154"/>
      <c r="AA68" s="154"/>
      <c r="AB68" s="154"/>
      <c r="AC68" s="154"/>
      <c r="AD68" s="154"/>
      <c r="AE68" s="154"/>
      <c r="AF68" s="154"/>
      <c r="AG68" s="154"/>
      <c r="AH68" s="154"/>
      <c r="AI68" s="154"/>
      <c r="AJ68" s="154"/>
      <c r="AK68" s="154"/>
      <c r="AL68" s="154"/>
      <c r="AM68" s="154"/>
      <c r="AN68" s="154"/>
      <c r="AO68" s="154"/>
      <c r="AP68" s="154"/>
      <c r="AQ68" s="154"/>
      <c r="AR68" s="154"/>
      <c r="AS68" s="154"/>
    </row>
    <row r="69" spans="1:45" ht="18" x14ac:dyDescent="0.2">
      <c r="A69" s="154"/>
      <c r="B69" s="172"/>
      <c r="C69" s="231"/>
      <c r="D69" s="227"/>
      <c r="E69" s="154"/>
      <c r="F69" s="154"/>
      <c r="G69" s="154"/>
      <c r="H69" s="154"/>
      <c r="I69" s="154"/>
      <c r="J69" s="154"/>
      <c r="K69" s="154"/>
      <c r="L69" s="154"/>
      <c r="M69" s="154"/>
      <c r="N69" s="154"/>
      <c r="O69" s="154"/>
      <c r="P69" s="154"/>
      <c r="Q69" s="154"/>
      <c r="R69" s="154"/>
      <c r="S69" s="154"/>
      <c r="T69" s="154"/>
      <c r="U69" s="154"/>
      <c r="V69" s="154"/>
      <c r="W69" s="154"/>
      <c r="X69" s="154"/>
      <c r="Y69" s="154"/>
      <c r="Z69" s="154"/>
      <c r="AA69" s="154"/>
      <c r="AB69" s="154"/>
      <c r="AC69" s="154"/>
      <c r="AD69" s="154"/>
      <c r="AE69" s="154"/>
      <c r="AF69" s="154"/>
      <c r="AG69" s="154"/>
      <c r="AH69" s="154"/>
      <c r="AI69" s="154"/>
      <c r="AJ69" s="154"/>
      <c r="AK69" s="154"/>
      <c r="AL69" s="154"/>
      <c r="AM69" s="154"/>
      <c r="AN69" s="154"/>
      <c r="AO69" s="154"/>
      <c r="AP69" s="154"/>
      <c r="AQ69" s="154"/>
      <c r="AR69" s="154"/>
      <c r="AS69" s="154"/>
    </row>
    <row r="70" spans="1:45" ht="28.5" x14ac:dyDescent="0.2">
      <c r="A70" s="154"/>
      <c r="B70" s="172"/>
      <c r="C70" s="231"/>
      <c r="D70" s="227"/>
      <c r="E70" s="154"/>
      <c r="F70" s="154"/>
      <c r="G70" s="154"/>
      <c r="H70" s="154"/>
      <c r="I70" s="154"/>
      <c r="J70" s="154"/>
      <c r="K70" s="154"/>
      <c r="L70" s="154"/>
      <c r="M70" s="154"/>
      <c r="N70" s="154"/>
      <c r="O70" s="154"/>
      <c r="P70" s="154"/>
      <c r="Q70" s="154"/>
      <c r="R70" s="154"/>
      <c r="S70" s="154"/>
      <c r="T70" s="154"/>
      <c r="U70" s="154"/>
      <c r="V70" s="154"/>
      <c r="W70" s="154"/>
      <c r="X70" s="154"/>
      <c r="Y70" s="154"/>
      <c r="Z70" s="154"/>
      <c r="AA70" s="154"/>
      <c r="AB70" s="154"/>
      <c r="AC70" s="154" t="str">
        <f>VLOOKUP(C4,MATIERES!A2:G448,3,0)</f>
        <v>JARDINS DE LEONIE</v>
      </c>
      <c r="AD70" s="154"/>
      <c r="AE70" s="154"/>
      <c r="AF70" s="154"/>
      <c r="AG70" s="154"/>
      <c r="AH70" s="154"/>
      <c r="AI70" s="154"/>
      <c r="AJ70" s="154"/>
      <c r="AK70" s="154"/>
      <c r="AL70" s="154"/>
      <c r="AM70" s="154"/>
      <c r="AN70" s="154"/>
      <c r="AO70" s="154"/>
      <c r="AP70" s="154"/>
      <c r="AQ70" s="154"/>
      <c r="AR70" s="154"/>
      <c r="AS70" s="154"/>
    </row>
    <row r="71" spans="1:45" ht="18" x14ac:dyDescent="0.2">
      <c r="A71" s="154"/>
      <c r="B71" s="172"/>
      <c r="C71" s="231"/>
      <c r="D71" s="227"/>
      <c r="E71" s="154"/>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t="str">
        <f>VLOOKUP(C5,MATIERES!A3:G448,3,0)</f>
        <v>PIGEON</v>
      </c>
      <c r="AD71" s="154"/>
      <c r="AE71" s="154"/>
      <c r="AF71" s="154"/>
      <c r="AG71" s="154"/>
      <c r="AH71" s="154"/>
      <c r="AI71" s="154"/>
      <c r="AJ71" s="154"/>
      <c r="AK71" s="154"/>
      <c r="AL71" s="154"/>
      <c r="AM71" s="154"/>
      <c r="AN71" s="154"/>
      <c r="AO71" s="154"/>
      <c r="AP71" s="154"/>
      <c r="AQ71" s="154"/>
      <c r="AR71" s="154"/>
      <c r="AS71" s="154"/>
    </row>
    <row r="72" spans="1:45" ht="18" x14ac:dyDescent="0.2">
      <c r="A72" s="154"/>
      <c r="B72" s="172"/>
      <c r="C72" s="231"/>
      <c r="D72" s="227"/>
      <c r="E72" s="154"/>
      <c r="F72" s="154"/>
      <c r="G72" s="154"/>
      <c r="H72" s="154"/>
      <c r="I72" s="154"/>
      <c r="J72" s="154"/>
      <c r="K72" s="154"/>
      <c r="L72" s="154"/>
      <c r="M72" s="154"/>
      <c r="N72" s="154"/>
      <c r="O72" s="154"/>
      <c r="P72" s="154"/>
      <c r="Q72" s="154"/>
      <c r="R72" s="154"/>
      <c r="S72" s="154"/>
      <c r="T72" s="154"/>
      <c r="U72" s="154"/>
      <c r="V72" s="154"/>
      <c r="W72" s="154"/>
      <c r="X72" s="154"/>
      <c r="Y72" s="154"/>
      <c r="Z72" s="154"/>
      <c r="AA72" s="154"/>
      <c r="AB72" s="154"/>
      <c r="AC72" s="154" t="str">
        <f>VLOOKUP(C6,MATIERES!A4:G448,3,0)</f>
        <v>PIGEON</v>
      </c>
      <c r="AD72" s="154"/>
      <c r="AE72" s="154"/>
      <c r="AF72" s="154"/>
      <c r="AG72" s="154"/>
      <c r="AH72" s="154"/>
      <c r="AI72" s="154"/>
      <c r="AJ72" s="154"/>
      <c r="AK72" s="154"/>
      <c r="AL72" s="154"/>
      <c r="AM72" s="154"/>
      <c r="AN72" s="154"/>
      <c r="AO72" s="154"/>
      <c r="AP72" s="154"/>
      <c r="AQ72" s="154"/>
      <c r="AR72" s="154"/>
      <c r="AS72" s="154"/>
    </row>
    <row r="73" spans="1:45" ht="18" x14ac:dyDescent="0.2">
      <c r="A73" s="154"/>
      <c r="B73" s="172"/>
      <c r="C73" s="231"/>
      <c r="D73" s="227"/>
      <c r="E73" s="154"/>
      <c r="F73" s="154"/>
      <c r="G73" s="154"/>
      <c r="H73" s="154"/>
      <c r="I73" s="154"/>
      <c r="J73" s="154"/>
      <c r="K73" s="154"/>
      <c r="L73" s="154"/>
      <c r="M73" s="154"/>
      <c r="N73" s="154"/>
      <c r="O73" s="154"/>
      <c r="P73" s="154"/>
      <c r="Q73" s="154"/>
      <c r="R73" s="154"/>
      <c r="S73" s="154"/>
      <c r="T73" s="154"/>
      <c r="U73" s="154"/>
      <c r="V73" s="154"/>
      <c r="W73" s="154"/>
      <c r="X73" s="154"/>
      <c r="Y73" s="154"/>
      <c r="Z73" s="154"/>
      <c r="AA73" s="154"/>
      <c r="AB73" s="154"/>
      <c r="AC73" s="154" t="str">
        <f>VLOOKUP(C7,MATIERES!A5:G448,3,0)</f>
        <v>PIGEON</v>
      </c>
      <c r="AD73" s="154"/>
      <c r="AE73" s="154"/>
      <c r="AF73" s="154"/>
      <c r="AG73" s="154"/>
      <c r="AH73" s="154"/>
      <c r="AI73" s="154"/>
      <c r="AJ73" s="154"/>
      <c r="AK73" s="154"/>
      <c r="AL73" s="154"/>
      <c r="AM73" s="154"/>
      <c r="AN73" s="154"/>
      <c r="AO73" s="154"/>
      <c r="AP73" s="154"/>
      <c r="AQ73" s="154"/>
      <c r="AR73" s="154"/>
      <c r="AS73" s="154"/>
    </row>
    <row r="74" spans="1:45" ht="18" x14ac:dyDescent="0.2">
      <c r="A74" s="154"/>
      <c r="B74" s="172"/>
      <c r="C74" s="231"/>
      <c r="D74" s="227"/>
      <c r="E74" s="154"/>
      <c r="F74" s="154"/>
      <c r="G74" s="154"/>
      <c r="H74" s="154"/>
      <c r="I74" s="154"/>
      <c r="J74" s="154"/>
      <c r="K74" s="154"/>
      <c r="L74" s="154"/>
      <c r="M74" s="154"/>
      <c r="N74" s="154"/>
      <c r="O74" s="154"/>
      <c r="P74" s="154"/>
      <c r="Q74" s="154"/>
      <c r="R74" s="154"/>
      <c r="S74" s="154"/>
      <c r="T74" s="154"/>
      <c r="U74" s="154"/>
      <c r="V74" s="154"/>
      <c r="W74" s="154"/>
      <c r="X74" s="154"/>
      <c r="Y74" s="154"/>
      <c r="Z74" s="154"/>
      <c r="AA74" s="154"/>
      <c r="AB74" s="154"/>
      <c r="AC74" s="154" t="str">
        <f>VLOOKUP(C8,MATIERES!A6:G448,3,0)</f>
        <v>SASKIT</v>
      </c>
      <c r="AD74" s="154"/>
      <c r="AE74" s="154"/>
      <c r="AF74" s="154"/>
      <c r="AG74" s="154"/>
      <c r="AH74" s="154"/>
      <c r="AI74" s="154"/>
      <c r="AJ74" s="154"/>
      <c r="AK74" s="154"/>
      <c r="AL74" s="154"/>
      <c r="AM74" s="154"/>
      <c r="AN74" s="154"/>
      <c r="AO74" s="154"/>
      <c r="AP74" s="154"/>
      <c r="AQ74" s="154"/>
      <c r="AR74" s="154"/>
      <c r="AS74" s="154"/>
    </row>
    <row r="75" spans="1:45" ht="18" x14ac:dyDescent="0.2">
      <c r="A75" s="154"/>
      <c r="B75" s="172"/>
      <c r="C75" s="231"/>
      <c r="D75" s="227"/>
      <c r="E75" s="154"/>
      <c r="F75" s="154"/>
      <c r="G75" s="154"/>
      <c r="H75" s="154"/>
      <c r="I75" s="154"/>
      <c r="J75" s="154"/>
      <c r="K75" s="154"/>
      <c r="L75" s="154"/>
      <c r="M75" s="154"/>
      <c r="N75" s="154"/>
      <c r="O75" s="154"/>
      <c r="P75" s="154"/>
      <c r="Q75" s="154"/>
      <c r="R75" s="154"/>
      <c r="S75" s="154"/>
      <c r="T75" s="154"/>
      <c r="U75" s="154"/>
      <c r="V75" s="154"/>
      <c r="W75" s="154"/>
      <c r="X75" s="154"/>
      <c r="Y75" s="154"/>
      <c r="Z75" s="154"/>
      <c r="AA75" s="154"/>
      <c r="AB75" s="154"/>
      <c r="AC75" s="154" t="str">
        <f>VLOOKUP(C9,MATIERES!A7:G448,3,0)</f>
        <v>SASKIT</v>
      </c>
      <c r="AD75" s="154"/>
      <c r="AE75" s="154"/>
      <c r="AF75" s="154"/>
      <c r="AG75" s="154"/>
      <c r="AH75" s="154"/>
      <c r="AI75" s="154"/>
      <c r="AJ75" s="154"/>
      <c r="AK75" s="154"/>
      <c r="AL75" s="154"/>
      <c r="AM75" s="154"/>
      <c r="AN75" s="154"/>
      <c r="AO75" s="154"/>
      <c r="AP75" s="154"/>
      <c r="AQ75" s="154"/>
      <c r="AR75" s="154"/>
      <c r="AS75" s="154"/>
    </row>
    <row r="76" spans="1:45" ht="18" x14ac:dyDescent="0.2">
      <c r="A76" s="154"/>
      <c r="B76" s="172"/>
      <c r="C76" s="231"/>
      <c r="D76" s="227"/>
      <c r="E76" s="154"/>
      <c r="F76" s="154"/>
      <c r="G76" s="154"/>
      <c r="H76" s="154"/>
      <c r="I76" s="154"/>
      <c r="J76" s="154"/>
      <c r="K76" s="154"/>
      <c r="L76" s="154"/>
      <c r="M76" s="154"/>
      <c r="N76" s="154"/>
      <c r="O76" s="154"/>
      <c r="P76" s="154"/>
      <c r="Q76" s="154"/>
      <c r="R76" s="154"/>
      <c r="S76" s="154"/>
      <c r="T76" s="154"/>
      <c r="U76" s="154"/>
      <c r="V76" s="154"/>
      <c r="W76" s="154"/>
      <c r="X76" s="154"/>
      <c r="Y76" s="154"/>
      <c r="Z76" s="154"/>
      <c r="AA76" s="154"/>
      <c r="AB76" s="154"/>
      <c r="AC76" s="154" t="str">
        <f>VLOOKUP(C10,MATIERES!A8:G448,3,0)</f>
        <v>SASKIT</v>
      </c>
      <c r="AD76" s="154"/>
      <c r="AE76" s="154"/>
      <c r="AF76" s="154"/>
      <c r="AG76" s="154"/>
      <c r="AH76" s="154"/>
      <c r="AI76" s="154"/>
      <c r="AJ76" s="154"/>
      <c r="AK76" s="154"/>
      <c r="AL76" s="154"/>
      <c r="AM76" s="154"/>
      <c r="AN76" s="154"/>
      <c r="AO76" s="154"/>
      <c r="AP76" s="154"/>
      <c r="AQ76" s="154"/>
      <c r="AR76" s="154"/>
      <c r="AS76" s="154"/>
    </row>
    <row r="77" spans="1:45" ht="18" x14ac:dyDescent="0.2">
      <c r="A77" s="154"/>
      <c r="B77" s="172"/>
      <c r="C77" s="231"/>
      <c r="D77" s="227"/>
      <c r="E77" s="154"/>
      <c r="F77" s="154"/>
      <c r="G77" s="154"/>
      <c r="H77" s="154"/>
      <c r="I77" s="154"/>
      <c r="J77" s="154"/>
      <c r="K77" s="154"/>
      <c r="L77" s="154"/>
      <c r="M77" s="154"/>
      <c r="N77" s="154"/>
      <c r="O77" s="154"/>
      <c r="P77" s="154"/>
      <c r="Q77" s="154"/>
      <c r="R77" s="154"/>
      <c r="S77" s="154"/>
      <c r="T77" s="154"/>
      <c r="U77" s="154"/>
      <c r="V77" s="154"/>
      <c r="W77" s="154"/>
      <c r="X77" s="154"/>
      <c r="Y77" s="154"/>
      <c r="Z77" s="154"/>
      <c r="AA77" s="154"/>
      <c r="AB77" s="154"/>
      <c r="AC77" s="154" t="str">
        <f>VLOOKUP(C11,MATIERES!A9:G448,3,0)</f>
        <v>SASKIT</v>
      </c>
      <c r="AD77" s="154"/>
      <c r="AE77" s="154"/>
      <c r="AF77" s="154"/>
      <c r="AG77" s="154"/>
      <c r="AH77" s="154"/>
      <c r="AI77" s="154"/>
      <c r="AJ77" s="154"/>
      <c r="AK77" s="154"/>
      <c r="AL77" s="154"/>
      <c r="AM77" s="154"/>
      <c r="AN77" s="154"/>
      <c r="AO77" s="154"/>
      <c r="AP77" s="154"/>
      <c r="AQ77" s="154"/>
      <c r="AR77" s="154"/>
      <c r="AS77" s="154"/>
    </row>
    <row r="78" spans="1:45" ht="18" x14ac:dyDescent="0.2">
      <c r="A78" s="154"/>
      <c r="B78" s="172"/>
      <c r="C78" s="231"/>
      <c r="D78" s="227"/>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154"/>
      <c r="AC78" s="154" t="str">
        <f>VLOOKUP(C12,MATIERES!A10:G448,3,0)</f>
        <v>SASKIT</v>
      </c>
      <c r="AD78" s="154"/>
      <c r="AE78" s="154"/>
      <c r="AF78" s="154"/>
      <c r="AG78" s="154"/>
      <c r="AH78" s="154"/>
      <c r="AI78" s="154"/>
      <c r="AJ78" s="154"/>
      <c r="AK78" s="154"/>
      <c r="AL78" s="154"/>
      <c r="AM78" s="154"/>
      <c r="AN78" s="154"/>
      <c r="AO78" s="154"/>
      <c r="AP78" s="154"/>
      <c r="AQ78" s="154"/>
      <c r="AR78" s="154"/>
      <c r="AS78" s="154"/>
    </row>
    <row r="79" spans="1:45" ht="18" x14ac:dyDescent="0.2">
      <c r="A79" s="154"/>
      <c r="B79" s="172"/>
      <c r="C79" s="231"/>
      <c r="D79" s="227"/>
      <c r="E79" s="154"/>
      <c r="F79" s="154"/>
      <c r="G79" s="154"/>
      <c r="H79" s="154"/>
      <c r="I79" s="154"/>
      <c r="J79" s="154"/>
      <c r="K79" s="154"/>
      <c r="L79" s="154"/>
      <c r="M79" s="154"/>
      <c r="N79" s="154"/>
      <c r="O79" s="154"/>
      <c r="P79" s="154"/>
      <c r="Q79" s="154"/>
      <c r="R79" s="154"/>
      <c r="S79" s="154"/>
      <c r="T79" s="154"/>
      <c r="U79" s="154"/>
      <c r="V79" s="154"/>
      <c r="W79" s="154"/>
      <c r="X79" s="154"/>
      <c r="Y79" s="154"/>
      <c r="Z79" s="154"/>
      <c r="AA79" s="154"/>
      <c r="AB79" s="154"/>
      <c r="AC79" s="154" t="str">
        <f>VLOOKUP(C13,MATIERES!A11:G448,3,0)</f>
        <v>SASKIT</v>
      </c>
      <c r="AD79" s="154"/>
      <c r="AE79" s="154"/>
      <c r="AF79" s="154"/>
      <c r="AG79" s="154"/>
      <c r="AH79" s="154"/>
      <c r="AI79" s="154"/>
      <c r="AJ79" s="154"/>
      <c r="AK79" s="154"/>
      <c r="AL79" s="154"/>
      <c r="AM79" s="154"/>
      <c r="AN79" s="154"/>
      <c r="AO79" s="154"/>
      <c r="AP79" s="154"/>
      <c r="AQ79" s="154"/>
      <c r="AR79" s="154"/>
      <c r="AS79" s="154"/>
    </row>
    <row r="80" spans="1:45" ht="18" x14ac:dyDescent="0.2">
      <c r="A80" s="154"/>
      <c r="B80" s="172"/>
      <c r="C80" s="231"/>
      <c r="D80" s="227"/>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154"/>
      <c r="AC80" s="154" t="str">
        <f>VLOOKUP(C14,MATIERES!A12:G448,3,0)</f>
        <v>SASKIT</v>
      </c>
      <c r="AD80" s="154"/>
      <c r="AE80" s="154"/>
      <c r="AF80" s="154"/>
      <c r="AG80" s="154"/>
      <c r="AH80" s="154"/>
      <c r="AI80" s="154"/>
      <c r="AJ80" s="154"/>
      <c r="AK80" s="154"/>
      <c r="AL80" s="154"/>
      <c r="AM80" s="154"/>
      <c r="AN80" s="154"/>
      <c r="AO80" s="154"/>
      <c r="AP80" s="154"/>
      <c r="AQ80" s="154"/>
      <c r="AR80" s="154"/>
      <c r="AS80" s="154"/>
    </row>
    <row r="81" spans="1:45" ht="18" x14ac:dyDescent="0.2">
      <c r="A81" s="154"/>
      <c r="B81" s="172"/>
      <c r="C81" s="231"/>
      <c r="D81" s="227"/>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154"/>
      <c r="AC81" s="154" t="str">
        <f>VLOOKUP(C15,MATIERES!A13:G448,3,0)</f>
        <v>SASKIT</v>
      </c>
      <c r="AD81" s="154"/>
      <c r="AE81" s="154"/>
      <c r="AF81" s="154"/>
      <c r="AG81" s="154"/>
      <c r="AH81" s="154"/>
      <c r="AI81" s="154"/>
      <c r="AJ81" s="154"/>
      <c r="AK81" s="154"/>
      <c r="AL81" s="154"/>
      <c r="AM81" s="154"/>
      <c r="AN81" s="154"/>
      <c r="AO81" s="154"/>
      <c r="AP81" s="154"/>
      <c r="AQ81" s="154"/>
      <c r="AR81" s="154"/>
      <c r="AS81" s="154"/>
    </row>
    <row r="82" spans="1:45" ht="18" x14ac:dyDescent="0.2">
      <c r="A82" s="154"/>
      <c r="B82" s="172"/>
      <c r="C82" s="231"/>
      <c r="D82" s="227"/>
      <c r="E82" s="154"/>
      <c r="F82" s="154"/>
      <c r="G82" s="154"/>
      <c r="H82" s="154"/>
      <c r="I82" s="154"/>
      <c r="J82" s="154"/>
      <c r="K82" s="154"/>
      <c r="L82" s="154"/>
      <c r="M82" s="154"/>
      <c r="N82" s="154"/>
      <c r="O82" s="154"/>
      <c r="P82" s="154"/>
      <c r="Q82" s="154"/>
      <c r="R82" s="154"/>
      <c r="S82" s="154"/>
      <c r="T82" s="154"/>
      <c r="U82" s="154"/>
      <c r="V82" s="154"/>
      <c r="W82" s="154"/>
      <c r="X82" s="154"/>
      <c r="Y82" s="154"/>
      <c r="Z82" s="154"/>
      <c r="AA82" s="154"/>
      <c r="AB82" s="154"/>
      <c r="AC82" s="154" t="str">
        <f>VLOOKUP(C16,MATIERES!A14:G448,3,0)</f>
        <v>SASKIT</v>
      </c>
      <c r="AD82" s="154"/>
      <c r="AE82" s="154"/>
      <c r="AF82" s="154"/>
      <c r="AG82" s="154"/>
      <c r="AH82" s="154"/>
      <c r="AI82" s="154"/>
      <c r="AJ82" s="154"/>
      <c r="AK82" s="154"/>
      <c r="AL82" s="154"/>
      <c r="AM82" s="154"/>
      <c r="AN82" s="154"/>
      <c r="AO82" s="154"/>
      <c r="AP82" s="154"/>
      <c r="AQ82" s="154"/>
      <c r="AR82" s="154"/>
      <c r="AS82" s="154"/>
    </row>
    <row r="83" spans="1:45" ht="18" x14ac:dyDescent="0.2">
      <c r="A83" s="154"/>
      <c r="B83" s="172"/>
      <c r="C83" s="231"/>
      <c r="D83" s="227"/>
      <c r="E83" s="154"/>
      <c r="F83" s="154"/>
      <c r="G83" s="154"/>
      <c r="H83" s="154"/>
      <c r="I83" s="154"/>
      <c r="J83" s="154"/>
      <c r="K83" s="154"/>
      <c r="L83" s="154"/>
      <c r="M83" s="154"/>
      <c r="N83" s="154"/>
      <c r="O83" s="154"/>
      <c r="P83" s="154"/>
      <c r="Q83" s="154"/>
      <c r="R83" s="154"/>
      <c r="S83" s="154"/>
      <c r="T83" s="154"/>
      <c r="U83" s="154"/>
      <c r="V83" s="154"/>
      <c r="W83" s="154"/>
      <c r="X83" s="154"/>
      <c r="Y83" s="154"/>
      <c r="Z83" s="154"/>
      <c r="AA83" s="154"/>
      <c r="AB83" s="154"/>
      <c r="AC83" s="154" t="str">
        <f>VLOOKUP(C17,MATIERES!A15:G448,3,0)</f>
        <v>SASKIT</v>
      </c>
      <c r="AD83" s="154"/>
      <c r="AE83" s="154"/>
      <c r="AF83" s="154"/>
      <c r="AG83" s="154"/>
      <c r="AH83" s="154"/>
      <c r="AI83" s="154"/>
      <c r="AJ83" s="154"/>
      <c r="AK83" s="154"/>
      <c r="AL83" s="154"/>
      <c r="AM83" s="154"/>
      <c r="AN83" s="154"/>
      <c r="AO83" s="154"/>
      <c r="AP83" s="154"/>
      <c r="AQ83" s="154"/>
      <c r="AR83" s="154"/>
      <c r="AS83" s="154"/>
    </row>
    <row r="84" spans="1:45" ht="18" x14ac:dyDescent="0.2">
      <c r="A84" s="154"/>
      <c r="B84" s="172"/>
      <c r="C84" s="231"/>
      <c r="D84" s="227"/>
      <c r="E84" s="154"/>
      <c r="F84" s="154"/>
      <c r="G84" s="154"/>
      <c r="H84" s="154"/>
      <c r="I84" s="154"/>
      <c r="J84" s="154"/>
      <c r="K84" s="154"/>
      <c r="L84" s="154"/>
      <c r="M84" s="154"/>
      <c r="N84" s="154"/>
      <c r="O84" s="154"/>
      <c r="P84" s="154"/>
      <c r="Q84" s="154"/>
      <c r="R84" s="154"/>
      <c r="S84" s="154"/>
      <c r="T84" s="154"/>
      <c r="U84" s="154"/>
      <c r="V84" s="154"/>
      <c r="W84" s="154"/>
      <c r="X84" s="154"/>
      <c r="Y84" s="154"/>
      <c r="Z84" s="154"/>
      <c r="AA84" s="154"/>
      <c r="AB84" s="154"/>
      <c r="AC84" s="154" t="str">
        <f>VLOOKUP(C18,MATIERES!A16:G448,3,0)</f>
        <v>SASKIT</v>
      </c>
      <c r="AD84" s="154"/>
      <c r="AE84" s="154"/>
      <c r="AF84" s="154"/>
      <c r="AG84" s="154"/>
      <c r="AH84" s="154"/>
      <c r="AI84" s="154"/>
      <c r="AJ84" s="154"/>
      <c r="AK84" s="154"/>
      <c r="AL84" s="154"/>
      <c r="AM84" s="154"/>
      <c r="AN84" s="154"/>
      <c r="AO84" s="154"/>
      <c r="AP84" s="154"/>
      <c r="AQ84" s="154"/>
      <c r="AR84" s="154"/>
      <c r="AS84" s="154"/>
    </row>
    <row r="85" spans="1:45" ht="18" x14ac:dyDescent="0.2">
      <c r="A85" s="154"/>
      <c r="B85" s="172"/>
      <c r="C85" s="231"/>
      <c r="D85" s="227"/>
      <c r="E85" s="154"/>
      <c r="F85" s="154"/>
      <c r="G85" s="154"/>
      <c r="H85" s="154"/>
      <c r="I85" s="154"/>
      <c r="J85" s="154"/>
      <c r="K85" s="154"/>
      <c r="L85" s="154"/>
      <c r="M85" s="154"/>
      <c r="N85" s="154"/>
      <c r="O85" s="154"/>
      <c r="P85" s="154"/>
      <c r="Q85" s="154"/>
      <c r="R85" s="154"/>
      <c r="S85" s="154"/>
      <c r="T85" s="154"/>
      <c r="U85" s="154"/>
      <c r="V85" s="154"/>
      <c r="W85" s="154"/>
      <c r="X85" s="154"/>
      <c r="Y85" s="154"/>
      <c r="Z85" s="154"/>
      <c r="AA85" s="154"/>
      <c r="AB85" s="154"/>
      <c r="AC85" s="154" t="str">
        <f>VLOOKUP(C19,MATIERES!A17:G448,3,0)</f>
        <v>SASKIT</v>
      </c>
      <c r="AD85" s="154"/>
      <c r="AE85" s="154"/>
      <c r="AF85" s="154"/>
      <c r="AG85" s="154"/>
      <c r="AH85" s="154"/>
      <c r="AI85" s="154"/>
      <c r="AJ85" s="154"/>
      <c r="AK85" s="154"/>
      <c r="AL85" s="154"/>
      <c r="AM85" s="154"/>
      <c r="AN85" s="154"/>
      <c r="AO85" s="154"/>
      <c r="AP85" s="154"/>
      <c r="AQ85" s="154"/>
      <c r="AR85" s="154"/>
      <c r="AS85" s="154"/>
    </row>
    <row r="86" spans="1:45" ht="18" x14ac:dyDescent="0.2">
      <c r="A86" s="154"/>
      <c r="B86" s="172"/>
      <c r="C86" s="231"/>
      <c r="D86" s="227"/>
      <c r="E86" s="154"/>
      <c r="F86" s="154"/>
      <c r="G86" s="154"/>
      <c r="H86" s="154"/>
      <c r="I86" s="154"/>
      <c r="J86" s="154"/>
      <c r="K86" s="154"/>
      <c r="L86" s="154"/>
      <c r="M86" s="154"/>
      <c r="N86" s="154"/>
      <c r="O86" s="154"/>
      <c r="P86" s="154"/>
      <c r="Q86" s="154"/>
      <c r="R86" s="154"/>
      <c r="S86" s="154"/>
      <c r="T86" s="154"/>
      <c r="U86" s="154"/>
      <c r="V86" s="154"/>
      <c r="W86" s="154"/>
      <c r="X86" s="154"/>
      <c r="Y86" s="154"/>
      <c r="Z86" s="154"/>
      <c r="AA86" s="154"/>
      <c r="AB86" s="154"/>
      <c r="AC86" s="154" t="str">
        <f>VLOOKUP(C20,MATIERES!A18:G448,3,0)</f>
        <v>SASKIT</v>
      </c>
      <c r="AD86" s="154"/>
      <c r="AE86" s="154"/>
      <c r="AF86" s="154"/>
      <c r="AG86" s="154"/>
      <c r="AH86" s="154"/>
      <c r="AI86" s="154"/>
      <c r="AJ86" s="154"/>
      <c r="AK86" s="154"/>
      <c r="AL86" s="154"/>
      <c r="AM86" s="154"/>
      <c r="AN86" s="154"/>
      <c r="AO86" s="154"/>
      <c r="AP86" s="154"/>
      <c r="AQ86" s="154"/>
      <c r="AR86" s="154"/>
      <c r="AS86" s="154"/>
    </row>
    <row r="87" spans="1:45" ht="18" x14ac:dyDescent="0.2">
      <c r="A87" s="154"/>
      <c r="B87" s="172"/>
      <c r="C87" s="231"/>
      <c r="D87" s="227"/>
      <c r="E87" s="154"/>
      <c r="F87" s="154"/>
      <c r="G87" s="154"/>
      <c r="H87" s="154"/>
      <c r="I87" s="154"/>
      <c r="J87" s="154"/>
      <c r="K87" s="154"/>
      <c r="L87" s="154"/>
      <c r="M87" s="154"/>
      <c r="N87" s="154"/>
      <c r="O87" s="154"/>
      <c r="P87" s="154"/>
      <c r="Q87" s="154"/>
      <c r="R87" s="154"/>
      <c r="S87" s="154"/>
      <c r="T87" s="154"/>
      <c r="U87" s="154"/>
      <c r="V87" s="154"/>
      <c r="W87" s="154"/>
      <c r="X87" s="154"/>
      <c r="Y87" s="154"/>
      <c r="Z87" s="154"/>
      <c r="AA87" s="154"/>
      <c r="AB87" s="154"/>
      <c r="AC87" s="154" t="str">
        <f>VLOOKUP(C21,MATIERES!A19:G448,3,0)</f>
        <v>SASKIT</v>
      </c>
      <c r="AD87" s="154"/>
      <c r="AE87" s="154"/>
      <c r="AF87" s="154"/>
      <c r="AG87" s="154"/>
      <c r="AH87" s="154"/>
      <c r="AI87" s="154"/>
      <c r="AJ87" s="154"/>
      <c r="AK87" s="154"/>
      <c r="AL87" s="154"/>
      <c r="AM87" s="154"/>
      <c r="AN87" s="154"/>
      <c r="AO87" s="154"/>
      <c r="AP87" s="154"/>
      <c r="AQ87" s="154"/>
      <c r="AR87" s="154"/>
      <c r="AS87" s="154"/>
    </row>
    <row r="88" spans="1:45" ht="18" x14ac:dyDescent="0.2">
      <c r="A88" s="154"/>
      <c r="B88" s="172"/>
      <c r="C88" s="231"/>
      <c r="D88" s="227"/>
      <c r="E88" s="154"/>
      <c r="F88" s="154"/>
      <c r="G88" s="154"/>
      <c r="H88" s="154"/>
      <c r="I88" s="154"/>
      <c r="J88" s="154"/>
      <c r="K88" s="154"/>
      <c r="L88" s="154"/>
      <c r="M88" s="154"/>
      <c r="N88" s="154"/>
      <c r="O88" s="154"/>
      <c r="P88" s="154"/>
      <c r="Q88" s="154"/>
      <c r="R88" s="154"/>
      <c r="S88" s="154"/>
      <c r="T88" s="154"/>
      <c r="U88" s="154"/>
      <c r="V88" s="154"/>
      <c r="W88" s="154"/>
      <c r="X88" s="154"/>
      <c r="Y88" s="154"/>
      <c r="Z88" s="154"/>
      <c r="AA88" s="154"/>
      <c r="AB88" s="154"/>
      <c r="AC88" s="154" t="str">
        <f>VLOOKUP(C22,MATIERES!A20:G448,3,0)</f>
        <v>SASKIT</v>
      </c>
      <c r="AD88" s="154"/>
      <c r="AE88" s="154"/>
      <c r="AF88" s="154"/>
      <c r="AG88" s="154"/>
      <c r="AH88" s="154"/>
      <c r="AI88" s="154"/>
      <c r="AJ88" s="154"/>
      <c r="AK88" s="154"/>
      <c r="AL88" s="154"/>
      <c r="AM88" s="154"/>
      <c r="AN88" s="154"/>
      <c r="AO88" s="154"/>
      <c r="AP88" s="154"/>
      <c r="AQ88" s="154"/>
      <c r="AR88" s="154"/>
      <c r="AS88" s="154"/>
    </row>
    <row r="89" spans="1:45" ht="18" x14ac:dyDescent="0.2">
      <c r="A89" s="154"/>
      <c r="B89" s="172"/>
      <c r="C89" s="231"/>
      <c r="D89" s="227"/>
      <c r="E89" s="154"/>
      <c r="F89" s="154"/>
      <c r="G89" s="154"/>
      <c r="H89" s="154"/>
      <c r="I89" s="154"/>
      <c r="J89" s="154"/>
      <c r="K89" s="154"/>
      <c r="L89" s="154"/>
      <c r="M89" s="154"/>
      <c r="N89" s="154"/>
      <c r="O89" s="154"/>
      <c r="P89" s="154"/>
      <c r="Q89" s="154"/>
      <c r="R89" s="154"/>
      <c r="S89" s="154"/>
      <c r="T89" s="154"/>
      <c r="U89" s="154"/>
      <c r="V89" s="154"/>
      <c r="W89" s="154"/>
      <c r="X89" s="154"/>
      <c r="Y89" s="154"/>
      <c r="Z89" s="154"/>
      <c r="AA89" s="154"/>
      <c r="AB89" s="154"/>
      <c r="AC89" s="154" t="str">
        <f>VLOOKUP(C23,MATIERES!A21:G448,3,0)</f>
        <v>SASKIT</v>
      </c>
      <c r="AD89" s="154"/>
      <c r="AE89" s="154"/>
      <c r="AF89" s="154"/>
      <c r="AG89" s="154"/>
      <c r="AH89" s="154"/>
      <c r="AI89" s="154"/>
      <c r="AJ89" s="154"/>
      <c r="AK89" s="154"/>
      <c r="AL89" s="154"/>
      <c r="AM89" s="154"/>
      <c r="AN89" s="154"/>
      <c r="AO89" s="154"/>
      <c r="AP89" s="154"/>
      <c r="AQ89" s="154"/>
      <c r="AR89" s="154"/>
      <c r="AS89" s="154"/>
    </row>
    <row r="90" spans="1:45" ht="18" x14ac:dyDescent="0.2">
      <c r="A90" s="154"/>
      <c r="B90" s="172"/>
      <c r="C90" s="231"/>
      <c r="D90" s="227"/>
      <c r="E90" s="154"/>
      <c r="F90" s="154"/>
      <c r="G90" s="154"/>
      <c r="H90" s="154"/>
      <c r="I90" s="154"/>
      <c r="J90" s="154"/>
      <c r="K90" s="154"/>
      <c r="L90" s="154"/>
      <c r="M90" s="154"/>
      <c r="N90" s="154"/>
      <c r="O90" s="154"/>
      <c r="P90" s="154"/>
      <c r="Q90" s="154"/>
      <c r="R90" s="154"/>
      <c r="S90" s="154"/>
      <c r="T90" s="154"/>
      <c r="U90" s="154"/>
      <c r="V90" s="154"/>
      <c r="W90" s="154"/>
      <c r="X90" s="154"/>
      <c r="Y90" s="154"/>
      <c r="Z90" s="154"/>
      <c r="AA90" s="154"/>
      <c r="AB90" s="154"/>
      <c r="AC90" s="154" t="str">
        <f>VLOOKUP(C24,MATIERES!A22:G448,3,0)</f>
        <v>SASKIT</v>
      </c>
      <c r="AD90" s="154"/>
      <c r="AE90" s="154"/>
      <c r="AF90" s="154"/>
      <c r="AG90" s="154"/>
      <c r="AH90" s="154"/>
      <c r="AI90" s="154"/>
      <c r="AJ90" s="154"/>
      <c r="AK90" s="154"/>
      <c r="AL90" s="154"/>
      <c r="AM90" s="154"/>
      <c r="AN90" s="154"/>
      <c r="AO90" s="154"/>
      <c r="AP90" s="154"/>
      <c r="AQ90" s="154"/>
      <c r="AR90" s="154"/>
      <c r="AS90" s="154"/>
    </row>
    <row r="91" spans="1:45" ht="18" x14ac:dyDescent="0.2">
      <c r="A91" s="154"/>
      <c r="B91" s="172"/>
      <c r="C91" s="231"/>
      <c r="D91" s="227"/>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154"/>
      <c r="AC91" s="154" t="str">
        <f>VLOOKUP(C25,MATIERES!A23:G448,3,0)</f>
        <v>SASKIT</v>
      </c>
      <c r="AD91" s="154"/>
      <c r="AE91" s="154"/>
      <c r="AF91" s="154"/>
      <c r="AG91" s="154"/>
      <c r="AH91" s="154"/>
      <c r="AI91" s="154"/>
      <c r="AJ91" s="154"/>
      <c r="AK91" s="154"/>
      <c r="AL91" s="154"/>
      <c r="AM91" s="154"/>
      <c r="AN91" s="154"/>
      <c r="AO91" s="154"/>
      <c r="AP91" s="154"/>
      <c r="AQ91" s="154"/>
      <c r="AR91" s="154"/>
      <c r="AS91" s="154"/>
    </row>
    <row r="92" spans="1:45" ht="18" x14ac:dyDescent="0.2">
      <c r="A92" s="154"/>
      <c r="B92" s="172"/>
      <c r="C92" s="231"/>
      <c r="D92" s="227"/>
      <c r="E92" s="154"/>
      <c r="F92" s="154"/>
      <c r="G92" s="154"/>
      <c r="H92" s="154"/>
      <c r="I92" s="154"/>
      <c r="J92" s="154"/>
      <c r="K92" s="154"/>
      <c r="L92" s="154"/>
      <c r="M92" s="154"/>
      <c r="N92" s="154"/>
      <c r="O92" s="154"/>
      <c r="P92" s="154"/>
      <c r="Q92" s="154"/>
      <c r="R92" s="154"/>
      <c r="S92" s="154"/>
      <c r="T92" s="154"/>
      <c r="U92" s="154"/>
      <c r="V92" s="154"/>
      <c r="W92" s="154"/>
      <c r="X92" s="154"/>
      <c r="Y92" s="154"/>
      <c r="Z92" s="154"/>
      <c r="AA92" s="154"/>
      <c r="AB92" s="154"/>
      <c r="AC92" s="154" t="str">
        <f>VLOOKUP(C26,MATIERES!A24:G448,3,0)</f>
        <v>PUM</v>
      </c>
      <c r="AD92" s="154"/>
      <c r="AE92" s="154"/>
      <c r="AF92" s="154"/>
      <c r="AG92" s="154"/>
      <c r="AH92" s="154"/>
      <c r="AI92" s="154"/>
      <c r="AJ92" s="154"/>
      <c r="AK92" s="154"/>
      <c r="AL92" s="154"/>
      <c r="AM92" s="154"/>
      <c r="AN92" s="154"/>
      <c r="AO92" s="154"/>
      <c r="AP92" s="154"/>
      <c r="AQ92" s="154"/>
      <c r="AR92" s="154"/>
      <c r="AS92" s="154"/>
    </row>
    <row r="93" spans="1:45" ht="18" x14ac:dyDescent="0.2">
      <c r="A93" s="154"/>
      <c r="B93" s="172"/>
      <c r="C93" s="231"/>
      <c r="D93" s="227"/>
      <c r="E93" s="154"/>
      <c r="F93" s="154"/>
      <c r="G93" s="154"/>
      <c r="H93" s="154"/>
      <c r="I93" s="154"/>
      <c r="J93" s="154"/>
      <c r="K93" s="154"/>
      <c r="L93" s="154"/>
      <c r="M93" s="154"/>
      <c r="N93" s="154"/>
      <c r="O93" s="154"/>
      <c r="P93" s="154"/>
      <c r="Q93" s="154"/>
      <c r="R93" s="154"/>
      <c r="S93" s="154"/>
      <c r="T93" s="154"/>
      <c r="U93" s="154"/>
      <c r="V93" s="154"/>
      <c r="W93" s="154"/>
      <c r="X93" s="154"/>
      <c r="Y93" s="154"/>
      <c r="Z93" s="154"/>
      <c r="AA93" s="154"/>
      <c r="AB93" s="154"/>
      <c r="AC93" s="154" t="e">
        <f>VLOOKUP(#REF!,MATIERES!A25:G448,3,0)</f>
        <v>#REF!</v>
      </c>
      <c r="AD93" s="154"/>
      <c r="AE93" s="154"/>
      <c r="AF93" s="154"/>
      <c r="AG93" s="154"/>
      <c r="AH93" s="154"/>
      <c r="AI93" s="154"/>
      <c r="AJ93" s="154"/>
      <c r="AK93" s="154"/>
      <c r="AL93" s="154"/>
      <c r="AM93" s="154"/>
      <c r="AN93" s="154"/>
      <c r="AO93" s="154"/>
      <c r="AP93" s="154"/>
      <c r="AQ93" s="154"/>
      <c r="AR93" s="154"/>
      <c r="AS93" s="154"/>
    </row>
    <row r="94" spans="1:45" ht="18" x14ac:dyDescent="0.2">
      <c r="A94" s="154"/>
      <c r="B94" s="172"/>
      <c r="C94" s="231"/>
      <c r="D94" s="227"/>
      <c r="E94" s="154"/>
      <c r="F94" s="154"/>
      <c r="G94" s="154"/>
      <c r="H94" s="154"/>
      <c r="I94" s="154"/>
      <c r="J94" s="154"/>
      <c r="K94" s="154"/>
      <c r="L94" s="154"/>
      <c r="M94" s="154"/>
      <c r="N94" s="154"/>
      <c r="O94" s="154"/>
      <c r="P94" s="154"/>
      <c r="Q94" s="154"/>
      <c r="R94" s="154"/>
      <c r="S94" s="154"/>
      <c r="T94" s="154"/>
      <c r="U94" s="154"/>
      <c r="V94" s="154"/>
      <c r="W94" s="154"/>
      <c r="X94" s="154"/>
      <c r="Y94" s="154"/>
      <c r="Z94" s="154"/>
      <c r="AA94" s="154"/>
      <c r="AB94" s="154"/>
      <c r="AC94" s="154" t="str">
        <f>VLOOKUP(C27,MATIERES!A26:G448,3,0)</f>
        <v>PUM</v>
      </c>
      <c r="AD94" s="154"/>
      <c r="AE94" s="154"/>
      <c r="AF94" s="154"/>
      <c r="AG94" s="154"/>
      <c r="AH94" s="154"/>
      <c r="AI94" s="154"/>
      <c r="AJ94" s="154"/>
      <c r="AK94" s="154"/>
      <c r="AL94" s="154"/>
      <c r="AM94" s="154"/>
      <c r="AN94" s="154"/>
      <c r="AO94" s="154"/>
      <c r="AP94" s="154"/>
      <c r="AQ94" s="154"/>
      <c r="AR94" s="154"/>
      <c r="AS94" s="154"/>
    </row>
    <row r="95" spans="1:45" ht="18" x14ac:dyDescent="0.2">
      <c r="A95" s="154"/>
      <c r="B95" s="172"/>
      <c r="C95" s="231"/>
      <c r="D95" s="227"/>
      <c r="E95" s="154"/>
      <c r="F95" s="154"/>
      <c r="G95" s="154"/>
      <c r="H95" s="154"/>
      <c r="I95" s="154"/>
      <c r="J95" s="154"/>
      <c r="K95" s="154"/>
      <c r="L95" s="154"/>
      <c r="M95" s="154"/>
      <c r="N95" s="154"/>
      <c r="O95" s="154"/>
      <c r="P95" s="154"/>
      <c r="Q95" s="154"/>
      <c r="R95" s="154"/>
      <c r="S95" s="154"/>
      <c r="T95" s="154"/>
      <c r="U95" s="154"/>
      <c r="V95" s="154"/>
      <c r="W95" s="154"/>
      <c r="X95" s="154"/>
      <c r="Y95" s="154"/>
      <c r="Z95" s="154"/>
      <c r="AA95" s="154"/>
      <c r="AB95" s="154"/>
      <c r="AC95" s="154" t="str">
        <f>VLOOKUP(C28,MATIERES!A27:G448,3,0)</f>
        <v>PIGEON</v>
      </c>
      <c r="AD95" s="154"/>
      <c r="AE95" s="154"/>
      <c r="AF95" s="154"/>
      <c r="AG95" s="154"/>
      <c r="AH95" s="154"/>
      <c r="AI95" s="154"/>
      <c r="AJ95" s="154"/>
      <c r="AK95" s="154"/>
      <c r="AL95" s="154"/>
      <c r="AM95" s="154"/>
      <c r="AN95" s="154"/>
      <c r="AO95" s="154"/>
      <c r="AP95" s="154"/>
      <c r="AQ95" s="154"/>
      <c r="AR95" s="154"/>
      <c r="AS95" s="154"/>
    </row>
    <row r="96" spans="1:45" ht="18" x14ac:dyDescent="0.2">
      <c r="A96" s="154"/>
      <c r="B96" s="172"/>
      <c r="C96" s="231"/>
      <c r="D96" s="227"/>
      <c r="E96" s="154"/>
      <c r="F96" s="154"/>
      <c r="G96" s="154"/>
      <c r="H96" s="154"/>
      <c r="I96" s="154"/>
      <c r="J96" s="154"/>
      <c r="K96" s="154"/>
      <c r="L96" s="154"/>
      <c r="M96" s="154"/>
      <c r="N96" s="154"/>
      <c r="O96" s="154"/>
      <c r="P96" s="154"/>
      <c r="Q96" s="154"/>
      <c r="R96" s="154"/>
      <c r="S96" s="154"/>
      <c r="T96" s="154"/>
      <c r="U96" s="154"/>
      <c r="V96" s="154"/>
      <c r="W96" s="154"/>
      <c r="X96" s="154"/>
      <c r="Y96" s="154"/>
      <c r="Z96" s="154"/>
      <c r="AA96" s="154"/>
      <c r="AB96" s="154"/>
      <c r="AC96" s="154" t="str">
        <f>VLOOKUP(C29,MATIERES!A28:G448,3,0)</f>
        <v>PUM</v>
      </c>
      <c r="AD96" s="154"/>
      <c r="AE96" s="154"/>
      <c r="AF96" s="154"/>
      <c r="AG96" s="154"/>
      <c r="AH96" s="154"/>
      <c r="AI96" s="154"/>
      <c r="AJ96" s="154"/>
      <c r="AK96" s="154"/>
      <c r="AL96" s="154"/>
      <c r="AM96" s="154"/>
      <c r="AN96" s="154"/>
      <c r="AO96" s="154"/>
      <c r="AP96" s="154"/>
      <c r="AQ96" s="154"/>
      <c r="AR96" s="154"/>
      <c r="AS96" s="154"/>
    </row>
    <row r="97" spans="1:45" ht="18" x14ac:dyDescent="0.2">
      <c r="A97" s="154"/>
      <c r="B97" s="172"/>
      <c r="C97" s="231"/>
      <c r="D97" s="227"/>
      <c r="E97" s="154"/>
      <c r="F97" s="154"/>
      <c r="G97" s="154"/>
      <c r="H97" s="154"/>
      <c r="I97" s="154"/>
      <c r="J97" s="154"/>
      <c r="K97" s="154"/>
      <c r="L97" s="154"/>
      <c r="M97" s="154"/>
      <c r="N97" s="154"/>
      <c r="O97" s="154"/>
      <c r="P97" s="154"/>
      <c r="Q97" s="154"/>
      <c r="R97" s="154"/>
      <c r="S97" s="154"/>
      <c r="T97" s="154"/>
      <c r="U97" s="154"/>
      <c r="V97" s="154"/>
      <c r="W97" s="154"/>
      <c r="X97" s="154"/>
      <c r="Y97" s="154"/>
      <c r="Z97" s="154"/>
      <c r="AA97" s="154"/>
      <c r="AB97" s="154"/>
      <c r="AC97" s="154" t="e">
        <f>VLOOKUP(C30,MATIERES!A30:G448,3,0)</f>
        <v>#N/A</v>
      </c>
      <c r="AD97" s="154"/>
      <c r="AE97" s="154"/>
      <c r="AF97" s="154"/>
      <c r="AG97" s="154"/>
      <c r="AH97" s="154"/>
      <c r="AI97" s="154"/>
      <c r="AJ97" s="154"/>
      <c r="AK97" s="154"/>
      <c r="AL97" s="154"/>
      <c r="AM97" s="154"/>
      <c r="AN97" s="154"/>
      <c r="AO97" s="154"/>
      <c r="AP97" s="154"/>
      <c r="AQ97" s="154"/>
      <c r="AR97" s="154"/>
      <c r="AS97" s="154"/>
    </row>
    <row r="98" spans="1:45" ht="18" x14ac:dyDescent="0.2">
      <c r="A98" s="154"/>
      <c r="B98" s="172"/>
      <c r="C98" s="231"/>
      <c r="D98" s="227"/>
      <c r="E98" s="154"/>
      <c r="F98" s="154"/>
      <c r="G98" s="154"/>
      <c r="H98" s="154"/>
      <c r="I98" s="154"/>
      <c r="J98" s="154"/>
      <c r="K98" s="154"/>
      <c r="L98" s="154"/>
      <c r="M98" s="154"/>
      <c r="N98" s="154"/>
      <c r="O98" s="154"/>
      <c r="P98" s="154"/>
      <c r="Q98" s="154"/>
      <c r="R98" s="154"/>
      <c r="S98" s="154"/>
      <c r="T98" s="154"/>
      <c r="U98" s="154"/>
      <c r="V98" s="154"/>
      <c r="W98" s="154"/>
      <c r="X98" s="154"/>
      <c r="Y98" s="154"/>
      <c r="Z98" s="154"/>
      <c r="AA98" s="154"/>
      <c r="AB98" s="154"/>
      <c r="AC98" s="154" t="e">
        <f>VLOOKUP(#REF!,MATIERES!A31:G448,3,0)</f>
        <v>#REF!</v>
      </c>
      <c r="AD98" s="154"/>
      <c r="AE98" s="154"/>
      <c r="AF98" s="154"/>
      <c r="AG98" s="154"/>
      <c r="AH98" s="154"/>
      <c r="AI98" s="154"/>
      <c r="AJ98" s="154"/>
      <c r="AK98" s="154"/>
      <c r="AL98" s="154"/>
      <c r="AM98" s="154"/>
      <c r="AN98" s="154"/>
      <c r="AO98" s="154"/>
      <c r="AP98" s="154"/>
      <c r="AQ98" s="154"/>
      <c r="AR98" s="154"/>
      <c r="AS98" s="154"/>
    </row>
    <row r="99" spans="1:45" ht="18" x14ac:dyDescent="0.2">
      <c r="A99" s="154"/>
      <c r="B99" s="172"/>
      <c r="C99" s="231"/>
      <c r="D99" s="227"/>
      <c r="E99" s="154"/>
      <c r="F99" s="154"/>
      <c r="G99" s="154"/>
      <c r="H99" s="154"/>
      <c r="I99" s="154"/>
      <c r="J99" s="154"/>
      <c r="K99" s="154"/>
      <c r="L99" s="154"/>
      <c r="M99" s="154"/>
      <c r="N99" s="154"/>
      <c r="O99" s="154"/>
      <c r="P99" s="154"/>
      <c r="Q99" s="154"/>
      <c r="R99" s="154"/>
      <c r="S99" s="154"/>
      <c r="T99" s="154"/>
      <c r="U99" s="154"/>
      <c r="V99" s="154"/>
      <c r="W99" s="154"/>
      <c r="X99" s="154"/>
      <c r="Y99" s="154"/>
      <c r="Z99" s="154"/>
      <c r="AA99" s="154"/>
      <c r="AB99" s="154"/>
      <c r="AC99" s="154" t="str">
        <f>VLOOKUP(C31,MATIERES!A32:G448,3,0)</f>
        <v>PIGEON</v>
      </c>
      <c r="AD99" s="154"/>
      <c r="AE99" s="154"/>
      <c r="AF99" s="154"/>
      <c r="AG99" s="154"/>
      <c r="AH99" s="154"/>
      <c r="AI99" s="154"/>
      <c r="AJ99" s="154"/>
      <c r="AK99" s="154"/>
      <c r="AL99" s="154"/>
      <c r="AM99" s="154"/>
      <c r="AN99" s="154"/>
      <c r="AO99" s="154"/>
      <c r="AP99" s="154"/>
      <c r="AQ99" s="154"/>
      <c r="AR99" s="154"/>
      <c r="AS99" s="154"/>
    </row>
    <row r="100" spans="1:45" ht="18" x14ac:dyDescent="0.2">
      <c r="A100" s="154"/>
      <c r="B100" s="172"/>
      <c r="C100" s="231"/>
      <c r="D100" s="227"/>
      <c r="E100" s="154"/>
      <c r="F100" s="154"/>
      <c r="G100" s="154"/>
      <c r="H100" s="154"/>
      <c r="I100" s="154"/>
      <c r="J100" s="154"/>
      <c r="K100" s="154"/>
      <c r="L100" s="154"/>
      <c r="M100" s="154"/>
      <c r="N100" s="154"/>
      <c r="O100" s="154"/>
      <c r="P100" s="154"/>
      <c r="Q100" s="154"/>
      <c r="R100" s="154"/>
      <c r="S100" s="154"/>
      <c r="T100" s="154"/>
      <c r="U100" s="154"/>
      <c r="V100" s="154"/>
      <c r="W100" s="154"/>
      <c r="X100" s="154"/>
      <c r="Y100" s="154"/>
      <c r="Z100" s="154"/>
      <c r="AA100" s="154"/>
      <c r="AB100" s="154"/>
      <c r="AC100" s="154" t="e">
        <f>VLOOKUP(C32,MATIERES!A33:G448,3,0)</f>
        <v>#N/A</v>
      </c>
      <c r="AD100" s="154"/>
      <c r="AE100" s="154"/>
      <c r="AF100" s="154"/>
      <c r="AG100" s="154"/>
      <c r="AH100" s="154"/>
      <c r="AI100" s="154"/>
      <c r="AJ100" s="154"/>
      <c r="AK100" s="154"/>
      <c r="AL100" s="154"/>
      <c r="AM100" s="154"/>
      <c r="AN100" s="154"/>
      <c r="AO100" s="154"/>
      <c r="AP100" s="154"/>
      <c r="AQ100" s="154"/>
      <c r="AR100" s="154"/>
      <c r="AS100" s="154"/>
    </row>
    <row r="101" spans="1:45" ht="18" x14ac:dyDescent="0.2">
      <c r="A101" s="154"/>
      <c r="B101" s="172"/>
      <c r="C101" s="231"/>
      <c r="D101" s="227"/>
      <c r="E101" s="154"/>
      <c r="F101" s="154"/>
      <c r="G101" s="154"/>
      <c r="H101" s="154"/>
      <c r="I101" s="154"/>
      <c r="J101" s="154"/>
      <c r="K101" s="154"/>
      <c r="L101" s="154"/>
      <c r="M101" s="154"/>
      <c r="N101" s="154"/>
      <c r="O101" s="154"/>
      <c r="P101" s="154"/>
      <c r="Q101" s="154"/>
      <c r="R101" s="154"/>
      <c r="S101" s="154"/>
      <c r="T101" s="154"/>
      <c r="U101" s="154"/>
      <c r="V101" s="154"/>
      <c r="W101" s="154"/>
      <c r="X101" s="154"/>
      <c r="Y101" s="154"/>
      <c r="Z101" s="154"/>
      <c r="AA101" s="154"/>
      <c r="AB101" s="154"/>
      <c r="AC101" s="154" t="e">
        <f>VLOOKUP(C33,MATIERES!A34:G448,3,0)</f>
        <v>#N/A</v>
      </c>
      <c r="AD101" s="154"/>
      <c r="AE101" s="154"/>
      <c r="AF101" s="154"/>
      <c r="AG101" s="154"/>
      <c r="AH101" s="154"/>
      <c r="AI101" s="154"/>
      <c r="AJ101" s="154"/>
      <c r="AK101" s="154"/>
      <c r="AL101" s="154"/>
      <c r="AM101" s="154"/>
      <c r="AN101" s="154"/>
      <c r="AO101" s="154"/>
      <c r="AP101" s="154"/>
      <c r="AQ101" s="154"/>
      <c r="AR101" s="154"/>
      <c r="AS101" s="154"/>
    </row>
  </sheetData>
  <mergeCells count="48">
    <mergeCell ref="AP1:AQ2"/>
    <mergeCell ref="B63:B67"/>
    <mergeCell ref="C63:D63"/>
    <mergeCell ref="C64:D64"/>
    <mergeCell ref="C65:D65"/>
    <mergeCell ref="C66:D66"/>
    <mergeCell ref="C67:D67"/>
    <mergeCell ref="C61:D61"/>
    <mergeCell ref="AC56:AD56"/>
    <mergeCell ref="AE56:AF56"/>
    <mergeCell ref="AG56:AH56"/>
    <mergeCell ref="AI56:AJ56"/>
    <mergeCell ref="E56:F56"/>
    <mergeCell ref="G56:H56"/>
    <mergeCell ref="I56:J56"/>
    <mergeCell ref="K56:L56"/>
    <mergeCell ref="C59:D59"/>
    <mergeCell ref="C60:D60"/>
    <mergeCell ref="AK56:AL56"/>
    <mergeCell ref="AM56:AN56"/>
    <mergeCell ref="Q56:R56"/>
    <mergeCell ref="S56:T56"/>
    <mergeCell ref="U56:V56"/>
    <mergeCell ref="W56:X56"/>
    <mergeCell ref="Y56:Z56"/>
    <mergeCell ref="AA56:AB56"/>
    <mergeCell ref="M56:N56"/>
    <mergeCell ref="O56:P56"/>
    <mergeCell ref="C56:D56"/>
    <mergeCell ref="C57:D57"/>
    <mergeCell ref="C58:D58"/>
    <mergeCell ref="A4:A32"/>
    <mergeCell ref="A34:A37"/>
    <mergeCell ref="A38:A49"/>
    <mergeCell ref="A50:A54"/>
    <mergeCell ref="B56:B61"/>
    <mergeCell ref="AE2:AF2"/>
    <mergeCell ref="B2:B3"/>
    <mergeCell ref="C2:C3"/>
    <mergeCell ref="E2:F2"/>
    <mergeCell ref="G2:H2"/>
    <mergeCell ref="I2:J2"/>
    <mergeCell ref="K2:L2"/>
    <mergeCell ref="M2:N2"/>
    <mergeCell ref="O2:P2"/>
    <mergeCell ref="Q2:R2"/>
    <mergeCell ref="S2:T2"/>
    <mergeCell ref="U2:V2"/>
  </mergeCells>
  <dataValidations xWindow="487" yWindow="696" count="9">
    <dataValidation type="list" allowBlank="1" showInputMessage="1" promptTitle="Main d'oeuvre CHANTIER" prompt="choisir la prestation" sqref="C38:C48" xr:uid="{00000000-0002-0000-0700-000000000000}">
      <formula1>INDIRECT(B38)</formula1>
    </dataValidation>
    <dataValidation type="list" allowBlank="1" showInputMessage="1" showErrorMessage="1" promptTitle="Catégorie MOC" prompt="choisir" sqref="B38:B48" xr:uid="{00000000-0002-0000-0700-000001000000}">
      <formula1>CATEGORIE_MOC</formula1>
    </dataValidation>
    <dataValidation type="list" allowBlank="1" showInputMessage="1" showErrorMessage="1" promptTitle="MINIPELLE" prompt="choisir catégorie" sqref="B50:B53" xr:uid="{00000000-0002-0000-0700-000002000000}">
      <formula1>CATEGORIE_MP</formula1>
    </dataValidation>
    <dataValidation type="list" allowBlank="1" showInputMessage="1" showErrorMessage="1" promptTitle="MO ATELIER" prompt="choisir catégorie" sqref="B34:B36" xr:uid="{00000000-0002-0000-0700-000003000000}">
      <formula1>CATEGORIE_MOA</formula1>
    </dataValidation>
    <dataValidation type="list" allowBlank="1" showInputMessage="1" showErrorMessage="1" promptTitle="MATIERES" prompt="choisir catégorie" sqref="B32" xr:uid="{00000000-0002-0000-0700-000006000000}">
      <formula1>MA_CATEGORIE</formula1>
    </dataValidation>
    <dataValidation type="list" allowBlank="1" showInputMessage="1" showErrorMessage="1" promptTitle="Main d'oeuvre ATELIER" prompt="choisir la prestation" sqref="C34:C36" xr:uid="{00000000-0002-0000-0700-000007000000}">
      <formula1>INDIRECT(B34)</formula1>
    </dataValidation>
    <dataValidation type="list" allowBlank="1" showInputMessage="1" promptTitle="MINIPELLE" prompt="choisir la prestation" sqref="C50:C53" xr:uid="{00000000-0002-0000-0700-000008000000}">
      <formula1>INDIRECT(B50)</formula1>
    </dataValidation>
    <dataValidation type="list" allowBlank="1" showInputMessage="1" showErrorMessage="1" promptTitle="MATIERES" prompt="choisir le produit" sqref="C4:C32" xr:uid="{00000000-0002-0000-0700-000004000000}">
      <formula1>INDIRECT(B4)</formula1>
    </dataValidation>
    <dataValidation type="list" allowBlank="1" showInputMessage="1" showErrorMessage="1" promptTitle="MATIERES" prompt="choisir catégorie" sqref="B4:B31" xr:uid="{00000000-0002-0000-0700-000005000000}">
      <formula1>MOA_ALIM</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published="0" codeName="Feuil10"/>
  <dimension ref="A1:AP67"/>
  <sheetViews>
    <sheetView zoomScale="85" zoomScaleNormal="85" workbookViewId="0">
      <pane xSplit="4" ySplit="3" topLeftCell="AE4" activePane="bottomRight" state="frozen"/>
      <selection pane="topRight" activeCell="E1" sqref="E1"/>
      <selection pane="bottomLeft" activeCell="A4" sqref="A4"/>
      <selection pane="bottomRight" activeCell="AQ36" sqref="AQ36"/>
    </sheetView>
  </sheetViews>
  <sheetFormatPr baseColWidth="10" defaultRowHeight="18" x14ac:dyDescent="0.2"/>
  <cols>
    <col min="1" max="1" width="14.625" style="210" customWidth="1"/>
    <col min="2" max="2" width="22.5" style="211" customWidth="1"/>
    <col min="3" max="3" width="37.5" style="231" customWidth="1"/>
    <col min="4" max="4" width="7.125" style="232" customWidth="1"/>
    <col min="5" max="5" width="10.625" style="135" bestFit="1" customWidth="1"/>
    <col min="6" max="6" width="13.625" style="135" customWidth="1"/>
    <col min="7" max="7" width="10.625" style="135" bestFit="1"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bestFit="1" customWidth="1"/>
    <col min="38" max="39" width="11" style="135" customWidth="1"/>
    <col min="40" max="40" width="10" style="135" customWidth="1"/>
    <col min="41" max="42" width="11.5" style="135" customWidth="1"/>
    <col min="43" max="810" width="11.5" customWidth="1"/>
  </cols>
  <sheetData>
    <row r="1" spans="1:42" ht="14.85" customHeight="1" x14ac:dyDescent="0.2">
      <c r="A1" s="215"/>
      <c r="B1" s="216"/>
      <c r="C1" s="215"/>
      <c r="D1" s="217"/>
      <c r="E1" s="215">
        <v>3</v>
      </c>
      <c r="F1" s="215">
        <v>2</v>
      </c>
      <c r="G1" s="215">
        <v>5</v>
      </c>
      <c r="H1" s="215">
        <v>3</v>
      </c>
      <c r="I1" s="215">
        <v>7</v>
      </c>
      <c r="J1" s="215">
        <v>4</v>
      </c>
      <c r="K1" s="215">
        <v>9</v>
      </c>
      <c r="L1" s="215">
        <f>K2</f>
        <v>5</v>
      </c>
      <c r="M1" s="215">
        <v>11</v>
      </c>
      <c r="N1" s="215">
        <v>6</v>
      </c>
      <c r="O1" s="215">
        <v>13</v>
      </c>
      <c r="P1" s="215">
        <v>7</v>
      </c>
      <c r="Q1" s="215">
        <v>15</v>
      </c>
      <c r="R1" s="215">
        <v>8</v>
      </c>
      <c r="S1" s="215">
        <v>17</v>
      </c>
      <c r="T1" s="215">
        <f>S2</f>
        <v>9</v>
      </c>
      <c r="U1" s="215">
        <v>19</v>
      </c>
      <c r="V1" s="215">
        <v>10</v>
      </c>
      <c r="W1" s="215">
        <v>21</v>
      </c>
      <c r="X1" s="215" t="s">
        <v>460</v>
      </c>
      <c r="Y1" s="215">
        <v>23</v>
      </c>
      <c r="Z1" s="215" t="s">
        <v>461</v>
      </c>
      <c r="AA1" s="215">
        <v>25</v>
      </c>
      <c r="AB1" s="215" t="s">
        <v>462</v>
      </c>
      <c r="AC1" s="215">
        <v>27</v>
      </c>
      <c r="AD1" s="215" t="s">
        <v>463</v>
      </c>
      <c r="AE1" s="215">
        <v>29</v>
      </c>
      <c r="AF1" s="215">
        <v>16</v>
      </c>
      <c r="AG1" s="215">
        <v>31</v>
      </c>
      <c r="AH1" s="215" t="s">
        <v>464</v>
      </c>
      <c r="AI1" s="215">
        <v>33</v>
      </c>
      <c r="AJ1" s="215" t="s">
        <v>465</v>
      </c>
      <c r="AK1" s="215">
        <v>35</v>
      </c>
      <c r="AL1" s="215" t="s">
        <v>466</v>
      </c>
      <c r="AM1" s="215">
        <v>37</v>
      </c>
      <c r="AN1" s="215" t="s">
        <v>467</v>
      </c>
      <c r="AO1" s="215"/>
      <c r="AP1" s="215"/>
    </row>
    <row r="2" spans="1:42" ht="35.1" customHeight="1" x14ac:dyDescent="0.2">
      <c r="A2" s="174"/>
      <c r="B2" s="1572" t="s">
        <v>1807</v>
      </c>
      <c r="C2" s="1574" t="s">
        <v>468</v>
      </c>
      <c r="D2" s="115" t="s">
        <v>203</v>
      </c>
      <c r="E2" s="1571">
        <v>2</v>
      </c>
      <c r="F2" s="1571"/>
      <c r="G2" s="1571">
        <v>3</v>
      </c>
      <c r="H2" s="1571"/>
      <c r="I2" s="1571">
        <v>4</v>
      </c>
      <c r="J2" s="1571"/>
      <c r="K2" s="1571">
        <v>5</v>
      </c>
      <c r="L2" s="1571"/>
      <c r="M2" s="1571">
        <v>6</v>
      </c>
      <c r="N2" s="1571"/>
      <c r="O2" s="1571">
        <v>7</v>
      </c>
      <c r="P2" s="1571"/>
      <c r="Q2" s="1571">
        <v>8</v>
      </c>
      <c r="R2" s="1571"/>
      <c r="S2" s="1571">
        <v>9</v>
      </c>
      <c r="T2" s="1571"/>
      <c r="U2" s="1571">
        <v>10</v>
      </c>
      <c r="V2" s="1571"/>
      <c r="W2" s="218">
        <v>12</v>
      </c>
      <c r="X2" s="175" t="s">
        <v>469</v>
      </c>
      <c r="Y2" s="175">
        <v>12</v>
      </c>
      <c r="Z2" s="117" t="s">
        <v>470</v>
      </c>
      <c r="AA2" s="218">
        <v>14</v>
      </c>
      <c r="AB2" s="175" t="s">
        <v>471</v>
      </c>
      <c r="AC2" s="218">
        <v>14</v>
      </c>
      <c r="AD2" s="175" t="s">
        <v>472</v>
      </c>
      <c r="AE2" s="1571">
        <v>16</v>
      </c>
      <c r="AF2" s="1571"/>
      <c r="AG2" s="218">
        <v>18</v>
      </c>
      <c r="AH2" s="175" t="s">
        <v>473</v>
      </c>
      <c r="AI2" s="218">
        <v>18</v>
      </c>
      <c r="AJ2" s="175" t="s">
        <v>474</v>
      </c>
      <c r="AK2" s="218">
        <v>20</v>
      </c>
      <c r="AL2" s="175" t="s">
        <v>475</v>
      </c>
      <c r="AM2" s="218">
        <v>20</v>
      </c>
      <c r="AN2" s="175" t="s">
        <v>476</v>
      </c>
      <c r="AO2" s="178"/>
      <c r="AP2" s="178"/>
    </row>
    <row r="3" spans="1:42" ht="35.1" customHeight="1" x14ac:dyDescent="0.2">
      <c r="A3" s="174"/>
      <c r="B3" s="1573"/>
      <c r="C3" s="1574"/>
      <c r="D3" s="176" t="s">
        <v>222</v>
      </c>
      <c r="E3" s="177" t="s">
        <v>444</v>
      </c>
      <c r="F3" s="219" t="s">
        <v>477</v>
      </c>
      <c r="G3" s="177" t="s">
        <v>444</v>
      </c>
      <c r="H3" s="219" t="s">
        <v>477</v>
      </c>
      <c r="I3" s="177" t="s">
        <v>444</v>
      </c>
      <c r="J3" s="219" t="s">
        <v>477</v>
      </c>
      <c r="K3" s="177" t="s">
        <v>444</v>
      </c>
      <c r="L3" s="219" t="s">
        <v>477</v>
      </c>
      <c r="M3" s="177" t="s">
        <v>444</v>
      </c>
      <c r="N3" s="219" t="s">
        <v>477</v>
      </c>
      <c r="O3" s="177" t="s">
        <v>444</v>
      </c>
      <c r="P3" s="219" t="s">
        <v>477</v>
      </c>
      <c r="Q3" s="220" t="s">
        <v>444</v>
      </c>
      <c r="R3" s="221" t="s">
        <v>477</v>
      </c>
      <c r="S3" s="177" t="s">
        <v>444</v>
      </c>
      <c r="T3" s="219" t="s">
        <v>477</v>
      </c>
      <c r="U3" s="177" t="s">
        <v>444</v>
      </c>
      <c r="V3" s="219" t="s">
        <v>477</v>
      </c>
      <c r="W3" s="177" t="s">
        <v>444</v>
      </c>
      <c r="X3" s="219" t="s">
        <v>477</v>
      </c>
      <c r="Y3" s="177" t="s">
        <v>444</v>
      </c>
      <c r="Z3" s="219" t="s">
        <v>477</v>
      </c>
      <c r="AA3" s="177" t="s">
        <v>444</v>
      </c>
      <c r="AB3" s="219" t="s">
        <v>477</v>
      </c>
      <c r="AC3" s="177" t="s">
        <v>444</v>
      </c>
      <c r="AD3" s="219" t="s">
        <v>477</v>
      </c>
      <c r="AE3" s="177" t="s">
        <v>444</v>
      </c>
      <c r="AF3" s="219" t="s">
        <v>477</v>
      </c>
      <c r="AG3" s="177" t="s">
        <v>444</v>
      </c>
      <c r="AH3" s="219" t="s">
        <v>477</v>
      </c>
      <c r="AI3" s="177" t="s">
        <v>444</v>
      </c>
      <c r="AJ3" s="219" t="s">
        <v>477</v>
      </c>
      <c r="AK3" s="177" t="s">
        <v>444</v>
      </c>
      <c r="AL3" s="219" t="s">
        <v>477</v>
      </c>
      <c r="AM3" s="177" t="s">
        <v>444</v>
      </c>
      <c r="AN3" s="219" t="s">
        <v>477</v>
      </c>
      <c r="AO3" s="178"/>
      <c r="AP3" s="178"/>
    </row>
    <row r="4" spans="1:42" ht="9.9499999999999993" customHeight="1" x14ac:dyDescent="0.2">
      <c r="A4" s="1549" t="s">
        <v>1078</v>
      </c>
      <c r="B4" s="361" t="s">
        <v>127</v>
      </c>
      <c r="C4" s="1400" t="s">
        <v>1210</v>
      </c>
      <c r="D4" s="363" t="str">
        <f>IF($C4="","",VLOOKUP($C4,MATIERES!$A$2:$F$448,5,0))</f>
        <v>t</v>
      </c>
      <c r="E4" s="364">
        <f>'Outils de calculs'!E25*2*0.05*1.8</f>
        <v>0.72000000000000008</v>
      </c>
      <c r="F4" s="365">
        <f>IF($C4="","",E4*VLOOKUP($C4,MATIERES!$A$2:$F$448,4,0))</f>
        <v>14.400000000000002</v>
      </c>
      <c r="G4" s="364">
        <f>'Outils de calculs'!G25*2*0.05*1.8</f>
        <v>1.0800000000000003</v>
      </c>
      <c r="H4" s="365">
        <f>IF($C4="","",G4*VLOOKUP($C4,MATIERES!$A$2:$F$448,4,0))</f>
        <v>21.600000000000005</v>
      </c>
      <c r="I4" s="364">
        <f>'Outils de calculs'!I25*2*0.05*1.8</f>
        <v>1.4400000000000002</v>
      </c>
      <c r="J4" s="365">
        <f>IF($C4="","",I4*VLOOKUP($C4,MATIERES!$A$2:$F$448,4,0))</f>
        <v>28.800000000000004</v>
      </c>
      <c r="K4" s="364">
        <f>'Outils de calculs'!K25*2*0.05*1.8</f>
        <v>1.8</v>
      </c>
      <c r="L4" s="365">
        <f>IF($C4="","",K4*VLOOKUP($C4,MATIERES!$A$2:$F$448,4,0))</f>
        <v>36</v>
      </c>
      <c r="M4" s="364">
        <f>'Outils de calculs'!M25*2*0.05*1.8</f>
        <v>2.1600000000000006</v>
      </c>
      <c r="N4" s="365">
        <f>IF($C4="","",M4*VLOOKUP($C4,MATIERES!$A$2:$F$448,4,0))</f>
        <v>43.20000000000001</v>
      </c>
      <c r="O4" s="364">
        <f>'Outils de calculs'!O25*2*0.05*1.8</f>
        <v>2.5200000000000005</v>
      </c>
      <c r="P4" s="365">
        <f>IF($C4="","",O4*VLOOKUP($C4,MATIERES!$A$2:$F$448,4,0))</f>
        <v>50.400000000000006</v>
      </c>
      <c r="Q4" s="364">
        <f>'Outils de calculs'!Q25*2*0.05*1.8</f>
        <v>2.8800000000000003</v>
      </c>
      <c r="R4" s="365">
        <f>IF($C4="","",Q4*VLOOKUP($C4,MATIERES!$A$2:$F$448,4,0))</f>
        <v>57.600000000000009</v>
      </c>
      <c r="S4" s="364">
        <f>'Outils de calculs'!S25*2*0.05*1.8</f>
        <v>3.24</v>
      </c>
      <c r="T4" s="365">
        <f>IF($C4="","",S4*VLOOKUP($C4,MATIERES!$A$2:$F$448,4,0))</f>
        <v>64.800000000000011</v>
      </c>
      <c r="U4" s="364">
        <f>'Outils de calculs'!U25*2*0.05*1.8</f>
        <v>3.6</v>
      </c>
      <c r="V4" s="365">
        <f>IF($C4="","",U4*VLOOKUP($C4,MATIERES!$A$2:$F$448,4,0))</f>
        <v>72</v>
      </c>
      <c r="W4" s="364">
        <f>'Outils de calculs'!W25*2*0.05*1.8</f>
        <v>4.3200000000000012</v>
      </c>
      <c r="X4" s="365">
        <f>IF($C4="","",W4*VLOOKUP($C4,MATIERES!$A$2:$F$448,4,0))</f>
        <v>86.40000000000002</v>
      </c>
      <c r="Y4" s="364">
        <f>'Outils de calculs'!Y25*2*0.05*1.8</f>
        <v>4.3200000000000012</v>
      </c>
      <c r="Z4" s="365">
        <f>IF($C4="","",Y4*VLOOKUP($C4,MATIERES!$A$2:$F$448,4,0))</f>
        <v>86.40000000000002</v>
      </c>
      <c r="AA4" s="364">
        <f>'Outils de calculs'!AA25*2*0.05*1.8</f>
        <v>5.0400000000000009</v>
      </c>
      <c r="AB4" s="365">
        <f>IF($C4="","",AA4*VLOOKUP($C4,MATIERES!$A$2:$F$448,4,0))</f>
        <v>100.80000000000001</v>
      </c>
      <c r="AC4" s="364">
        <f>'Outils de calculs'!AC25*2*0.05*1.8</f>
        <v>5.0400000000000009</v>
      </c>
      <c r="AD4" s="365">
        <f>IF($C4="","",AC4*VLOOKUP($C4,MATIERES!$A$2:$F$448,4,0))</f>
        <v>100.80000000000001</v>
      </c>
      <c r="AE4" s="364">
        <f>'Outils de calculs'!AE25*2*0.05*1.8</f>
        <v>5.7600000000000007</v>
      </c>
      <c r="AF4" s="365">
        <f>IF($C4="","",AE4*VLOOKUP($C4,MATIERES!$A$2:$F$448,4,0))</f>
        <v>115.20000000000002</v>
      </c>
      <c r="AG4" s="364">
        <f>'Outils de calculs'!AG25*2*0.05*1.8</f>
        <v>6.48</v>
      </c>
      <c r="AH4" s="365">
        <f>IF($C4="","",AG4*VLOOKUP($C4,MATIERES!$A$2:$F$448,4,0))</f>
        <v>129.60000000000002</v>
      </c>
      <c r="AI4" s="364">
        <f>'Outils de calculs'!AI25*2*0.05*1.8</f>
        <v>6.48</v>
      </c>
      <c r="AJ4" s="365">
        <f>IF($C4="","",AI4*VLOOKUP($C4,MATIERES!$A$2:$F$448,4,0))</f>
        <v>129.60000000000002</v>
      </c>
      <c r="AK4" s="364">
        <f>'Outils de calculs'!AK25*2*0.05*1.8</f>
        <v>7.2</v>
      </c>
      <c r="AL4" s="365">
        <f>IF($C4="","",AK4*VLOOKUP($C4,MATIERES!$A$2:$F$448,4,0))</f>
        <v>144</v>
      </c>
      <c r="AM4" s="364">
        <f>'Outils de calculs'!AM25*2*0.05*1.8</f>
        <v>7.2</v>
      </c>
      <c r="AN4" s="365">
        <f>IF($C4="","",AM4*VLOOKUP($C4,MATIERES!$A$2:$F$448,4,0))</f>
        <v>144</v>
      </c>
    </row>
    <row r="5" spans="1:42" ht="9.9499999999999993" customHeight="1" x14ac:dyDescent="0.2">
      <c r="A5" s="1550"/>
      <c r="B5" s="361" t="s">
        <v>1149</v>
      </c>
      <c r="C5" s="1401" t="s">
        <v>288</v>
      </c>
      <c r="D5" s="363" t="str">
        <f>IF($C5="","",VLOOKUP($C5,MATIERES!$A$2:$F$448,5,0))</f>
        <v>pc</v>
      </c>
      <c r="E5" s="364">
        <v>1</v>
      </c>
      <c r="F5" s="365">
        <f>IF($C5="","",E5*VLOOKUP($C5,MATIERES!$A$2:$F$448,4,0))</f>
        <v>162.08000000000001</v>
      </c>
      <c r="G5" s="364">
        <v>0</v>
      </c>
      <c r="H5" s="365">
        <f>IF($C5="","",G5*VLOOKUP($C5,MATIERES!$A$2:$F$448,4,0))</f>
        <v>0</v>
      </c>
      <c r="I5" s="364"/>
      <c r="J5" s="365"/>
      <c r="K5" s="364"/>
      <c r="L5" s="365"/>
      <c r="M5" s="364"/>
      <c r="N5" s="365"/>
      <c r="O5" s="364"/>
      <c r="P5" s="365"/>
      <c r="Q5" s="364"/>
      <c r="R5" s="365"/>
      <c r="S5" s="364"/>
      <c r="T5" s="365"/>
      <c r="U5" s="364"/>
      <c r="V5" s="365"/>
      <c r="W5" s="364"/>
      <c r="X5" s="365"/>
      <c r="Y5" s="364"/>
      <c r="Z5" s="365"/>
      <c r="AA5" s="364"/>
      <c r="AB5" s="365"/>
      <c r="AC5" s="364"/>
      <c r="AD5" s="365"/>
      <c r="AE5" s="364"/>
      <c r="AF5" s="365"/>
      <c r="AG5" s="364"/>
      <c r="AH5" s="365"/>
      <c r="AI5" s="364"/>
      <c r="AJ5" s="365"/>
      <c r="AK5" s="364"/>
      <c r="AL5" s="365"/>
      <c r="AM5" s="364"/>
      <c r="AN5" s="365"/>
    </row>
    <row r="6" spans="1:42" ht="9.9499999999999993" customHeight="1" x14ac:dyDescent="0.2">
      <c r="A6" s="1550"/>
      <c r="B6" s="361" t="s">
        <v>1149</v>
      </c>
      <c r="C6" s="1401" t="s">
        <v>294</v>
      </c>
      <c r="D6" s="363" t="str">
        <f>IF($C6="","",VLOOKUP($C6,MATIERES!$A$2:$F$448,5,0))</f>
        <v>pc</v>
      </c>
      <c r="E6" s="364"/>
      <c r="F6" s="365"/>
      <c r="G6" s="364">
        <v>1</v>
      </c>
      <c r="H6" s="365">
        <f>IF($C6="","",G6*VLOOKUP($C6,MATIERES!$A$2:$F$448,4,0))</f>
        <v>216.92</v>
      </c>
      <c r="I6" s="364"/>
      <c r="J6" s="365"/>
      <c r="K6" s="364"/>
      <c r="L6" s="365"/>
      <c r="M6" s="364"/>
      <c r="N6" s="365"/>
      <c r="O6" s="364"/>
      <c r="P6" s="365"/>
      <c r="Q6" s="364"/>
      <c r="R6" s="365"/>
      <c r="S6" s="364"/>
      <c r="T6" s="365"/>
      <c r="U6" s="364"/>
      <c r="V6" s="365"/>
      <c r="W6" s="364"/>
      <c r="X6" s="365"/>
      <c r="Y6" s="364"/>
      <c r="Z6" s="365"/>
      <c r="AA6" s="364"/>
      <c r="AB6" s="365"/>
      <c r="AC6" s="364"/>
      <c r="AD6" s="365"/>
      <c r="AE6" s="364"/>
      <c r="AF6" s="365"/>
      <c r="AG6" s="364"/>
      <c r="AH6" s="365"/>
      <c r="AI6" s="364"/>
      <c r="AJ6" s="365"/>
      <c r="AK6" s="364"/>
      <c r="AL6" s="365"/>
      <c r="AM6" s="364"/>
      <c r="AN6" s="365"/>
    </row>
    <row r="7" spans="1:42" ht="9.9499999999999993" customHeight="1" x14ac:dyDescent="0.2">
      <c r="A7" s="1550"/>
      <c r="B7" s="361" t="s">
        <v>1149</v>
      </c>
      <c r="C7" s="1401" t="s">
        <v>295</v>
      </c>
      <c r="D7" s="363" t="str">
        <f>IF($C7="","",VLOOKUP($C7,MATIERES!$A$2:$F$448,5,0))</f>
        <v>pc</v>
      </c>
      <c r="E7" s="364"/>
      <c r="F7" s="365"/>
      <c r="G7" s="364"/>
      <c r="H7" s="365"/>
      <c r="I7" s="364">
        <v>1</v>
      </c>
      <c r="J7" s="365">
        <f>IF($C7="","",I7*VLOOKUP($C7,MATIERES!$A$2:$F$448,4,0))</f>
        <v>232.5</v>
      </c>
      <c r="K7" s="364"/>
      <c r="L7" s="365"/>
      <c r="M7" s="364"/>
      <c r="N7" s="365"/>
      <c r="O7" s="364"/>
      <c r="P7" s="365"/>
      <c r="Q7" s="364"/>
      <c r="R7" s="365"/>
      <c r="S7" s="364"/>
      <c r="T7" s="365"/>
      <c r="U7" s="364"/>
      <c r="V7" s="365"/>
      <c r="W7" s="364"/>
      <c r="X7" s="365"/>
      <c r="Y7" s="364"/>
      <c r="Z7" s="365"/>
      <c r="AA7" s="364"/>
      <c r="AB7" s="365"/>
      <c r="AC7" s="364"/>
      <c r="AD7" s="365"/>
      <c r="AE7" s="364"/>
      <c r="AF7" s="365"/>
      <c r="AG7" s="364"/>
      <c r="AH7" s="365"/>
      <c r="AI7" s="364"/>
      <c r="AJ7" s="365"/>
      <c r="AK7" s="364"/>
      <c r="AL7" s="365"/>
      <c r="AM7" s="364"/>
      <c r="AN7" s="365"/>
    </row>
    <row r="8" spans="1:42" ht="9.9499999999999993" customHeight="1" x14ac:dyDescent="0.2">
      <c r="A8" s="1550"/>
      <c r="B8" s="361" t="s">
        <v>1149</v>
      </c>
      <c r="C8" s="1401" t="s">
        <v>297</v>
      </c>
      <c r="D8" s="363" t="str">
        <f>IF($C8="","",VLOOKUP($C8,MATIERES!$A$2:$F$448,5,0))</f>
        <v>pc</v>
      </c>
      <c r="E8" s="364"/>
      <c r="F8" s="365"/>
      <c r="G8" s="364"/>
      <c r="H8" s="365"/>
      <c r="I8" s="364"/>
      <c r="J8" s="365"/>
      <c r="K8" s="364">
        <v>1</v>
      </c>
      <c r="L8" s="365">
        <f>IF($C8="","",K8*VLOOKUP($C8,MATIERES!$A$2:$F$448,4,0))</f>
        <v>271.89</v>
      </c>
      <c r="M8" s="364"/>
      <c r="N8" s="365"/>
      <c r="O8" s="364"/>
      <c r="P8" s="365"/>
      <c r="Q8" s="364"/>
      <c r="R8" s="365"/>
      <c r="S8" s="364"/>
      <c r="T8" s="365"/>
      <c r="U8" s="364"/>
      <c r="V8" s="365"/>
      <c r="W8" s="364"/>
      <c r="X8" s="365"/>
      <c r="Y8" s="364"/>
      <c r="Z8" s="365"/>
      <c r="AA8" s="364"/>
      <c r="AB8" s="365"/>
      <c r="AC8" s="364"/>
      <c r="AD8" s="365"/>
      <c r="AE8" s="364"/>
      <c r="AF8" s="365"/>
      <c r="AG8" s="364"/>
      <c r="AH8" s="365"/>
      <c r="AI8" s="364"/>
      <c r="AJ8" s="365"/>
      <c r="AK8" s="364"/>
      <c r="AL8" s="365"/>
      <c r="AM8" s="364"/>
      <c r="AN8" s="365"/>
    </row>
    <row r="9" spans="1:42" ht="9.9499999999999993" customHeight="1" x14ac:dyDescent="0.2">
      <c r="A9" s="1550"/>
      <c r="B9" s="361" t="s">
        <v>1149</v>
      </c>
      <c r="C9" s="1401" t="s">
        <v>303</v>
      </c>
      <c r="D9" s="363" t="str">
        <f>IF($C9="","",VLOOKUP($C9,MATIERES!$A$2:$F$448,5,0))</f>
        <v>pc</v>
      </c>
      <c r="E9" s="364"/>
      <c r="F9" s="365"/>
      <c r="G9" s="364"/>
      <c r="H9" s="365"/>
      <c r="I9" s="364"/>
      <c r="J9" s="365"/>
      <c r="K9" s="364"/>
      <c r="L9" s="365"/>
      <c r="M9" s="364">
        <v>1</v>
      </c>
      <c r="N9" s="365">
        <f>IF($C9="","",M9*VLOOKUP($C9,MATIERES!$A$2:$F$448,4,0))</f>
        <v>373.61</v>
      </c>
      <c r="O9" s="364">
        <v>0</v>
      </c>
      <c r="P9" s="365">
        <f>IF($C9="","",O9*VLOOKUP($C9,MATIERES!$A$2:$F$448,4,0))</f>
        <v>0</v>
      </c>
      <c r="Q9" s="364"/>
      <c r="R9" s="365"/>
      <c r="S9" s="364"/>
      <c r="T9" s="365"/>
      <c r="U9" s="364"/>
      <c r="V9" s="365"/>
      <c r="W9" s="364"/>
      <c r="X9" s="365"/>
      <c r="Y9" s="364"/>
      <c r="Z9" s="365"/>
      <c r="AA9" s="364"/>
      <c r="AB9" s="365"/>
      <c r="AC9" s="364"/>
      <c r="AD9" s="365"/>
      <c r="AE9" s="364"/>
      <c r="AF9" s="365"/>
      <c r="AG9" s="364"/>
      <c r="AH9" s="365"/>
      <c r="AI9" s="364"/>
      <c r="AJ9" s="365"/>
      <c r="AK9" s="364"/>
      <c r="AL9" s="365"/>
      <c r="AM9" s="364"/>
      <c r="AN9" s="365"/>
    </row>
    <row r="10" spans="1:42" ht="9.9499999999999993" customHeight="1" x14ac:dyDescent="0.2">
      <c r="A10" s="1550"/>
      <c r="B10" s="361" t="s">
        <v>1149</v>
      </c>
      <c r="C10" s="1401" t="s">
        <v>306</v>
      </c>
      <c r="D10" s="363" t="str">
        <f>IF($C10="","",VLOOKUP($C10,MATIERES!$A$2:$F$448,5,0))</f>
        <v>pc</v>
      </c>
      <c r="E10" s="364"/>
      <c r="F10" s="365"/>
      <c r="G10" s="364"/>
      <c r="H10" s="365"/>
      <c r="I10" s="364"/>
      <c r="J10" s="365"/>
      <c r="K10" s="364"/>
      <c r="L10" s="365"/>
      <c r="M10" s="364"/>
      <c r="N10" s="365"/>
      <c r="O10" s="364">
        <v>1</v>
      </c>
      <c r="P10" s="365">
        <f>IF($C10="","",O10*VLOOKUP($C10,MATIERES!$A$2:$F$448,4,0))</f>
        <v>399.73</v>
      </c>
      <c r="Q10" s="364"/>
      <c r="R10" s="365"/>
      <c r="S10" s="364"/>
      <c r="T10" s="365"/>
      <c r="U10" s="364"/>
      <c r="V10" s="365"/>
      <c r="W10" s="364"/>
      <c r="X10" s="365"/>
      <c r="Y10" s="364"/>
      <c r="Z10" s="365"/>
      <c r="AA10" s="364"/>
      <c r="AB10" s="365"/>
      <c r="AC10" s="364"/>
      <c r="AD10" s="365"/>
      <c r="AE10" s="364"/>
      <c r="AF10" s="365"/>
      <c r="AG10" s="364"/>
      <c r="AH10" s="365"/>
      <c r="AI10" s="364"/>
      <c r="AJ10" s="365"/>
      <c r="AK10" s="364"/>
      <c r="AL10" s="365"/>
      <c r="AM10" s="364"/>
      <c r="AN10" s="365"/>
    </row>
    <row r="11" spans="1:42" ht="9.9499999999999993" customHeight="1" x14ac:dyDescent="0.2">
      <c r="A11" s="1550"/>
      <c r="B11" s="361" t="s">
        <v>1149</v>
      </c>
      <c r="C11" s="1401" t="s">
        <v>309</v>
      </c>
      <c r="D11" s="363" t="str">
        <f>IF($C11="","",VLOOKUP($C11,MATIERES!$A$2:$F$448,5,0))</f>
        <v>pc</v>
      </c>
      <c r="E11" s="364"/>
      <c r="F11" s="365"/>
      <c r="G11" s="364"/>
      <c r="H11" s="365"/>
      <c r="I11" s="364"/>
      <c r="J11" s="365"/>
      <c r="K11" s="364"/>
      <c r="L11" s="365"/>
      <c r="M11" s="364"/>
      <c r="N11" s="365"/>
      <c r="O11" s="364"/>
      <c r="P11" s="365"/>
      <c r="Q11" s="364">
        <v>1</v>
      </c>
      <c r="R11" s="365">
        <f>IF($C11="","",Q11*VLOOKUP($C11,MATIERES!$A$2:$F$448,4,0))</f>
        <v>465.01</v>
      </c>
      <c r="S11" s="364"/>
      <c r="T11" s="365"/>
      <c r="U11" s="364"/>
      <c r="V11" s="365"/>
      <c r="W11" s="364"/>
      <c r="X11" s="365"/>
      <c r="Y11" s="364"/>
      <c r="Z11" s="365"/>
      <c r="AA11" s="364"/>
      <c r="AB11" s="365"/>
      <c r="AC11" s="364"/>
      <c r="AD11" s="365"/>
      <c r="AE11" s="364"/>
      <c r="AF11" s="365"/>
      <c r="AG11" s="364"/>
      <c r="AH11" s="365"/>
      <c r="AI11" s="364"/>
      <c r="AJ11" s="365"/>
      <c r="AK11" s="364"/>
      <c r="AL11" s="365"/>
      <c r="AM11" s="364"/>
      <c r="AN11" s="365"/>
    </row>
    <row r="12" spans="1:42" ht="9.9499999999999993" customHeight="1" x14ac:dyDescent="0.2">
      <c r="A12" s="1550"/>
      <c r="B12" s="361" t="s">
        <v>1149</v>
      </c>
      <c r="C12" s="1401" t="s">
        <v>311</v>
      </c>
      <c r="D12" s="363" t="str">
        <f>IF($C12="","",VLOOKUP($C12,MATIERES!$A$2:$F$448,5,0))</f>
        <v>pc</v>
      </c>
      <c r="E12" s="364"/>
      <c r="F12" s="365"/>
      <c r="G12" s="364"/>
      <c r="H12" s="365"/>
      <c r="I12" s="364"/>
      <c r="J12" s="365"/>
      <c r="K12" s="364"/>
      <c r="L12" s="365"/>
      <c r="M12" s="364"/>
      <c r="N12" s="365"/>
      <c r="O12" s="364"/>
      <c r="P12" s="365"/>
      <c r="Q12" s="364"/>
      <c r="R12" s="365"/>
      <c r="S12" s="364">
        <v>1</v>
      </c>
      <c r="T12" s="365">
        <f>IF($C12="","",S12*VLOOKUP($C12,MATIERES!$A$2:$F$448,4,0))</f>
        <v>488.52</v>
      </c>
      <c r="U12" s="364"/>
      <c r="V12" s="365"/>
      <c r="W12" s="364"/>
      <c r="X12" s="365"/>
      <c r="Y12" s="364"/>
      <c r="Z12" s="365"/>
      <c r="AA12" s="364"/>
      <c r="AB12" s="365"/>
      <c r="AC12" s="364"/>
      <c r="AD12" s="365"/>
      <c r="AE12" s="364"/>
      <c r="AF12" s="365"/>
      <c r="AG12" s="364"/>
      <c r="AH12" s="365"/>
      <c r="AI12" s="364"/>
      <c r="AJ12" s="365"/>
      <c r="AK12" s="364"/>
      <c r="AL12" s="365"/>
      <c r="AM12" s="364"/>
      <c r="AN12" s="365"/>
    </row>
    <row r="13" spans="1:42" ht="9.9499999999999993" customHeight="1" x14ac:dyDescent="0.2">
      <c r="A13" s="1550"/>
      <c r="B13" s="361" t="s">
        <v>1149</v>
      </c>
      <c r="C13" s="1401" t="s">
        <v>318</v>
      </c>
      <c r="D13" s="363" t="str">
        <f>IF($C13="","",VLOOKUP($C13,MATIERES!$A$2:$F$448,5,0))</f>
        <v>pc</v>
      </c>
      <c r="E13" s="364"/>
      <c r="F13" s="365"/>
      <c r="G13" s="364"/>
      <c r="H13" s="365"/>
      <c r="I13" s="364"/>
      <c r="J13" s="365"/>
      <c r="K13" s="364"/>
      <c r="L13" s="365"/>
      <c r="M13" s="364"/>
      <c r="N13" s="365"/>
      <c r="O13" s="364"/>
      <c r="P13" s="365"/>
      <c r="Q13" s="364"/>
      <c r="R13" s="365"/>
      <c r="S13" s="364"/>
      <c r="T13" s="365"/>
      <c r="U13" s="364">
        <v>1</v>
      </c>
      <c r="V13" s="365">
        <f>IF($C13="","",U13*VLOOKUP($C13,MATIERES!$A$2:$F$448,4,0))</f>
        <v>540.75</v>
      </c>
      <c r="W13" s="364"/>
      <c r="X13" s="365"/>
      <c r="Y13" s="364"/>
      <c r="Z13" s="365"/>
      <c r="AA13" s="364"/>
      <c r="AB13" s="365"/>
      <c r="AC13" s="364"/>
      <c r="AD13" s="365"/>
      <c r="AE13" s="364"/>
      <c r="AF13" s="365"/>
      <c r="AG13" s="364"/>
      <c r="AH13" s="365"/>
      <c r="AI13" s="364"/>
      <c r="AJ13" s="365"/>
      <c r="AK13" s="364"/>
      <c r="AL13" s="365"/>
      <c r="AM13" s="364"/>
      <c r="AN13" s="365"/>
      <c r="AO13" s="186"/>
    </row>
    <row r="14" spans="1:42" ht="9.9499999999999993" customHeight="1" x14ac:dyDescent="0.2">
      <c r="A14" s="1550"/>
      <c r="B14" s="361" t="s">
        <v>1149</v>
      </c>
      <c r="C14" s="1401" t="s">
        <v>246</v>
      </c>
      <c r="D14" s="363" t="str">
        <f>IF($C14="","",VLOOKUP($C14,MATIERES!$A$2:$F$448,5,0))</f>
        <v>pc</v>
      </c>
      <c r="E14" s="364"/>
      <c r="F14" s="365"/>
      <c r="G14" s="364"/>
      <c r="H14" s="365"/>
      <c r="I14" s="364"/>
      <c r="J14" s="365"/>
      <c r="K14" s="364"/>
      <c r="L14" s="365"/>
      <c r="M14" s="364"/>
      <c r="N14" s="365"/>
      <c r="O14" s="364"/>
      <c r="P14" s="365"/>
      <c r="Q14" s="364"/>
      <c r="R14" s="365"/>
      <c r="S14" s="364"/>
      <c r="T14" s="365"/>
      <c r="U14" s="364"/>
      <c r="V14" s="365"/>
      <c r="W14" s="364">
        <v>1</v>
      </c>
      <c r="X14" s="365">
        <f>IF($C14="","",W14*VLOOKUP($C14,MATIERES!$A$2:$F$448,4,0))</f>
        <v>624.32000000000005</v>
      </c>
      <c r="Y14" s="364">
        <v>1</v>
      </c>
      <c r="Z14" s="365">
        <f>IF($C14="","",Y14*VLOOKUP($C14,MATIERES!$A$2:$F$448,4,0))</f>
        <v>624.32000000000005</v>
      </c>
      <c r="AA14" s="364"/>
      <c r="AB14" s="365"/>
      <c r="AC14" s="364"/>
      <c r="AD14" s="365"/>
      <c r="AE14" s="364"/>
      <c r="AF14" s="365"/>
      <c r="AG14" s="364"/>
      <c r="AH14" s="365"/>
      <c r="AI14" s="364"/>
      <c r="AJ14" s="365"/>
      <c r="AK14" s="364"/>
      <c r="AL14" s="365"/>
      <c r="AM14" s="364"/>
      <c r="AN14" s="365"/>
    </row>
    <row r="15" spans="1:42" ht="9.9499999999999993" customHeight="1" x14ac:dyDescent="0.2">
      <c r="A15" s="1550"/>
      <c r="B15" s="361" t="s">
        <v>1149</v>
      </c>
      <c r="C15" s="1401" t="s">
        <v>326</v>
      </c>
      <c r="D15" s="363" t="str">
        <f>IF($C15="","",VLOOKUP($C15,MATIERES!$A$2:$F$448,5,0))</f>
        <v>pc</v>
      </c>
      <c r="E15" s="364"/>
      <c r="F15" s="365"/>
      <c r="G15" s="364"/>
      <c r="H15" s="365"/>
      <c r="I15" s="364"/>
      <c r="J15" s="365"/>
      <c r="K15" s="364"/>
      <c r="L15" s="365"/>
      <c r="M15" s="364"/>
      <c r="N15" s="365"/>
      <c r="O15" s="364"/>
      <c r="P15" s="365"/>
      <c r="Q15" s="364"/>
      <c r="R15" s="365"/>
      <c r="S15" s="364"/>
      <c r="T15" s="365"/>
      <c r="U15" s="364"/>
      <c r="V15" s="365"/>
      <c r="W15" s="364"/>
      <c r="X15" s="365"/>
      <c r="Y15" s="364"/>
      <c r="Z15" s="365"/>
      <c r="AA15" s="364">
        <v>1</v>
      </c>
      <c r="AB15" s="365">
        <f>IF($C15="","",AA15*VLOOKUP($C15,MATIERES!$A$2:$F$448,4,0))</f>
        <v>660.88</v>
      </c>
      <c r="AC15" s="364">
        <v>1</v>
      </c>
      <c r="AD15" s="365">
        <f>IF($C15="","",AC15*VLOOKUP($C15,MATIERES!$A$2:$F$448,4,0))</f>
        <v>660.88</v>
      </c>
      <c r="AE15" s="364"/>
      <c r="AF15" s="365"/>
      <c r="AG15" s="364"/>
      <c r="AH15" s="365"/>
      <c r="AI15" s="364"/>
      <c r="AJ15" s="365"/>
      <c r="AK15" s="364"/>
      <c r="AL15" s="365"/>
      <c r="AM15" s="364"/>
      <c r="AN15" s="365"/>
    </row>
    <row r="16" spans="1:42" ht="9.9499999999999993" customHeight="1" x14ac:dyDescent="0.2">
      <c r="A16" s="1550"/>
      <c r="B16" s="361" t="s">
        <v>1149</v>
      </c>
      <c r="C16" s="1401" t="s">
        <v>335</v>
      </c>
      <c r="D16" s="363" t="str">
        <f>IF($C16="","",VLOOKUP($C16,MATIERES!$A$2:$F$448,5,0))</f>
        <v>pc</v>
      </c>
      <c r="E16" s="364"/>
      <c r="F16" s="365"/>
      <c r="G16" s="364"/>
      <c r="H16" s="365"/>
      <c r="I16" s="364"/>
      <c r="J16" s="365"/>
      <c r="K16" s="364"/>
      <c r="L16" s="365"/>
      <c r="M16" s="364"/>
      <c r="N16" s="365"/>
      <c r="O16" s="364"/>
      <c r="P16" s="365"/>
      <c r="Q16" s="364"/>
      <c r="R16" s="365"/>
      <c r="S16" s="364"/>
      <c r="T16" s="365"/>
      <c r="U16" s="364"/>
      <c r="V16" s="365"/>
      <c r="W16" s="364"/>
      <c r="X16" s="365"/>
      <c r="Y16" s="364"/>
      <c r="Z16" s="365"/>
      <c r="AA16" s="364"/>
      <c r="AB16" s="365"/>
      <c r="AC16" s="364"/>
      <c r="AD16" s="365"/>
      <c r="AE16" s="364">
        <v>1</v>
      </c>
      <c r="AF16" s="365">
        <f>IF($C16="","",AE16*VLOOKUP($C16,MATIERES!$A$2:$F$448,4,0))</f>
        <v>765.99</v>
      </c>
      <c r="AG16" s="364"/>
      <c r="AH16" s="365"/>
      <c r="AI16" s="364"/>
      <c r="AJ16" s="365"/>
      <c r="AK16" s="364"/>
      <c r="AL16" s="365"/>
      <c r="AM16" s="364"/>
      <c r="AN16" s="365"/>
    </row>
    <row r="17" spans="1:40" ht="9.9499999999999993" customHeight="1" x14ac:dyDescent="0.2">
      <c r="A17" s="1551"/>
      <c r="B17" s="361" t="s">
        <v>1149</v>
      </c>
      <c r="C17" s="1401" t="s">
        <v>354</v>
      </c>
      <c r="D17" s="363" t="str">
        <f>IF($C17="","",VLOOKUP($C17,MATIERES!$A$2:$F$448,5,0))</f>
        <v>pc</v>
      </c>
      <c r="E17" s="364"/>
      <c r="F17" s="365"/>
      <c r="G17" s="364"/>
      <c r="H17" s="365"/>
      <c r="I17" s="364"/>
      <c r="J17" s="365"/>
      <c r="K17" s="364"/>
      <c r="L17" s="365"/>
      <c r="M17" s="364"/>
      <c r="N17" s="365"/>
      <c r="O17" s="364"/>
      <c r="P17" s="365"/>
      <c r="Q17" s="364"/>
      <c r="R17" s="365"/>
      <c r="S17" s="364"/>
      <c r="T17" s="365"/>
      <c r="U17" s="364"/>
      <c r="V17" s="365"/>
      <c r="W17" s="364"/>
      <c r="X17" s="365"/>
      <c r="Y17" s="364"/>
      <c r="Z17" s="365"/>
      <c r="AA17" s="364"/>
      <c r="AB17" s="365"/>
      <c r="AC17" s="364"/>
      <c r="AD17" s="365"/>
      <c r="AE17" s="364"/>
      <c r="AF17" s="365"/>
      <c r="AG17" s="364">
        <v>1</v>
      </c>
      <c r="AH17" s="365">
        <f>IF($C17="","",AG17*VLOOKUP($C17,MATIERES!$A$2:$F$448,4,0))</f>
        <v>967.73</v>
      </c>
      <c r="AI17" s="364">
        <v>1</v>
      </c>
      <c r="AJ17" s="365">
        <f>IF($C17="","",AI17*VLOOKUP($C17,MATIERES!$A$2:$F$448,4,0))</f>
        <v>967.73</v>
      </c>
      <c r="AK17" s="364"/>
      <c r="AL17" s="365"/>
      <c r="AM17" s="364"/>
      <c r="AN17" s="365"/>
    </row>
    <row r="18" spans="1:40" ht="9.9499999999999993" customHeight="1" x14ac:dyDescent="0.2">
      <c r="A18" s="1550"/>
      <c r="B18" s="361" t="s">
        <v>1149</v>
      </c>
      <c r="C18" s="1401" t="s">
        <v>355</v>
      </c>
      <c r="D18" s="363" t="str">
        <f>IF($C18="","",VLOOKUP($C18,MATIERES!$A$2:$F$448,5,0))</f>
        <v>pc</v>
      </c>
      <c r="E18" s="364"/>
      <c r="F18" s="365"/>
      <c r="G18" s="364"/>
      <c r="H18" s="365"/>
      <c r="I18" s="364"/>
      <c r="J18" s="365"/>
      <c r="K18" s="364"/>
      <c r="L18" s="365"/>
      <c r="M18" s="364"/>
      <c r="N18" s="365"/>
      <c r="O18" s="364"/>
      <c r="P18" s="365"/>
      <c r="Q18" s="364"/>
      <c r="R18" s="365"/>
      <c r="S18" s="364"/>
      <c r="T18" s="365"/>
      <c r="U18" s="364"/>
      <c r="V18" s="365"/>
      <c r="W18" s="364"/>
      <c r="X18" s="365"/>
      <c r="Y18" s="364"/>
      <c r="Z18" s="365"/>
      <c r="AA18" s="364"/>
      <c r="AB18" s="365"/>
      <c r="AC18" s="364"/>
      <c r="AD18" s="365"/>
      <c r="AE18" s="364"/>
      <c r="AF18" s="365"/>
      <c r="AG18" s="364"/>
      <c r="AH18" s="365"/>
      <c r="AI18" s="364"/>
      <c r="AJ18" s="365"/>
      <c r="AK18" s="364">
        <v>1</v>
      </c>
      <c r="AL18" s="365">
        <f>IF($C18="","",AK18*VLOOKUP($C18,MATIERES!$A$2:$F$448,4,0))</f>
        <v>970.99</v>
      </c>
      <c r="AM18" s="364">
        <v>1</v>
      </c>
      <c r="AN18" s="365">
        <f>IF($C18="","",AM18*VLOOKUP($C18,MATIERES!$A$2:$F$448,4,0))</f>
        <v>970.99</v>
      </c>
    </row>
    <row r="19" spans="1:40" ht="9.9499999999999993" customHeight="1" x14ac:dyDescent="0.2">
      <c r="A19" s="1550"/>
      <c r="B19" s="361" t="s">
        <v>127</v>
      </c>
      <c r="C19" s="1400" t="s">
        <v>1113</v>
      </c>
      <c r="D19" s="363" t="str">
        <f>IF($C19="","",VLOOKUP($C19,MATIERES!$A$2:$F$448,5,0))</f>
        <v>t</v>
      </c>
      <c r="E19" s="364">
        <f>'Outils de calculs'!E33*('Outils de calculs'!E34-'Outils de calculs'!E35)*0.4*1.6</f>
        <v>2.16</v>
      </c>
      <c r="F19" s="365">
        <f>IF($C19="","",E19*VLOOKUP($C19,MATIERES!$A$2:$F$448,4,0))</f>
        <v>64.800000000000011</v>
      </c>
      <c r="G19" s="364">
        <f>'Outils de calculs'!G33*('Outils de calculs'!G34-'Outils de calculs'!G35)*0.4*1.6</f>
        <v>3.3600000000000003</v>
      </c>
      <c r="H19" s="365">
        <f>IF($C19="","",G19*VLOOKUP($C19,MATIERES!$A$2:$F$448,4,0))</f>
        <v>100.80000000000001</v>
      </c>
      <c r="I19" s="364">
        <f>'Outils de calculs'!I33*('Outils de calculs'!I34-'Outils de calculs'!I35)*0.4*1.6</f>
        <v>4.4800000000000004</v>
      </c>
      <c r="J19" s="365">
        <f>IF($C19="","",I19*VLOOKUP($C19,MATIERES!$A$2:$F$448,4,0))</f>
        <v>134.4</v>
      </c>
      <c r="K19" s="364">
        <f>'Outils de calculs'!K33*('Outils de calculs'!K34-'Outils de calculs'!K35)*0.4*1.6</f>
        <v>5.7600000000000007</v>
      </c>
      <c r="L19" s="365">
        <f>IF($C19="","",K19*VLOOKUP($C19,MATIERES!$A$2:$F$448,4,0))</f>
        <v>172.8</v>
      </c>
      <c r="M19" s="364">
        <f>'Outils de calculs'!M33*('Outils de calculs'!M34-'Outils de calculs'!M35)*0.4*1.6</f>
        <v>7.0400000000000009</v>
      </c>
      <c r="N19" s="365">
        <f>IF($C19="","",M19*VLOOKUP($C19,MATIERES!$A$2:$F$448,4,0))</f>
        <v>211.20000000000002</v>
      </c>
      <c r="O19" s="364">
        <f>'Outils de calculs'!O33*('Outils de calculs'!O34-'Outils de calculs'!O35)*0.4*1.6</f>
        <v>8.32</v>
      </c>
      <c r="P19" s="365">
        <f>IF($C19="","",O19*VLOOKUP($C19,MATIERES!$A$2:$F$448,4,0))</f>
        <v>249.60000000000002</v>
      </c>
      <c r="Q19" s="364">
        <f>'Outils de calculs'!Q33*('Outils de calculs'!Q34-'Outils de calculs'!Q35)*0.4*1.6</f>
        <v>9.6000000000000014</v>
      </c>
      <c r="R19" s="365">
        <f>IF($C19="","",Q19*VLOOKUP($C19,MATIERES!$A$2:$F$448,4,0))</f>
        <v>288.00000000000006</v>
      </c>
      <c r="S19" s="364">
        <f>'Outils de calculs'!S33*('Outils de calculs'!S34-'Outils de calculs'!S35)*0.4*1.6</f>
        <v>10.72</v>
      </c>
      <c r="T19" s="365">
        <f>IF($C19="","",S19*VLOOKUP($C19,MATIERES!$A$2:$F$448,4,0))</f>
        <v>321.60000000000002</v>
      </c>
      <c r="U19" s="364">
        <f>'Outils de calculs'!U33*('Outils de calculs'!U34-'Outils de calculs'!U35)*0.4*1.6</f>
        <v>12</v>
      </c>
      <c r="V19" s="365">
        <f>IF($C19="","",U19*VLOOKUP($C19,MATIERES!$A$2:$F$448,4,0))</f>
        <v>360</v>
      </c>
      <c r="W19" s="364">
        <f>'Outils de calculs'!W33*('Outils de calculs'!W34-'Outils de calculs'!W35)*0.4*1.6</f>
        <v>14.56</v>
      </c>
      <c r="X19" s="365">
        <f>IF($C19="","",W19*VLOOKUP($C19,MATIERES!$A$2:$F$448,4,0))</f>
        <v>436.8</v>
      </c>
      <c r="Y19" s="364">
        <f>'Outils de calculs'!Y33*('Outils de calculs'!Y34-'Outils de calculs'!Y35)*0.4*1.6</f>
        <v>14.56</v>
      </c>
      <c r="Z19" s="365">
        <f>IF($C19="","",Y19*VLOOKUP($C19,MATIERES!$A$2:$F$448,4,0))</f>
        <v>436.8</v>
      </c>
      <c r="AA19" s="364">
        <f>'Outils de calculs'!AA33*('Outils de calculs'!AA34-'Outils de calculs'!AA35)*0.4*1.6</f>
        <v>17.024000000000001</v>
      </c>
      <c r="AB19" s="365">
        <f>IF($C19="","",AA19*VLOOKUP($C19,MATIERES!$A$2:$F$448,4,0))</f>
        <v>510.72</v>
      </c>
      <c r="AC19" s="364">
        <f>'Outils de calculs'!AC33*('Outils de calculs'!AC34-'Outils de calculs'!AC35)*0.4*1.6</f>
        <v>17.024000000000001</v>
      </c>
      <c r="AD19" s="365">
        <f>IF($C19="","",AC19*VLOOKUP($C19,MATIERES!$A$2:$F$448,4,0))</f>
        <v>510.72</v>
      </c>
      <c r="AE19" s="364">
        <f>'Outils de calculs'!AE33*('Outils de calculs'!AE34-'Outils de calculs'!AE35)*0.4*1.6</f>
        <v>19.007999999999999</v>
      </c>
      <c r="AF19" s="365">
        <f>IF($C19="","",AE19*VLOOKUP($C19,MATIERES!$A$2:$F$448,4,0))</f>
        <v>570.24</v>
      </c>
      <c r="AG19" s="364">
        <f>'Outils de calculs'!AG33*('Outils de calculs'!AG34-'Outils de calculs'!AG35)*0.4*1.6</f>
        <v>21.503999999999998</v>
      </c>
      <c r="AH19" s="365">
        <f>IF($C19="","",AG19*VLOOKUP($C19,MATIERES!$A$2:$F$448,4,0))</f>
        <v>645.11999999999989</v>
      </c>
      <c r="AI19" s="364">
        <f>'Outils de calculs'!AI33*('Outils de calculs'!AI34-'Outils de calculs'!AI35)*0.4*1.6</f>
        <v>21.503999999999998</v>
      </c>
      <c r="AJ19" s="365">
        <f>IF($C19="","",AI19*VLOOKUP($C19,MATIERES!$A$2:$F$448,4,0))</f>
        <v>645.11999999999989</v>
      </c>
      <c r="AK19" s="364">
        <f>'Outils de calculs'!AK33*('Outils de calculs'!AK34-'Outils de calculs'!AK35)*0.4*1.6</f>
        <v>23.961600000000001</v>
      </c>
      <c r="AL19" s="365">
        <f>IF($C19="","",AK19*VLOOKUP($C19,MATIERES!$A$2:$F$448,4,0))</f>
        <v>718.84800000000007</v>
      </c>
      <c r="AM19" s="364">
        <f>'Outils de calculs'!AM33*('Outils de calculs'!AM34-'Outils de calculs'!AM35)*0.4*1.6</f>
        <v>23.961600000000001</v>
      </c>
      <c r="AN19" s="365">
        <f>IF($C19="","",AM19*VLOOKUP($C19,MATIERES!$A$2:$F$448,4,0))</f>
        <v>718.84800000000007</v>
      </c>
    </row>
    <row r="20" spans="1:40" ht="9.9499999999999993" customHeight="1" x14ac:dyDescent="0.2">
      <c r="A20" s="1550"/>
      <c r="B20" s="361" t="s">
        <v>127</v>
      </c>
      <c r="C20" s="1400" t="s">
        <v>1209</v>
      </c>
      <c r="D20" s="363" t="str">
        <f>IF($C20="","",VLOOKUP($C20,MATIERES!$A$2:$F$448,5,0))</f>
        <v>t</v>
      </c>
      <c r="E20" s="364">
        <f>'Outils de calculs'!E35*0.4*'Outils de calculs'!E33*1.6</f>
        <v>0.4</v>
      </c>
      <c r="F20" s="365">
        <f>IF($C20="","",E20*VLOOKUP($C20,MATIERES!$A$2:$F$448,4,0))</f>
        <v>12</v>
      </c>
      <c r="G20" s="364">
        <f>'Outils de calculs'!G35*0.4*'Outils de calculs'!G33*1.6</f>
        <v>0.48000000000000009</v>
      </c>
      <c r="H20" s="365">
        <f>IF($C20="","",G20*VLOOKUP($C20,MATIERES!$A$2:$F$448,4,0))</f>
        <v>14.400000000000002</v>
      </c>
      <c r="I20" s="364">
        <f>'Outils de calculs'!I35*0.4*'Outils de calculs'!I33*1.6</f>
        <v>0.64000000000000012</v>
      </c>
      <c r="J20" s="365">
        <f>IF($C20="","",I20*VLOOKUP($C20,MATIERES!$A$2:$F$448,4,0))</f>
        <v>19.200000000000003</v>
      </c>
      <c r="K20" s="364">
        <f>'Outils de calculs'!K35*0.4*'Outils de calculs'!K33*1.6</f>
        <v>0.64000000000000012</v>
      </c>
      <c r="L20" s="365">
        <f>IF($C20="","",K20*VLOOKUP($C20,MATIERES!$A$2:$F$448,4,0))</f>
        <v>19.200000000000003</v>
      </c>
      <c r="M20" s="364">
        <f>'Outils de calculs'!M35*0.4*'Outils de calculs'!M33*1.6</f>
        <v>0.64000000000000012</v>
      </c>
      <c r="N20" s="365">
        <f>IF($C20="","",M20*VLOOKUP($C20,MATIERES!$A$2:$F$448,4,0))</f>
        <v>19.200000000000003</v>
      </c>
      <c r="O20" s="364">
        <f>'Outils de calculs'!O35*0.4*'Outils de calculs'!O33*1.6</f>
        <v>0.64000000000000012</v>
      </c>
      <c r="P20" s="365">
        <f>IF($C20="","",O20*VLOOKUP($C20,MATIERES!$A$2:$F$448,4,0))</f>
        <v>19.200000000000003</v>
      </c>
      <c r="Q20" s="364">
        <f>'Outils de calculs'!Q35*0.4*'Outils de calculs'!Q33*1.6</f>
        <v>0.64000000000000012</v>
      </c>
      <c r="R20" s="365">
        <f>IF($C20="","",Q20*VLOOKUP($C20,MATIERES!$A$2:$F$448,4,0))</f>
        <v>19.200000000000003</v>
      </c>
      <c r="S20" s="364">
        <f>'Outils de calculs'!S35*0.4*'Outils de calculs'!S33*1.6</f>
        <v>0.8</v>
      </c>
      <c r="T20" s="365">
        <f>IF($C20="","",S20*VLOOKUP($C20,MATIERES!$A$2:$F$448,4,0))</f>
        <v>24</v>
      </c>
      <c r="U20" s="364">
        <f>'Outils de calculs'!U35*0.4*'Outils de calculs'!U33*1.6</f>
        <v>0.8</v>
      </c>
      <c r="V20" s="365">
        <f>IF($C20="","",U20*VLOOKUP($C20,MATIERES!$A$2:$F$448,4,0))</f>
        <v>24</v>
      </c>
      <c r="W20" s="364">
        <f>'Outils de calculs'!W35*0.4*'Outils de calculs'!W33*1.6</f>
        <v>0.8</v>
      </c>
      <c r="X20" s="365">
        <f>IF($C20="","",W20*VLOOKUP($C20,MATIERES!$A$2:$F$448,4,0))</f>
        <v>24</v>
      </c>
      <c r="Y20" s="364">
        <f>'Outils de calculs'!Y35*0.4*'Outils de calculs'!Y33*1.6</f>
        <v>0.8</v>
      </c>
      <c r="Z20" s="365">
        <f>IF($C20="","",Y20*VLOOKUP($C20,MATIERES!$A$2:$F$448,4,0))</f>
        <v>24</v>
      </c>
      <c r="AA20" s="364">
        <f>'Outils de calculs'!AA35*0.4*'Outils de calculs'!AA33*1.6</f>
        <v>0.89599999999999991</v>
      </c>
      <c r="AB20" s="365">
        <f>IF($C20="","",AA20*VLOOKUP($C20,MATIERES!$A$2:$F$448,4,0))</f>
        <v>26.879999999999995</v>
      </c>
      <c r="AC20" s="364">
        <f>'Outils de calculs'!AC35*0.4*'Outils de calculs'!AC33*1.6</f>
        <v>0.89599999999999991</v>
      </c>
      <c r="AD20" s="365">
        <f>IF($C20="","",AC20*VLOOKUP($C20,MATIERES!$A$2:$F$448,4,0))</f>
        <v>26.879999999999995</v>
      </c>
      <c r="AE20" s="364">
        <f>'Outils de calculs'!AE35*0.4*'Outils de calculs'!AE33*1.6</f>
        <v>1.5360000000000005</v>
      </c>
      <c r="AF20" s="365">
        <f>IF($C20="","",AE20*VLOOKUP($C20,MATIERES!$A$2:$F$448,4,0))</f>
        <v>46.080000000000013</v>
      </c>
      <c r="AG20" s="364">
        <f>'Outils de calculs'!AG35*0.4*'Outils de calculs'!AG33*1.6</f>
        <v>1.5360000000000005</v>
      </c>
      <c r="AH20" s="365">
        <f>IF($C20="","",AG20*VLOOKUP($C20,MATIERES!$A$2:$F$448,4,0))</f>
        <v>46.080000000000013</v>
      </c>
      <c r="AI20" s="364">
        <f>'Outils de calculs'!AI35*0.4*'Outils de calculs'!AI33*1.6</f>
        <v>1.5360000000000005</v>
      </c>
      <c r="AJ20" s="365">
        <f>IF($C20="","",AI20*VLOOKUP($C20,MATIERES!$A$2:$F$448,4,0))</f>
        <v>46.080000000000013</v>
      </c>
      <c r="AK20" s="364">
        <f>'Outils de calculs'!AK35*0.4*'Outils de calculs'!AK33*1.6</f>
        <v>1.6384000000000005</v>
      </c>
      <c r="AL20" s="365">
        <f>IF($C20="","",AK20*VLOOKUP($C20,MATIERES!$A$2:$F$448,4,0))</f>
        <v>49.152000000000015</v>
      </c>
      <c r="AM20" s="364">
        <f>'Outils de calculs'!AM35*0.4*'Outils de calculs'!AM33*1.6</f>
        <v>1.6384000000000005</v>
      </c>
      <c r="AN20" s="365">
        <f>IF($C20="","",AM20*VLOOKUP($C20,MATIERES!$A$2:$F$448,4,0))</f>
        <v>49.152000000000015</v>
      </c>
    </row>
    <row r="21" spans="1:40" ht="9.9499999999999993" customHeight="1" x14ac:dyDescent="0.2">
      <c r="A21" s="1550"/>
      <c r="B21" s="361" t="s">
        <v>1142</v>
      </c>
      <c r="C21" s="1401" t="s">
        <v>711</v>
      </c>
      <c r="D21" s="363" t="str">
        <f>IF($C21="","",VLOOKUP($C21,MATIERES!$A$2:$F$448,5,0))</f>
        <v>pc</v>
      </c>
      <c r="E21" s="364">
        <f>1</f>
        <v>1</v>
      </c>
      <c r="F21" s="365">
        <f>IF($C21="","",E21*VLOOKUP($C21,MATIERES!$A$2:$F$448,4,0))</f>
        <v>3.12</v>
      </c>
      <c r="G21" s="364">
        <f>1</f>
        <v>1</v>
      </c>
      <c r="H21" s="365">
        <f>IF($C21="","",G21*VLOOKUP($C21,MATIERES!$A$2:$F$448,4,0))</f>
        <v>3.12</v>
      </c>
      <c r="I21" s="364">
        <f>1</f>
        <v>1</v>
      </c>
      <c r="J21" s="365">
        <f>IF($C21="","",I21*VLOOKUP($C21,MATIERES!$A$2:$F$448,4,0))</f>
        <v>3.12</v>
      </c>
      <c r="K21" s="364">
        <f>1</f>
        <v>1</v>
      </c>
      <c r="L21" s="365">
        <f>IF($C21="","",K21*VLOOKUP($C21,MATIERES!$A$2:$F$448,4,0))</f>
        <v>3.12</v>
      </c>
      <c r="M21" s="364">
        <f>1</f>
        <v>1</v>
      </c>
      <c r="N21" s="365">
        <f>IF($C21="","",M21*VLOOKUP($C21,MATIERES!$A$2:$F$448,4,0))</f>
        <v>3.12</v>
      </c>
      <c r="O21" s="364">
        <f>1</f>
        <v>1</v>
      </c>
      <c r="P21" s="365">
        <f>IF($C21="","",O21*VLOOKUP($C21,MATIERES!$A$2:$F$448,4,0))</f>
        <v>3.12</v>
      </c>
      <c r="Q21" s="364">
        <f>1</f>
        <v>1</v>
      </c>
      <c r="R21" s="365">
        <f>IF($C21="","",Q21*VLOOKUP($C21,MATIERES!$A$2:$F$448,4,0))</f>
        <v>3.12</v>
      </c>
      <c r="S21" s="364">
        <f>1</f>
        <v>1</v>
      </c>
      <c r="T21" s="365">
        <f>IF($C21="","",S21*VLOOKUP($C21,MATIERES!$A$2:$F$448,4,0))</f>
        <v>3.12</v>
      </c>
      <c r="U21" s="364">
        <f>1</f>
        <v>1</v>
      </c>
      <c r="V21" s="365">
        <f>IF($C21="","",U21*VLOOKUP($C21,MATIERES!$A$2:$F$448,4,0))</f>
        <v>3.12</v>
      </c>
      <c r="W21" s="364">
        <f>1</f>
        <v>1</v>
      </c>
      <c r="X21" s="365">
        <f>IF($C21="","",W21*VLOOKUP($C21,MATIERES!$A$2:$F$448,4,0))</f>
        <v>3.12</v>
      </c>
      <c r="Y21" s="364">
        <f>1</f>
        <v>1</v>
      </c>
      <c r="Z21" s="365">
        <f>IF($C21="","",Y21*VLOOKUP($C21,MATIERES!$A$2:$F$448,4,0))</f>
        <v>3.12</v>
      </c>
      <c r="AA21" s="364">
        <f>1</f>
        <v>1</v>
      </c>
      <c r="AB21" s="365">
        <f>IF($C21="","",AA21*VLOOKUP($C21,MATIERES!$A$2:$F$448,4,0))</f>
        <v>3.12</v>
      </c>
      <c r="AC21" s="364">
        <f>1</f>
        <v>1</v>
      </c>
      <c r="AD21" s="365">
        <f>IF($C21="","",AC21*VLOOKUP($C21,MATIERES!$A$2:$F$448,4,0))</f>
        <v>3.12</v>
      </c>
      <c r="AE21" s="364">
        <f>1</f>
        <v>1</v>
      </c>
      <c r="AF21" s="365">
        <f>IF($C21="","",AE21*VLOOKUP($C21,MATIERES!$A$2:$F$448,4,0))</f>
        <v>3.12</v>
      </c>
      <c r="AG21" s="364">
        <f>1</f>
        <v>1</v>
      </c>
      <c r="AH21" s="365">
        <f>IF($C21="","",AG21*VLOOKUP($C21,MATIERES!$A$2:$F$448,4,0))</f>
        <v>3.12</v>
      </c>
      <c r="AI21" s="364">
        <f>1</f>
        <v>1</v>
      </c>
      <c r="AJ21" s="365">
        <f>IF($C21="","",AI21*VLOOKUP($C21,MATIERES!$A$2:$F$448,4,0))</f>
        <v>3.12</v>
      </c>
      <c r="AK21" s="364">
        <f>1</f>
        <v>1</v>
      </c>
      <c r="AL21" s="365">
        <f>IF($C21="","",AK21*VLOOKUP($C21,MATIERES!$A$2:$F$448,4,0))</f>
        <v>3.12</v>
      </c>
      <c r="AM21" s="364">
        <f>1</f>
        <v>1</v>
      </c>
      <c r="AN21" s="365">
        <f>IF($C21="","",AM21*VLOOKUP($C21,MATIERES!$A$2:$F$448,4,0))</f>
        <v>3.12</v>
      </c>
    </row>
    <row r="22" spans="1:40" ht="9.9499999999999993" customHeight="1" x14ac:dyDescent="0.2">
      <c r="A22" s="1550"/>
      <c r="B22" s="361" t="s">
        <v>1142</v>
      </c>
      <c r="C22" s="1401" t="s">
        <v>709</v>
      </c>
      <c r="D22" s="363" t="str">
        <f>IF($C22="","",VLOOKUP($C22,MATIERES!$A$2:$F$448,5,0))</f>
        <v>pc</v>
      </c>
      <c r="E22" s="364">
        <f>1</f>
        <v>1</v>
      </c>
      <c r="F22" s="365">
        <f>IF($C22="","",E22*VLOOKUP($C22,MATIERES!$A$2:$F$448,4,0))</f>
        <v>1.49</v>
      </c>
      <c r="G22" s="364">
        <f>1</f>
        <v>1</v>
      </c>
      <c r="H22" s="365">
        <f>IF($C22="","",G22*VLOOKUP($C22,MATIERES!$A$2:$F$448,4,0))</f>
        <v>1.49</v>
      </c>
      <c r="I22" s="364">
        <f>1</f>
        <v>1</v>
      </c>
      <c r="J22" s="365">
        <f>IF($C22="","",I22*VLOOKUP($C22,MATIERES!$A$2:$F$448,4,0))</f>
        <v>1.49</v>
      </c>
      <c r="K22" s="364">
        <f>1</f>
        <v>1</v>
      </c>
      <c r="L22" s="365">
        <f>IF($C22="","",K22*VLOOKUP($C22,MATIERES!$A$2:$F$448,4,0))</f>
        <v>1.49</v>
      </c>
      <c r="M22" s="364">
        <f>1</f>
        <v>1</v>
      </c>
      <c r="N22" s="365">
        <f>IF($C22="","",M22*VLOOKUP($C22,MATIERES!$A$2:$F$448,4,0))</f>
        <v>1.49</v>
      </c>
      <c r="O22" s="364">
        <f>1</f>
        <v>1</v>
      </c>
      <c r="P22" s="365">
        <f>IF($C22="","",O22*VLOOKUP($C22,MATIERES!$A$2:$F$448,4,0))</f>
        <v>1.49</v>
      </c>
      <c r="Q22" s="364">
        <f>1</f>
        <v>1</v>
      </c>
      <c r="R22" s="365">
        <f>IF($C22="","",Q22*VLOOKUP($C22,MATIERES!$A$2:$F$448,4,0))</f>
        <v>1.49</v>
      </c>
      <c r="S22" s="364">
        <f>1</f>
        <v>1</v>
      </c>
      <c r="T22" s="365">
        <f>IF($C22="","",S22*VLOOKUP($C22,MATIERES!$A$2:$F$448,4,0))</f>
        <v>1.49</v>
      </c>
      <c r="U22" s="364">
        <f>1</f>
        <v>1</v>
      </c>
      <c r="V22" s="365">
        <f>IF($C22="","",U22*VLOOKUP($C22,MATIERES!$A$2:$F$448,4,0))</f>
        <v>1.49</v>
      </c>
      <c r="W22" s="364">
        <f>1</f>
        <v>1</v>
      </c>
      <c r="X22" s="365">
        <f>IF($C22="","",W22*VLOOKUP($C22,MATIERES!$A$2:$F$448,4,0))</f>
        <v>1.49</v>
      </c>
      <c r="Y22" s="364">
        <f>1</f>
        <v>1</v>
      </c>
      <c r="Z22" s="365">
        <f>IF($C22="","",Y22*VLOOKUP($C22,MATIERES!$A$2:$F$448,4,0))</f>
        <v>1.49</v>
      </c>
      <c r="AA22" s="364">
        <f>1</f>
        <v>1</v>
      </c>
      <c r="AB22" s="365">
        <f>IF($C22="","",AA22*VLOOKUP($C22,MATIERES!$A$2:$F$448,4,0))</f>
        <v>1.49</v>
      </c>
      <c r="AC22" s="364">
        <f>1</f>
        <v>1</v>
      </c>
      <c r="AD22" s="365">
        <f>IF($C22="","",AC22*VLOOKUP($C22,MATIERES!$A$2:$F$448,4,0))</f>
        <v>1.49</v>
      </c>
      <c r="AE22" s="364">
        <f>1</f>
        <v>1</v>
      </c>
      <c r="AF22" s="365">
        <f>IF($C22="","",AE22*VLOOKUP($C22,MATIERES!$A$2:$F$448,4,0))</f>
        <v>1.49</v>
      </c>
      <c r="AG22" s="364">
        <f>1</f>
        <v>1</v>
      </c>
      <c r="AH22" s="365">
        <f>IF($C22="","",AG22*VLOOKUP($C22,MATIERES!$A$2:$F$448,4,0))</f>
        <v>1.49</v>
      </c>
      <c r="AI22" s="364">
        <f>1</f>
        <v>1</v>
      </c>
      <c r="AJ22" s="365">
        <f>IF($C22="","",AI22*VLOOKUP($C22,MATIERES!$A$2:$F$448,4,0))</f>
        <v>1.49</v>
      </c>
      <c r="AK22" s="364">
        <f>1</f>
        <v>1</v>
      </c>
      <c r="AL22" s="365">
        <f>IF($C22="","",AK22*VLOOKUP($C22,MATIERES!$A$2:$F$448,4,0))</f>
        <v>1.49</v>
      </c>
      <c r="AM22" s="364">
        <f>1</f>
        <v>1</v>
      </c>
      <c r="AN22" s="365">
        <f>IF($C22="","",AM22*VLOOKUP($C22,MATIERES!$A$2:$F$448,4,0))</f>
        <v>1.49</v>
      </c>
    </row>
    <row r="23" spans="1:40" ht="9.9499999999999993" customHeight="1" x14ac:dyDescent="0.2">
      <c r="A23" s="1550"/>
      <c r="B23" s="361" t="s">
        <v>719</v>
      </c>
      <c r="C23" s="1400" t="s">
        <v>720</v>
      </c>
      <c r="D23" s="363" t="str">
        <f>IF($C23="","",VLOOKUP($C23,MATIERES!$A$2:$F$448,5,0))</f>
        <v>ml</v>
      </c>
      <c r="E23" s="364">
        <f>'Outils de calculs'!E33</f>
        <v>1.25</v>
      </c>
      <c r="F23" s="365">
        <f>IF($C23="","",E23*VLOOKUP($C23,MATIERES!$A$2:$F$448,4,0))</f>
        <v>2.4874999999999998</v>
      </c>
      <c r="G23" s="364">
        <f>'Outils de calculs'!G33</f>
        <v>1.5</v>
      </c>
      <c r="H23" s="365">
        <f>IF($C23="","",G23*VLOOKUP($C23,MATIERES!$A$2:$F$448,4,0))</f>
        <v>2.9849999999999999</v>
      </c>
      <c r="I23" s="364">
        <f>'Outils de calculs'!I33</f>
        <v>2</v>
      </c>
      <c r="J23" s="365">
        <f>IF($C23="","",I23*VLOOKUP($C23,MATIERES!$A$2:$F$448,4,0))</f>
        <v>3.98</v>
      </c>
      <c r="K23" s="364">
        <f>'Outils de calculs'!K33</f>
        <v>2</v>
      </c>
      <c r="L23" s="365">
        <f>IF($C23="","",K23*VLOOKUP($C23,MATIERES!$A$2:$F$448,4,0))</f>
        <v>3.98</v>
      </c>
      <c r="M23" s="364">
        <f>'Outils de calculs'!M33</f>
        <v>2</v>
      </c>
      <c r="N23" s="365">
        <f>IF($C23="","",M23*VLOOKUP($C23,MATIERES!$A$2:$F$448,4,0))</f>
        <v>3.98</v>
      </c>
      <c r="O23" s="364">
        <f>'Outils de calculs'!O33</f>
        <v>2</v>
      </c>
      <c r="P23" s="365">
        <f>IF($C23="","",O23*VLOOKUP($C23,MATIERES!$A$2:$F$448,4,0))</f>
        <v>3.98</v>
      </c>
      <c r="Q23" s="364">
        <f>'Outils de calculs'!Q33</f>
        <v>2</v>
      </c>
      <c r="R23" s="365">
        <f>IF($C23="","",Q23*VLOOKUP($C23,MATIERES!$A$2:$F$448,4,0))</f>
        <v>3.98</v>
      </c>
      <c r="S23" s="364">
        <f>'Outils de calculs'!S33</f>
        <v>2.5</v>
      </c>
      <c r="T23" s="365">
        <f>IF($C23="","",S23*VLOOKUP($C23,MATIERES!$A$2:$F$448,4,0))</f>
        <v>4.9749999999999996</v>
      </c>
      <c r="U23" s="364">
        <f>'Outils de calculs'!U33</f>
        <v>2.5</v>
      </c>
      <c r="V23" s="365">
        <f>IF($C23="","",U23*VLOOKUP($C23,MATIERES!$A$2:$F$448,4,0))</f>
        <v>4.9749999999999996</v>
      </c>
      <c r="W23" s="364">
        <f>'Outils de calculs'!W33</f>
        <v>2.5</v>
      </c>
      <c r="X23" s="365">
        <f>IF($C23="","",W23*VLOOKUP($C23,MATIERES!$A$2:$F$448,4,0))</f>
        <v>4.9749999999999996</v>
      </c>
      <c r="Y23" s="364">
        <f>'Outils de calculs'!Y33</f>
        <v>2.5</v>
      </c>
      <c r="Z23" s="365">
        <f>IF($C23="","",Y23*VLOOKUP($C23,MATIERES!$A$2:$F$448,4,0))</f>
        <v>4.9749999999999996</v>
      </c>
      <c r="AA23" s="364">
        <f>'Outils de calculs'!AA33</f>
        <v>2.8</v>
      </c>
      <c r="AB23" s="365">
        <f>IF($C23="","",AA23*VLOOKUP($C23,MATIERES!$A$2:$F$448,4,0))</f>
        <v>5.5720000000000001</v>
      </c>
      <c r="AC23" s="364">
        <f>'Outils de calculs'!AC33</f>
        <v>2.8</v>
      </c>
      <c r="AD23" s="365">
        <f>IF($C23="","",AC23*VLOOKUP($C23,MATIERES!$A$2:$F$448,4,0))</f>
        <v>5.5720000000000001</v>
      </c>
      <c r="AE23" s="364">
        <f>'Outils de calculs'!AE33</f>
        <v>3</v>
      </c>
      <c r="AF23" s="365">
        <f>IF($C23="","",AE23*VLOOKUP($C23,MATIERES!$A$2:$F$448,4,0))</f>
        <v>5.97</v>
      </c>
      <c r="AG23" s="364">
        <f>'Outils de calculs'!AG33</f>
        <v>3</v>
      </c>
      <c r="AH23" s="365">
        <f>IF($C23="","",AG23*VLOOKUP($C23,MATIERES!$A$2:$F$448,4,0))</f>
        <v>5.97</v>
      </c>
      <c r="AI23" s="364">
        <f>'Outils de calculs'!AI33</f>
        <v>3</v>
      </c>
      <c r="AJ23" s="365">
        <f>IF($C23="","",AI23*VLOOKUP($C23,MATIERES!$A$2:$F$448,4,0))</f>
        <v>5.97</v>
      </c>
      <c r="AK23" s="364">
        <f>'Outils de calculs'!AK33</f>
        <v>3.2</v>
      </c>
      <c r="AL23" s="365">
        <f>IF($C23="","",AK23*VLOOKUP($C23,MATIERES!$A$2:$F$448,4,0))</f>
        <v>6.3680000000000003</v>
      </c>
      <c r="AM23" s="364">
        <f>'Outils de calculs'!AM33</f>
        <v>3.2</v>
      </c>
      <c r="AN23" s="365">
        <f>IF($C23="","",AM23*VLOOKUP($C23,MATIERES!$A$2:$F$448,4,0))</f>
        <v>6.3680000000000003</v>
      </c>
    </row>
    <row r="24" spans="1:40" ht="9.9499999999999993" customHeight="1" x14ac:dyDescent="0.2">
      <c r="A24" s="1550"/>
      <c r="B24" s="361" t="s">
        <v>719</v>
      </c>
      <c r="C24" s="1401" t="s">
        <v>721</v>
      </c>
      <c r="D24" s="363" t="str">
        <f>IF($C24="","",VLOOKUP($C24,MATIERES!$A$2:$F$448,5,0))</f>
        <v>ml</v>
      </c>
      <c r="E24" s="364">
        <f>0.3</f>
        <v>0.3</v>
      </c>
      <c r="F24" s="365">
        <f>IF($C24="","",E24*VLOOKUP($C24,MATIERES!$A$2:$F$448,4,0))</f>
        <v>0.56699999999999995</v>
      </c>
      <c r="G24" s="364">
        <f t="shared" ref="G24" si="0">0.3</f>
        <v>0.3</v>
      </c>
      <c r="H24" s="365">
        <f>IF($C24="","",G24*VLOOKUP($C24,MATIERES!$A$2:$F$448,4,0))</f>
        <v>0.56699999999999995</v>
      </c>
      <c r="I24" s="364">
        <f t="shared" ref="I24" si="1">0.3</f>
        <v>0.3</v>
      </c>
      <c r="J24" s="365">
        <f>IF($C24="","",I24*VLOOKUP($C24,MATIERES!$A$2:$F$448,4,0))</f>
        <v>0.56699999999999995</v>
      </c>
      <c r="K24" s="364">
        <f t="shared" ref="K24" si="2">0.3</f>
        <v>0.3</v>
      </c>
      <c r="L24" s="365">
        <f>IF($C24="","",K24*VLOOKUP($C24,MATIERES!$A$2:$F$448,4,0))</f>
        <v>0.56699999999999995</v>
      </c>
      <c r="M24" s="364">
        <f t="shared" ref="M24" si="3">0.3</f>
        <v>0.3</v>
      </c>
      <c r="N24" s="365">
        <f>IF($C24="","",M24*VLOOKUP($C24,MATIERES!$A$2:$F$448,4,0))</f>
        <v>0.56699999999999995</v>
      </c>
      <c r="O24" s="364">
        <f t="shared" ref="O24" si="4">0.3</f>
        <v>0.3</v>
      </c>
      <c r="P24" s="365">
        <f>IF($C24="","",O24*VLOOKUP($C24,MATIERES!$A$2:$F$448,4,0))</f>
        <v>0.56699999999999995</v>
      </c>
      <c r="Q24" s="364">
        <f t="shared" ref="Q24" si="5">0.3</f>
        <v>0.3</v>
      </c>
      <c r="R24" s="365">
        <f>IF($C24="","",Q24*VLOOKUP($C24,MATIERES!$A$2:$F$448,4,0))</f>
        <v>0.56699999999999995</v>
      </c>
      <c r="S24" s="364">
        <f t="shared" ref="S24" si="6">0.3</f>
        <v>0.3</v>
      </c>
      <c r="T24" s="365">
        <f>IF($C24="","",S24*VLOOKUP($C24,MATIERES!$A$2:$F$448,4,0))</f>
        <v>0.56699999999999995</v>
      </c>
      <c r="U24" s="364">
        <f t="shared" ref="U24" si="7">0.3</f>
        <v>0.3</v>
      </c>
      <c r="V24" s="365">
        <f>IF($C24="","",U24*VLOOKUP($C24,MATIERES!$A$2:$F$448,4,0))</f>
        <v>0.56699999999999995</v>
      </c>
      <c r="W24" s="364">
        <f t="shared" ref="W24" si="8">0.3</f>
        <v>0.3</v>
      </c>
      <c r="X24" s="365">
        <f>IF($C24="","",W24*VLOOKUP($C24,MATIERES!$A$2:$F$448,4,0))</f>
        <v>0.56699999999999995</v>
      </c>
      <c r="Y24" s="364">
        <f t="shared" ref="Y24" si="9">0.3</f>
        <v>0.3</v>
      </c>
      <c r="Z24" s="365">
        <f>IF($C24="","",Y24*VLOOKUP($C24,MATIERES!$A$2:$F$448,4,0))</f>
        <v>0.56699999999999995</v>
      </c>
      <c r="AA24" s="364">
        <f t="shared" ref="AA24" si="10">0.3</f>
        <v>0.3</v>
      </c>
      <c r="AB24" s="365">
        <f>IF($C24="","",AA24*VLOOKUP($C24,MATIERES!$A$2:$F$448,4,0))</f>
        <v>0.56699999999999995</v>
      </c>
      <c r="AC24" s="364">
        <f t="shared" ref="AC24" si="11">0.3</f>
        <v>0.3</v>
      </c>
      <c r="AD24" s="365">
        <f>IF($C24="","",AC24*VLOOKUP($C24,MATIERES!$A$2:$F$448,4,0))</f>
        <v>0.56699999999999995</v>
      </c>
      <c r="AE24" s="364">
        <f t="shared" ref="AE24" si="12">0.3</f>
        <v>0.3</v>
      </c>
      <c r="AF24" s="365">
        <f>IF($C24="","",AE24*VLOOKUP($C24,MATIERES!$A$2:$F$448,4,0))</f>
        <v>0.56699999999999995</v>
      </c>
      <c r="AG24" s="364">
        <f t="shared" ref="AG24" si="13">0.3</f>
        <v>0.3</v>
      </c>
      <c r="AH24" s="365">
        <f>IF($C24="","",AG24*VLOOKUP($C24,MATIERES!$A$2:$F$448,4,0))</f>
        <v>0.56699999999999995</v>
      </c>
      <c r="AI24" s="364">
        <f t="shared" ref="AI24" si="14">0.3</f>
        <v>0.3</v>
      </c>
      <c r="AJ24" s="365">
        <f>IF($C24="","",AI24*VLOOKUP($C24,MATIERES!$A$2:$F$448,4,0))</f>
        <v>0.56699999999999995</v>
      </c>
      <c r="AK24" s="364">
        <f t="shared" ref="AK24" si="15">0.3</f>
        <v>0.3</v>
      </c>
      <c r="AL24" s="365">
        <f>IF($C24="","",AK24*VLOOKUP($C24,MATIERES!$A$2:$F$448,4,0))</f>
        <v>0.56699999999999995</v>
      </c>
      <c r="AM24" s="364">
        <f t="shared" ref="AM24" si="16">0.3</f>
        <v>0.3</v>
      </c>
      <c r="AN24" s="365">
        <f>IF($C24="","",AM24*VLOOKUP($C24,MATIERES!$A$2:$F$448,4,0))</f>
        <v>0.56699999999999995</v>
      </c>
    </row>
    <row r="25" spans="1:40" ht="9.9499999999999993" customHeight="1" x14ac:dyDescent="0.2">
      <c r="A25" s="1550"/>
      <c r="B25" s="361" t="s">
        <v>1142</v>
      </c>
      <c r="C25" s="1401" t="s">
        <v>693</v>
      </c>
      <c r="D25" s="363" t="str">
        <f>IF($C25="","",VLOOKUP($C25,MATIERES!$A$2:$F$448,5,0))</f>
        <v>pc</v>
      </c>
      <c r="E25" s="364">
        <f>3</f>
        <v>3</v>
      </c>
      <c r="F25" s="365">
        <f>IF($C25="","",E25*VLOOKUP($C25,MATIERES!$A$2:$F$448,4,0))</f>
        <v>8.7900000000000009</v>
      </c>
      <c r="G25" s="364">
        <f>3</f>
        <v>3</v>
      </c>
      <c r="H25" s="365">
        <f>IF($C25="","",G25*VLOOKUP($C25,MATIERES!$A$2:$F$448,4,0))</f>
        <v>8.7900000000000009</v>
      </c>
      <c r="I25" s="364">
        <f>3</f>
        <v>3</v>
      </c>
      <c r="J25" s="365">
        <f>IF($C25="","",I25*VLOOKUP($C25,MATIERES!$A$2:$F$448,4,0))</f>
        <v>8.7900000000000009</v>
      </c>
      <c r="K25" s="364">
        <f>3</f>
        <v>3</v>
      </c>
      <c r="L25" s="365">
        <f>IF($C25="","",K25*VLOOKUP($C25,MATIERES!$A$2:$F$448,4,0))</f>
        <v>8.7900000000000009</v>
      </c>
      <c r="M25" s="364">
        <f>3</f>
        <v>3</v>
      </c>
      <c r="N25" s="365">
        <f>IF($C25="","",M25*VLOOKUP($C25,MATIERES!$A$2:$F$448,4,0))</f>
        <v>8.7900000000000009</v>
      </c>
      <c r="O25" s="364">
        <f>3</f>
        <v>3</v>
      </c>
      <c r="P25" s="365">
        <f>IF($C25="","",O25*VLOOKUP($C25,MATIERES!$A$2:$F$448,4,0))</f>
        <v>8.7900000000000009</v>
      </c>
      <c r="Q25" s="364">
        <f>3</f>
        <v>3</v>
      </c>
      <c r="R25" s="365">
        <f>IF($C25="","",Q25*VLOOKUP($C25,MATIERES!$A$2:$F$448,4,0))</f>
        <v>8.7900000000000009</v>
      </c>
      <c r="S25" s="364">
        <f>3</f>
        <v>3</v>
      </c>
      <c r="T25" s="365">
        <f>IF($C25="","",S25*VLOOKUP($C25,MATIERES!$A$2:$F$448,4,0))</f>
        <v>8.7900000000000009</v>
      </c>
      <c r="U25" s="364">
        <f>3</f>
        <v>3</v>
      </c>
      <c r="V25" s="365">
        <f>IF($C25="","",U25*VLOOKUP($C25,MATIERES!$A$2:$F$448,4,0))</f>
        <v>8.7900000000000009</v>
      </c>
      <c r="W25" s="364">
        <f>3</f>
        <v>3</v>
      </c>
      <c r="X25" s="365">
        <f>IF($C25="","",W25*VLOOKUP($C25,MATIERES!$A$2:$F$448,4,0))</f>
        <v>8.7900000000000009</v>
      </c>
      <c r="Y25" s="364">
        <f>3</f>
        <v>3</v>
      </c>
      <c r="Z25" s="365">
        <f>IF($C25="","",Y25*VLOOKUP($C25,MATIERES!$A$2:$F$448,4,0))</f>
        <v>8.7900000000000009</v>
      </c>
      <c r="AA25" s="364">
        <f>3</f>
        <v>3</v>
      </c>
      <c r="AB25" s="365">
        <f>IF($C25="","",AA25*VLOOKUP($C25,MATIERES!$A$2:$F$448,4,0))</f>
        <v>8.7900000000000009</v>
      </c>
      <c r="AC25" s="364">
        <f>3</f>
        <v>3</v>
      </c>
      <c r="AD25" s="365">
        <f>IF($C25="","",AC25*VLOOKUP($C25,MATIERES!$A$2:$F$448,4,0))</f>
        <v>8.7900000000000009</v>
      </c>
      <c r="AE25" s="364">
        <f>3</f>
        <v>3</v>
      </c>
      <c r="AF25" s="365">
        <f>IF($C25="","",AE25*VLOOKUP($C25,MATIERES!$A$2:$F$448,4,0))</f>
        <v>8.7900000000000009</v>
      </c>
      <c r="AG25" s="364">
        <f>3</f>
        <v>3</v>
      </c>
      <c r="AH25" s="365">
        <f>IF($C25="","",AG25*VLOOKUP($C25,MATIERES!$A$2:$F$448,4,0))</f>
        <v>8.7900000000000009</v>
      </c>
      <c r="AI25" s="364">
        <f>3</f>
        <v>3</v>
      </c>
      <c r="AJ25" s="365">
        <f>IF($C25="","",AI25*VLOOKUP($C25,MATIERES!$A$2:$F$448,4,0))</f>
        <v>8.7900000000000009</v>
      </c>
      <c r="AK25" s="364">
        <f>3</f>
        <v>3</v>
      </c>
      <c r="AL25" s="365">
        <f>IF($C25="","",AK25*VLOOKUP($C25,MATIERES!$A$2:$F$448,4,0))</f>
        <v>8.7900000000000009</v>
      </c>
      <c r="AM25" s="364">
        <f>3</f>
        <v>3</v>
      </c>
      <c r="AN25" s="365">
        <f>IF($C25="","",AM25*VLOOKUP($C25,MATIERES!$A$2:$F$448,4,0))</f>
        <v>8.7900000000000009</v>
      </c>
    </row>
    <row r="26" spans="1:40" ht="9.9499999999999993" customHeight="1" x14ac:dyDescent="0.2">
      <c r="A26" s="1550"/>
      <c r="B26" s="361" t="s">
        <v>1140</v>
      </c>
      <c r="C26" s="1400" t="s">
        <v>805</v>
      </c>
      <c r="D26" s="363" t="str">
        <f>IF($C26="","",VLOOKUP($C26,MATIERES!$A$2:$F$448,5,0))</f>
        <v>pc</v>
      </c>
      <c r="E26" s="404">
        <f>'Outils de calculs'!E$25</f>
        <v>4</v>
      </c>
      <c r="F26" s="365">
        <f>IF($C26="","",E26*VLOOKUP($C26,MATIERES!$A$2:$F$448,4,0))</f>
        <v>6.6</v>
      </c>
      <c r="G26" s="404">
        <f>'Outils de calculs'!G$25</f>
        <v>6</v>
      </c>
      <c r="H26" s="365">
        <f>IF($C26="","",G26*VLOOKUP($C26,MATIERES!$A$2:$F$448,4,0))</f>
        <v>9.8999999999999986</v>
      </c>
      <c r="I26" s="404">
        <f>'Outils de calculs'!I$25</f>
        <v>8</v>
      </c>
      <c r="J26" s="365">
        <f>IF($C26="","",I26*VLOOKUP($C26,MATIERES!$A$2:$F$448,4,0))</f>
        <v>13.2</v>
      </c>
      <c r="K26" s="404">
        <f>'Outils de calculs'!K$25</f>
        <v>10</v>
      </c>
      <c r="L26" s="365">
        <f>IF($C26="","",K26*VLOOKUP($C26,MATIERES!$A$2:$F$448,4,0))</f>
        <v>16.5</v>
      </c>
      <c r="M26" s="404">
        <f>'Outils de calculs'!M$25</f>
        <v>12</v>
      </c>
      <c r="N26" s="365">
        <f>IF($C26="","",M26*VLOOKUP($C26,MATIERES!$A$2:$F$448,4,0))</f>
        <v>19.799999999999997</v>
      </c>
      <c r="O26" s="404">
        <f>'Outils de calculs'!O$25</f>
        <v>14</v>
      </c>
      <c r="P26" s="365">
        <f>IF($C26="","",O26*VLOOKUP($C26,MATIERES!$A$2:$F$448,4,0))</f>
        <v>23.099999999999998</v>
      </c>
      <c r="Q26" s="404">
        <f>'Outils de calculs'!Q$25</f>
        <v>16</v>
      </c>
      <c r="R26" s="365">
        <f>IF($C26="","",Q26*VLOOKUP($C26,MATIERES!$A$2:$F$448,4,0))</f>
        <v>26.4</v>
      </c>
      <c r="S26" s="404">
        <f>'Outils de calculs'!S$25</f>
        <v>18</v>
      </c>
      <c r="T26" s="365">
        <f>IF($C26="","",S26*VLOOKUP($C26,MATIERES!$A$2:$F$448,4,0))</f>
        <v>29.7</v>
      </c>
      <c r="U26" s="404">
        <f>'Outils de calculs'!U$25</f>
        <v>20</v>
      </c>
      <c r="V26" s="365">
        <f>IF($C26="","",U26*VLOOKUP($C26,MATIERES!$A$2:$F$448,4,0))</f>
        <v>33</v>
      </c>
      <c r="W26" s="404">
        <f>'Outils de calculs'!W$25</f>
        <v>24</v>
      </c>
      <c r="X26" s="365">
        <f>IF($C26="","",W26*VLOOKUP($C26,MATIERES!$A$2:$F$448,4,0))</f>
        <v>39.599999999999994</v>
      </c>
      <c r="Y26" s="404">
        <f>'Outils de calculs'!Y$25</f>
        <v>24</v>
      </c>
      <c r="Z26" s="365">
        <f>IF($C26="","",Y26*VLOOKUP($C26,MATIERES!$A$2:$F$448,4,0))</f>
        <v>39.599999999999994</v>
      </c>
      <c r="AA26" s="404">
        <f>'Outils de calculs'!AA$25</f>
        <v>28</v>
      </c>
      <c r="AB26" s="365">
        <f>IF($C26="","",AA26*VLOOKUP($C26,MATIERES!$A$2:$F$448,4,0))</f>
        <v>46.199999999999996</v>
      </c>
      <c r="AC26" s="404">
        <f>'Outils de calculs'!AC$25</f>
        <v>28</v>
      </c>
      <c r="AD26" s="365">
        <f>IF($C26="","",AC26*VLOOKUP($C26,MATIERES!$A$2:$F$448,4,0))</f>
        <v>46.199999999999996</v>
      </c>
      <c r="AE26" s="404">
        <f>'Outils de calculs'!AE$25</f>
        <v>32</v>
      </c>
      <c r="AF26" s="365">
        <f>IF($C26="","",AE26*VLOOKUP($C26,MATIERES!$A$2:$F$448,4,0))</f>
        <v>52.8</v>
      </c>
      <c r="AG26" s="404">
        <f>'Outils de calculs'!AG$25</f>
        <v>36</v>
      </c>
      <c r="AH26" s="365">
        <f>IF($C26="","",AG26*VLOOKUP($C26,MATIERES!$A$2:$F$448,4,0))</f>
        <v>59.4</v>
      </c>
      <c r="AI26" s="404">
        <f>'Outils de calculs'!AI$25</f>
        <v>36</v>
      </c>
      <c r="AJ26" s="365">
        <f>IF($C26="","",AI26*VLOOKUP($C26,MATIERES!$A$2:$F$448,4,0))</f>
        <v>59.4</v>
      </c>
      <c r="AK26" s="404">
        <f>'Outils de calculs'!AK$25</f>
        <v>40</v>
      </c>
      <c r="AL26" s="365">
        <f>IF($C26="","",AK26*VLOOKUP($C26,MATIERES!$A$2:$F$448,4,0))</f>
        <v>66</v>
      </c>
      <c r="AM26" s="404">
        <f>'Outils de calculs'!AM$25</f>
        <v>40</v>
      </c>
      <c r="AN26" s="365">
        <f>IF($C26="","",AM26*VLOOKUP($C26,MATIERES!$A$2:$F$448,4,0))</f>
        <v>66</v>
      </c>
    </row>
    <row r="27" spans="1:40" ht="9.9499999999999993" customHeight="1" x14ac:dyDescent="0.2">
      <c r="A27" s="1550"/>
      <c r="B27" s="361" t="s">
        <v>1140</v>
      </c>
      <c r="C27" s="1400" t="s">
        <v>811</v>
      </c>
      <c r="D27" s="363" t="str">
        <f>IF($C27="","",VLOOKUP($C27,MATIERES!$A$2:$F$448,5,0))</f>
        <v>pc</v>
      </c>
      <c r="E27" s="404">
        <f>'Outils de calculs'!E$25</f>
        <v>4</v>
      </c>
      <c r="F27" s="365">
        <f>IF($C27="","",E27*VLOOKUP($C27,MATIERES!$A$2:$F$448,4,0))</f>
        <v>6.6</v>
      </c>
      <c r="G27" s="404">
        <f>'Outils de calculs'!G$25</f>
        <v>6</v>
      </c>
      <c r="H27" s="365">
        <f>IF($C27="","",G27*VLOOKUP($C27,MATIERES!$A$2:$F$448,4,0))</f>
        <v>9.8999999999999986</v>
      </c>
      <c r="I27" s="404">
        <f>'Outils de calculs'!I$25</f>
        <v>8</v>
      </c>
      <c r="J27" s="365">
        <f>IF($C27="","",I27*VLOOKUP($C27,MATIERES!$A$2:$F$448,4,0))</f>
        <v>13.2</v>
      </c>
      <c r="K27" s="404">
        <f>'Outils de calculs'!K$25</f>
        <v>10</v>
      </c>
      <c r="L27" s="365">
        <f>IF($C27="","",K27*VLOOKUP($C27,MATIERES!$A$2:$F$448,4,0))</f>
        <v>16.5</v>
      </c>
      <c r="M27" s="404">
        <f>'Outils de calculs'!M$25</f>
        <v>12</v>
      </c>
      <c r="N27" s="365">
        <f>IF($C27="","",M27*VLOOKUP($C27,MATIERES!$A$2:$F$448,4,0))</f>
        <v>19.799999999999997</v>
      </c>
      <c r="O27" s="404">
        <f>'Outils de calculs'!O$25</f>
        <v>14</v>
      </c>
      <c r="P27" s="365">
        <f>IF($C27="","",O27*VLOOKUP($C27,MATIERES!$A$2:$F$448,4,0))</f>
        <v>23.099999999999998</v>
      </c>
      <c r="Q27" s="404">
        <f>'Outils de calculs'!Q$25</f>
        <v>16</v>
      </c>
      <c r="R27" s="365">
        <f>IF($C27="","",Q27*VLOOKUP($C27,MATIERES!$A$2:$F$448,4,0))</f>
        <v>26.4</v>
      </c>
      <c r="S27" s="404">
        <f>'Outils de calculs'!S$25</f>
        <v>18</v>
      </c>
      <c r="T27" s="365">
        <f>IF($C27="","",S27*VLOOKUP($C27,MATIERES!$A$2:$F$448,4,0))</f>
        <v>29.7</v>
      </c>
      <c r="U27" s="404">
        <f>'Outils de calculs'!U$25</f>
        <v>20</v>
      </c>
      <c r="V27" s="365">
        <f>IF($C27="","",U27*VLOOKUP($C27,MATIERES!$A$2:$F$448,4,0))</f>
        <v>33</v>
      </c>
      <c r="W27" s="404">
        <f>'Outils de calculs'!W$25</f>
        <v>24</v>
      </c>
      <c r="X27" s="365">
        <f>IF($C27="","",W27*VLOOKUP($C27,MATIERES!$A$2:$F$448,4,0))</f>
        <v>39.599999999999994</v>
      </c>
      <c r="Y27" s="404">
        <f>'Outils de calculs'!Y$25</f>
        <v>24</v>
      </c>
      <c r="Z27" s="365">
        <f>IF($C27="","",Y27*VLOOKUP($C27,MATIERES!$A$2:$F$448,4,0))</f>
        <v>39.599999999999994</v>
      </c>
      <c r="AA27" s="404">
        <f>'Outils de calculs'!AA$25</f>
        <v>28</v>
      </c>
      <c r="AB27" s="365">
        <f>IF($C27="","",AA27*VLOOKUP($C27,MATIERES!$A$2:$F$448,4,0))</f>
        <v>46.199999999999996</v>
      </c>
      <c r="AC27" s="404">
        <f>'Outils de calculs'!AC$25</f>
        <v>28</v>
      </c>
      <c r="AD27" s="365">
        <f>IF($C27="","",AC27*VLOOKUP($C27,MATIERES!$A$2:$F$448,4,0))</f>
        <v>46.199999999999996</v>
      </c>
      <c r="AE27" s="404">
        <f>'Outils de calculs'!AE$25</f>
        <v>32</v>
      </c>
      <c r="AF27" s="365">
        <f>IF($C27="","",AE27*VLOOKUP($C27,MATIERES!$A$2:$F$448,4,0))</f>
        <v>52.8</v>
      </c>
      <c r="AG27" s="404">
        <f>'Outils de calculs'!AG$25</f>
        <v>36</v>
      </c>
      <c r="AH27" s="365">
        <f>IF($C27="","",AG27*VLOOKUP($C27,MATIERES!$A$2:$F$448,4,0))</f>
        <v>59.4</v>
      </c>
      <c r="AI27" s="404">
        <f>'Outils de calculs'!AI$25</f>
        <v>36</v>
      </c>
      <c r="AJ27" s="365">
        <f>IF($C27="","",AI27*VLOOKUP($C27,MATIERES!$A$2:$F$448,4,0))</f>
        <v>59.4</v>
      </c>
      <c r="AK27" s="404">
        <f>'Outils de calculs'!AK$25</f>
        <v>40</v>
      </c>
      <c r="AL27" s="365">
        <f>IF($C27="","",AK27*VLOOKUP($C27,MATIERES!$A$2:$F$448,4,0))</f>
        <v>66</v>
      </c>
      <c r="AM27" s="404">
        <f>'Outils de calculs'!AM$25</f>
        <v>40</v>
      </c>
      <c r="AN27" s="365">
        <f>IF($C27="","",AM27*VLOOKUP($C27,MATIERES!$A$2:$F$448,4,0))</f>
        <v>66</v>
      </c>
    </row>
    <row r="28" spans="1:40" ht="9.9499999999999993" customHeight="1" x14ac:dyDescent="0.2">
      <c r="A28" s="1550"/>
      <c r="B28" s="361" t="s">
        <v>1140</v>
      </c>
      <c r="C28" s="1400" t="s">
        <v>818</v>
      </c>
      <c r="D28" s="363" t="str">
        <f>IF($C28="","",VLOOKUP($C28,MATIERES!$A$2:$F$448,5,0))</f>
        <v>pc</v>
      </c>
      <c r="E28" s="404">
        <f>'Outils de calculs'!E$25</f>
        <v>4</v>
      </c>
      <c r="F28" s="365">
        <f>IF($C28="","",E28*VLOOKUP($C28,MATIERES!$A$2:$F$448,4,0))</f>
        <v>6.6</v>
      </c>
      <c r="G28" s="404">
        <f>'Outils de calculs'!G$25</f>
        <v>6</v>
      </c>
      <c r="H28" s="365">
        <f>IF($C28="","",G28*VLOOKUP($C28,MATIERES!$A$2:$F$448,4,0))</f>
        <v>9.8999999999999986</v>
      </c>
      <c r="I28" s="404">
        <f>'Outils de calculs'!I$25</f>
        <v>8</v>
      </c>
      <c r="J28" s="365">
        <f>IF($C28="","",I28*VLOOKUP($C28,MATIERES!$A$2:$F$448,4,0))</f>
        <v>13.2</v>
      </c>
      <c r="K28" s="404">
        <f>'Outils de calculs'!K$25</f>
        <v>10</v>
      </c>
      <c r="L28" s="365">
        <f>IF($C28="","",K28*VLOOKUP($C28,MATIERES!$A$2:$F$448,4,0))</f>
        <v>16.5</v>
      </c>
      <c r="M28" s="404">
        <f>'Outils de calculs'!M$25</f>
        <v>12</v>
      </c>
      <c r="N28" s="365">
        <f>IF($C28="","",M28*VLOOKUP($C28,MATIERES!$A$2:$F$448,4,0))</f>
        <v>19.799999999999997</v>
      </c>
      <c r="O28" s="404">
        <f>'Outils de calculs'!O$25</f>
        <v>14</v>
      </c>
      <c r="P28" s="365">
        <f>IF($C28="","",O28*VLOOKUP($C28,MATIERES!$A$2:$F$448,4,0))</f>
        <v>23.099999999999998</v>
      </c>
      <c r="Q28" s="404">
        <f>'Outils de calculs'!Q$25</f>
        <v>16</v>
      </c>
      <c r="R28" s="365">
        <f>IF($C28="","",Q28*VLOOKUP($C28,MATIERES!$A$2:$F$448,4,0))</f>
        <v>26.4</v>
      </c>
      <c r="S28" s="404">
        <f>'Outils de calculs'!S$25</f>
        <v>18</v>
      </c>
      <c r="T28" s="365">
        <f>IF($C28="","",S28*VLOOKUP($C28,MATIERES!$A$2:$F$448,4,0))</f>
        <v>29.7</v>
      </c>
      <c r="U28" s="404">
        <f>'Outils de calculs'!U$25</f>
        <v>20</v>
      </c>
      <c r="V28" s="365">
        <f>IF($C28="","",U28*VLOOKUP($C28,MATIERES!$A$2:$F$448,4,0))</f>
        <v>33</v>
      </c>
      <c r="W28" s="404">
        <f>'Outils de calculs'!W$25</f>
        <v>24</v>
      </c>
      <c r="X28" s="365">
        <f>IF($C28="","",W28*VLOOKUP($C28,MATIERES!$A$2:$F$448,4,0))</f>
        <v>39.599999999999994</v>
      </c>
      <c r="Y28" s="404">
        <f>'Outils de calculs'!Y$25</f>
        <v>24</v>
      </c>
      <c r="Z28" s="365">
        <f>IF($C28="","",Y28*VLOOKUP($C28,MATIERES!$A$2:$F$448,4,0))</f>
        <v>39.599999999999994</v>
      </c>
      <c r="AA28" s="404">
        <f>'Outils de calculs'!AA$25</f>
        <v>28</v>
      </c>
      <c r="AB28" s="365">
        <f>IF($C28="","",AA28*VLOOKUP($C28,MATIERES!$A$2:$F$448,4,0))</f>
        <v>46.199999999999996</v>
      </c>
      <c r="AC28" s="404">
        <f>'Outils de calculs'!AC$25</f>
        <v>28</v>
      </c>
      <c r="AD28" s="365">
        <f>IF($C28="","",AC28*VLOOKUP($C28,MATIERES!$A$2:$F$448,4,0))</f>
        <v>46.199999999999996</v>
      </c>
      <c r="AE28" s="404">
        <f>'Outils de calculs'!AE$25</f>
        <v>32</v>
      </c>
      <c r="AF28" s="365">
        <f>IF($C28="","",AE28*VLOOKUP($C28,MATIERES!$A$2:$F$448,4,0))</f>
        <v>52.8</v>
      </c>
      <c r="AG28" s="404">
        <f>'Outils de calculs'!AG$25</f>
        <v>36</v>
      </c>
      <c r="AH28" s="365">
        <f>IF($C28="","",AG28*VLOOKUP($C28,MATIERES!$A$2:$F$448,4,0))</f>
        <v>59.4</v>
      </c>
      <c r="AI28" s="404">
        <f>'Outils de calculs'!AI$25</f>
        <v>36</v>
      </c>
      <c r="AJ28" s="365">
        <f>IF($C28="","",AI28*VLOOKUP($C28,MATIERES!$A$2:$F$448,4,0))</f>
        <v>59.4</v>
      </c>
      <c r="AK28" s="404">
        <f>'Outils de calculs'!AK$25</f>
        <v>40</v>
      </c>
      <c r="AL28" s="365">
        <f>IF($C28="","",AK28*VLOOKUP($C28,MATIERES!$A$2:$F$448,4,0))</f>
        <v>66</v>
      </c>
      <c r="AM28" s="404">
        <f>'Outils de calculs'!AM$25</f>
        <v>40</v>
      </c>
      <c r="AN28" s="365">
        <f>IF($C28="","",AM28*VLOOKUP($C28,MATIERES!$A$2:$F$448,4,0))</f>
        <v>66</v>
      </c>
    </row>
    <row r="29" spans="1:40" ht="9.9499999999999993" customHeight="1" x14ac:dyDescent="0.2">
      <c r="A29" s="1550"/>
      <c r="B29" s="361" t="s">
        <v>1140</v>
      </c>
      <c r="C29" s="1400" t="s">
        <v>830</v>
      </c>
      <c r="D29" s="363" t="str">
        <f>IF($C29="","",VLOOKUP($C29,MATIERES!$A$2:$F$448,5,0))</f>
        <v>pc</v>
      </c>
      <c r="E29" s="404">
        <f>'Outils de calculs'!E$25</f>
        <v>4</v>
      </c>
      <c r="F29" s="365">
        <f>IF($C29="","",E29*VLOOKUP($C29,MATIERES!$A$2:$F$448,4,0))</f>
        <v>6.6</v>
      </c>
      <c r="G29" s="404">
        <f>'Outils de calculs'!G$25</f>
        <v>6</v>
      </c>
      <c r="H29" s="365">
        <f>IF($C29="","",G29*VLOOKUP($C29,MATIERES!$A$2:$F$448,4,0))</f>
        <v>9.8999999999999986</v>
      </c>
      <c r="I29" s="404">
        <f>'Outils de calculs'!I$25</f>
        <v>8</v>
      </c>
      <c r="J29" s="365">
        <f>IF($C29="","",I29*VLOOKUP($C29,MATIERES!$A$2:$F$448,4,0))</f>
        <v>13.2</v>
      </c>
      <c r="K29" s="404">
        <f>'Outils de calculs'!K$25</f>
        <v>10</v>
      </c>
      <c r="L29" s="365">
        <f>IF($C29="","",K29*VLOOKUP($C29,MATIERES!$A$2:$F$448,4,0))</f>
        <v>16.5</v>
      </c>
      <c r="M29" s="404">
        <f>'Outils de calculs'!M$25</f>
        <v>12</v>
      </c>
      <c r="N29" s="365">
        <f>IF($C29="","",M29*VLOOKUP($C29,MATIERES!$A$2:$F$448,4,0))</f>
        <v>19.799999999999997</v>
      </c>
      <c r="O29" s="404">
        <f>'Outils de calculs'!O$25</f>
        <v>14</v>
      </c>
      <c r="P29" s="365">
        <f>IF($C29="","",O29*VLOOKUP($C29,MATIERES!$A$2:$F$448,4,0))</f>
        <v>23.099999999999998</v>
      </c>
      <c r="Q29" s="404">
        <f>'Outils de calculs'!Q$25</f>
        <v>16</v>
      </c>
      <c r="R29" s="365">
        <f>IF($C29="","",Q29*VLOOKUP($C29,MATIERES!$A$2:$F$448,4,0))</f>
        <v>26.4</v>
      </c>
      <c r="S29" s="404">
        <f>'Outils de calculs'!S$25</f>
        <v>18</v>
      </c>
      <c r="T29" s="365">
        <f>IF($C29="","",S29*VLOOKUP($C29,MATIERES!$A$2:$F$448,4,0))</f>
        <v>29.7</v>
      </c>
      <c r="U29" s="404">
        <f>'Outils de calculs'!U$25</f>
        <v>20</v>
      </c>
      <c r="V29" s="365">
        <f>IF($C29="","",U29*VLOOKUP($C29,MATIERES!$A$2:$F$448,4,0))</f>
        <v>33</v>
      </c>
      <c r="W29" s="404">
        <f>'Outils de calculs'!W$25</f>
        <v>24</v>
      </c>
      <c r="X29" s="365">
        <f>IF($C29="","",W29*VLOOKUP($C29,MATIERES!$A$2:$F$448,4,0))</f>
        <v>39.599999999999994</v>
      </c>
      <c r="Y29" s="404">
        <f>'Outils de calculs'!Y$25</f>
        <v>24</v>
      </c>
      <c r="Z29" s="365">
        <f>IF($C29="","",Y29*VLOOKUP($C29,MATIERES!$A$2:$F$448,4,0))</f>
        <v>39.599999999999994</v>
      </c>
      <c r="AA29" s="404">
        <f>'Outils de calculs'!AA$25</f>
        <v>28</v>
      </c>
      <c r="AB29" s="365">
        <f>IF($C29="","",AA29*VLOOKUP($C29,MATIERES!$A$2:$F$448,4,0))</f>
        <v>46.199999999999996</v>
      </c>
      <c r="AC29" s="404">
        <f>'Outils de calculs'!AC$25</f>
        <v>28</v>
      </c>
      <c r="AD29" s="365">
        <f>IF($C29="","",AC29*VLOOKUP($C29,MATIERES!$A$2:$F$448,4,0))</f>
        <v>46.199999999999996</v>
      </c>
      <c r="AE29" s="404">
        <f>'Outils de calculs'!AE$25</f>
        <v>32</v>
      </c>
      <c r="AF29" s="365">
        <f>IF($C29="","",AE29*VLOOKUP($C29,MATIERES!$A$2:$F$448,4,0))</f>
        <v>52.8</v>
      </c>
      <c r="AG29" s="404">
        <f>'Outils de calculs'!AG$25</f>
        <v>36</v>
      </c>
      <c r="AH29" s="365">
        <f>IF($C29="","",AG29*VLOOKUP($C29,MATIERES!$A$2:$F$448,4,0))</f>
        <v>59.4</v>
      </c>
      <c r="AI29" s="404">
        <f>'Outils de calculs'!AI$25</f>
        <v>36</v>
      </c>
      <c r="AJ29" s="365">
        <f>IF($C29="","",AI29*VLOOKUP($C29,MATIERES!$A$2:$F$448,4,0))</f>
        <v>59.4</v>
      </c>
      <c r="AK29" s="404">
        <f>'Outils de calculs'!AK$25</f>
        <v>40</v>
      </c>
      <c r="AL29" s="365">
        <f>IF($C29="","",AK29*VLOOKUP($C29,MATIERES!$A$2:$F$448,4,0))</f>
        <v>66</v>
      </c>
      <c r="AM29" s="404">
        <f>'Outils de calculs'!AM$25</f>
        <v>40</v>
      </c>
      <c r="AN29" s="365">
        <f>IF($C29="","",AM29*VLOOKUP($C29,MATIERES!$A$2:$F$448,4,0))</f>
        <v>66</v>
      </c>
    </row>
    <row r="30" spans="1:40" ht="9.9499999999999993" customHeight="1" x14ac:dyDescent="0.2">
      <c r="A30" s="1550"/>
      <c r="B30" s="361" t="s">
        <v>1140</v>
      </c>
      <c r="C30" s="1400" t="s">
        <v>824</v>
      </c>
      <c r="D30" s="363" t="str">
        <f>IF($C30="","",VLOOKUP($C30,MATIERES!$A$2:$F$448,5,0))</f>
        <v>pc</v>
      </c>
      <c r="E30" s="404">
        <f>'Outils de calculs'!E$25</f>
        <v>4</v>
      </c>
      <c r="F30" s="365">
        <f>IF($C30="","",E30*VLOOKUP($C30,MATIERES!$A$2:$F$448,4,0))</f>
        <v>6.6</v>
      </c>
      <c r="G30" s="404">
        <f>'Outils de calculs'!G$25</f>
        <v>6</v>
      </c>
      <c r="H30" s="365">
        <f>IF($C30="","",G30*VLOOKUP($C30,MATIERES!$A$2:$F$448,4,0))</f>
        <v>9.8999999999999986</v>
      </c>
      <c r="I30" s="404">
        <f>'Outils de calculs'!I$25</f>
        <v>8</v>
      </c>
      <c r="J30" s="365">
        <f>IF($C30="","",I30*VLOOKUP($C30,MATIERES!$A$2:$F$448,4,0))</f>
        <v>13.2</v>
      </c>
      <c r="K30" s="404">
        <f>'Outils de calculs'!K$25</f>
        <v>10</v>
      </c>
      <c r="L30" s="365">
        <f>IF($C30="","",K30*VLOOKUP($C30,MATIERES!$A$2:$F$448,4,0))</f>
        <v>16.5</v>
      </c>
      <c r="M30" s="404">
        <f>'Outils de calculs'!M$25</f>
        <v>12</v>
      </c>
      <c r="N30" s="365">
        <f>IF($C30="","",M30*VLOOKUP($C30,MATIERES!$A$2:$F$448,4,0))</f>
        <v>19.799999999999997</v>
      </c>
      <c r="O30" s="404">
        <f>'Outils de calculs'!O$25</f>
        <v>14</v>
      </c>
      <c r="P30" s="365">
        <f>IF($C30="","",O30*VLOOKUP($C30,MATIERES!$A$2:$F$448,4,0))</f>
        <v>23.099999999999998</v>
      </c>
      <c r="Q30" s="404">
        <f>'Outils de calculs'!Q$25</f>
        <v>16</v>
      </c>
      <c r="R30" s="365">
        <f>IF($C30="","",Q30*VLOOKUP($C30,MATIERES!$A$2:$F$448,4,0))</f>
        <v>26.4</v>
      </c>
      <c r="S30" s="404">
        <f>'Outils de calculs'!S$25</f>
        <v>18</v>
      </c>
      <c r="T30" s="365">
        <f>IF($C30="","",S30*VLOOKUP($C30,MATIERES!$A$2:$F$448,4,0))</f>
        <v>29.7</v>
      </c>
      <c r="U30" s="404">
        <f>'Outils de calculs'!U$25</f>
        <v>20</v>
      </c>
      <c r="V30" s="365">
        <f>IF($C30="","",U30*VLOOKUP($C30,MATIERES!$A$2:$F$448,4,0))</f>
        <v>33</v>
      </c>
      <c r="W30" s="404">
        <f>'Outils de calculs'!W$25</f>
        <v>24</v>
      </c>
      <c r="X30" s="365">
        <f>IF($C30="","",W30*VLOOKUP($C30,MATIERES!$A$2:$F$448,4,0))</f>
        <v>39.599999999999994</v>
      </c>
      <c r="Y30" s="404">
        <f>'Outils de calculs'!Y$25</f>
        <v>24</v>
      </c>
      <c r="Z30" s="365">
        <f>IF($C30="","",Y30*VLOOKUP($C30,MATIERES!$A$2:$F$448,4,0))</f>
        <v>39.599999999999994</v>
      </c>
      <c r="AA30" s="404">
        <f>'Outils de calculs'!AA$25</f>
        <v>28</v>
      </c>
      <c r="AB30" s="365">
        <f>IF($C30="","",AA30*VLOOKUP($C30,MATIERES!$A$2:$F$448,4,0))</f>
        <v>46.199999999999996</v>
      </c>
      <c r="AC30" s="404">
        <f>'Outils de calculs'!AC$25</f>
        <v>28</v>
      </c>
      <c r="AD30" s="365">
        <f>IF($C30="","",AC30*VLOOKUP($C30,MATIERES!$A$2:$F$448,4,0))</f>
        <v>46.199999999999996</v>
      </c>
      <c r="AE30" s="404">
        <f>'Outils de calculs'!AE$25</f>
        <v>32</v>
      </c>
      <c r="AF30" s="365">
        <f>IF($C30="","",AE30*VLOOKUP($C30,MATIERES!$A$2:$F$448,4,0))</f>
        <v>52.8</v>
      </c>
      <c r="AG30" s="404">
        <f>'Outils de calculs'!AG$25</f>
        <v>36</v>
      </c>
      <c r="AH30" s="365">
        <f>IF($C30="","",AG30*VLOOKUP($C30,MATIERES!$A$2:$F$448,4,0))</f>
        <v>59.4</v>
      </c>
      <c r="AI30" s="404">
        <f>'Outils de calculs'!AI$25</f>
        <v>36</v>
      </c>
      <c r="AJ30" s="365">
        <f>IF($C30="","",AI30*VLOOKUP($C30,MATIERES!$A$2:$F$448,4,0))</f>
        <v>59.4</v>
      </c>
      <c r="AK30" s="404">
        <f>'Outils de calculs'!AK$25</f>
        <v>40</v>
      </c>
      <c r="AL30" s="365">
        <f>IF($C30="","",AK30*VLOOKUP($C30,MATIERES!$A$2:$F$448,4,0))</f>
        <v>66</v>
      </c>
      <c r="AM30" s="404">
        <f>'Outils de calculs'!AM$25</f>
        <v>40</v>
      </c>
      <c r="AN30" s="365">
        <f>IF($C30="","",AM30*VLOOKUP($C30,MATIERES!$A$2:$F$448,4,0))</f>
        <v>66</v>
      </c>
    </row>
    <row r="31" spans="1:40" ht="9.9499999999999993" customHeight="1" x14ac:dyDescent="0.2">
      <c r="A31" s="1550"/>
      <c r="B31" s="361" t="s">
        <v>1140</v>
      </c>
      <c r="C31" s="1400" t="s">
        <v>848</v>
      </c>
      <c r="D31" s="363" t="str">
        <f>IF($C31="","",VLOOKUP($C31,MATIERES!$A$2:$F$448,5,0))</f>
        <v>pc</v>
      </c>
      <c r="E31" s="404">
        <f>'Outils de calculs'!E$25</f>
        <v>4</v>
      </c>
      <c r="F31" s="365">
        <f>IF($C31="","",E31*VLOOKUP($C31,MATIERES!$A$2:$F$448,4,0))</f>
        <v>6.6</v>
      </c>
      <c r="G31" s="404">
        <f>'Outils de calculs'!G$25</f>
        <v>6</v>
      </c>
      <c r="H31" s="365">
        <f>IF($C31="","",G31*VLOOKUP($C31,MATIERES!$A$2:$F$448,4,0))</f>
        <v>9.8999999999999986</v>
      </c>
      <c r="I31" s="404">
        <f>'Outils de calculs'!I$25</f>
        <v>8</v>
      </c>
      <c r="J31" s="365">
        <f>IF($C31="","",I31*VLOOKUP($C31,MATIERES!$A$2:$F$448,4,0))</f>
        <v>13.2</v>
      </c>
      <c r="K31" s="404">
        <f>'Outils de calculs'!K$25</f>
        <v>10</v>
      </c>
      <c r="L31" s="365">
        <f>IF($C31="","",K31*VLOOKUP($C31,MATIERES!$A$2:$F$448,4,0))</f>
        <v>16.5</v>
      </c>
      <c r="M31" s="404">
        <f>'Outils de calculs'!M$25</f>
        <v>12</v>
      </c>
      <c r="N31" s="365">
        <f>IF($C31="","",M31*VLOOKUP($C31,MATIERES!$A$2:$F$448,4,0))</f>
        <v>19.799999999999997</v>
      </c>
      <c r="O31" s="404">
        <f>'Outils de calculs'!O$25</f>
        <v>14</v>
      </c>
      <c r="P31" s="365">
        <f>IF($C31="","",O31*VLOOKUP($C31,MATIERES!$A$2:$F$448,4,0))</f>
        <v>23.099999999999998</v>
      </c>
      <c r="Q31" s="404">
        <f>'Outils de calculs'!Q$25</f>
        <v>16</v>
      </c>
      <c r="R31" s="365">
        <f>IF($C31="","",Q31*VLOOKUP($C31,MATIERES!$A$2:$F$448,4,0))</f>
        <v>26.4</v>
      </c>
      <c r="S31" s="404">
        <f>'Outils de calculs'!S$25</f>
        <v>18</v>
      </c>
      <c r="T31" s="365">
        <f>IF($C31="","",S31*VLOOKUP($C31,MATIERES!$A$2:$F$448,4,0))</f>
        <v>29.7</v>
      </c>
      <c r="U31" s="404">
        <f>'Outils de calculs'!U$25</f>
        <v>20</v>
      </c>
      <c r="V31" s="365">
        <f>IF($C31="","",U31*VLOOKUP($C31,MATIERES!$A$2:$F$448,4,0))</f>
        <v>33</v>
      </c>
      <c r="W31" s="404">
        <f>'Outils de calculs'!W$25</f>
        <v>24</v>
      </c>
      <c r="X31" s="365">
        <f>IF($C31="","",W31*VLOOKUP($C31,MATIERES!$A$2:$F$448,4,0))</f>
        <v>39.599999999999994</v>
      </c>
      <c r="Y31" s="404">
        <f>'Outils de calculs'!Y$25</f>
        <v>24</v>
      </c>
      <c r="Z31" s="365">
        <f>IF($C31="","",Y31*VLOOKUP($C31,MATIERES!$A$2:$F$448,4,0))</f>
        <v>39.599999999999994</v>
      </c>
      <c r="AA31" s="404">
        <f>'Outils de calculs'!AA$25</f>
        <v>28</v>
      </c>
      <c r="AB31" s="365">
        <f>IF($C31="","",AA31*VLOOKUP($C31,MATIERES!$A$2:$F$448,4,0))</f>
        <v>46.199999999999996</v>
      </c>
      <c r="AC31" s="404">
        <f>'Outils de calculs'!AC$25</f>
        <v>28</v>
      </c>
      <c r="AD31" s="365">
        <f>IF($C31="","",AC31*VLOOKUP($C31,MATIERES!$A$2:$F$448,4,0))</f>
        <v>46.199999999999996</v>
      </c>
      <c r="AE31" s="404">
        <f>'Outils de calculs'!AE$25</f>
        <v>32</v>
      </c>
      <c r="AF31" s="365">
        <f>IF($C31="","",AE31*VLOOKUP($C31,MATIERES!$A$2:$F$448,4,0))</f>
        <v>52.8</v>
      </c>
      <c r="AG31" s="404">
        <f>'Outils de calculs'!AG$25</f>
        <v>36</v>
      </c>
      <c r="AH31" s="365">
        <f>IF($C31="","",AG31*VLOOKUP($C31,MATIERES!$A$2:$F$448,4,0))</f>
        <v>59.4</v>
      </c>
      <c r="AI31" s="404">
        <f>'Outils de calculs'!AI$25</f>
        <v>36</v>
      </c>
      <c r="AJ31" s="365">
        <f>IF($C31="","",AI31*VLOOKUP($C31,MATIERES!$A$2:$F$448,4,0))</f>
        <v>59.4</v>
      </c>
      <c r="AK31" s="404">
        <f>'Outils de calculs'!AK$25</f>
        <v>40</v>
      </c>
      <c r="AL31" s="365">
        <f>IF($C31="","",AK31*VLOOKUP($C31,MATIERES!$A$2:$F$448,4,0))</f>
        <v>66</v>
      </c>
      <c r="AM31" s="404">
        <f>'Outils de calculs'!AM$25</f>
        <v>40</v>
      </c>
      <c r="AN31" s="365">
        <f>IF($C31="","",AM31*VLOOKUP($C31,MATIERES!$A$2:$F$448,4,0))</f>
        <v>66</v>
      </c>
    </row>
    <row r="32" spans="1:40" ht="9.9499999999999993" customHeight="1" x14ac:dyDescent="0.2">
      <c r="A32" s="1550"/>
      <c r="B32" s="361" t="s">
        <v>1069</v>
      </c>
      <c r="C32" s="1401" t="s">
        <v>759</v>
      </c>
      <c r="D32" s="363" t="str">
        <f>IF($C32="","",VLOOKUP($C32,MATIERES!$A$2:$F$448,5,0))</f>
        <v>pc</v>
      </c>
      <c r="E32" s="404">
        <f>1</f>
        <v>1</v>
      </c>
      <c r="F32" s="365">
        <f>IF($C32="","",E32*VLOOKUP($C32,MATIERES!$A$2:$F$448,4,0))</f>
        <v>3.13</v>
      </c>
      <c r="G32" s="404">
        <f>1</f>
        <v>1</v>
      </c>
      <c r="H32" s="365">
        <f>IF($C32="","",G32*VLOOKUP($C32,MATIERES!$A$2:$F$448,4,0))</f>
        <v>3.13</v>
      </c>
      <c r="I32" s="404">
        <f>1</f>
        <v>1</v>
      </c>
      <c r="J32" s="365">
        <f>IF($C32="","",I32*VLOOKUP($C32,MATIERES!$A$2:$F$448,4,0))</f>
        <v>3.13</v>
      </c>
      <c r="K32" s="404">
        <f>1</f>
        <v>1</v>
      </c>
      <c r="L32" s="365">
        <f>IF($C32="","",K32*VLOOKUP($C32,MATIERES!$A$2:$F$448,4,0))</f>
        <v>3.13</v>
      </c>
      <c r="M32" s="404">
        <f>1</f>
        <v>1</v>
      </c>
      <c r="N32" s="365">
        <f>IF($C32="","",M32*VLOOKUP($C32,MATIERES!$A$2:$F$448,4,0))</f>
        <v>3.13</v>
      </c>
      <c r="O32" s="404">
        <f>1</f>
        <v>1</v>
      </c>
      <c r="P32" s="365">
        <f>IF($C32="","",O32*VLOOKUP($C32,MATIERES!$A$2:$F$448,4,0))</f>
        <v>3.13</v>
      </c>
      <c r="Q32" s="404">
        <f>1</f>
        <v>1</v>
      </c>
      <c r="R32" s="365">
        <f>IF($C32="","",Q32*VLOOKUP($C32,MATIERES!$A$2:$F$448,4,0))</f>
        <v>3.13</v>
      </c>
      <c r="S32" s="404">
        <f>1</f>
        <v>1</v>
      </c>
      <c r="T32" s="365">
        <f>IF($C32="","",S32*VLOOKUP($C32,MATIERES!$A$2:$F$448,4,0))</f>
        <v>3.13</v>
      </c>
      <c r="U32" s="404">
        <f>1</f>
        <v>1</v>
      </c>
      <c r="V32" s="365">
        <f>IF($C32="","",U32*VLOOKUP($C32,MATIERES!$A$2:$F$448,4,0))</f>
        <v>3.13</v>
      </c>
      <c r="W32" s="404">
        <f>1</f>
        <v>1</v>
      </c>
      <c r="X32" s="365">
        <f>IF($C32="","",W32*VLOOKUP($C32,MATIERES!$A$2:$F$448,4,0))</f>
        <v>3.13</v>
      </c>
      <c r="Y32" s="404">
        <f>1</f>
        <v>1</v>
      </c>
      <c r="Z32" s="365">
        <f>IF($C32="","",Y32*VLOOKUP($C32,MATIERES!$A$2:$F$448,4,0))</f>
        <v>3.13</v>
      </c>
      <c r="AA32" s="404">
        <f>1</f>
        <v>1</v>
      </c>
      <c r="AB32" s="365">
        <f>IF($C32="","",AA32*VLOOKUP($C32,MATIERES!$A$2:$F$448,4,0))</f>
        <v>3.13</v>
      </c>
      <c r="AC32" s="404">
        <f>1</f>
        <v>1</v>
      </c>
      <c r="AD32" s="365">
        <f>IF($C32="","",AC32*VLOOKUP($C32,MATIERES!$A$2:$F$448,4,0))</f>
        <v>3.13</v>
      </c>
      <c r="AE32" s="404">
        <f>1</f>
        <v>1</v>
      </c>
      <c r="AF32" s="365">
        <f>IF($C32="","",AE32*VLOOKUP($C32,MATIERES!$A$2:$F$448,4,0))</f>
        <v>3.13</v>
      </c>
      <c r="AG32" s="404">
        <f>1</f>
        <v>1</v>
      </c>
      <c r="AH32" s="365">
        <f>IF($C32="","",AG32*VLOOKUP($C32,MATIERES!$A$2:$F$448,4,0))</f>
        <v>3.13</v>
      </c>
      <c r="AI32" s="404">
        <f>1</f>
        <v>1</v>
      </c>
      <c r="AJ32" s="365">
        <f>IF($C32="","",AI32*VLOOKUP($C32,MATIERES!$A$2:$F$448,4,0))</f>
        <v>3.13</v>
      </c>
      <c r="AK32" s="404">
        <f>1</f>
        <v>1</v>
      </c>
      <c r="AL32" s="365">
        <f>IF($C32="","",AK32*VLOOKUP($C32,MATIERES!$A$2:$F$448,4,0))</f>
        <v>3.13</v>
      </c>
      <c r="AM32" s="404">
        <f>1</f>
        <v>1</v>
      </c>
      <c r="AN32" s="365">
        <f>IF($C32="","",AM32*VLOOKUP($C32,MATIERES!$A$2:$F$448,4,0))</f>
        <v>3.13</v>
      </c>
    </row>
    <row r="33" spans="1:42" ht="9.9499999999999993" customHeight="1" x14ac:dyDescent="0.2">
      <c r="A33" s="1550"/>
      <c r="B33" s="361" t="s">
        <v>1069</v>
      </c>
      <c r="C33" s="1401" t="s">
        <v>752</v>
      </c>
      <c r="D33" s="363" t="str">
        <f>IF($C33="","",VLOOKUP($C33,MATIERES!$A$2:$F$448,5,0))</f>
        <v>pc</v>
      </c>
      <c r="E33" s="404">
        <f>1</f>
        <v>1</v>
      </c>
      <c r="F33" s="365">
        <f>IF($C33="","",E33*VLOOKUP($C33,MATIERES!$A$2:$F$448,4,0))</f>
        <v>8.93</v>
      </c>
      <c r="G33" s="404">
        <f>1</f>
        <v>1</v>
      </c>
      <c r="H33" s="365">
        <f>IF($C33="","",G33*VLOOKUP($C33,MATIERES!$A$2:$F$448,4,0))</f>
        <v>8.93</v>
      </c>
      <c r="I33" s="404">
        <f>1</f>
        <v>1</v>
      </c>
      <c r="J33" s="365">
        <f>IF($C33="","",I33*VLOOKUP($C33,MATIERES!$A$2:$F$448,4,0))</f>
        <v>8.93</v>
      </c>
      <c r="K33" s="404">
        <f>1</f>
        <v>1</v>
      </c>
      <c r="L33" s="365">
        <f>IF($C33="","",K33*VLOOKUP($C33,MATIERES!$A$2:$F$448,4,0))</f>
        <v>8.93</v>
      </c>
      <c r="M33" s="404">
        <f>1</f>
        <v>1</v>
      </c>
      <c r="N33" s="365">
        <f>IF($C33="","",M33*VLOOKUP($C33,MATIERES!$A$2:$F$448,4,0))</f>
        <v>8.93</v>
      </c>
      <c r="O33" s="404">
        <f>1</f>
        <v>1</v>
      </c>
      <c r="P33" s="365">
        <f>IF($C33="","",O33*VLOOKUP($C33,MATIERES!$A$2:$F$448,4,0))</f>
        <v>8.93</v>
      </c>
      <c r="Q33" s="404">
        <f>1</f>
        <v>1</v>
      </c>
      <c r="R33" s="365">
        <f>IF($C33="","",Q33*VLOOKUP($C33,MATIERES!$A$2:$F$448,4,0))</f>
        <v>8.93</v>
      </c>
      <c r="S33" s="404">
        <f>1</f>
        <v>1</v>
      </c>
      <c r="T33" s="365">
        <f>IF($C33="","",S33*VLOOKUP($C33,MATIERES!$A$2:$F$448,4,0))</f>
        <v>8.93</v>
      </c>
      <c r="U33" s="404">
        <f>1</f>
        <v>1</v>
      </c>
      <c r="V33" s="365">
        <f>IF($C33="","",U33*VLOOKUP($C33,MATIERES!$A$2:$F$448,4,0))</f>
        <v>8.93</v>
      </c>
      <c r="W33" s="404">
        <f>1</f>
        <v>1</v>
      </c>
      <c r="X33" s="365">
        <f>IF($C33="","",W33*VLOOKUP($C33,MATIERES!$A$2:$F$448,4,0))</f>
        <v>8.93</v>
      </c>
      <c r="Y33" s="404">
        <f>1</f>
        <v>1</v>
      </c>
      <c r="Z33" s="365">
        <f>IF($C33="","",Y33*VLOOKUP($C33,MATIERES!$A$2:$F$448,4,0))</f>
        <v>8.93</v>
      </c>
      <c r="AA33" s="404">
        <f>1</f>
        <v>1</v>
      </c>
      <c r="AB33" s="365">
        <f>IF($C33="","",AA33*VLOOKUP($C33,MATIERES!$A$2:$F$448,4,0))</f>
        <v>8.93</v>
      </c>
      <c r="AC33" s="404">
        <f>1</f>
        <v>1</v>
      </c>
      <c r="AD33" s="365">
        <f>IF($C33="","",AC33*VLOOKUP($C33,MATIERES!$A$2:$F$448,4,0))</f>
        <v>8.93</v>
      </c>
      <c r="AE33" s="404">
        <f>1</f>
        <v>1</v>
      </c>
      <c r="AF33" s="365">
        <f>IF($C33="","",AE33*VLOOKUP($C33,MATIERES!$A$2:$F$448,4,0))</f>
        <v>8.93</v>
      </c>
      <c r="AG33" s="404">
        <f>1</f>
        <v>1</v>
      </c>
      <c r="AH33" s="365">
        <f>IF($C33="","",AG33*VLOOKUP($C33,MATIERES!$A$2:$F$448,4,0))</f>
        <v>8.93</v>
      </c>
      <c r="AI33" s="404">
        <f>1</f>
        <v>1</v>
      </c>
      <c r="AJ33" s="365">
        <f>IF($C33="","",AI33*VLOOKUP($C33,MATIERES!$A$2:$F$448,4,0))</f>
        <v>8.93</v>
      </c>
      <c r="AK33" s="404">
        <f>1</f>
        <v>1</v>
      </c>
      <c r="AL33" s="365">
        <f>IF($C33="","",AK33*VLOOKUP($C33,MATIERES!$A$2:$F$448,4,0))</f>
        <v>8.93</v>
      </c>
      <c r="AM33" s="404">
        <f>1</f>
        <v>1</v>
      </c>
      <c r="AN33" s="365">
        <f>IF($C33="","",AM33*VLOOKUP($C33,MATIERES!$A$2:$F$448,4,0))</f>
        <v>8.93</v>
      </c>
    </row>
    <row r="34" spans="1:42" ht="9.9499999999999993" customHeight="1" x14ac:dyDescent="0.2">
      <c r="A34" s="1550"/>
      <c r="B34" s="361" t="s">
        <v>1141</v>
      </c>
      <c r="C34" s="1401" t="s">
        <v>690</v>
      </c>
      <c r="D34" s="363" t="s">
        <v>52</v>
      </c>
      <c r="E34" s="404">
        <f>0.5</f>
        <v>0.5</v>
      </c>
      <c r="F34" s="365">
        <f>IF($C34="","",E34*VLOOKUP($C34,MATIERES!$A$2:$F$448,4,0))</f>
        <v>1.07</v>
      </c>
      <c r="G34" s="404">
        <f t="shared" ref="G34" si="17">0.5</f>
        <v>0.5</v>
      </c>
      <c r="H34" s="365">
        <f>IF($C34="","",G34*VLOOKUP($C34,MATIERES!$A$2:$F$448,4,0))</f>
        <v>1.07</v>
      </c>
      <c r="I34" s="404">
        <f t="shared" ref="I34" si="18">0.5</f>
        <v>0.5</v>
      </c>
      <c r="J34" s="365">
        <f>IF($C34="","",I34*VLOOKUP($C34,MATIERES!$A$2:$F$448,4,0))</f>
        <v>1.07</v>
      </c>
      <c r="K34" s="404">
        <f t="shared" ref="K34" si="19">0.5</f>
        <v>0.5</v>
      </c>
      <c r="L34" s="365">
        <f>IF($C34="","",K34*VLOOKUP($C34,MATIERES!$A$2:$F$448,4,0))</f>
        <v>1.07</v>
      </c>
      <c r="M34" s="404">
        <f t="shared" ref="M34" si="20">0.5</f>
        <v>0.5</v>
      </c>
      <c r="N34" s="365">
        <f>IF($C34="","",M34*VLOOKUP($C34,MATIERES!$A$2:$F$448,4,0))</f>
        <v>1.07</v>
      </c>
      <c r="O34" s="404">
        <f t="shared" ref="O34" si="21">0.5</f>
        <v>0.5</v>
      </c>
      <c r="P34" s="365">
        <f>IF($C34="","",O34*VLOOKUP($C34,MATIERES!$A$2:$F$448,4,0))</f>
        <v>1.07</v>
      </c>
      <c r="Q34" s="404">
        <f t="shared" ref="Q34" si="22">0.5</f>
        <v>0.5</v>
      </c>
      <c r="R34" s="365">
        <f>IF($C34="","",Q34*VLOOKUP($C34,MATIERES!$A$2:$F$448,4,0))</f>
        <v>1.07</v>
      </c>
      <c r="S34" s="404">
        <f t="shared" ref="S34" si="23">0.5</f>
        <v>0.5</v>
      </c>
      <c r="T34" s="365">
        <f>IF($C34="","",S34*VLOOKUP($C34,MATIERES!$A$2:$F$448,4,0))</f>
        <v>1.07</v>
      </c>
      <c r="U34" s="404">
        <f t="shared" ref="U34" si="24">0.5</f>
        <v>0.5</v>
      </c>
      <c r="V34" s="365">
        <f>IF($C34="","",U34*VLOOKUP($C34,MATIERES!$A$2:$F$448,4,0))</f>
        <v>1.07</v>
      </c>
      <c r="W34" s="404">
        <f t="shared" ref="W34" si="25">0.5</f>
        <v>0.5</v>
      </c>
      <c r="X34" s="365">
        <f>IF($C34="","",W34*VLOOKUP($C34,MATIERES!$A$2:$F$448,4,0))</f>
        <v>1.07</v>
      </c>
      <c r="Y34" s="404">
        <f t="shared" ref="Y34" si="26">0.5</f>
        <v>0.5</v>
      </c>
      <c r="Z34" s="365">
        <f>IF($C34="","",Y34*VLOOKUP($C34,MATIERES!$A$2:$F$448,4,0))</f>
        <v>1.07</v>
      </c>
      <c r="AA34" s="404">
        <f t="shared" ref="AA34" si="27">0.5</f>
        <v>0.5</v>
      </c>
      <c r="AB34" s="365">
        <f>IF($C34="","",AA34*VLOOKUP($C34,MATIERES!$A$2:$F$448,4,0))</f>
        <v>1.07</v>
      </c>
      <c r="AC34" s="404">
        <f t="shared" ref="AC34" si="28">0.5</f>
        <v>0.5</v>
      </c>
      <c r="AD34" s="365">
        <f>IF($C34="","",AC34*VLOOKUP($C34,MATIERES!$A$2:$F$448,4,0))</f>
        <v>1.07</v>
      </c>
      <c r="AE34" s="404">
        <f t="shared" ref="AE34" si="29">0.5</f>
        <v>0.5</v>
      </c>
      <c r="AF34" s="365">
        <f>IF($C34="","",AE34*VLOOKUP($C34,MATIERES!$A$2:$F$448,4,0))</f>
        <v>1.07</v>
      </c>
      <c r="AG34" s="404">
        <f t="shared" ref="AG34" si="30">0.5</f>
        <v>0.5</v>
      </c>
      <c r="AH34" s="365">
        <f>IF($C34="","",AG34*VLOOKUP($C34,MATIERES!$A$2:$F$448,4,0))</f>
        <v>1.07</v>
      </c>
      <c r="AI34" s="404">
        <f t="shared" ref="AI34" si="31">0.5</f>
        <v>0.5</v>
      </c>
      <c r="AJ34" s="365">
        <f>IF($C34="","",AI34*VLOOKUP($C34,MATIERES!$A$2:$F$448,4,0))</f>
        <v>1.07</v>
      </c>
      <c r="AK34" s="404">
        <f t="shared" ref="AK34" si="32">0.5</f>
        <v>0.5</v>
      </c>
      <c r="AL34" s="365">
        <f>IF($C34="","",AK34*VLOOKUP($C34,MATIERES!$A$2:$F$448,4,0))</f>
        <v>1.07</v>
      </c>
      <c r="AM34" s="404">
        <f t="shared" ref="AM34" si="33">0.5</f>
        <v>0.5</v>
      </c>
      <c r="AN34" s="365">
        <f>IF($C34="","",AM34*VLOOKUP($C34,MATIERES!$A$2:$F$448,4,0))</f>
        <v>1.07</v>
      </c>
    </row>
    <row r="35" spans="1:42" ht="9.9499999999999993" customHeight="1" x14ac:dyDescent="0.2">
      <c r="A35" s="1550"/>
      <c r="B35" s="361" t="s">
        <v>1077</v>
      </c>
      <c r="C35" s="1401" t="s">
        <v>289</v>
      </c>
      <c r="D35" s="363" t="str">
        <f>IF($C35="","",VLOOKUP($C35,MATIERES!$A$2:$F$448,5,0))</f>
        <v>pc</v>
      </c>
      <c r="E35" s="404">
        <f>1</f>
        <v>1</v>
      </c>
      <c r="F35" s="365">
        <f>IF($C35="","",E35*VLOOKUP($C35,MATIERES!$A$2:$F$448,4,0))</f>
        <v>164.33</v>
      </c>
      <c r="G35" s="404">
        <f>1</f>
        <v>1</v>
      </c>
      <c r="H35" s="365">
        <f>IF($C35="","",G35*VLOOKUP($C35,MATIERES!$A$2:$F$448,4,0))</f>
        <v>164.33</v>
      </c>
      <c r="I35" s="404">
        <f>1</f>
        <v>1</v>
      </c>
      <c r="J35" s="365">
        <f>IF($C35="","",I35*VLOOKUP($C35,MATIERES!$A$2:$F$448,4,0))</f>
        <v>164.33</v>
      </c>
      <c r="K35" s="404">
        <f>1</f>
        <v>1</v>
      </c>
      <c r="L35" s="365">
        <f>IF($C35="","",K35*VLOOKUP($C35,MATIERES!$A$2:$F$448,4,0))</f>
        <v>164.33</v>
      </c>
      <c r="M35" s="404">
        <f>1</f>
        <v>1</v>
      </c>
      <c r="N35" s="365">
        <f>IF($C35="","",M35*VLOOKUP($C35,MATIERES!$A$2:$F$448,4,0))</f>
        <v>164.33</v>
      </c>
      <c r="O35" s="404">
        <f>1</f>
        <v>1</v>
      </c>
      <c r="P35" s="365">
        <f>IF($C35="","",O35*VLOOKUP($C35,MATIERES!$A$2:$F$448,4,0))</f>
        <v>164.33</v>
      </c>
      <c r="Q35" s="404">
        <f>1</f>
        <v>1</v>
      </c>
      <c r="R35" s="365">
        <f>IF($C35="","",Q35*VLOOKUP($C35,MATIERES!$A$2:$F$448,4,0))</f>
        <v>164.33</v>
      </c>
      <c r="S35" s="404">
        <f>1</f>
        <v>1</v>
      </c>
      <c r="T35" s="365">
        <f>IF($C35="","",S35*VLOOKUP($C35,MATIERES!$A$2:$F$448,4,0))</f>
        <v>164.33</v>
      </c>
      <c r="U35" s="404">
        <f>1</f>
        <v>1</v>
      </c>
      <c r="V35" s="365">
        <f>IF($C35="","",U35*VLOOKUP($C35,MATIERES!$A$2:$F$448,4,0))</f>
        <v>164.33</v>
      </c>
      <c r="W35" s="404">
        <f>1</f>
        <v>1</v>
      </c>
      <c r="X35" s="365">
        <f>IF($C35="","",W35*VLOOKUP($C35,MATIERES!$A$2:$F$448,4,0))</f>
        <v>164.33</v>
      </c>
      <c r="Y35" s="404">
        <f>1</f>
        <v>1</v>
      </c>
      <c r="Z35" s="365">
        <f>IF($C35="","",Y35*VLOOKUP($C35,MATIERES!$A$2:$F$448,4,0))</f>
        <v>164.33</v>
      </c>
      <c r="AA35" s="404">
        <f>1</f>
        <v>1</v>
      </c>
      <c r="AB35" s="365">
        <f>IF($C35="","",AA35*VLOOKUP($C35,MATIERES!$A$2:$F$448,4,0))</f>
        <v>164.33</v>
      </c>
      <c r="AC35" s="404">
        <f>1</f>
        <v>1</v>
      </c>
      <c r="AD35" s="365">
        <f>IF($C35="","",AC35*VLOOKUP($C35,MATIERES!$A$2:$F$448,4,0))</f>
        <v>164.33</v>
      </c>
      <c r="AE35" s="404">
        <f>1</f>
        <v>1</v>
      </c>
      <c r="AF35" s="365">
        <f>IF($C35="","",AE35*VLOOKUP($C35,MATIERES!$A$2:$F$448,4,0))</f>
        <v>164.33</v>
      </c>
      <c r="AG35" s="404">
        <f>1</f>
        <v>1</v>
      </c>
      <c r="AH35" s="365">
        <f>IF($C35="","",AG35*VLOOKUP($C35,MATIERES!$A$2:$F$448,4,0))</f>
        <v>164.33</v>
      </c>
      <c r="AI35" s="404">
        <f>1</f>
        <v>1</v>
      </c>
      <c r="AJ35" s="365">
        <f>IF($C35="","",AI35*VLOOKUP($C35,MATIERES!$A$2:$F$448,4,0))</f>
        <v>164.33</v>
      </c>
      <c r="AK35" s="404">
        <f>1</f>
        <v>1</v>
      </c>
      <c r="AL35" s="365">
        <f>IF($C35="","",AK35*VLOOKUP($C35,MATIERES!$A$2:$F$448,4,0))</f>
        <v>164.33</v>
      </c>
      <c r="AM35" s="404">
        <f>1</f>
        <v>1</v>
      </c>
      <c r="AN35" s="365">
        <f>IF($C35="","",AM35*VLOOKUP($C35,MATIERES!$A$2:$F$448,4,0))</f>
        <v>164.33</v>
      </c>
    </row>
    <row r="36" spans="1:42" ht="30" customHeight="1" x14ac:dyDescent="0.2">
      <c r="A36" s="366"/>
      <c r="B36" s="367" t="s">
        <v>683</v>
      </c>
      <c r="C36" s="368" t="s">
        <v>446</v>
      </c>
      <c r="D36" s="369" t="s">
        <v>447</v>
      </c>
      <c r="E36" s="370">
        <f>F36*(1+Simulation!$P$11)</f>
        <v>632.83285000000024</v>
      </c>
      <c r="F36" s="371">
        <f>SUM(F4:F35)</f>
        <v>486.7945000000002</v>
      </c>
      <c r="G36" s="370">
        <f>H36*(1+Simulation!$P$11)</f>
        <v>789.7915999999999</v>
      </c>
      <c r="H36" s="371">
        <f>SUM(H4:H35)</f>
        <v>607.53199999999993</v>
      </c>
      <c r="I36" s="370">
        <f>J36*(1+Simulation!$P$11)</f>
        <v>896.35910000000013</v>
      </c>
      <c r="J36" s="371">
        <f>SUM(J4:J35)</f>
        <v>689.50700000000006</v>
      </c>
      <c r="K36" s="370">
        <f>L36*(1+Simulation!$P$11)</f>
        <v>1032.5861</v>
      </c>
      <c r="L36" s="371">
        <f>SUM(L4:L35)</f>
        <v>794.29700000000003</v>
      </c>
      <c r="M36" s="370">
        <f>N36*(1+Simulation!$P$11)</f>
        <v>1249.8420999999998</v>
      </c>
      <c r="N36" s="371">
        <f>SUM(N4:N35)</f>
        <v>961.4169999999998</v>
      </c>
      <c r="O36" s="370">
        <f>P36*(1+Simulation!$P$11)</f>
        <v>1368.8181000000002</v>
      </c>
      <c r="P36" s="371">
        <f>SUM(P4:P35)</f>
        <v>1052.9370000000001</v>
      </c>
      <c r="Q36" s="370">
        <f>R36*(1+Simulation!$P$11)</f>
        <v>1538.7021</v>
      </c>
      <c r="R36" s="371">
        <f>SUM(R4:R35)</f>
        <v>1183.617</v>
      </c>
      <c r="S36" s="370">
        <f>T36*(1+Simulation!$P$11)</f>
        <v>1655.5786000000003</v>
      </c>
      <c r="T36" s="371">
        <f>SUM(T4:T35)</f>
        <v>1273.5220000000002</v>
      </c>
      <c r="U36" s="370">
        <f>V36*(1+Simulation!$P$11)</f>
        <v>1808.4976000000001</v>
      </c>
      <c r="V36" s="371">
        <f>SUM(V4:V35)</f>
        <v>1391.152</v>
      </c>
      <c r="W36" s="370">
        <f>X36*(1+Simulation!$P$11)</f>
        <v>2087.1785999999993</v>
      </c>
      <c r="X36" s="371">
        <f>SUM(X4:X35)</f>
        <v>1605.5219999999993</v>
      </c>
      <c r="Y36" s="370">
        <f>Z36*(1+Simulation!$P$11)</f>
        <v>2087.1785999999993</v>
      </c>
      <c r="Z36" s="371">
        <f>SUM(Z4:Z35)</f>
        <v>1605.5219999999993</v>
      </c>
      <c r="AA36" s="370">
        <f>AB36*(1+Simulation!$P$11)</f>
        <v>2305.5227000000004</v>
      </c>
      <c r="AB36" s="371">
        <f>SUM(AB4:AB35)</f>
        <v>1773.4790000000003</v>
      </c>
      <c r="AC36" s="370">
        <f>AD36*(1+Simulation!$P$11)</f>
        <v>2305.5227000000004</v>
      </c>
      <c r="AD36" s="371">
        <f>SUM(AD4:AD35)</f>
        <v>1773.4790000000003</v>
      </c>
      <c r="AE36" s="370">
        <f>AF36*(1+Simulation!$P$11)</f>
        <v>2615.2190999999998</v>
      </c>
      <c r="AF36" s="371">
        <f>SUM(AF4:AF35)</f>
        <v>2011.7069999999997</v>
      </c>
      <c r="AG36" s="370">
        <f>AH36*(1+Simulation!$P$11)</f>
        <v>3045.0251000000003</v>
      </c>
      <c r="AH36" s="371">
        <f>SUM(AH4:AH35)</f>
        <v>2342.3270000000002</v>
      </c>
      <c r="AI36" s="370">
        <f>AJ36*(1+Simulation!$P$11)</f>
        <v>3045.0251000000003</v>
      </c>
      <c r="AJ36" s="371">
        <f>SUM(AJ4:AJ35)</f>
        <v>2342.3270000000002</v>
      </c>
      <c r="AK36" s="370">
        <f>AL36*(1+Simulation!$P$11)</f>
        <v>3219.8204999999998</v>
      </c>
      <c r="AL36" s="371">
        <f>SUM(AL4:AL35)</f>
        <v>2476.7849999999999</v>
      </c>
      <c r="AM36" s="370">
        <f>AN36*(1+Simulation!$P$11)</f>
        <v>3219.8204999999998</v>
      </c>
      <c r="AN36" s="371">
        <f>SUM(AN4:AN35)</f>
        <v>2476.7849999999999</v>
      </c>
    </row>
    <row r="37" spans="1:42" ht="15" customHeight="1" x14ac:dyDescent="0.2">
      <c r="A37" s="1553" t="s">
        <v>448</v>
      </c>
      <c r="B37" s="361" t="s">
        <v>1079</v>
      </c>
      <c r="C37" s="362"/>
      <c r="D37" s="363" t="str">
        <f>IF($C37="","",VLOOKUP($C37,ATELIER!$A$2:$E$109,3,0))</f>
        <v/>
      </c>
      <c r="E37" s="364"/>
      <c r="F37" s="372"/>
      <c r="G37" s="364"/>
      <c r="H37" s="372"/>
      <c r="I37" s="364"/>
      <c r="J37" s="372"/>
      <c r="K37" s="364"/>
      <c r="L37" s="372"/>
      <c r="M37" s="364"/>
      <c r="N37" s="372"/>
      <c r="O37" s="364"/>
      <c r="P37" s="372"/>
      <c r="Q37" s="364"/>
      <c r="R37" s="372"/>
      <c r="S37" s="364"/>
      <c r="T37" s="372"/>
      <c r="U37" s="364"/>
      <c r="V37" s="372"/>
      <c r="W37" s="364"/>
      <c r="X37" s="372"/>
      <c r="Y37" s="364"/>
      <c r="Z37" s="372"/>
      <c r="AA37" s="364"/>
      <c r="AB37" s="372"/>
      <c r="AC37" s="364"/>
      <c r="AD37" s="372"/>
      <c r="AE37" s="364"/>
      <c r="AF37" s="372"/>
      <c r="AG37" s="364"/>
      <c r="AH37" s="372"/>
      <c r="AI37" s="364"/>
      <c r="AJ37" s="372"/>
      <c r="AK37" s="364"/>
      <c r="AL37" s="372"/>
      <c r="AM37" s="364"/>
      <c r="AN37" s="372"/>
    </row>
    <row r="38" spans="1:42" ht="15" customHeight="1" x14ac:dyDescent="0.2">
      <c r="A38" s="1553"/>
      <c r="B38" s="361" t="s">
        <v>1156</v>
      </c>
      <c r="C38" s="1401" t="s">
        <v>421</v>
      </c>
      <c r="D38" s="363" t="str">
        <f>IF($C38="","",VLOOKUP($C38,ATELIER!$A$2:$E$109,3,0))</f>
        <v>pc</v>
      </c>
      <c r="E38" s="364">
        <f>1</f>
        <v>1</v>
      </c>
      <c r="F38" s="372">
        <f>IF($C38="","",E38*VLOOKUP($C38,ATELIER!$A$2:$F$109,4,0))</f>
        <v>0.25</v>
      </c>
      <c r="G38" s="364">
        <f>1</f>
        <v>1</v>
      </c>
      <c r="H38" s="372">
        <f>IF($C38="","",G38*VLOOKUP($C38,ATELIER!$A$2:$F$109,4,0))</f>
        <v>0.25</v>
      </c>
      <c r="I38" s="364">
        <f>1</f>
        <v>1</v>
      </c>
      <c r="J38" s="372">
        <f>IF($C38="","",I38*VLOOKUP($C38,ATELIER!$A$2:$F$109,4,0))</f>
        <v>0.25</v>
      </c>
      <c r="K38" s="364">
        <f>1</f>
        <v>1</v>
      </c>
      <c r="L38" s="372">
        <f>IF($C38="","",K38*VLOOKUP($C38,ATELIER!$A$2:$F$109,4,0))</f>
        <v>0.25</v>
      </c>
      <c r="M38" s="364">
        <f>1</f>
        <v>1</v>
      </c>
      <c r="N38" s="372">
        <f>IF($C38="","",M38*VLOOKUP($C38,ATELIER!$A$2:$F$109,4,0))</f>
        <v>0.25</v>
      </c>
      <c r="O38" s="364">
        <f>1</f>
        <v>1</v>
      </c>
      <c r="P38" s="372">
        <f>IF($C38="","",O38*VLOOKUP($C38,ATELIER!$A$2:$F$109,4,0))</f>
        <v>0.25</v>
      </c>
      <c r="Q38" s="364">
        <f>1</f>
        <v>1</v>
      </c>
      <c r="R38" s="372">
        <f>IF($C38="","",Q38*VLOOKUP($C38,ATELIER!$A$2:$F$109,4,0))</f>
        <v>0.25</v>
      </c>
      <c r="S38" s="364">
        <f>1</f>
        <v>1</v>
      </c>
      <c r="T38" s="372">
        <f>IF($C38="","",S38*VLOOKUP($C38,ATELIER!$A$2:$F$109,4,0))</f>
        <v>0.25</v>
      </c>
      <c r="U38" s="364">
        <f>1</f>
        <v>1</v>
      </c>
      <c r="V38" s="372">
        <f>IF($C38="","",U38*VLOOKUP($C38,ATELIER!$A$2:$F$109,4,0))</f>
        <v>0.25</v>
      </c>
      <c r="W38" s="364">
        <f>1</f>
        <v>1</v>
      </c>
      <c r="X38" s="372">
        <f>IF($C38="","",W38*VLOOKUP($C38,ATELIER!$A$2:$F$109,4,0))</f>
        <v>0.25</v>
      </c>
      <c r="Y38" s="364">
        <f>1</f>
        <v>1</v>
      </c>
      <c r="Z38" s="372">
        <f>IF($C38="","",Y38*VLOOKUP($C38,ATELIER!$A$2:$F$109,4,0))</f>
        <v>0.25</v>
      </c>
      <c r="AA38" s="364">
        <f>1</f>
        <v>1</v>
      </c>
      <c r="AB38" s="372">
        <f>IF($C38="","",AA38*VLOOKUP($C38,ATELIER!$A$2:$F$109,4,0))</f>
        <v>0.25</v>
      </c>
      <c r="AC38" s="364">
        <f>1</f>
        <v>1</v>
      </c>
      <c r="AD38" s="372">
        <f>IF($C38="","",AC38*VLOOKUP($C38,ATELIER!$A$2:$F$109,4,0))</f>
        <v>0.25</v>
      </c>
      <c r="AE38" s="364">
        <f>1</f>
        <v>1</v>
      </c>
      <c r="AF38" s="372">
        <f>IF($C38="","",AE38*VLOOKUP($C38,ATELIER!$A$2:$F$109,4,0))</f>
        <v>0.25</v>
      </c>
      <c r="AG38" s="364">
        <f>1</f>
        <v>1</v>
      </c>
      <c r="AH38" s="372">
        <f>IF($C38="","",AG38*VLOOKUP($C38,ATELIER!$A$2:$F$109,4,0))</f>
        <v>0.25</v>
      </c>
      <c r="AI38" s="364">
        <f>1</f>
        <v>1</v>
      </c>
      <c r="AJ38" s="372">
        <f>IF($C38="","",AI38*VLOOKUP($C38,ATELIER!$A$2:$F$109,4,0))</f>
        <v>0.25</v>
      </c>
      <c r="AK38" s="364">
        <f>1</f>
        <v>1</v>
      </c>
      <c r="AL38" s="372">
        <f>IF($C38="","",AK38*VLOOKUP($C38,ATELIER!$A$2:$F$109,4,0))</f>
        <v>0.25</v>
      </c>
      <c r="AM38" s="364">
        <f>1</f>
        <v>1</v>
      </c>
      <c r="AN38" s="372">
        <f>IF($C38="","",AM38*VLOOKUP($C38,ATELIER!$A$2:$F$109,4,0))</f>
        <v>0.25</v>
      </c>
    </row>
    <row r="39" spans="1:42" ht="15" customHeight="1" x14ac:dyDescent="0.2">
      <c r="A39" s="1552"/>
      <c r="B39" s="361" t="s">
        <v>1156</v>
      </c>
      <c r="C39" s="1401" t="s">
        <v>440</v>
      </c>
      <c r="D39" s="363" t="str">
        <f>IF($C39="","",VLOOKUP($C39,ATELIER!$A$2:$E$109,3,0))</f>
        <v>pc</v>
      </c>
      <c r="E39" s="364">
        <f>1</f>
        <v>1</v>
      </c>
      <c r="F39" s="372">
        <f>IF($C39="","",E39*VLOOKUP($C39,ATELIER!$A$2:$F$109,4,0))</f>
        <v>0.15</v>
      </c>
      <c r="G39" s="364">
        <f>1</f>
        <v>1</v>
      </c>
      <c r="H39" s="372">
        <f>IF($C39="","",G39*VLOOKUP($C39,ATELIER!$A$2:$F$109,4,0))</f>
        <v>0.15</v>
      </c>
      <c r="I39" s="364">
        <f>1</f>
        <v>1</v>
      </c>
      <c r="J39" s="372">
        <f>IF($C39="","",I39*VLOOKUP($C39,ATELIER!$A$2:$F$109,4,0))</f>
        <v>0.15</v>
      </c>
      <c r="K39" s="364">
        <f>1</f>
        <v>1</v>
      </c>
      <c r="L39" s="372">
        <f>IF($C39="","",K39*VLOOKUP($C39,ATELIER!$A$2:$F$109,4,0))</f>
        <v>0.15</v>
      </c>
      <c r="M39" s="364">
        <f>1</f>
        <v>1</v>
      </c>
      <c r="N39" s="372">
        <f>IF($C39="","",M39*VLOOKUP($C39,ATELIER!$A$2:$F$109,4,0))</f>
        <v>0.15</v>
      </c>
      <c r="O39" s="364">
        <f>1</f>
        <v>1</v>
      </c>
      <c r="P39" s="372">
        <f>IF($C39="","",O39*VLOOKUP($C39,ATELIER!$A$2:$F$109,4,0))</f>
        <v>0.15</v>
      </c>
      <c r="Q39" s="364">
        <f>1</f>
        <v>1</v>
      </c>
      <c r="R39" s="372">
        <f>IF($C39="","",Q39*VLOOKUP($C39,ATELIER!$A$2:$F$109,4,0))</f>
        <v>0.15</v>
      </c>
      <c r="S39" s="364">
        <f>1</f>
        <v>1</v>
      </c>
      <c r="T39" s="372">
        <f>IF($C39="","",S39*VLOOKUP($C39,ATELIER!$A$2:$F$109,4,0))</f>
        <v>0.15</v>
      </c>
      <c r="U39" s="364">
        <f>1</f>
        <v>1</v>
      </c>
      <c r="V39" s="372">
        <f>IF($C39="","",U39*VLOOKUP($C39,ATELIER!$A$2:$F$109,4,0))</f>
        <v>0.15</v>
      </c>
      <c r="W39" s="364">
        <f>1</f>
        <v>1</v>
      </c>
      <c r="X39" s="372">
        <f>IF($C39="","",W39*VLOOKUP($C39,ATELIER!$A$2:$F$109,4,0))</f>
        <v>0.15</v>
      </c>
      <c r="Y39" s="364">
        <f>1</f>
        <v>1</v>
      </c>
      <c r="Z39" s="372">
        <f>IF($C39="","",Y39*VLOOKUP($C39,ATELIER!$A$2:$F$109,4,0))</f>
        <v>0.15</v>
      </c>
      <c r="AA39" s="364">
        <f>1</f>
        <v>1</v>
      </c>
      <c r="AB39" s="372">
        <f>IF($C39="","",AA39*VLOOKUP($C39,ATELIER!$A$2:$F$109,4,0))</f>
        <v>0.15</v>
      </c>
      <c r="AC39" s="364">
        <f>1</f>
        <v>1</v>
      </c>
      <c r="AD39" s="372">
        <f>IF($C39="","",AC39*VLOOKUP($C39,ATELIER!$A$2:$F$109,4,0))</f>
        <v>0.15</v>
      </c>
      <c r="AE39" s="364">
        <f>1</f>
        <v>1</v>
      </c>
      <c r="AF39" s="372">
        <f>IF($C39="","",AE39*VLOOKUP($C39,ATELIER!$A$2:$F$109,4,0))</f>
        <v>0.15</v>
      </c>
      <c r="AG39" s="364">
        <f>1</f>
        <v>1</v>
      </c>
      <c r="AH39" s="372">
        <f>IF($C39="","",AG39*VLOOKUP($C39,ATELIER!$A$2:$F$109,4,0))</f>
        <v>0.15</v>
      </c>
      <c r="AI39" s="364">
        <f>1</f>
        <v>1</v>
      </c>
      <c r="AJ39" s="372">
        <f>IF($C39="","",AI39*VLOOKUP($C39,ATELIER!$A$2:$F$109,4,0))</f>
        <v>0.15</v>
      </c>
      <c r="AK39" s="364">
        <f>1</f>
        <v>1</v>
      </c>
      <c r="AL39" s="372">
        <f>IF($C39="","",AK39*VLOOKUP($C39,ATELIER!$A$2:$F$109,4,0))</f>
        <v>0.15</v>
      </c>
      <c r="AM39" s="364">
        <f>1</f>
        <v>1</v>
      </c>
      <c r="AN39" s="372">
        <f>IF($C39="","",AM39*VLOOKUP($C39,ATELIER!$A$2:$F$109,4,0))</f>
        <v>0.15</v>
      </c>
    </row>
    <row r="40" spans="1:42" ht="15" customHeight="1" x14ac:dyDescent="0.2">
      <c r="A40" s="1553"/>
      <c r="B40" s="361" t="s">
        <v>1156</v>
      </c>
      <c r="C40" s="1401" t="s">
        <v>422</v>
      </c>
      <c r="D40" s="363" t="str">
        <f>IF($C40="","",VLOOKUP($C40,ATELIER!$A$2:$E$109,3,0))</f>
        <v>forfait</v>
      </c>
      <c r="E40" s="364">
        <f>1</f>
        <v>1</v>
      </c>
      <c r="F40" s="372">
        <f>IF($C40="","",E40*VLOOKUP($C40,ATELIER!$A$2:$F$109,4,0))</f>
        <v>0.12</v>
      </c>
      <c r="G40" s="364">
        <f>1</f>
        <v>1</v>
      </c>
      <c r="H40" s="372">
        <f>IF($C40="","",G40*VLOOKUP($C40,ATELIER!$A$2:$F$109,4,0))</f>
        <v>0.12</v>
      </c>
      <c r="I40" s="364">
        <f>1</f>
        <v>1</v>
      </c>
      <c r="J40" s="372">
        <f>IF($C40="","",I40*VLOOKUP($C40,ATELIER!$A$2:$F$109,4,0))</f>
        <v>0.12</v>
      </c>
      <c r="K40" s="364">
        <f>1</f>
        <v>1</v>
      </c>
      <c r="L40" s="372">
        <f>IF($C40="","",K40*VLOOKUP($C40,ATELIER!$A$2:$F$109,4,0))</f>
        <v>0.12</v>
      </c>
      <c r="M40" s="364">
        <f>1</f>
        <v>1</v>
      </c>
      <c r="N40" s="372">
        <f>IF($C40="","",M40*VLOOKUP($C40,ATELIER!$A$2:$F$109,4,0))</f>
        <v>0.12</v>
      </c>
      <c r="O40" s="364">
        <f>1</f>
        <v>1</v>
      </c>
      <c r="P40" s="372">
        <f>IF($C40="","",O40*VLOOKUP($C40,ATELIER!$A$2:$F$109,4,0))</f>
        <v>0.12</v>
      </c>
      <c r="Q40" s="364">
        <f>1</f>
        <v>1</v>
      </c>
      <c r="R40" s="372">
        <f>IF($C40="","",Q40*VLOOKUP($C40,ATELIER!$A$2:$F$109,4,0))</f>
        <v>0.12</v>
      </c>
      <c r="S40" s="364">
        <f>1</f>
        <v>1</v>
      </c>
      <c r="T40" s="372">
        <f>IF($C40="","",S40*VLOOKUP($C40,ATELIER!$A$2:$F$109,4,0))</f>
        <v>0.12</v>
      </c>
      <c r="U40" s="364">
        <f>1</f>
        <v>1</v>
      </c>
      <c r="V40" s="372">
        <f>IF($C40="","",U40*VLOOKUP($C40,ATELIER!$A$2:$F$109,4,0))</f>
        <v>0.12</v>
      </c>
      <c r="W40" s="364">
        <f>1</f>
        <v>1</v>
      </c>
      <c r="X40" s="372">
        <f>IF($C40="","",W40*VLOOKUP($C40,ATELIER!$A$2:$F$109,4,0))</f>
        <v>0.12</v>
      </c>
      <c r="Y40" s="364">
        <f>1</f>
        <v>1</v>
      </c>
      <c r="Z40" s="372">
        <f>IF($C40="","",Y40*VLOOKUP($C40,ATELIER!$A$2:$F$109,4,0))</f>
        <v>0.12</v>
      </c>
      <c r="AA40" s="364">
        <f>1</f>
        <v>1</v>
      </c>
      <c r="AB40" s="372">
        <f>IF($C40="","",AA40*VLOOKUP($C40,ATELIER!$A$2:$F$109,4,0))</f>
        <v>0.12</v>
      </c>
      <c r="AC40" s="364">
        <f>1</f>
        <v>1</v>
      </c>
      <c r="AD40" s="372">
        <f>IF($C40="","",AC40*VLOOKUP($C40,ATELIER!$A$2:$F$109,4,0))</f>
        <v>0.12</v>
      </c>
      <c r="AE40" s="364">
        <f>1</f>
        <v>1</v>
      </c>
      <c r="AF40" s="372">
        <f>IF($C40="","",AE40*VLOOKUP($C40,ATELIER!$A$2:$F$109,4,0))</f>
        <v>0.12</v>
      </c>
      <c r="AG40" s="364">
        <f>1</f>
        <v>1</v>
      </c>
      <c r="AH40" s="372">
        <f>IF($C40="","",AG40*VLOOKUP($C40,ATELIER!$A$2:$F$109,4,0))</f>
        <v>0.12</v>
      </c>
      <c r="AI40" s="364">
        <f>1</f>
        <v>1</v>
      </c>
      <c r="AJ40" s="372">
        <f>IF($C40="","",AI40*VLOOKUP($C40,ATELIER!$A$2:$F$109,4,0))</f>
        <v>0.12</v>
      </c>
      <c r="AK40" s="364">
        <f>1</f>
        <v>1</v>
      </c>
      <c r="AL40" s="372">
        <f>IF($C40="","",AK40*VLOOKUP($C40,ATELIER!$A$2:$F$109,4,0))</f>
        <v>0.12</v>
      </c>
      <c r="AM40" s="364">
        <f>1</f>
        <v>1</v>
      </c>
      <c r="AN40" s="372">
        <f>IF($C40="","",AM40*VLOOKUP($C40,ATELIER!$A$2:$F$109,4,0))</f>
        <v>0.12</v>
      </c>
    </row>
    <row r="41" spans="1:42" ht="15" customHeight="1" x14ac:dyDescent="0.2">
      <c r="A41" s="1553"/>
      <c r="B41" s="361" t="s">
        <v>1156</v>
      </c>
      <c r="C41" s="1401" t="s">
        <v>1230</v>
      </c>
      <c r="D41" s="363" t="str">
        <f>IF($C41="","",VLOOKUP($C41,ATELIER!$A$2:$E$109,3,0))</f>
        <v>pc</v>
      </c>
      <c r="E41" s="364">
        <f>1</f>
        <v>1</v>
      </c>
      <c r="F41" s="372">
        <f>IF($C41="","",E41*VLOOKUP($C41,ATELIER!$A$2:$F$109,4,0))</f>
        <v>0.15</v>
      </c>
      <c r="G41" s="364">
        <f>1</f>
        <v>1</v>
      </c>
      <c r="H41" s="372">
        <f>IF($C41="","",G41*VLOOKUP($C41,ATELIER!$A$2:$F$109,4,0))</f>
        <v>0.15</v>
      </c>
      <c r="I41" s="364">
        <f>1</f>
        <v>1</v>
      </c>
      <c r="J41" s="372">
        <f>IF($C41="","",I41*VLOOKUP($C41,ATELIER!$A$2:$F$109,4,0))</f>
        <v>0.15</v>
      </c>
      <c r="K41" s="364">
        <f>1</f>
        <v>1</v>
      </c>
      <c r="L41" s="372">
        <f>IF($C41="","",K41*VLOOKUP($C41,ATELIER!$A$2:$F$109,4,0))</f>
        <v>0.15</v>
      </c>
      <c r="M41" s="364">
        <f>1</f>
        <v>1</v>
      </c>
      <c r="N41" s="372">
        <f>IF($C41="","",M41*VLOOKUP($C41,ATELIER!$A$2:$F$109,4,0))</f>
        <v>0.15</v>
      </c>
      <c r="O41" s="364">
        <f>1</f>
        <v>1</v>
      </c>
      <c r="P41" s="372">
        <f>IF($C41="","",O41*VLOOKUP($C41,ATELIER!$A$2:$F$109,4,0))</f>
        <v>0.15</v>
      </c>
      <c r="Q41" s="364">
        <f>1</f>
        <v>1</v>
      </c>
      <c r="R41" s="372">
        <f>IF($C41="","",Q41*VLOOKUP($C41,ATELIER!$A$2:$F$109,4,0))</f>
        <v>0.15</v>
      </c>
      <c r="S41" s="364">
        <f>1</f>
        <v>1</v>
      </c>
      <c r="T41" s="372">
        <f>IF($C41="","",S41*VLOOKUP($C41,ATELIER!$A$2:$F$109,4,0))</f>
        <v>0.15</v>
      </c>
      <c r="U41" s="364">
        <f>1</f>
        <v>1</v>
      </c>
      <c r="V41" s="372">
        <f>IF($C41="","",U41*VLOOKUP($C41,ATELIER!$A$2:$F$109,4,0))</f>
        <v>0.15</v>
      </c>
      <c r="W41" s="364">
        <f>1</f>
        <v>1</v>
      </c>
      <c r="X41" s="372">
        <f>IF($C41="","",W41*VLOOKUP($C41,ATELIER!$A$2:$F$109,4,0))</f>
        <v>0.15</v>
      </c>
      <c r="Y41" s="364">
        <f>1</f>
        <v>1</v>
      </c>
      <c r="Z41" s="372">
        <f>IF($C41="","",Y41*VLOOKUP($C41,ATELIER!$A$2:$F$109,4,0))</f>
        <v>0.15</v>
      </c>
      <c r="AA41" s="364">
        <f>1</f>
        <v>1</v>
      </c>
      <c r="AB41" s="372">
        <f>IF($C41="","",AA41*VLOOKUP($C41,ATELIER!$A$2:$F$109,4,0))</f>
        <v>0.15</v>
      </c>
      <c r="AC41" s="364">
        <f>1</f>
        <v>1</v>
      </c>
      <c r="AD41" s="372">
        <f>IF($C41="","",AC41*VLOOKUP($C41,ATELIER!$A$2:$F$109,4,0))</f>
        <v>0.15</v>
      </c>
      <c r="AE41" s="364">
        <f>1</f>
        <v>1</v>
      </c>
      <c r="AF41" s="372">
        <f>IF($C41="","",AE41*VLOOKUP($C41,ATELIER!$A$2:$F$109,4,0))</f>
        <v>0.15</v>
      </c>
      <c r="AG41" s="364">
        <f>1</f>
        <v>1</v>
      </c>
      <c r="AH41" s="372">
        <f>IF($C41="","",AG41*VLOOKUP($C41,ATELIER!$A$2:$F$109,4,0))</f>
        <v>0.15</v>
      </c>
      <c r="AI41" s="364">
        <f>1</f>
        <v>1</v>
      </c>
      <c r="AJ41" s="372">
        <f>IF($C41="","",AI41*VLOOKUP($C41,ATELIER!$A$2:$F$109,4,0))</f>
        <v>0.15</v>
      </c>
      <c r="AK41" s="364">
        <f>1</f>
        <v>1</v>
      </c>
      <c r="AL41" s="372">
        <f>IF($C41="","",AK41*VLOOKUP($C41,ATELIER!$A$2:$F$109,4,0))</f>
        <v>0.15</v>
      </c>
      <c r="AM41" s="364">
        <f>1</f>
        <v>1</v>
      </c>
      <c r="AN41" s="372">
        <f>IF($C41="","",AM41*VLOOKUP($C41,ATELIER!$A$2:$F$109,4,0))</f>
        <v>0.15</v>
      </c>
    </row>
    <row r="42" spans="1:42" ht="35.25" customHeight="1" x14ac:dyDescent="0.2">
      <c r="A42" s="1553"/>
      <c r="B42" s="375" t="s">
        <v>449</v>
      </c>
      <c r="C42" s="376" t="s">
        <v>450</v>
      </c>
      <c r="D42" s="377" t="s">
        <v>451</v>
      </c>
      <c r="E42" s="376">
        <f>F42*Simulation!$P$8</f>
        <v>30.150000000000002</v>
      </c>
      <c r="F42" s="377">
        <f>SUM(F37:F41)</f>
        <v>0.67</v>
      </c>
      <c r="G42" s="376">
        <f>H42*Simulation!$P$8</f>
        <v>30.150000000000002</v>
      </c>
      <c r="H42" s="377">
        <f>SUM(H37:H41)</f>
        <v>0.67</v>
      </c>
      <c r="I42" s="376">
        <f>J42*Simulation!$P$8</f>
        <v>30.150000000000002</v>
      </c>
      <c r="J42" s="377">
        <f>SUM(J37:J41)</f>
        <v>0.67</v>
      </c>
      <c r="K42" s="376">
        <f>L42*Simulation!$P$8</f>
        <v>30.150000000000002</v>
      </c>
      <c r="L42" s="377">
        <f>SUM(L37:L41)</f>
        <v>0.67</v>
      </c>
      <c r="M42" s="376">
        <f>N42*Simulation!$P$8</f>
        <v>30.150000000000002</v>
      </c>
      <c r="N42" s="377">
        <f>SUM(N37:N41)</f>
        <v>0.67</v>
      </c>
      <c r="O42" s="376">
        <f>P42*Simulation!$P$8</f>
        <v>30.150000000000002</v>
      </c>
      <c r="P42" s="377">
        <f>SUM(P37:P41)</f>
        <v>0.67</v>
      </c>
      <c r="Q42" s="376">
        <f>R42*Simulation!$P$8</f>
        <v>30.150000000000002</v>
      </c>
      <c r="R42" s="377">
        <f>SUM(R37:R41)</f>
        <v>0.67</v>
      </c>
      <c r="S42" s="376">
        <f>T42*Simulation!$P$8</f>
        <v>30.150000000000002</v>
      </c>
      <c r="T42" s="377">
        <f>SUM(T37:T41)</f>
        <v>0.67</v>
      </c>
      <c r="U42" s="376">
        <f>V42*Simulation!$P$8</f>
        <v>30.150000000000002</v>
      </c>
      <c r="V42" s="377">
        <f>SUM(V37:V41)</f>
        <v>0.67</v>
      </c>
      <c r="W42" s="376">
        <f>X42*Simulation!$P$8</f>
        <v>30.150000000000002</v>
      </c>
      <c r="X42" s="377">
        <f>SUM(X37:X41)</f>
        <v>0.67</v>
      </c>
      <c r="Y42" s="376">
        <f>Z42*Simulation!$P$8</f>
        <v>30.150000000000002</v>
      </c>
      <c r="Z42" s="377">
        <f>SUM(Z37:Z41)</f>
        <v>0.67</v>
      </c>
      <c r="AA42" s="376">
        <f>AB42*Simulation!$P$8</f>
        <v>30.150000000000002</v>
      </c>
      <c r="AB42" s="377">
        <f>SUM(AB37:AB41)</f>
        <v>0.67</v>
      </c>
      <c r="AC42" s="376">
        <f>AD42*Simulation!$P$8</f>
        <v>30.150000000000002</v>
      </c>
      <c r="AD42" s="377">
        <f>SUM(AD37:AD41)</f>
        <v>0.67</v>
      </c>
      <c r="AE42" s="376">
        <f>AF42*Simulation!$P$8</f>
        <v>30.150000000000002</v>
      </c>
      <c r="AF42" s="377">
        <f>SUM(AF37:AF41)</f>
        <v>0.67</v>
      </c>
      <c r="AG42" s="376">
        <f>AH42*Simulation!$P$8</f>
        <v>30.150000000000002</v>
      </c>
      <c r="AH42" s="377">
        <f>SUM(AH37:AH41)</f>
        <v>0.67</v>
      </c>
      <c r="AI42" s="376">
        <f>AJ42*Simulation!$P$8</f>
        <v>30.150000000000002</v>
      </c>
      <c r="AJ42" s="377">
        <f>SUM(AJ37:AJ41)</f>
        <v>0.67</v>
      </c>
      <c r="AK42" s="376">
        <f>AL42*Simulation!$P$8</f>
        <v>30.150000000000002</v>
      </c>
      <c r="AL42" s="377">
        <f>SUM(AL37:AL41)</f>
        <v>0.67</v>
      </c>
      <c r="AM42" s="376">
        <f>AN42*Simulation!$P$8</f>
        <v>30.150000000000002</v>
      </c>
      <c r="AN42" s="377">
        <f>SUM(AN37:AN41)</f>
        <v>0.67</v>
      </c>
      <c r="AO42" s="224"/>
      <c r="AP42" s="224"/>
    </row>
    <row r="43" spans="1:42" ht="15" customHeight="1" x14ac:dyDescent="0.2">
      <c r="A43" s="1554" t="s">
        <v>452</v>
      </c>
      <c r="B43" s="361" t="s">
        <v>1159</v>
      </c>
      <c r="C43" s="1402" t="s">
        <v>1221</v>
      </c>
      <c r="D43" s="363" t="str">
        <f>IF(C43="","",VLOOKUP($C43,CHANTIER!$A$2:$C$83,3,0))</f>
        <v>pc</v>
      </c>
      <c r="E43" s="364">
        <f>1</f>
        <v>1</v>
      </c>
      <c r="F43" s="372">
        <f>IF($C43="","",E43*VLOOKUP($C43,CHANTIER!$A$2:$D$83,4,0))</f>
        <v>0.15</v>
      </c>
      <c r="G43" s="364">
        <f>1</f>
        <v>1</v>
      </c>
      <c r="H43" s="372">
        <f>IF($C43="","",G43*VLOOKUP($C43,CHANTIER!$A$2:$D$83,4,0))</f>
        <v>0.15</v>
      </c>
      <c r="I43" s="364">
        <f>1</f>
        <v>1</v>
      </c>
      <c r="J43" s="372">
        <f>IF($C43="","",I43*VLOOKUP($C43,CHANTIER!$A$2:$D$83,4,0))</f>
        <v>0.15</v>
      </c>
      <c r="K43" s="364">
        <f>1</f>
        <v>1</v>
      </c>
      <c r="L43" s="372">
        <f>IF($C43="","",K43*VLOOKUP($C43,CHANTIER!$A$2:$D$83,4,0))</f>
        <v>0.15</v>
      </c>
      <c r="M43" s="364">
        <f>1</f>
        <v>1</v>
      </c>
      <c r="N43" s="372">
        <f>IF($C43="","",M43*VLOOKUP($C43,CHANTIER!$A$2:$D$83,4,0))</f>
        <v>0.15</v>
      </c>
      <c r="O43" s="364">
        <f>1</f>
        <v>1</v>
      </c>
      <c r="P43" s="372">
        <f>IF($C43="","",O43*VLOOKUP($C43,CHANTIER!$A$2:$D$83,4,0))</f>
        <v>0.15</v>
      </c>
      <c r="Q43" s="364">
        <f>1</f>
        <v>1</v>
      </c>
      <c r="R43" s="372">
        <f>IF($C43="","",Q43*VLOOKUP($C43,CHANTIER!$A$2:$D$83,4,0))</f>
        <v>0.15</v>
      </c>
      <c r="S43" s="364">
        <f>1</f>
        <v>1</v>
      </c>
      <c r="T43" s="372">
        <f>IF($C43="","",S43*VLOOKUP($C43,CHANTIER!$A$2:$D$83,4,0))</f>
        <v>0.15</v>
      </c>
      <c r="U43" s="364">
        <f>1</f>
        <v>1</v>
      </c>
      <c r="V43" s="372">
        <f>IF($C43="","",U43*VLOOKUP($C43,CHANTIER!$A$2:$D$83,4,0))</f>
        <v>0.15</v>
      </c>
      <c r="W43" s="364">
        <f>1</f>
        <v>1</v>
      </c>
      <c r="X43" s="372">
        <f>IF($C43="","",W43*VLOOKUP($C43,CHANTIER!$A$2:$D$83,4,0))</f>
        <v>0.15</v>
      </c>
      <c r="Y43" s="364">
        <f>1</f>
        <v>1</v>
      </c>
      <c r="Z43" s="372">
        <f>IF($C43="","",Y43*VLOOKUP($C43,CHANTIER!$A$2:$D$83,4,0))</f>
        <v>0.15</v>
      </c>
      <c r="AA43" s="364">
        <f>1</f>
        <v>1</v>
      </c>
      <c r="AB43" s="372">
        <f>IF($C43="","",AA43*VLOOKUP($C43,CHANTIER!$A$2:$D$83,4,0))</f>
        <v>0.15</v>
      </c>
      <c r="AC43" s="364">
        <f>1</f>
        <v>1</v>
      </c>
      <c r="AD43" s="372">
        <f>IF($C43="","",AC43*VLOOKUP($C43,CHANTIER!$A$2:$D$83,4,0))</f>
        <v>0.15</v>
      </c>
      <c r="AE43" s="364">
        <f>1</f>
        <v>1</v>
      </c>
      <c r="AF43" s="372">
        <f>IF($C43="","",AE43*VLOOKUP($C43,CHANTIER!$A$2:$D$83,4,0))</f>
        <v>0.15</v>
      </c>
      <c r="AG43" s="364">
        <f>1</f>
        <v>1</v>
      </c>
      <c r="AH43" s="372">
        <f>IF($C43="","",AG43*VLOOKUP($C43,CHANTIER!$A$2:$D$83,4,0))</f>
        <v>0.15</v>
      </c>
      <c r="AI43" s="364">
        <f>1</f>
        <v>1</v>
      </c>
      <c r="AJ43" s="372">
        <f>IF($C43="","",AI43*VLOOKUP($C43,CHANTIER!$A$2:$D$83,4,0))</f>
        <v>0.15</v>
      </c>
      <c r="AK43" s="364">
        <f>1</f>
        <v>1</v>
      </c>
      <c r="AL43" s="372">
        <f>IF($C43="","",AK43*VLOOKUP($C43,CHANTIER!$A$2:$D$83,4,0))</f>
        <v>0.15</v>
      </c>
      <c r="AM43" s="364">
        <f>1</f>
        <v>1</v>
      </c>
      <c r="AN43" s="372">
        <f>IF($C43="","",AM43*VLOOKUP($C43,CHANTIER!$A$2:$D$83,4,0))</f>
        <v>0.15</v>
      </c>
      <c r="AO43" s="224"/>
      <c r="AP43" s="224"/>
    </row>
    <row r="44" spans="1:42" ht="15" customHeight="1" x14ac:dyDescent="0.2">
      <c r="A44" s="1554"/>
      <c r="B44" s="361" t="s">
        <v>1159</v>
      </c>
      <c r="C44" s="1403" t="s">
        <v>983</v>
      </c>
      <c r="D44" s="363" t="s">
        <v>70</v>
      </c>
      <c r="E44" s="364">
        <f>'Outils de calculs'!E25*0.4</f>
        <v>1.6</v>
      </c>
      <c r="F44" s="372">
        <f>IF($C44="","",E44*VLOOKUP($C44,CHANTIER!$A$2:$D$83,4,0))</f>
        <v>0.4</v>
      </c>
      <c r="G44" s="364">
        <f>'Outils de calculs'!G25*0.4</f>
        <v>2.4000000000000004</v>
      </c>
      <c r="H44" s="372">
        <f>IF($C44="","",G44*VLOOKUP($C44,CHANTIER!$A$2:$D$83,4,0))</f>
        <v>0.60000000000000009</v>
      </c>
      <c r="I44" s="364">
        <f>'Outils de calculs'!I25*0.4</f>
        <v>3.2</v>
      </c>
      <c r="J44" s="372">
        <f>IF($C44="","",I44*VLOOKUP($C44,CHANTIER!$A$2:$D$83,4,0))</f>
        <v>0.8</v>
      </c>
      <c r="K44" s="364">
        <f>'Outils de calculs'!K25*0.4</f>
        <v>4</v>
      </c>
      <c r="L44" s="372">
        <f>IF($C44="","",K44*VLOOKUP($C44,CHANTIER!$A$2:$D$83,4,0))</f>
        <v>1</v>
      </c>
      <c r="M44" s="364">
        <f>'Outils de calculs'!M25*0.4</f>
        <v>4.8000000000000007</v>
      </c>
      <c r="N44" s="372">
        <f>IF($C44="","",M44*VLOOKUP($C44,CHANTIER!$A$2:$D$83,4,0))</f>
        <v>1.2000000000000002</v>
      </c>
      <c r="O44" s="364">
        <f>'Outils de calculs'!O25*0.4</f>
        <v>5.6000000000000005</v>
      </c>
      <c r="P44" s="372">
        <f>IF($C44="","",O44*VLOOKUP($C44,CHANTIER!$A$2:$D$83,4,0))</f>
        <v>1.4000000000000001</v>
      </c>
      <c r="Q44" s="364">
        <f>'Outils de calculs'!Q25*0.4</f>
        <v>6.4</v>
      </c>
      <c r="R44" s="372">
        <f>IF($C44="","",Q44*VLOOKUP($C44,CHANTIER!$A$2:$D$83,4,0))</f>
        <v>1.6</v>
      </c>
      <c r="S44" s="364">
        <f>'Outils de calculs'!S25*0.4</f>
        <v>7.2</v>
      </c>
      <c r="T44" s="372">
        <f>IF($C44="","",S44*VLOOKUP($C44,CHANTIER!$A$2:$D$83,4,0))</f>
        <v>1.8</v>
      </c>
      <c r="U44" s="364">
        <f>'Outils de calculs'!U25*0.4</f>
        <v>8</v>
      </c>
      <c r="V44" s="372">
        <f>IF($C44="","",U44*VLOOKUP($C44,CHANTIER!$A$2:$D$83,4,0))</f>
        <v>2</v>
      </c>
      <c r="W44" s="364">
        <f>'Outils de calculs'!W25*0.4</f>
        <v>9.6000000000000014</v>
      </c>
      <c r="X44" s="372">
        <f>IF($C44="","",W44*VLOOKUP($C44,CHANTIER!$A$2:$D$83,4,0))</f>
        <v>2.4000000000000004</v>
      </c>
      <c r="Y44" s="364">
        <f>'Outils de calculs'!Y25*0.4</f>
        <v>9.6000000000000014</v>
      </c>
      <c r="Z44" s="372">
        <f>IF($C44="","",Y44*VLOOKUP($C44,CHANTIER!$A$2:$D$83,4,0))</f>
        <v>2.4000000000000004</v>
      </c>
      <c r="AA44" s="364">
        <f>'Outils de calculs'!AA25*0.4</f>
        <v>11.200000000000001</v>
      </c>
      <c r="AB44" s="372">
        <f>IF($C44="","",AA44*VLOOKUP($C44,CHANTIER!$A$2:$D$83,4,0))</f>
        <v>2.8000000000000003</v>
      </c>
      <c r="AC44" s="364">
        <f>'Outils de calculs'!AC25*0.4</f>
        <v>11.200000000000001</v>
      </c>
      <c r="AD44" s="372">
        <f>IF($C44="","",AC44*VLOOKUP($C44,CHANTIER!$A$2:$D$83,4,0))</f>
        <v>2.8000000000000003</v>
      </c>
      <c r="AE44" s="364">
        <f>'Outils de calculs'!AE25*0.4</f>
        <v>12.8</v>
      </c>
      <c r="AF44" s="372">
        <f>IF($C44="","",AE44*VLOOKUP($C44,CHANTIER!$A$2:$D$83,4,0))</f>
        <v>3.2</v>
      </c>
      <c r="AG44" s="364">
        <f>'Outils de calculs'!AG25*0.4</f>
        <v>14.4</v>
      </c>
      <c r="AH44" s="372">
        <f>IF($C44="","",AG44*VLOOKUP($C44,CHANTIER!$A$2:$D$83,4,0))</f>
        <v>3.6</v>
      </c>
      <c r="AI44" s="364">
        <f>'Outils de calculs'!AI25*0.4</f>
        <v>14.4</v>
      </c>
      <c r="AJ44" s="372">
        <f>IF($C44="","",AI44*VLOOKUP($C44,CHANTIER!$A$2:$D$83,4,0))</f>
        <v>3.6</v>
      </c>
      <c r="AK44" s="364">
        <f>'Outils de calculs'!AK25*0.4</f>
        <v>16</v>
      </c>
      <c r="AL44" s="372">
        <f>IF($C44="","",AK44*VLOOKUP($C44,CHANTIER!$A$2:$D$83,4,0))</f>
        <v>4</v>
      </c>
      <c r="AM44" s="364">
        <f>'Outils de calculs'!AM25*0.4</f>
        <v>16</v>
      </c>
      <c r="AN44" s="372">
        <f>IF($C44="","",AM44*VLOOKUP($C44,CHANTIER!$A$2:$D$83,4,0))</f>
        <v>4</v>
      </c>
      <c r="AO44" s="224"/>
      <c r="AP44" s="224"/>
    </row>
    <row r="45" spans="1:42" ht="15" customHeight="1" x14ac:dyDescent="0.2">
      <c r="A45" s="1555"/>
      <c r="B45" s="361" t="s">
        <v>1159</v>
      </c>
      <c r="C45" s="1402" t="s">
        <v>1212</v>
      </c>
      <c r="D45" s="363" t="str">
        <f>IF(C45="","",VLOOKUP($C45,CHANTIER!$A$2:$C$83,3,0))</f>
        <v>forfait</v>
      </c>
      <c r="E45" s="364">
        <f>1</f>
        <v>1</v>
      </c>
      <c r="F45" s="372">
        <f>IF($C45="","",E45*VLOOKUP($C45,CHANTIER!$A$2:$D$83,4,0))</f>
        <v>0.1</v>
      </c>
      <c r="G45" s="364">
        <f>1</f>
        <v>1</v>
      </c>
      <c r="H45" s="372">
        <f>IF($C45="","",G45*VLOOKUP($C45,CHANTIER!$A$2:$D$83,4,0))</f>
        <v>0.1</v>
      </c>
      <c r="I45" s="364">
        <f>1</f>
        <v>1</v>
      </c>
      <c r="J45" s="372">
        <f>IF($C45="","",I45*VLOOKUP($C45,CHANTIER!$A$2:$D$83,4,0))</f>
        <v>0.1</v>
      </c>
      <c r="K45" s="364">
        <f>1</f>
        <v>1</v>
      </c>
      <c r="L45" s="372">
        <f>IF($C45="","",K45*VLOOKUP($C45,CHANTIER!$A$2:$D$83,4,0))</f>
        <v>0.1</v>
      </c>
      <c r="M45" s="364">
        <f>1</f>
        <v>1</v>
      </c>
      <c r="N45" s="372">
        <f>IF($C45="","",M45*VLOOKUP($C45,CHANTIER!$A$2:$D$83,4,0))</f>
        <v>0.1</v>
      </c>
      <c r="O45" s="364">
        <f>1</f>
        <v>1</v>
      </c>
      <c r="P45" s="372">
        <f>IF($C45="","",O45*VLOOKUP($C45,CHANTIER!$A$2:$D$83,4,0))</f>
        <v>0.1</v>
      </c>
      <c r="Q45" s="364">
        <f>1</f>
        <v>1</v>
      </c>
      <c r="R45" s="372">
        <f>IF($C45="","",Q45*VLOOKUP($C45,CHANTIER!$A$2:$D$83,4,0))</f>
        <v>0.1</v>
      </c>
      <c r="S45" s="364">
        <f>1</f>
        <v>1</v>
      </c>
      <c r="T45" s="372">
        <f>IF($C45="","",S45*VLOOKUP($C45,CHANTIER!$A$2:$D$83,4,0))</f>
        <v>0.1</v>
      </c>
      <c r="U45" s="364">
        <f>1</f>
        <v>1</v>
      </c>
      <c r="V45" s="372">
        <f>IF($C45="","",U45*VLOOKUP($C45,CHANTIER!$A$2:$D$83,4,0))</f>
        <v>0.1</v>
      </c>
      <c r="W45" s="364">
        <f>1</f>
        <v>1</v>
      </c>
      <c r="X45" s="372">
        <f>IF($C45="","",W45*VLOOKUP($C45,CHANTIER!$A$2:$D$83,4,0))</f>
        <v>0.1</v>
      </c>
      <c r="Y45" s="364">
        <f>1</f>
        <v>1</v>
      </c>
      <c r="Z45" s="372">
        <f>IF($C45="","",Y45*VLOOKUP($C45,CHANTIER!$A$2:$D$83,4,0))</f>
        <v>0.1</v>
      </c>
      <c r="AA45" s="364">
        <f>1</f>
        <v>1</v>
      </c>
      <c r="AB45" s="372">
        <f>IF($C45="","",AA45*VLOOKUP($C45,CHANTIER!$A$2:$D$83,4,0))</f>
        <v>0.1</v>
      </c>
      <c r="AC45" s="364">
        <f>1</f>
        <v>1</v>
      </c>
      <c r="AD45" s="372">
        <f>IF($C45="","",AC45*VLOOKUP($C45,CHANTIER!$A$2:$D$83,4,0))</f>
        <v>0.1</v>
      </c>
      <c r="AE45" s="364">
        <f>1</f>
        <v>1</v>
      </c>
      <c r="AF45" s="372">
        <f>IF($C45="","",AE45*VLOOKUP($C45,CHANTIER!$A$2:$D$83,4,0))</f>
        <v>0.1</v>
      </c>
      <c r="AG45" s="364">
        <f>1</f>
        <v>1</v>
      </c>
      <c r="AH45" s="372">
        <f>IF($C45="","",AG45*VLOOKUP($C45,CHANTIER!$A$2:$D$83,4,0))</f>
        <v>0.1</v>
      </c>
      <c r="AI45" s="364">
        <f>1</f>
        <v>1</v>
      </c>
      <c r="AJ45" s="372">
        <f>IF($C45="","",AI45*VLOOKUP($C45,CHANTIER!$A$2:$D$83,4,0))</f>
        <v>0.1</v>
      </c>
      <c r="AK45" s="364">
        <f>1</f>
        <v>1</v>
      </c>
      <c r="AL45" s="372">
        <f>IF($C45="","",AK45*VLOOKUP($C45,CHANTIER!$A$2:$D$83,4,0))</f>
        <v>0.1</v>
      </c>
      <c r="AM45" s="364">
        <f>1</f>
        <v>1</v>
      </c>
      <c r="AN45" s="372">
        <f>IF($C45="","",AM45*VLOOKUP($C45,CHANTIER!$A$2:$D$83,4,0))</f>
        <v>0.1</v>
      </c>
      <c r="AO45" s="224"/>
      <c r="AP45" s="224"/>
    </row>
    <row r="46" spans="1:42" ht="15" customHeight="1" x14ac:dyDescent="0.2">
      <c r="A46" s="1554"/>
      <c r="B46" s="361" t="s">
        <v>1159</v>
      </c>
      <c r="C46" s="1403" t="s">
        <v>370</v>
      </c>
      <c r="D46" s="363" t="str">
        <f>IF(C46="","",VLOOKUP($C46,CHANTIER!$A$2:$C$83,3,0))</f>
        <v>m²</v>
      </c>
      <c r="E46" s="364">
        <f>'Outils de calculs'!E25</f>
        <v>4</v>
      </c>
      <c r="F46" s="372">
        <f>IF($C46="","",E46*VLOOKUP($C46,CHANTIER!$A$2:$D$83,4,0))</f>
        <v>0.2</v>
      </c>
      <c r="G46" s="364">
        <f>'Outils de calculs'!G25</f>
        <v>6</v>
      </c>
      <c r="H46" s="372">
        <f>IF($C46="","",G46*VLOOKUP($C46,CHANTIER!$A$2:$D$83,4,0))</f>
        <v>0.30000000000000004</v>
      </c>
      <c r="I46" s="364">
        <f>'Outils de calculs'!I25</f>
        <v>8</v>
      </c>
      <c r="J46" s="372">
        <f>IF($C46="","",I46*VLOOKUP($C46,CHANTIER!$A$2:$D$83,4,0))</f>
        <v>0.4</v>
      </c>
      <c r="K46" s="364">
        <f>'Outils de calculs'!K25</f>
        <v>10</v>
      </c>
      <c r="L46" s="372">
        <f>IF($C46="","",K46*VLOOKUP($C46,CHANTIER!$A$2:$D$83,4,0))</f>
        <v>0.5</v>
      </c>
      <c r="M46" s="364">
        <f>'Outils de calculs'!M25</f>
        <v>12</v>
      </c>
      <c r="N46" s="372">
        <f>IF($C46="","",M46*VLOOKUP($C46,CHANTIER!$A$2:$D$83,4,0))</f>
        <v>0.60000000000000009</v>
      </c>
      <c r="O46" s="364">
        <f>'Outils de calculs'!O25</f>
        <v>14</v>
      </c>
      <c r="P46" s="372">
        <f>IF($C46="","",O46*VLOOKUP($C46,CHANTIER!$A$2:$D$83,4,0))</f>
        <v>0.70000000000000007</v>
      </c>
      <c r="Q46" s="364">
        <f>'Outils de calculs'!Q25</f>
        <v>16</v>
      </c>
      <c r="R46" s="372">
        <f>IF($C46="","",Q46*VLOOKUP($C46,CHANTIER!$A$2:$D$83,4,0))</f>
        <v>0.8</v>
      </c>
      <c r="S46" s="364">
        <f>'Outils de calculs'!S25</f>
        <v>18</v>
      </c>
      <c r="T46" s="372">
        <f>IF($C46="","",S46*VLOOKUP($C46,CHANTIER!$A$2:$D$83,4,0))</f>
        <v>0.9</v>
      </c>
      <c r="U46" s="364">
        <f>'Outils de calculs'!U25</f>
        <v>20</v>
      </c>
      <c r="V46" s="372">
        <f>IF($C46="","",U46*VLOOKUP($C46,CHANTIER!$A$2:$D$83,4,0))</f>
        <v>1</v>
      </c>
      <c r="W46" s="364">
        <f>'Outils de calculs'!W25</f>
        <v>24</v>
      </c>
      <c r="X46" s="372">
        <f>IF($C46="","",W46*VLOOKUP($C46,CHANTIER!$A$2:$D$83,4,0))</f>
        <v>1.2000000000000002</v>
      </c>
      <c r="Y46" s="364">
        <f>'Outils de calculs'!Y25</f>
        <v>24</v>
      </c>
      <c r="Z46" s="372">
        <f>IF($C46="","",Y46*VLOOKUP($C46,CHANTIER!$A$2:$D$83,4,0))</f>
        <v>1.2000000000000002</v>
      </c>
      <c r="AA46" s="364">
        <f>'Outils de calculs'!AA25</f>
        <v>28</v>
      </c>
      <c r="AB46" s="372">
        <f>IF($C46="","",AA46*VLOOKUP($C46,CHANTIER!$A$2:$D$83,4,0))</f>
        <v>1.4000000000000001</v>
      </c>
      <c r="AC46" s="364">
        <f>'Outils de calculs'!AC25</f>
        <v>28</v>
      </c>
      <c r="AD46" s="372">
        <f>IF($C46="","",AC46*VLOOKUP($C46,CHANTIER!$A$2:$D$83,4,0))</f>
        <v>1.4000000000000001</v>
      </c>
      <c r="AE46" s="364">
        <f>'Outils de calculs'!AE25</f>
        <v>32</v>
      </c>
      <c r="AF46" s="372">
        <f>IF($C46="","",AE46*VLOOKUP($C46,CHANTIER!$A$2:$D$83,4,0))</f>
        <v>1.6</v>
      </c>
      <c r="AG46" s="364">
        <f>'Outils de calculs'!AG25</f>
        <v>36</v>
      </c>
      <c r="AH46" s="372">
        <f>IF($C46="","",AG46*VLOOKUP($C46,CHANTIER!$A$2:$D$83,4,0))</f>
        <v>1.8</v>
      </c>
      <c r="AI46" s="364">
        <f>'Outils de calculs'!AI25</f>
        <v>36</v>
      </c>
      <c r="AJ46" s="372">
        <f>IF($C46="","",AI46*VLOOKUP($C46,CHANTIER!$A$2:$D$83,4,0))</f>
        <v>1.8</v>
      </c>
      <c r="AK46" s="364">
        <f>'Outils de calculs'!AK25</f>
        <v>40</v>
      </c>
      <c r="AL46" s="372">
        <f>IF($C46="","",AK46*VLOOKUP($C46,CHANTIER!$A$2:$D$83,4,0))</f>
        <v>2</v>
      </c>
      <c r="AM46" s="364">
        <f>'Outils de calculs'!AM25</f>
        <v>40</v>
      </c>
      <c r="AN46" s="372">
        <f>IF($C46="","",AM46*VLOOKUP($C46,CHANTIER!$A$2:$D$83,4,0))</f>
        <v>2</v>
      </c>
      <c r="AO46" s="224"/>
      <c r="AP46" s="224"/>
    </row>
    <row r="47" spans="1:42" ht="15" customHeight="1" x14ac:dyDescent="0.2">
      <c r="A47" s="1554"/>
      <c r="B47" s="361" t="s">
        <v>1159</v>
      </c>
      <c r="C47" s="1403" t="s">
        <v>373</v>
      </c>
      <c r="D47" s="363" t="str">
        <f>IF(C47="","",VLOOKUP($C47,CHANTIER!$A$2:$C$83,3,0))</f>
        <v>m²</v>
      </c>
      <c r="E47" s="364">
        <f>'Outils de calculs'!E25</f>
        <v>4</v>
      </c>
      <c r="F47" s="372">
        <f>IF($C47="","",E47*VLOOKUP($C47,CHANTIER!$A$2:$D$83,4,0))</f>
        <v>0.2</v>
      </c>
      <c r="G47" s="364">
        <f>'Outils de calculs'!G25</f>
        <v>6</v>
      </c>
      <c r="H47" s="372">
        <f>IF($C47="","",G47*VLOOKUP($C47,CHANTIER!$A$2:$D$83,4,0))</f>
        <v>0.30000000000000004</v>
      </c>
      <c r="I47" s="364">
        <f>'Outils de calculs'!I25</f>
        <v>8</v>
      </c>
      <c r="J47" s="372">
        <f>IF($C47="","",I47*VLOOKUP($C47,CHANTIER!$A$2:$D$83,4,0))</f>
        <v>0.4</v>
      </c>
      <c r="K47" s="364">
        <f>'Outils de calculs'!K25</f>
        <v>10</v>
      </c>
      <c r="L47" s="372">
        <f>IF($C47="","",K47*VLOOKUP($C47,CHANTIER!$A$2:$D$83,4,0))</f>
        <v>0.5</v>
      </c>
      <c r="M47" s="364">
        <f>'Outils de calculs'!M25</f>
        <v>12</v>
      </c>
      <c r="N47" s="372">
        <f>IF($C47="","",M47*VLOOKUP($C47,CHANTIER!$A$2:$D$83,4,0))</f>
        <v>0.60000000000000009</v>
      </c>
      <c r="O47" s="364">
        <f>'Outils de calculs'!O25</f>
        <v>14</v>
      </c>
      <c r="P47" s="372">
        <f>IF($C47="","",O47*VLOOKUP($C47,CHANTIER!$A$2:$D$83,4,0))</f>
        <v>0.70000000000000007</v>
      </c>
      <c r="Q47" s="364">
        <f>'Outils de calculs'!Q25</f>
        <v>16</v>
      </c>
      <c r="R47" s="372">
        <f>IF($C47="","",Q47*VLOOKUP($C47,CHANTIER!$A$2:$D$83,4,0))</f>
        <v>0.8</v>
      </c>
      <c r="S47" s="364">
        <f>'Outils de calculs'!S25</f>
        <v>18</v>
      </c>
      <c r="T47" s="372">
        <f>IF($C47="","",S47*VLOOKUP($C47,CHANTIER!$A$2:$D$83,4,0))</f>
        <v>0.9</v>
      </c>
      <c r="U47" s="364">
        <f>'Outils de calculs'!U25</f>
        <v>20</v>
      </c>
      <c r="V47" s="372">
        <f>IF($C47="","",U47*VLOOKUP($C47,CHANTIER!$A$2:$D$83,4,0))</f>
        <v>1</v>
      </c>
      <c r="W47" s="364">
        <f>'Outils de calculs'!W25</f>
        <v>24</v>
      </c>
      <c r="X47" s="372">
        <f>IF($C47="","",W47*VLOOKUP($C47,CHANTIER!$A$2:$D$83,4,0))</f>
        <v>1.2000000000000002</v>
      </c>
      <c r="Y47" s="364">
        <f>'Outils de calculs'!Y25</f>
        <v>24</v>
      </c>
      <c r="Z47" s="372">
        <f>IF($C47="","",Y47*VLOOKUP($C47,CHANTIER!$A$2:$D$83,4,0))</f>
        <v>1.2000000000000002</v>
      </c>
      <c r="AA47" s="364">
        <f>'Outils de calculs'!AA25</f>
        <v>28</v>
      </c>
      <c r="AB47" s="372">
        <f>IF($C47="","",AA47*VLOOKUP($C47,CHANTIER!$A$2:$D$83,4,0))</f>
        <v>1.4000000000000001</v>
      </c>
      <c r="AC47" s="364">
        <f>'Outils de calculs'!AC25</f>
        <v>28</v>
      </c>
      <c r="AD47" s="372">
        <f>IF($C47="","",AC47*VLOOKUP($C47,CHANTIER!$A$2:$D$83,4,0))</f>
        <v>1.4000000000000001</v>
      </c>
      <c r="AE47" s="364">
        <f>'Outils de calculs'!AE25</f>
        <v>32</v>
      </c>
      <c r="AF47" s="372">
        <f>IF($C47="","",AE47*VLOOKUP($C47,CHANTIER!$A$2:$D$83,4,0))</f>
        <v>1.6</v>
      </c>
      <c r="AG47" s="364">
        <f>'Outils de calculs'!AG25</f>
        <v>36</v>
      </c>
      <c r="AH47" s="372">
        <f>IF($C47="","",AG47*VLOOKUP($C47,CHANTIER!$A$2:$D$83,4,0))</f>
        <v>1.8</v>
      </c>
      <c r="AI47" s="364">
        <f>'Outils de calculs'!AI25</f>
        <v>36</v>
      </c>
      <c r="AJ47" s="372">
        <f>IF($C47="","",AI47*VLOOKUP($C47,CHANTIER!$A$2:$D$83,4,0))</f>
        <v>1.8</v>
      </c>
      <c r="AK47" s="364">
        <f>'Outils de calculs'!AK25</f>
        <v>40</v>
      </c>
      <c r="AL47" s="372">
        <f>IF($C47="","",AK47*VLOOKUP($C47,CHANTIER!$A$2:$D$83,4,0))</f>
        <v>2</v>
      </c>
      <c r="AM47" s="364">
        <f>'Outils de calculs'!AM25</f>
        <v>40</v>
      </c>
      <c r="AN47" s="372">
        <f>IF($C47="","",AM47*VLOOKUP($C47,CHANTIER!$A$2:$D$83,4,0))</f>
        <v>2</v>
      </c>
      <c r="AO47" s="224"/>
      <c r="AP47" s="224"/>
    </row>
    <row r="48" spans="1:42" ht="15" customHeight="1" x14ac:dyDescent="0.2">
      <c r="A48" s="1554"/>
      <c r="B48" s="361" t="s">
        <v>1159</v>
      </c>
      <c r="C48" s="1403" t="s">
        <v>1224</v>
      </c>
      <c r="D48" s="363" t="str">
        <f>IF(C48="","",VLOOKUP($C48,CHANTIER!$A$2:$C$83,3,0))</f>
        <v>pc</v>
      </c>
      <c r="E48" s="364">
        <f>'Outils de calculs'!E25*6</f>
        <v>24</v>
      </c>
      <c r="F48" s="372">
        <f>IF($C48="","",E48*VLOOKUP($C48,CHANTIER!$A$2:$D$83,4,0))</f>
        <v>0.36</v>
      </c>
      <c r="G48" s="364">
        <f>'Outils de calculs'!G25*6</f>
        <v>36</v>
      </c>
      <c r="H48" s="372">
        <f>IF($C48="","",G48*VLOOKUP($C48,CHANTIER!$A$2:$D$83,4,0))</f>
        <v>0.54</v>
      </c>
      <c r="I48" s="364">
        <f>'Outils de calculs'!I25*6</f>
        <v>48</v>
      </c>
      <c r="J48" s="372">
        <f>IF($C48="","",I48*VLOOKUP($C48,CHANTIER!$A$2:$D$83,4,0))</f>
        <v>0.72</v>
      </c>
      <c r="K48" s="364">
        <f>'Outils de calculs'!K25*6</f>
        <v>60</v>
      </c>
      <c r="L48" s="372">
        <f>IF($C48="","",K48*VLOOKUP($C48,CHANTIER!$A$2:$D$83,4,0))</f>
        <v>0.89999999999999991</v>
      </c>
      <c r="M48" s="364">
        <f>'Outils de calculs'!M25*6</f>
        <v>72</v>
      </c>
      <c r="N48" s="372">
        <f>IF($C48="","",M48*VLOOKUP($C48,CHANTIER!$A$2:$D$83,4,0))</f>
        <v>1.08</v>
      </c>
      <c r="O48" s="364">
        <f>'Outils de calculs'!O25*6</f>
        <v>84</v>
      </c>
      <c r="P48" s="372">
        <f>IF($C48="","",O48*VLOOKUP($C48,CHANTIER!$A$2:$D$83,4,0))</f>
        <v>1.26</v>
      </c>
      <c r="Q48" s="364">
        <f>'Outils de calculs'!Q25*6</f>
        <v>96</v>
      </c>
      <c r="R48" s="372">
        <f>IF($C48="","",Q48*VLOOKUP($C48,CHANTIER!$A$2:$D$83,4,0))</f>
        <v>1.44</v>
      </c>
      <c r="S48" s="364">
        <f>'Outils de calculs'!S25*6</f>
        <v>108</v>
      </c>
      <c r="T48" s="372">
        <f>IF($C48="","",S48*VLOOKUP($C48,CHANTIER!$A$2:$D$83,4,0))</f>
        <v>1.6199999999999999</v>
      </c>
      <c r="U48" s="364">
        <f>'Outils de calculs'!U25*6</f>
        <v>120</v>
      </c>
      <c r="V48" s="372">
        <f>IF($C48="","",U48*VLOOKUP($C48,CHANTIER!$A$2:$D$83,4,0))</f>
        <v>1.7999999999999998</v>
      </c>
      <c r="W48" s="364">
        <f>'Outils de calculs'!W25*6</f>
        <v>144</v>
      </c>
      <c r="X48" s="372">
        <f>IF($C48="","",W48*VLOOKUP($C48,CHANTIER!$A$2:$D$83,4,0))</f>
        <v>2.16</v>
      </c>
      <c r="Y48" s="364">
        <f>'Outils de calculs'!Y25*6</f>
        <v>144</v>
      </c>
      <c r="Z48" s="372">
        <f>IF($C48="","",Y48*VLOOKUP($C48,CHANTIER!$A$2:$D$83,4,0))</f>
        <v>2.16</v>
      </c>
      <c r="AA48" s="364">
        <f>'Outils de calculs'!AA25*6</f>
        <v>168</v>
      </c>
      <c r="AB48" s="372">
        <f>IF($C48="","",AA48*VLOOKUP($C48,CHANTIER!$A$2:$D$83,4,0))</f>
        <v>2.52</v>
      </c>
      <c r="AC48" s="364">
        <f>'Outils de calculs'!AC25*6</f>
        <v>168</v>
      </c>
      <c r="AD48" s="372">
        <f>IF($C48="","",AC48*VLOOKUP($C48,CHANTIER!$A$2:$D$83,4,0))</f>
        <v>2.52</v>
      </c>
      <c r="AE48" s="364">
        <f>'Outils de calculs'!AE25*6</f>
        <v>192</v>
      </c>
      <c r="AF48" s="372">
        <f>IF($C48="","",AE48*VLOOKUP($C48,CHANTIER!$A$2:$D$83,4,0))</f>
        <v>2.88</v>
      </c>
      <c r="AG48" s="364">
        <f>'Outils de calculs'!AG25*6</f>
        <v>216</v>
      </c>
      <c r="AH48" s="372">
        <f>IF($C48="","",AG48*VLOOKUP($C48,CHANTIER!$A$2:$D$83,4,0))</f>
        <v>3.2399999999999998</v>
      </c>
      <c r="AI48" s="364">
        <f>'Outils de calculs'!AI25*6</f>
        <v>216</v>
      </c>
      <c r="AJ48" s="372">
        <f>IF($C48="","",AI48*VLOOKUP($C48,CHANTIER!$A$2:$D$83,4,0))</f>
        <v>3.2399999999999998</v>
      </c>
      <c r="AK48" s="364">
        <f>'Outils de calculs'!AK25*6</f>
        <v>240</v>
      </c>
      <c r="AL48" s="372">
        <f>IF($C48="","",AK48*VLOOKUP($C48,CHANTIER!$A$2:$D$83,4,0))</f>
        <v>3.5999999999999996</v>
      </c>
      <c r="AM48" s="364">
        <f>'Outils de calculs'!AM25*6</f>
        <v>240</v>
      </c>
      <c r="AN48" s="372">
        <f>IF($C48="","",AM48*VLOOKUP($C48,CHANTIER!$A$2:$D$83,4,0))</f>
        <v>3.5999999999999996</v>
      </c>
      <c r="AO48" s="224"/>
      <c r="AP48" s="224"/>
    </row>
    <row r="49" spans="1:42" ht="15" customHeight="1" x14ac:dyDescent="0.2">
      <c r="A49" s="1554"/>
      <c r="B49" s="361" t="s">
        <v>1159</v>
      </c>
      <c r="C49" s="1403" t="s">
        <v>1235</v>
      </c>
      <c r="D49" s="363" t="str">
        <f>IF(C49="","",VLOOKUP($C49,CHANTIER!$A$2:$C$83,3,0))</f>
        <v>ml</v>
      </c>
      <c r="E49" s="364">
        <f>'Outils de calculs'!E33</f>
        <v>1.25</v>
      </c>
      <c r="F49" s="372">
        <f>IF($C49="","",E49*VLOOKUP($C49,CHANTIER!$A$2:$D$83,4,0))</f>
        <v>1.8749999999999999E-2</v>
      </c>
      <c r="G49" s="364">
        <f>'Outils de calculs'!G33</f>
        <v>1.5</v>
      </c>
      <c r="H49" s="372">
        <f>IF($C49="","",G49*VLOOKUP($C49,CHANTIER!$A$2:$D$83,4,0))</f>
        <v>2.2499999999999999E-2</v>
      </c>
      <c r="I49" s="364">
        <f>'Outils de calculs'!I33</f>
        <v>2</v>
      </c>
      <c r="J49" s="372">
        <f>IF($C49="","",I49*VLOOKUP($C49,CHANTIER!$A$2:$D$83,4,0))</f>
        <v>0.03</v>
      </c>
      <c r="K49" s="364">
        <f>'Outils de calculs'!K33</f>
        <v>2</v>
      </c>
      <c r="L49" s="372">
        <f>IF($C49="","",K49*VLOOKUP($C49,CHANTIER!$A$2:$D$83,4,0))</f>
        <v>0.03</v>
      </c>
      <c r="M49" s="364">
        <f>'Outils de calculs'!M33</f>
        <v>2</v>
      </c>
      <c r="N49" s="372">
        <f>IF($C49="","",M49*VLOOKUP($C49,CHANTIER!$A$2:$D$83,4,0))</f>
        <v>0.03</v>
      </c>
      <c r="O49" s="364">
        <f>'Outils de calculs'!O33</f>
        <v>2</v>
      </c>
      <c r="P49" s="372">
        <f>IF($C49="","",O49*VLOOKUP($C49,CHANTIER!$A$2:$D$83,4,0))</f>
        <v>0.03</v>
      </c>
      <c r="Q49" s="364">
        <f>'Outils de calculs'!Q33</f>
        <v>2</v>
      </c>
      <c r="R49" s="372">
        <f>IF($C49="","",Q49*VLOOKUP($C49,CHANTIER!$A$2:$D$83,4,0))</f>
        <v>0.03</v>
      </c>
      <c r="S49" s="364">
        <f>'Outils de calculs'!S33</f>
        <v>2.5</v>
      </c>
      <c r="T49" s="372">
        <f>IF($C49="","",S49*VLOOKUP($C49,CHANTIER!$A$2:$D$83,4,0))</f>
        <v>3.7499999999999999E-2</v>
      </c>
      <c r="U49" s="364">
        <f>'Outils de calculs'!U33</f>
        <v>2.5</v>
      </c>
      <c r="V49" s="372">
        <f>IF($C49="","",U49*VLOOKUP($C49,CHANTIER!$A$2:$D$83,4,0))</f>
        <v>3.7499999999999999E-2</v>
      </c>
      <c r="W49" s="364">
        <f>'Outils de calculs'!W33</f>
        <v>2.5</v>
      </c>
      <c r="X49" s="372">
        <f>IF($C49="","",W49*VLOOKUP($C49,CHANTIER!$A$2:$D$83,4,0))</f>
        <v>3.7499999999999999E-2</v>
      </c>
      <c r="Y49" s="364">
        <f>'Outils de calculs'!Y33</f>
        <v>2.5</v>
      </c>
      <c r="Z49" s="372">
        <f>IF($C49="","",Y49*VLOOKUP($C49,CHANTIER!$A$2:$D$83,4,0))</f>
        <v>3.7499999999999999E-2</v>
      </c>
      <c r="AA49" s="364">
        <f>'Outils de calculs'!AA33</f>
        <v>2.8</v>
      </c>
      <c r="AB49" s="372">
        <f>IF($C49="","",AA49*VLOOKUP($C49,CHANTIER!$A$2:$D$83,4,0))</f>
        <v>4.1999999999999996E-2</v>
      </c>
      <c r="AC49" s="364">
        <f>'Outils de calculs'!AC33</f>
        <v>2.8</v>
      </c>
      <c r="AD49" s="372">
        <f>IF($C49="","",AC49*VLOOKUP($C49,CHANTIER!$A$2:$D$83,4,0))</f>
        <v>4.1999999999999996E-2</v>
      </c>
      <c r="AE49" s="364">
        <f>'Outils de calculs'!AE33</f>
        <v>3</v>
      </c>
      <c r="AF49" s="372">
        <f>IF($C49="","",AE49*VLOOKUP($C49,CHANTIER!$A$2:$D$83,4,0))</f>
        <v>4.4999999999999998E-2</v>
      </c>
      <c r="AG49" s="364">
        <f>'Outils de calculs'!AG33</f>
        <v>3</v>
      </c>
      <c r="AH49" s="372">
        <f>IF($C49="","",AG49*VLOOKUP($C49,CHANTIER!$A$2:$D$83,4,0))</f>
        <v>4.4999999999999998E-2</v>
      </c>
      <c r="AI49" s="364">
        <f>'Outils de calculs'!AI33</f>
        <v>3</v>
      </c>
      <c r="AJ49" s="372">
        <f>IF($C49="","",AI49*VLOOKUP($C49,CHANTIER!$A$2:$D$83,4,0))</f>
        <v>4.4999999999999998E-2</v>
      </c>
      <c r="AK49" s="364">
        <f>'Outils de calculs'!AK33</f>
        <v>3.2</v>
      </c>
      <c r="AL49" s="372">
        <f>IF($C49="","",AK49*VLOOKUP($C49,CHANTIER!$A$2:$D$83,4,0))</f>
        <v>4.8000000000000001E-2</v>
      </c>
      <c r="AM49" s="364">
        <f>'Outils de calculs'!AM33</f>
        <v>3.2</v>
      </c>
      <c r="AN49" s="372">
        <f>IF($C49="","",AM49*VLOOKUP($C49,CHANTIER!$A$2:$D$83,4,0))</f>
        <v>4.8000000000000001E-2</v>
      </c>
      <c r="AO49" s="224"/>
      <c r="AP49" s="224"/>
    </row>
    <row r="50" spans="1:42" ht="15" customHeight="1" x14ac:dyDescent="0.2">
      <c r="A50" s="1554"/>
      <c r="B50" s="361" t="s">
        <v>1159</v>
      </c>
      <c r="C50" s="1402" t="s">
        <v>1225</v>
      </c>
      <c r="D50" s="363" t="str">
        <f>IF(C50="","",VLOOKUP($C50,CHANTIER!$A$2:$C$83,3,0))</f>
        <v>pc</v>
      </c>
      <c r="E50" s="364">
        <f>4</f>
        <v>4</v>
      </c>
      <c r="F50" s="372">
        <f>IF($C50="","",E50*VLOOKUP($C50,CHANTIER!$A$2:$D$83,4,0))</f>
        <v>0.6</v>
      </c>
      <c r="G50" s="364">
        <f>4</f>
        <v>4</v>
      </c>
      <c r="H50" s="372">
        <f>IF($C50="","",G50*VLOOKUP($C50,CHANTIER!$A$2:$D$83,4,0))</f>
        <v>0.6</v>
      </c>
      <c r="I50" s="364">
        <f>4</f>
        <v>4</v>
      </c>
      <c r="J50" s="372">
        <f>IF($C50="","",I50*VLOOKUP($C50,CHANTIER!$A$2:$D$83,4,0))</f>
        <v>0.6</v>
      </c>
      <c r="K50" s="364">
        <f>4</f>
        <v>4</v>
      </c>
      <c r="L50" s="372">
        <f>IF($C50="","",K50*VLOOKUP($C50,CHANTIER!$A$2:$D$83,4,0))</f>
        <v>0.6</v>
      </c>
      <c r="M50" s="364">
        <f>4</f>
        <v>4</v>
      </c>
      <c r="N50" s="372">
        <f>IF($C50="","",M50*VLOOKUP($C50,CHANTIER!$A$2:$D$83,4,0))</f>
        <v>0.6</v>
      </c>
      <c r="O50" s="364">
        <f>4</f>
        <v>4</v>
      </c>
      <c r="P50" s="372">
        <f>IF($C50="","",O50*VLOOKUP($C50,CHANTIER!$A$2:$D$83,4,0))</f>
        <v>0.6</v>
      </c>
      <c r="Q50" s="364">
        <f>4</f>
        <v>4</v>
      </c>
      <c r="R50" s="372">
        <f>IF($C50="","",Q50*VLOOKUP($C50,CHANTIER!$A$2:$D$83,4,0))</f>
        <v>0.6</v>
      </c>
      <c r="S50" s="364">
        <f>4</f>
        <v>4</v>
      </c>
      <c r="T50" s="372">
        <f>IF($C50="","",S50*VLOOKUP($C50,CHANTIER!$A$2:$D$83,4,0))</f>
        <v>0.6</v>
      </c>
      <c r="U50" s="364">
        <f>4</f>
        <v>4</v>
      </c>
      <c r="V50" s="372">
        <f>IF($C50="","",U50*VLOOKUP($C50,CHANTIER!$A$2:$D$83,4,0))</f>
        <v>0.6</v>
      </c>
      <c r="W50" s="364">
        <f>4</f>
        <v>4</v>
      </c>
      <c r="X50" s="372">
        <f>IF($C50="","",W50*VLOOKUP($C50,CHANTIER!$A$2:$D$83,4,0))</f>
        <v>0.6</v>
      </c>
      <c r="Y50" s="364">
        <f>4</f>
        <v>4</v>
      </c>
      <c r="Z50" s="372">
        <f>IF($C50="","",Y50*VLOOKUP($C50,CHANTIER!$A$2:$D$83,4,0))</f>
        <v>0.6</v>
      </c>
      <c r="AA50" s="364">
        <f>4</f>
        <v>4</v>
      </c>
      <c r="AB50" s="372">
        <f>IF($C50="","",AA50*VLOOKUP($C50,CHANTIER!$A$2:$D$83,4,0))</f>
        <v>0.6</v>
      </c>
      <c r="AC50" s="364">
        <f>4</f>
        <v>4</v>
      </c>
      <c r="AD50" s="372">
        <f>IF($C50="","",AC50*VLOOKUP($C50,CHANTIER!$A$2:$D$83,4,0))</f>
        <v>0.6</v>
      </c>
      <c r="AE50" s="364">
        <f>4</f>
        <v>4</v>
      </c>
      <c r="AF50" s="372">
        <f>IF($C50="","",AE50*VLOOKUP($C50,CHANTIER!$A$2:$D$83,4,0))</f>
        <v>0.6</v>
      </c>
      <c r="AG50" s="364">
        <f>4</f>
        <v>4</v>
      </c>
      <c r="AH50" s="372">
        <f>IF($C50="","",AG50*VLOOKUP($C50,CHANTIER!$A$2:$D$83,4,0))</f>
        <v>0.6</v>
      </c>
      <c r="AI50" s="364">
        <f>4</f>
        <v>4</v>
      </c>
      <c r="AJ50" s="372">
        <f>IF($C50="","",AI50*VLOOKUP($C50,CHANTIER!$A$2:$D$83,4,0))</f>
        <v>0.6</v>
      </c>
      <c r="AK50" s="364">
        <f>4</f>
        <v>4</v>
      </c>
      <c r="AL50" s="372">
        <f>IF($C50="","",AK50*VLOOKUP($C50,CHANTIER!$A$2:$D$83,4,0))</f>
        <v>0.6</v>
      </c>
      <c r="AM50" s="364">
        <f>4</f>
        <v>4</v>
      </c>
      <c r="AN50" s="372">
        <f>IF($C50="","",AM50*VLOOKUP($C50,CHANTIER!$A$2:$D$83,4,0))</f>
        <v>0.6</v>
      </c>
      <c r="AO50" s="225"/>
      <c r="AP50" s="226"/>
    </row>
    <row r="51" spans="1:42" ht="15" customHeight="1" x14ac:dyDescent="0.2">
      <c r="A51" s="1554"/>
      <c r="B51" s="361" t="s">
        <v>1159</v>
      </c>
      <c r="C51" s="1403" t="s">
        <v>1004</v>
      </c>
      <c r="D51" s="363" t="str">
        <f>IF(C51="","",VLOOKUP($C51,CHANTIER!$A$2:$C$83,3,0))</f>
        <v>m²</v>
      </c>
      <c r="E51" s="364">
        <f>'Outils de calculs'!E25</f>
        <v>4</v>
      </c>
      <c r="F51" s="372">
        <f>IF($C51="","",E51*VLOOKUP($C51,CHANTIER!$A$2:$D$83,4,0))</f>
        <v>0.4</v>
      </c>
      <c r="G51" s="364">
        <f>'Outils de calculs'!G25</f>
        <v>6</v>
      </c>
      <c r="H51" s="372">
        <f>IF($C51="","",G51*VLOOKUP($C51,CHANTIER!$A$2:$D$83,4,0))</f>
        <v>0.60000000000000009</v>
      </c>
      <c r="I51" s="364">
        <f>'Outils de calculs'!I25</f>
        <v>8</v>
      </c>
      <c r="J51" s="372">
        <f>IF($C51="","",I51*VLOOKUP($C51,CHANTIER!$A$2:$D$83,4,0))</f>
        <v>0.8</v>
      </c>
      <c r="K51" s="364">
        <f>'Outils de calculs'!K25</f>
        <v>10</v>
      </c>
      <c r="L51" s="372">
        <f>IF($C51="","",K51*VLOOKUP($C51,CHANTIER!$A$2:$D$83,4,0))</f>
        <v>1</v>
      </c>
      <c r="M51" s="364">
        <f>'Outils de calculs'!M25</f>
        <v>12</v>
      </c>
      <c r="N51" s="372">
        <f>IF($C51="","",M51*VLOOKUP($C51,CHANTIER!$A$2:$D$83,4,0))</f>
        <v>1.2000000000000002</v>
      </c>
      <c r="O51" s="364">
        <f>'Outils de calculs'!O25</f>
        <v>14</v>
      </c>
      <c r="P51" s="372">
        <f>IF($C51="","",O51*VLOOKUP($C51,CHANTIER!$A$2:$D$83,4,0))</f>
        <v>1.4000000000000001</v>
      </c>
      <c r="Q51" s="364">
        <f>'Outils de calculs'!Q25</f>
        <v>16</v>
      </c>
      <c r="R51" s="372">
        <f>IF($C51="","",Q51*VLOOKUP($C51,CHANTIER!$A$2:$D$83,4,0))</f>
        <v>1.6</v>
      </c>
      <c r="S51" s="364">
        <f>'Outils de calculs'!S25</f>
        <v>18</v>
      </c>
      <c r="T51" s="372">
        <f>IF($C51="","",S51*VLOOKUP($C51,CHANTIER!$A$2:$D$83,4,0))</f>
        <v>1.8</v>
      </c>
      <c r="U51" s="364">
        <f>'Outils de calculs'!U25</f>
        <v>20</v>
      </c>
      <c r="V51" s="372">
        <f>IF($C51="","",U51*VLOOKUP($C51,CHANTIER!$A$2:$D$83,4,0))</f>
        <v>2</v>
      </c>
      <c r="W51" s="364">
        <f>'Outils de calculs'!W25</f>
        <v>24</v>
      </c>
      <c r="X51" s="372">
        <f>IF($C51="","",W51*VLOOKUP($C51,CHANTIER!$A$2:$D$83,4,0))</f>
        <v>2.4000000000000004</v>
      </c>
      <c r="Y51" s="364">
        <f>'Outils de calculs'!Y25</f>
        <v>24</v>
      </c>
      <c r="Z51" s="372">
        <f>IF($C51="","",Y51*VLOOKUP($C51,CHANTIER!$A$2:$D$83,4,0))</f>
        <v>2.4000000000000004</v>
      </c>
      <c r="AA51" s="364">
        <f>'Outils de calculs'!AA25</f>
        <v>28</v>
      </c>
      <c r="AB51" s="372">
        <f>IF($C51="","",AA51*VLOOKUP($C51,CHANTIER!$A$2:$D$83,4,0))</f>
        <v>2.8000000000000003</v>
      </c>
      <c r="AC51" s="364">
        <f>'Outils de calculs'!AC25</f>
        <v>28</v>
      </c>
      <c r="AD51" s="372">
        <f>IF($C51="","",AC51*VLOOKUP($C51,CHANTIER!$A$2:$D$83,4,0))</f>
        <v>2.8000000000000003</v>
      </c>
      <c r="AE51" s="364">
        <f>'Outils de calculs'!AE25</f>
        <v>32</v>
      </c>
      <c r="AF51" s="372">
        <f>IF($C51="","",AE51*VLOOKUP($C51,CHANTIER!$A$2:$D$83,4,0))</f>
        <v>3.2</v>
      </c>
      <c r="AG51" s="364">
        <f>'Outils de calculs'!AG25</f>
        <v>36</v>
      </c>
      <c r="AH51" s="372">
        <f>IF($C51="","",AG51*VLOOKUP($C51,CHANTIER!$A$2:$D$83,4,0))</f>
        <v>3.6</v>
      </c>
      <c r="AI51" s="364">
        <f>'Outils de calculs'!AI25</f>
        <v>36</v>
      </c>
      <c r="AJ51" s="372">
        <f>IF($C51="","",AI51*VLOOKUP($C51,CHANTIER!$A$2:$D$83,4,0))</f>
        <v>3.6</v>
      </c>
      <c r="AK51" s="364">
        <f>'Outils de calculs'!AK25</f>
        <v>40</v>
      </c>
      <c r="AL51" s="372">
        <f>IF($C51="","",AK51*VLOOKUP($C51,CHANTIER!$A$2:$D$83,4,0))</f>
        <v>4</v>
      </c>
      <c r="AM51" s="364">
        <f>'Outils de calculs'!AM25</f>
        <v>40</v>
      </c>
      <c r="AN51" s="372">
        <f>IF($C51="","",AM51*VLOOKUP($C51,CHANTIER!$A$2:$D$83,4,0))</f>
        <v>4</v>
      </c>
    </row>
    <row r="52" spans="1:42" ht="15" customHeight="1" x14ac:dyDescent="0.2">
      <c r="A52" s="1554"/>
      <c r="B52" s="361" t="s">
        <v>1159</v>
      </c>
      <c r="C52" s="1402" t="s">
        <v>1236</v>
      </c>
      <c r="D52" s="363" t="str">
        <f>IF(C52="","",VLOOKUP($C52,CHANTIER!$A$2:$C$83,3,0))</f>
        <v>pc</v>
      </c>
      <c r="E52" s="364">
        <f>1</f>
        <v>1</v>
      </c>
      <c r="F52" s="372">
        <f>IF($C52="","",E52*VLOOKUP($C52,CHANTIER!$A$2:$D$83,4,0))</f>
        <v>0.5</v>
      </c>
      <c r="G52" s="364">
        <f>1</f>
        <v>1</v>
      </c>
      <c r="H52" s="372">
        <f>IF($C52="","",G52*VLOOKUP($C52,CHANTIER!$A$2:$D$83,4,0))</f>
        <v>0.5</v>
      </c>
      <c r="I52" s="364">
        <f>1</f>
        <v>1</v>
      </c>
      <c r="J52" s="372">
        <f>IF($C52="","",I52*VLOOKUP($C52,CHANTIER!$A$2:$D$83,4,0))</f>
        <v>0.5</v>
      </c>
      <c r="K52" s="364">
        <f>1</f>
        <v>1</v>
      </c>
      <c r="L52" s="372">
        <f>IF($C52="","",K52*VLOOKUP($C52,CHANTIER!$A$2:$D$83,4,0))</f>
        <v>0.5</v>
      </c>
      <c r="M52" s="364">
        <f>1</f>
        <v>1</v>
      </c>
      <c r="N52" s="372">
        <f>IF($C52="","",M52*VLOOKUP($C52,CHANTIER!$A$2:$D$83,4,0))</f>
        <v>0.5</v>
      </c>
      <c r="O52" s="364">
        <f>1</f>
        <v>1</v>
      </c>
      <c r="P52" s="372">
        <f>IF($C52="","",O52*VLOOKUP($C52,CHANTIER!$A$2:$D$83,4,0))</f>
        <v>0.5</v>
      </c>
      <c r="Q52" s="364">
        <f>1</f>
        <v>1</v>
      </c>
      <c r="R52" s="372">
        <f>IF($C52="","",Q52*VLOOKUP($C52,CHANTIER!$A$2:$D$83,4,0))</f>
        <v>0.5</v>
      </c>
      <c r="S52" s="364">
        <f>1</f>
        <v>1</v>
      </c>
      <c r="T52" s="372">
        <f>IF($C52="","",S52*VLOOKUP($C52,CHANTIER!$A$2:$D$83,4,0))</f>
        <v>0.5</v>
      </c>
      <c r="U52" s="364">
        <f>1</f>
        <v>1</v>
      </c>
      <c r="V52" s="372">
        <f>IF($C52="","",U52*VLOOKUP($C52,CHANTIER!$A$2:$D$83,4,0))</f>
        <v>0.5</v>
      </c>
      <c r="W52" s="364">
        <f>1</f>
        <v>1</v>
      </c>
      <c r="X52" s="372">
        <f>IF($C52="","",W52*VLOOKUP($C52,CHANTIER!$A$2:$D$83,4,0))</f>
        <v>0.5</v>
      </c>
      <c r="Y52" s="364">
        <f>1</f>
        <v>1</v>
      </c>
      <c r="Z52" s="372">
        <f>IF($C52="","",Y52*VLOOKUP($C52,CHANTIER!$A$2:$D$83,4,0))</f>
        <v>0.5</v>
      </c>
      <c r="AA52" s="364">
        <f>1</f>
        <v>1</v>
      </c>
      <c r="AB52" s="372">
        <f>IF($C52="","",AA52*VLOOKUP($C52,CHANTIER!$A$2:$D$83,4,0))</f>
        <v>0.5</v>
      </c>
      <c r="AC52" s="364">
        <f>1</f>
        <v>1</v>
      </c>
      <c r="AD52" s="372">
        <f>IF($C52="","",AC52*VLOOKUP($C52,CHANTIER!$A$2:$D$83,4,0))</f>
        <v>0.5</v>
      </c>
      <c r="AE52" s="364">
        <f>1</f>
        <v>1</v>
      </c>
      <c r="AF52" s="372">
        <f>IF($C52="","",AE52*VLOOKUP($C52,CHANTIER!$A$2:$D$83,4,0))</f>
        <v>0.5</v>
      </c>
      <c r="AG52" s="364">
        <f>1</f>
        <v>1</v>
      </c>
      <c r="AH52" s="372">
        <f>IF($C52="","",AG52*VLOOKUP($C52,CHANTIER!$A$2:$D$83,4,0))</f>
        <v>0.5</v>
      </c>
      <c r="AI52" s="364">
        <f>1</f>
        <v>1</v>
      </c>
      <c r="AJ52" s="372">
        <f>IF($C52="","",AI52*VLOOKUP($C52,CHANTIER!$A$2:$D$83,4,0))</f>
        <v>0.5</v>
      </c>
      <c r="AK52" s="364">
        <f>1</f>
        <v>1</v>
      </c>
      <c r="AL52" s="372">
        <f>IF($C52="","",AK52*VLOOKUP($C52,CHANTIER!$A$2:$D$83,4,0))</f>
        <v>0.5</v>
      </c>
      <c r="AM52" s="364">
        <f>1</f>
        <v>1</v>
      </c>
      <c r="AN52" s="372">
        <f>IF($C52="","",AM52*VLOOKUP($C52,CHANTIER!$A$2:$D$83,4,0))</f>
        <v>0.5</v>
      </c>
    </row>
    <row r="53" spans="1:42" ht="15" customHeight="1" x14ac:dyDescent="0.2">
      <c r="A53" s="1554"/>
      <c r="B53" s="361" t="s">
        <v>1159</v>
      </c>
      <c r="C53" s="1402" t="s">
        <v>1232</v>
      </c>
      <c r="D53" s="363" t="str">
        <f>IF(C53="","",VLOOKUP($C53,CHANTIER!$A$2:$C$83,3,0))</f>
        <v>pc</v>
      </c>
      <c r="E53" s="364">
        <f>1</f>
        <v>1</v>
      </c>
      <c r="F53" s="372">
        <f>IF($C53="","",E53*VLOOKUP($C53,CHANTIER!$A$2:$D$83,4,0))</f>
        <v>0.08</v>
      </c>
      <c r="G53" s="364">
        <f>1</f>
        <v>1</v>
      </c>
      <c r="H53" s="372">
        <f>IF($C53="","",G53*VLOOKUP($C53,CHANTIER!$A$2:$D$83,4,0))</f>
        <v>0.08</v>
      </c>
      <c r="I53" s="364">
        <f>1</f>
        <v>1</v>
      </c>
      <c r="J53" s="372">
        <f>IF($C53="","",I53*VLOOKUP($C53,CHANTIER!$A$2:$D$83,4,0))</f>
        <v>0.08</v>
      </c>
      <c r="K53" s="364">
        <f>1</f>
        <v>1</v>
      </c>
      <c r="L53" s="372">
        <f>IF($C53="","",K53*VLOOKUP($C53,CHANTIER!$A$2:$D$83,4,0))</f>
        <v>0.08</v>
      </c>
      <c r="M53" s="364">
        <f>1</f>
        <v>1</v>
      </c>
      <c r="N53" s="372">
        <f>IF($C53="","",M53*VLOOKUP($C53,CHANTIER!$A$2:$D$83,4,0))</f>
        <v>0.08</v>
      </c>
      <c r="O53" s="364">
        <f>1</f>
        <v>1</v>
      </c>
      <c r="P53" s="372">
        <f>IF($C53="","",O53*VLOOKUP($C53,CHANTIER!$A$2:$D$83,4,0))</f>
        <v>0.08</v>
      </c>
      <c r="Q53" s="364">
        <f>1</f>
        <v>1</v>
      </c>
      <c r="R53" s="372">
        <f>IF($C53="","",Q53*VLOOKUP($C53,CHANTIER!$A$2:$D$83,4,0))</f>
        <v>0.08</v>
      </c>
      <c r="S53" s="364">
        <f>1</f>
        <v>1</v>
      </c>
      <c r="T53" s="372">
        <f>IF($C53="","",S53*VLOOKUP($C53,CHANTIER!$A$2:$D$83,4,0))</f>
        <v>0.08</v>
      </c>
      <c r="U53" s="364">
        <f>1</f>
        <v>1</v>
      </c>
      <c r="V53" s="372">
        <f>IF($C53="","",U53*VLOOKUP($C53,CHANTIER!$A$2:$D$83,4,0))</f>
        <v>0.08</v>
      </c>
      <c r="W53" s="364">
        <f>1</f>
        <v>1</v>
      </c>
      <c r="X53" s="372">
        <f>IF($C53="","",W53*VLOOKUP($C53,CHANTIER!$A$2:$D$83,4,0))</f>
        <v>0.08</v>
      </c>
      <c r="Y53" s="364">
        <f>1</f>
        <v>1</v>
      </c>
      <c r="Z53" s="372">
        <f>IF($C53="","",Y53*VLOOKUP($C53,CHANTIER!$A$2:$D$83,4,0))</f>
        <v>0.08</v>
      </c>
      <c r="AA53" s="364">
        <f>1</f>
        <v>1</v>
      </c>
      <c r="AB53" s="372">
        <f>IF($C53="","",AA53*VLOOKUP($C53,CHANTIER!$A$2:$D$83,4,0))</f>
        <v>0.08</v>
      </c>
      <c r="AC53" s="364">
        <f>1</f>
        <v>1</v>
      </c>
      <c r="AD53" s="372">
        <f>IF($C53="","",AC53*VLOOKUP($C53,CHANTIER!$A$2:$D$83,4,0))</f>
        <v>0.08</v>
      </c>
      <c r="AE53" s="364">
        <f>1</f>
        <v>1</v>
      </c>
      <c r="AF53" s="372">
        <f>IF($C53="","",AE53*VLOOKUP($C53,CHANTIER!$A$2:$D$83,4,0))</f>
        <v>0.08</v>
      </c>
      <c r="AG53" s="364">
        <f>1</f>
        <v>1</v>
      </c>
      <c r="AH53" s="372">
        <f>IF($C53="","",AG53*VLOOKUP($C53,CHANTIER!$A$2:$D$83,4,0))</f>
        <v>0.08</v>
      </c>
      <c r="AI53" s="364">
        <f>1</f>
        <v>1</v>
      </c>
      <c r="AJ53" s="372">
        <f>IF($C53="","",AI53*VLOOKUP($C53,CHANTIER!$A$2:$D$83,4,0))</f>
        <v>0.08</v>
      </c>
      <c r="AK53" s="364">
        <f>1</f>
        <v>1</v>
      </c>
      <c r="AL53" s="372">
        <f>IF($C53="","",AK53*VLOOKUP($C53,CHANTIER!$A$2:$D$83,4,0))</f>
        <v>0.08</v>
      </c>
      <c r="AM53" s="364">
        <f>1</f>
        <v>1</v>
      </c>
      <c r="AN53" s="372">
        <f>IF($C53="","",AM53*VLOOKUP($C53,CHANTIER!$A$2:$D$83,4,0))</f>
        <v>0.08</v>
      </c>
    </row>
    <row r="54" spans="1:42" ht="30.75" customHeight="1" x14ac:dyDescent="0.2">
      <c r="A54" s="1554"/>
      <c r="B54" s="379" t="s">
        <v>453</v>
      </c>
      <c r="C54" s="380" t="s">
        <v>450</v>
      </c>
      <c r="D54" s="381" t="s">
        <v>451</v>
      </c>
      <c r="E54" s="382">
        <f>F54*Simulation!$P$9</f>
        <v>135.39375000000001</v>
      </c>
      <c r="F54" s="383">
        <f>SUM(F43:F53)</f>
        <v>3.00875</v>
      </c>
      <c r="G54" s="382">
        <f>H54*Simulation!$P$9</f>
        <v>170.66250000000002</v>
      </c>
      <c r="H54" s="383">
        <f>SUM(H43:H53)</f>
        <v>3.7925000000000004</v>
      </c>
      <c r="I54" s="382">
        <f>J54*Simulation!$P$9</f>
        <v>206.1</v>
      </c>
      <c r="J54" s="383">
        <f>SUM(J43:J53)</f>
        <v>4.58</v>
      </c>
      <c r="K54" s="382">
        <f>L54*Simulation!$P$9</f>
        <v>241.2</v>
      </c>
      <c r="L54" s="383">
        <f>SUM(L43:L53)</f>
        <v>5.3599999999999994</v>
      </c>
      <c r="M54" s="382">
        <f>N54*Simulation!$P$9</f>
        <v>276.3</v>
      </c>
      <c r="N54" s="383">
        <f>SUM(N43:N53)</f>
        <v>6.1400000000000006</v>
      </c>
      <c r="O54" s="382">
        <f>P54*Simulation!$P$9</f>
        <v>311.40000000000003</v>
      </c>
      <c r="P54" s="383">
        <f>SUM(P43:P53)</f>
        <v>6.9200000000000008</v>
      </c>
      <c r="Q54" s="382">
        <f>R54*Simulation!$P$9</f>
        <v>346.50000000000006</v>
      </c>
      <c r="R54" s="383">
        <f>SUM(R43:R53)</f>
        <v>7.7000000000000011</v>
      </c>
      <c r="S54" s="382">
        <f>T54*Simulation!$P$9</f>
        <v>381.93749999999994</v>
      </c>
      <c r="T54" s="383">
        <f>SUM(T43:T53)</f>
        <v>8.4874999999999989</v>
      </c>
      <c r="U54" s="382">
        <f>V54*Simulation!$P$9</f>
        <v>417.03750000000002</v>
      </c>
      <c r="V54" s="383">
        <f>SUM(V43:V53)</f>
        <v>9.2675000000000001</v>
      </c>
      <c r="W54" s="382">
        <f>X54*Simulation!$P$9</f>
        <v>487.23750000000001</v>
      </c>
      <c r="X54" s="383">
        <f>SUM(X43:X53)</f>
        <v>10.827500000000001</v>
      </c>
      <c r="Y54" s="382">
        <f>Z54*Simulation!$P$9</f>
        <v>487.23750000000001</v>
      </c>
      <c r="Z54" s="383">
        <f>SUM(Z43:Z53)</f>
        <v>10.827500000000001</v>
      </c>
      <c r="AA54" s="382">
        <f>AB54*Simulation!$P$9</f>
        <v>557.6400000000001</v>
      </c>
      <c r="AB54" s="383">
        <f>SUM(AB43:AB53)</f>
        <v>12.392000000000001</v>
      </c>
      <c r="AC54" s="382">
        <f>AD54*Simulation!$P$9</f>
        <v>557.6400000000001</v>
      </c>
      <c r="AD54" s="383">
        <f>SUM(AD43:AD53)</f>
        <v>12.392000000000001</v>
      </c>
      <c r="AE54" s="382">
        <f>AF54*Simulation!$P$9</f>
        <v>627.97500000000002</v>
      </c>
      <c r="AF54" s="383">
        <f>SUM(AF43:AF53)</f>
        <v>13.955</v>
      </c>
      <c r="AG54" s="382">
        <f>AH54*Simulation!$P$9</f>
        <v>698.17499999999995</v>
      </c>
      <c r="AH54" s="383">
        <f>SUM(AH43:AH53)</f>
        <v>15.514999999999999</v>
      </c>
      <c r="AI54" s="382">
        <f>AJ54*Simulation!$P$9</f>
        <v>698.17499999999995</v>
      </c>
      <c r="AJ54" s="383">
        <f>SUM(AJ43:AJ53)</f>
        <v>15.514999999999999</v>
      </c>
      <c r="AK54" s="382">
        <f>AL54*Simulation!$P$9</f>
        <v>768.50999999999976</v>
      </c>
      <c r="AL54" s="383">
        <f>SUM(AL43:AL53)</f>
        <v>17.077999999999996</v>
      </c>
      <c r="AM54" s="382">
        <f>AN54*Simulation!$P$9</f>
        <v>768.50999999999976</v>
      </c>
      <c r="AN54" s="383">
        <f>SUM(AN43:AN53)</f>
        <v>17.077999999999996</v>
      </c>
    </row>
    <row r="55" spans="1:42" ht="15" customHeight="1" x14ac:dyDescent="0.2">
      <c r="A55" s="1575" t="s">
        <v>4</v>
      </c>
      <c r="B55" s="361" t="s">
        <v>371</v>
      </c>
      <c r="C55" s="1403" t="s">
        <v>370</v>
      </c>
      <c r="D55" s="363" t="str">
        <f>IF(C55="","",VLOOKUP($C55,MINIPELLE!$A$2:$C$28,3,0))</f>
        <v>m²</v>
      </c>
      <c r="E55" s="364">
        <f>'Outils de calculs'!E25</f>
        <v>4</v>
      </c>
      <c r="F55" s="389">
        <f>IF($C55="","",E55*VLOOKUP($C55,MINIPELLE!$A$2:$D$28,4,0))</f>
        <v>0.2</v>
      </c>
      <c r="G55" s="364">
        <f>'Outils de calculs'!G25</f>
        <v>6</v>
      </c>
      <c r="H55" s="389">
        <f>IF($C55="","",G55*VLOOKUP($C55,MINIPELLE!$A$2:$D$28,4,0))</f>
        <v>0.30000000000000004</v>
      </c>
      <c r="I55" s="364">
        <f>'Outils de calculs'!I25</f>
        <v>8</v>
      </c>
      <c r="J55" s="389">
        <f>IF($C55="","",I55*VLOOKUP($C55,MINIPELLE!$A$2:$D$28,4,0))</f>
        <v>0.4</v>
      </c>
      <c r="K55" s="364">
        <f>'Outils de calculs'!K25</f>
        <v>10</v>
      </c>
      <c r="L55" s="389">
        <f>IF($C55="","",K55*VLOOKUP($C55,MINIPELLE!$A$2:$D$28,4,0))</f>
        <v>0.5</v>
      </c>
      <c r="M55" s="364">
        <f>'Outils de calculs'!M25</f>
        <v>12</v>
      </c>
      <c r="N55" s="389">
        <f>IF($C55="","",M55*VLOOKUP($C55,MINIPELLE!$A$2:$D$28,4,0))</f>
        <v>0.60000000000000009</v>
      </c>
      <c r="O55" s="364">
        <f>'Outils de calculs'!O25</f>
        <v>14</v>
      </c>
      <c r="P55" s="389">
        <f>IF($C55="","",O55*VLOOKUP($C55,MINIPELLE!$A$2:$D$28,4,0))</f>
        <v>0.70000000000000007</v>
      </c>
      <c r="Q55" s="364">
        <f>'Outils de calculs'!Q25</f>
        <v>16</v>
      </c>
      <c r="R55" s="389">
        <f>IF($C55="","",Q55*VLOOKUP($C55,MINIPELLE!$A$2:$D$28,4,0))</f>
        <v>0.8</v>
      </c>
      <c r="S55" s="364">
        <f>'Outils de calculs'!S25</f>
        <v>18</v>
      </c>
      <c r="T55" s="389">
        <f>IF($C55="","",S55*VLOOKUP($C55,MINIPELLE!$A$2:$D$28,4,0))</f>
        <v>0.9</v>
      </c>
      <c r="U55" s="364">
        <f>'Outils de calculs'!U25</f>
        <v>20</v>
      </c>
      <c r="V55" s="389">
        <f>IF($C55="","",U55*VLOOKUP($C55,MINIPELLE!$A$2:$D$28,4,0))</f>
        <v>1</v>
      </c>
      <c r="W55" s="364">
        <f>'Outils de calculs'!W25</f>
        <v>24</v>
      </c>
      <c r="X55" s="389">
        <f>IF($C55="","",W55*VLOOKUP($C55,MINIPELLE!$A$2:$D$28,4,0))</f>
        <v>1.2000000000000002</v>
      </c>
      <c r="Y55" s="364">
        <f>'Outils de calculs'!Y25</f>
        <v>24</v>
      </c>
      <c r="Z55" s="389">
        <f>IF($C55="","",Y55*VLOOKUP($C55,MINIPELLE!$A$2:$D$28,4,0))</f>
        <v>1.2000000000000002</v>
      </c>
      <c r="AA55" s="364">
        <f>'Outils de calculs'!AA25</f>
        <v>28</v>
      </c>
      <c r="AB55" s="389">
        <f>IF($C55="","",AA55*VLOOKUP($C55,MINIPELLE!$A$2:$D$28,4,0))</f>
        <v>1.4000000000000001</v>
      </c>
      <c r="AC55" s="364">
        <f>'Outils de calculs'!AC25</f>
        <v>28</v>
      </c>
      <c r="AD55" s="389">
        <f>IF($C55="","",AC55*VLOOKUP($C55,MINIPELLE!$A$2:$D$28,4,0))</f>
        <v>1.4000000000000001</v>
      </c>
      <c r="AE55" s="364">
        <f>'Outils de calculs'!AE25</f>
        <v>32</v>
      </c>
      <c r="AF55" s="389">
        <f>IF($C55="","",AE55*VLOOKUP($C55,MINIPELLE!$A$2:$D$28,4,0))</f>
        <v>1.6</v>
      </c>
      <c r="AG55" s="364">
        <f>'Outils de calculs'!AG25</f>
        <v>36</v>
      </c>
      <c r="AH55" s="389">
        <f>IF($C55="","",AG55*VLOOKUP($C55,MINIPELLE!$A$2:$D$28,4,0))</f>
        <v>1.8</v>
      </c>
      <c r="AI55" s="364">
        <f>'Outils de calculs'!AI25</f>
        <v>36</v>
      </c>
      <c r="AJ55" s="389">
        <f>IF($C55="","",AI55*VLOOKUP($C55,MINIPELLE!$A$2:$D$28,4,0))</f>
        <v>1.8</v>
      </c>
      <c r="AK55" s="364">
        <f>'Outils de calculs'!AK25</f>
        <v>40</v>
      </c>
      <c r="AL55" s="389">
        <f>IF($C55="","",AK55*VLOOKUP($C55,MINIPELLE!$A$2:$D$28,4,0))</f>
        <v>2</v>
      </c>
      <c r="AM55" s="364">
        <f>'Outils de calculs'!AM25</f>
        <v>40</v>
      </c>
      <c r="AN55" s="389">
        <f>IF($C55="","",AM55*VLOOKUP($C55,MINIPELLE!$A$2:$D$28,4,0))</f>
        <v>2</v>
      </c>
    </row>
    <row r="56" spans="1:42" ht="15" customHeight="1" x14ac:dyDescent="0.2">
      <c r="A56" s="1575"/>
      <c r="B56" s="361" t="s">
        <v>374</v>
      </c>
      <c r="C56" s="1403" t="s">
        <v>373</v>
      </c>
      <c r="D56" s="363" t="str">
        <f>IF(C56="","",VLOOKUP($C56,MINIPELLE!$A$2:$C$28,3,0))</f>
        <v>m²</v>
      </c>
      <c r="E56" s="364">
        <f>'Outils de calculs'!E25</f>
        <v>4</v>
      </c>
      <c r="F56" s="389">
        <f>IF($C56="","",E56*VLOOKUP($C56,MINIPELLE!$A$2:$D$28,4,0))</f>
        <v>0.2</v>
      </c>
      <c r="G56" s="364">
        <f>'Outils de calculs'!G25</f>
        <v>6</v>
      </c>
      <c r="H56" s="389">
        <f>IF($C56="","",G56*VLOOKUP($C56,MINIPELLE!$A$2:$D$28,4,0))</f>
        <v>0.30000000000000004</v>
      </c>
      <c r="I56" s="364">
        <f>'Outils de calculs'!I25</f>
        <v>8</v>
      </c>
      <c r="J56" s="389">
        <f>IF($C56="","",I56*VLOOKUP($C56,MINIPELLE!$A$2:$D$28,4,0))</f>
        <v>0.4</v>
      </c>
      <c r="K56" s="364">
        <f>'Outils de calculs'!K25</f>
        <v>10</v>
      </c>
      <c r="L56" s="389">
        <f>IF($C56="","",K56*VLOOKUP($C56,MINIPELLE!$A$2:$D$28,4,0))</f>
        <v>0.5</v>
      </c>
      <c r="M56" s="364">
        <f>'Outils de calculs'!M25</f>
        <v>12</v>
      </c>
      <c r="N56" s="389">
        <f>IF($C56="","",M56*VLOOKUP($C56,MINIPELLE!$A$2:$D$28,4,0))</f>
        <v>0.60000000000000009</v>
      </c>
      <c r="O56" s="364">
        <f>'Outils de calculs'!O25</f>
        <v>14</v>
      </c>
      <c r="P56" s="389">
        <f>IF($C56="","",O56*VLOOKUP($C56,MINIPELLE!$A$2:$D$28,4,0))</f>
        <v>0.70000000000000007</v>
      </c>
      <c r="Q56" s="364">
        <f>'Outils de calculs'!Q25</f>
        <v>16</v>
      </c>
      <c r="R56" s="389">
        <f>IF($C56="","",Q56*VLOOKUP($C56,MINIPELLE!$A$2:$D$28,4,0))</f>
        <v>0.8</v>
      </c>
      <c r="S56" s="364">
        <f>'Outils de calculs'!S25</f>
        <v>18</v>
      </c>
      <c r="T56" s="389">
        <f>IF($C56="","",S56*VLOOKUP($C56,MINIPELLE!$A$2:$D$28,4,0))</f>
        <v>0.9</v>
      </c>
      <c r="U56" s="364">
        <f>'Outils de calculs'!U25</f>
        <v>20</v>
      </c>
      <c r="V56" s="389">
        <f>IF($C56="","",U56*VLOOKUP($C56,MINIPELLE!$A$2:$D$28,4,0))</f>
        <v>1</v>
      </c>
      <c r="W56" s="364">
        <f>'Outils de calculs'!W25</f>
        <v>24</v>
      </c>
      <c r="X56" s="389">
        <f>IF($C56="","",W56*VLOOKUP($C56,MINIPELLE!$A$2:$D$28,4,0))</f>
        <v>1.2000000000000002</v>
      </c>
      <c r="Y56" s="364">
        <f>'Outils de calculs'!Y25</f>
        <v>24</v>
      </c>
      <c r="Z56" s="389">
        <f>IF($C56="","",Y56*VLOOKUP($C56,MINIPELLE!$A$2:$D$28,4,0))</f>
        <v>1.2000000000000002</v>
      </c>
      <c r="AA56" s="364">
        <f>'Outils de calculs'!AA25</f>
        <v>28</v>
      </c>
      <c r="AB56" s="389">
        <f>IF($C56="","",AA56*VLOOKUP($C56,MINIPELLE!$A$2:$D$28,4,0))</f>
        <v>1.4000000000000001</v>
      </c>
      <c r="AC56" s="364">
        <f>'Outils de calculs'!AC25</f>
        <v>28</v>
      </c>
      <c r="AD56" s="389">
        <f>IF($C56="","",AC56*VLOOKUP($C56,MINIPELLE!$A$2:$D$28,4,0))</f>
        <v>1.4000000000000001</v>
      </c>
      <c r="AE56" s="364">
        <f>'Outils de calculs'!AE25</f>
        <v>32</v>
      </c>
      <c r="AF56" s="389">
        <f>IF($C56="","",AE56*VLOOKUP($C56,MINIPELLE!$A$2:$D$28,4,0))</f>
        <v>1.6</v>
      </c>
      <c r="AG56" s="364">
        <f>'Outils de calculs'!AG25</f>
        <v>36</v>
      </c>
      <c r="AH56" s="389">
        <f>IF($C56="","",AG56*VLOOKUP($C56,MINIPELLE!$A$2:$D$28,4,0))</f>
        <v>1.8</v>
      </c>
      <c r="AI56" s="364">
        <f>'Outils de calculs'!AI25</f>
        <v>36</v>
      </c>
      <c r="AJ56" s="389">
        <f>IF($C56="","",AI56*VLOOKUP($C56,MINIPELLE!$A$2:$D$28,4,0))</f>
        <v>1.8</v>
      </c>
      <c r="AK56" s="364">
        <f>'Outils de calculs'!AK25</f>
        <v>40</v>
      </c>
      <c r="AL56" s="389">
        <f>IF($C56="","",AK56*VLOOKUP($C56,MINIPELLE!$A$2:$D$28,4,0))</f>
        <v>2</v>
      </c>
      <c r="AM56" s="364">
        <f>'Outils de calculs'!AM25</f>
        <v>40</v>
      </c>
      <c r="AN56" s="389">
        <f>IF($C56="","",AM56*VLOOKUP($C56,MINIPELLE!$A$2:$D$28,4,0))</f>
        <v>2</v>
      </c>
    </row>
    <row r="57" spans="1:42" ht="15" customHeight="1" x14ac:dyDescent="0.2">
      <c r="A57" s="1575"/>
      <c r="B57" s="361" t="s">
        <v>374</v>
      </c>
      <c r="C57" s="1403" t="s">
        <v>379</v>
      </c>
      <c r="D57" s="363" t="str">
        <f>IF(C57="","",VLOOKUP($C57,MINIPELLE!$A$2:$C$28,3,0))</f>
        <v>m3</v>
      </c>
      <c r="E57" s="364">
        <f>'Outils de calculs'!E25*0.4</f>
        <v>1.6</v>
      </c>
      <c r="F57" s="389">
        <f>IF($C57="","",E57*VLOOKUP($C57,MINIPELLE!$A$2:$D$28,4,0))</f>
        <v>0.48</v>
      </c>
      <c r="G57" s="364">
        <f>'Outils de calculs'!G25*0.4</f>
        <v>2.4000000000000004</v>
      </c>
      <c r="H57" s="389">
        <f>IF($C57="","",G57*VLOOKUP($C57,MINIPELLE!$A$2:$D$28,4,0))</f>
        <v>0.72000000000000008</v>
      </c>
      <c r="I57" s="364">
        <f>'Outils de calculs'!I25*0.4</f>
        <v>3.2</v>
      </c>
      <c r="J57" s="389">
        <f>IF($C57="","",I57*VLOOKUP($C57,MINIPELLE!$A$2:$D$28,4,0))</f>
        <v>0.96</v>
      </c>
      <c r="K57" s="364">
        <f>'Outils de calculs'!K25*0.4</f>
        <v>4</v>
      </c>
      <c r="L57" s="389">
        <f>IF($C57="","",K57*VLOOKUP($C57,MINIPELLE!$A$2:$D$28,4,0))</f>
        <v>1.2</v>
      </c>
      <c r="M57" s="364">
        <f>'Outils de calculs'!M25*0.4</f>
        <v>4.8000000000000007</v>
      </c>
      <c r="N57" s="389">
        <f>IF($C57="","",M57*VLOOKUP($C57,MINIPELLE!$A$2:$D$28,4,0))</f>
        <v>1.4400000000000002</v>
      </c>
      <c r="O57" s="364">
        <f>'Outils de calculs'!O25*0.4</f>
        <v>5.6000000000000005</v>
      </c>
      <c r="P57" s="389">
        <f>IF($C57="","",O57*VLOOKUP($C57,MINIPELLE!$A$2:$D$28,4,0))</f>
        <v>1.6800000000000002</v>
      </c>
      <c r="Q57" s="364">
        <f>'Outils de calculs'!Q25*0.4</f>
        <v>6.4</v>
      </c>
      <c r="R57" s="389">
        <f>IF($C57="","",Q57*VLOOKUP($C57,MINIPELLE!$A$2:$D$28,4,0))</f>
        <v>1.92</v>
      </c>
      <c r="S57" s="364">
        <f>'Outils de calculs'!S25*0.4</f>
        <v>7.2</v>
      </c>
      <c r="T57" s="389">
        <f>IF($C57="","",S57*VLOOKUP($C57,MINIPELLE!$A$2:$D$28,4,0))</f>
        <v>2.16</v>
      </c>
      <c r="U57" s="364">
        <f>'Outils de calculs'!U25*0.4</f>
        <v>8</v>
      </c>
      <c r="V57" s="389">
        <f>IF($C57="","",U57*VLOOKUP($C57,MINIPELLE!$A$2:$D$28,4,0))</f>
        <v>2.4</v>
      </c>
      <c r="W57" s="364">
        <f>'Outils de calculs'!W25*0.4</f>
        <v>9.6000000000000014</v>
      </c>
      <c r="X57" s="389">
        <f>IF($C57="","",W57*VLOOKUP($C57,MINIPELLE!$A$2:$D$28,4,0))</f>
        <v>2.8800000000000003</v>
      </c>
      <c r="Y57" s="364">
        <f>'Outils de calculs'!Y25*0.4</f>
        <v>9.6000000000000014</v>
      </c>
      <c r="Z57" s="389">
        <f>IF($C57="","",Y57*VLOOKUP($C57,MINIPELLE!$A$2:$D$28,4,0))</f>
        <v>2.8800000000000003</v>
      </c>
      <c r="AA57" s="364">
        <f>'Outils de calculs'!AA25*0.4</f>
        <v>11.200000000000001</v>
      </c>
      <c r="AB57" s="389">
        <f>IF($C57="","",AA57*VLOOKUP($C57,MINIPELLE!$A$2:$D$28,4,0))</f>
        <v>3.3600000000000003</v>
      </c>
      <c r="AC57" s="364">
        <f>'Outils de calculs'!AC25*0.4</f>
        <v>11.200000000000001</v>
      </c>
      <c r="AD57" s="389">
        <f>IF($C57="","",AC57*VLOOKUP($C57,MINIPELLE!$A$2:$D$28,4,0))</f>
        <v>3.3600000000000003</v>
      </c>
      <c r="AE57" s="364">
        <f>'Outils de calculs'!AE25*0.4</f>
        <v>12.8</v>
      </c>
      <c r="AF57" s="389">
        <f>IF($C57="","",AE57*VLOOKUP($C57,MINIPELLE!$A$2:$D$28,4,0))</f>
        <v>3.84</v>
      </c>
      <c r="AG57" s="364">
        <f>'Outils de calculs'!AG25*0.4</f>
        <v>14.4</v>
      </c>
      <c r="AH57" s="389">
        <f>IF($C57="","",AG57*VLOOKUP($C57,MINIPELLE!$A$2:$D$28,4,0))</f>
        <v>4.32</v>
      </c>
      <c r="AI57" s="364">
        <f>'Outils de calculs'!AI25*0.4</f>
        <v>14.4</v>
      </c>
      <c r="AJ57" s="389">
        <f>IF($C57="","",AI57*VLOOKUP($C57,MINIPELLE!$A$2:$D$28,4,0))</f>
        <v>4.32</v>
      </c>
      <c r="AK57" s="364">
        <f>'Outils de calculs'!AK25*0.4</f>
        <v>16</v>
      </c>
      <c r="AL57" s="389">
        <f>IF($C57="","",AK57*VLOOKUP($C57,MINIPELLE!$A$2:$D$28,4,0))</f>
        <v>4.8</v>
      </c>
      <c r="AM57" s="364">
        <f>'Outils de calculs'!AM25*0.4</f>
        <v>16</v>
      </c>
      <c r="AN57" s="389">
        <f>IF($C57="","",AM57*VLOOKUP($C57,MINIPELLE!$A$2:$D$28,4,0))</f>
        <v>4.8</v>
      </c>
    </row>
    <row r="58" spans="1:42" ht="29.25" customHeight="1" x14ac:dyDescent="0.2">
      <c r="A58" s="1575"/>
      <c r="B58" s="384" t="s">
        <v>454</v>
      </c>
      <c r="C58" s="385" t="s">
        <v>455</v>
      </c>
      <c r="D58" s="386" t="s">
        <v>451</v>
      </c>
      <c r="E58" s="387">
        <f>F58*Simulation!$P$10</f>
        <v>70.400000000000006</v>
      </c>
      <c r="F58" s="388">
        <f>SUM(F55:F57)</f>
        <v>0.88</v>
      </c>
      <c r="G58" s="387">
        <f>H58*Simulation!$P$10</f>
        <v>105.60000000000002</v>
      </c>
      <c r="H58" s="388">
        <f>SUM(H55:H57)</f>
        <v>1.3200000000000003</v>
      </c>
      <c r="I58" s="387">
        <f>J58*Simulation!$P$10</f>
        <v>140.80000000000001</v>
      </c>
      <c r="J58" s="388">
        <f>SUM(J55:J57)</f>
        <v>1.76</v>
      </c>
      <c r="K58" s="387">
        <f>L58*Simulation!$P$10</f>
        <v>176</v>
      </c>
      <c r="L58" s="388">
        <f>SUM(L55:L57)</f>
        <v>2.2000000000000002</v>
      </c>
      <c r="M58" s="387">
        <f>N58*Simulation!$P$10</f>
        <v>211.20000000000005</v>
      </c>
      <c r="N58" s="388">
        <f>SUM(N55:N57)</f>
        <v>2.6400000000000006</v>
      </c>
      <c r="O58" s="387">
        <f>P58*Simulation!$P$10</f>
        <v>246.4</v>
      </c>
      <c r="P58" s="388">
        <f>SUM(P55:P57)</f>
        <v>3.08</v>
      </c>
      <c r="Q58" s="387">
        <f>R58*Simulation!$P$10</f>
        <v>281.60000000000002</v>
      </c>
      <c r="R58" s="388">
        <f>SUM(R55:R57)</f>
        <v>3.52</v>
      </c>
      <c r="S58" s="387">
        <f>T58*Simulation!$P$10</f>
        <v>316.8</v>
      </c>
      <c r="T58" s="388">
        <f>SUM(T55:T57)</f>
        <v>3.96</v>
      </c>
      <c r="U58" s="387">
        <f>V58*Simulation!$P$10</f>
        <v>352</v>
      </c>
      <c r="V58" s="388">
        <f>SUM(V55:V57)</f>
        <v>4.4000000000000004</v>
      </c>
      <c r="W58" s="387">
        <f>X58*Simulation!$P$10</f>
        <v>422.40000000000009</v>
      </c>
      <c r="X58" s="388">
        <f>SUM(X55:X57)</f>
        <v>5.2800000000000011</v>
      </c>
      <c r="Y58" s="387">
        <f>Z58*Simulation!$P$10</f>
        <v>422.40000000000009</v>
      </c>
      <c r="Z58" s="388">
        <f>SUM(Z55:Z57)</f>
        <v>5.2800000000000011</v>
      </c>
      <c r="AA58" s="387">
        <f>AB58*Simulation!$P$10</f>
        <v>492.8</v>
      </c>
      <c r="AB58" s="388">
        <f>SUM(AB55:AB57)</f>
        <v>6.16</v>
      </c>
      <c r="AC58" s="387">
        <f>AD58*Simulation!$P$10</f>
        <v>492.8</v>
      </c>
      <c r="AD58" s="388">
        <f>SUM(AD55:AD57)</f>
        <v>6.16</v>
      </c>
      <c r="AE58" s="387">
        <f>AF58*Simulation!$P$10</f>
        <v>563.20000000000005</v>
      </c>
      <c r="AF58" s="388">
        <f>SUM(AF55:AF57)</f>
        <v>7.04</v>
      </c>
      <c r="AG58" s="387">
        <f>AH58*Simulation!$P$10</f>
        <v>633.6</v>
      </c>
      <c r="AH58" s="388">
        <f>SUM(AH55:AH57)</f>
        <v>7.92</v>
      </c>
      <c r="AI58" s="387">
        <f>AJ58*Simulation!$P$10</f>
        <v>633.6</v>
      </c>
      <c r="AJ58" s="388">
        <f>SUM(AJ55:AJ57)</f>
        <v>7.92</v>
      </c>
      <c r="AK58" s="387">
        <f>AL58*Simulation!$P$10</f>
        <v>704</v>
      </c>
      <c r="AL58" s="388">
        <f>SUM(AL55:AL57)</f>
        <v>8.8000000000000007</v>
      </c>
      <c r="AM58" s="387">
        <f>AN58*Simulation!$P$10</f>
        <v>704</v>
      </c>
      <c r="AN58" s="388">
        <f>SUM(AN55:AN57)</f>
        <v>8.8000000000000007</v>
      </c>
    </row>
    <row r="59" spans="1:42" x14ac:dyDescent="0.2">
      <c r="A59" s="199"/>
      <c r="B59" s="172"/>
      <c r="C59" s="200"/>
      <c r="D59" s="201"/>
      <c r="E59" s="202"/>
      <c r="F59" s="203"/>
      <c r="G59" s="202"/>
      <c r="H59" s="203"/>
      <c r="I59" s="202"/>
      <c r="J59" s="203"/>
      <c r="K59" s="202"/>
      <c r="L59" s="203"/>
      <c r="M59" s="202"/>
      <c r="N59" s="203"/>
      <c r="O59" s="202"/>
      <c r="P59" s="203"/>
      <c r="Q59" s="202"/>
      <c r="R59" s="203"/>
      <c r="S59" s="202"/>
      <c r="T59" s="203"/>
      <c r="U59" s="202"/>
      <c r="V59" s="203"/>
      <c r="W59" s="202"/>
      <c r="X59" s="203"/>
      <c r="Y59" s="202"/>
      <c r="Z59" s="203"/>
      <c r="AA59" s="202"/>
      <c r="AB59" s="203"/>
      <c r="AC59" s="202"/>
      <c r="AD59" s="203"/>
      <c r="AE59" s="202"/>
      <c r="AF59" s="203"/>
      <c r="AG59" s="202"/>
      <c r="AH59" s="203"/>
      <c r="AI59" s="202"/>
      <c r="AJ59" s="203"/>
      <c r="AK59" s="202"/>
      <c r="AL59" s="203"/>
      <c r="AM59" s="202"/>
      <c r="AN59" s="203"/>
    </row>
    <row r="60" spans="1:42" ht="36" customHeight="1" x14ac:dyDescent="0.2">
      <c r="A60" s="204"/>
      <c r="B60" s="1561" t="s">
        <v>456</v>
      </c>
      <c r="C60" s="1580" t="s">
        <v>445</v>
      </c>
      <c r="D60" s="1581"/>
      <c r="E60" s="1576">
        <f>E58+E54+E42+E36</f>
        <v>868.77660000000026</v>
      </c>
      <c r="F60" s="1577"/>
      <c r="G60" s="1576">
        <f>G58+G54+G42+G36</f>
        <v>1096.2040999999999</v>
      </c>
      <c r="H60" s="1577"/>
      <c r="I60" s="1576">
        <f>I58+I54+I42+I36</f>
        <v>1273.4091000000001</v>
      </c>
      <c r="J60" s="1577"/>
      <c r="K60" s="1576">
        <f>K58+K54+K42+K36</f>
        <v>1479.9360999999999</v>
      </c>
      <c r="L60" s="1577"/>
      <c r="M60" s="1576">
        <f>M58+M54+M42+M36</f>
        <v>1767.4920999999999</v>
      </c>
      <c r="N60" s="1577"/>
      <c r="O60" s="1576">
        <f>O58+O54+O42+O36</f>
        <v>1956.7681000000002</v>
      </c>
      <c r="P60" s="1577"/>
      <c r="Q60" s="1576">
        <f>Q58+Q54+Q42+Q36</f>
        <v>2196.9521</v>
      </c>
      <c r="R60" s="1577"/>
      <c r="S60" s="1576">
        <f>S58+S54+S42+S36</f>
        <v>2384.4661000000001</v>
      </c>
      <c r="T60" s="1577"/>
      <c r="U60" s="1576">
        <f>U58+U54+U42+U36</f>
        <v>2607.6851000000001</v>
      </c>
      <c r="V60" s="1577"/>
      <c r="W60" s="1576">
        <f>W58+W54+W42+W36</f>
        <v>3026.9660999999992</v>
      </c>
      <c r="X60" s="1577"/>
      <c r="Y60" s="1576">
        <f>Y58+Y54+Y42+Y36</f>
        <v>3026.9660999999992</v>
      </c>
      <c r="Z60" s="1577"/>
      <c r="AA60" s="1576">
        <f>AA58+AA54+AA42+AA36</f>
        <v>3386.1127000000006</v>
      </c>
      <c r="AB60" s="1577"/>
      <c r="AC60" s="1576">
        <f>AC58+AC54+AC42+AC36</f>
        <v>3386.1127000000006</v>
      </c>
      <c r="AD60" s="1577"/>
      <c r="AE60" s="1576">
        <f>AE58+AE54+AE42+AE36</f>
        <v>3836.5441000000001</v>
      </c>
      <c r="AF60" s="1577"/>
      <c r="AG60" s="1576">
        <f>AG58+AG54+AG42+AG36</f>
        <v>4406.9501</v>
      </c>
      <c r="AH60" s="1577"/>
      <c r="AI60" s="1576">
        <f>AI58+AI54+AI42+AI36</f>
        <v>4406.9501</v>
      </c>
      <c r="AJ60" s="1577"/>
      <c r="AK60" s="1576">
        <f>AK58+AK54+AK42+AK36</f>
        <v>4722.4804999999997</v>
      </c>
      <c r="AL60" s="1577"/>
      <c r="AM60" s="1576">
        <f>AM58+AM54+AM42+AM36</f>
        <v>4722.4804999999997</v>
      </c>
      <c r="AN60" s="1577"/>
    </row>
    <row r="61" spans="1:42" ht="18" customHeight="1" x14ac:dyDescent="0.2">
      <c r="A61" s="154"/>
      <c r="B61" s="1562"/>
      <c r="C61" s="1578" t="s">
        <v>457</v>
      </c>
      <c r="D61" s="1579"/>
      <c r="E61" s="149">
        <f>E36-F36</f>
        <v>146.03835000000004</v>
      </c>
      <c r="F61" s="207">
        <f>E61/E$60</f>
        <v>0.16809655094301573</v>
      </c>
      <c r="G61" s="149">
        <f>G36-H36</f>
        <v>182.25959999999998</v>
      </c>
      <c r="H61" s="207">
        <f>G61/G$60</f>
        <v>0.16626429330085518</v>
      </c>
      <c r="I61" s="149">
        <f>I36-J36</f>
        <v>206.85210000000006</v>
      </c>
      <c r="J61" s="207">
        <f>I61/I$60</f>
        <v>0.16243962761063985</v>
      </c>
      <c r="K61" s="149">
        <f>K36-L36</f>
        <v>238.28909999999996</v>
      </c>
      <c r="L61" s="207">
        <f>K61/K$60</f>
        <v>0.16101310049805528</v>
      </c>
      <c r="M61" s="149">
        <f>M36-N36</f>
        <v>288.42510000000004</v>
      </c>
      <c r="N61" s="207">
        <f>M61/M$60</f>
        <v>0.16318324704251863</v>
      </c>
      <c r="O61" s="149">
        <f>O36-P36</f>
        <v>315.88110000000006</v>
      </c>
      <c r="P61" s="207">
        <f>O61/O$60</f>
        <v>0.16143001309148489</v>
      </c>
      <c r="Q61" s="149">
        <f>Q36-R36</f>
        <v>355.08510000000001</v>
      </c>
      <c r="R61" s="207">
        <f>Q61/Q$60</f>
        <v>0.16162623663938783</v>
      </c>
      <c r="S61" s="149">
        <f>S36-T36</f>
        <v>382.05660000000012</v>
      </c>
      <c r="T61" s="207">
        <f>S61/S$60</f>
        <v>0.16022731461772516</v>
      </c>
      <c r="U61" s="149">
        <f>U36-V36</f>
        <v>417.3456000000001</v>
      </c>
      <c r="V61" s="207">
        <f>U61/U$60</f>
        <v>0.16004447776305508</v>
      </c>
      <c r="W61" s="149">
        <f>W36-X36</f>
        <v>481.65660000000003</v>
      </c>
      <c r="X61" s="207">
        <f>W61/W$60</f>
        <v>0.15912190096876214</v>
      </c>
      <c r="Y61" s="149">
        <f>Y36-Z36</f>
        <v>481.65660000000003</v>
      </c>
      <c r="Z61" s="207">
        <f>Y61/Y$60</f>
        <v>0.15912190096876214</v>
      </c>
      <c r="AA61" s="149">
        <f>AA36-AB36</f>
        <v>532.04370000000017</v>
      </c>
      <c r="AB61" s="207">
        <f>AA61/AA$60</f>
        <v>0.15712521913402352</v>
      </c>
      <c r="AC61" s="149">
        <f>AC36-AD36</f>
        <v>532.04370000000017</v>
      </c>
      <c r="AD61" s="207">
        <f>AC61/AC$60</f>
        <v>0.15712521913402352</v>
      </c>
      <c r="AE61" s="149">
        <f>AE36-AF36</f>
        <v>603.51210000000015</v>
      </c>
      <c r="AF61" s="207">
        <f>AE61/AE$60</f>
        <v>0.15730618084124204</v>
      </c>
      <c r="AG61" s="149">
        <f>AG36-AH36</f>
        <v>702.69810000000007</v>
      </c>
      <c r="AH61" s="207">
        <f>AG61/AG$60</f>
        <v>0.15945224793899981</v>
      </c>
      <c r="AI61" s="149">
        <f>AI36-AJ36</f>
        <v>702.69810000000007</v>
      </c>
      <c r="AJ61" s="207">
        <f>AI61/AI$60</f>
        <v>0.15945224793899981</v>
      </c>
      <c r="AK61" s="149">
        <f>AK36-AL36</f>
        <v>743.03549999999996</v>
      </c>
      <c r="AL61" s="207">
        <f>AK61/AK$60</f>
        <v>0.15734008854033385</v>
      </c>
      <c r="AM61" s="149">
        <f>AM36-AN36</f>
        <v>743.03549999999996</v>
      </c>
      <c r="AN61" s="207">
        <f>AM61/AM$60</f>
        <v>0.15734008854033385</v>
      </c>
    </row>
    <row r="62" spans="1:42" ht="18" customHeight="1" x14ac:dyDescent="0.2">
      <c r="A62" s="154"/>
      <c r="B62" s="1562"/>
      <c r="C62" s="1578" t="s">
        <v>9</v>
      </c>
      <c r="D62" s="1579"/>
      <c r="E62" s="149">
        <f>E36</f>
        <v>632.83285000000024</v>
      </c>
      <c r="F62" s="207">
        <f>E62/E$60</f>
        <v>0.72841838741973486</v>
      </c>
      <c r="G62" s="149">
        <f>G36</f>
        <v>789.7915999999999</v>
      </c>
      <c r="H62" s="207">
        <f>G62/G$60</f>
        <v>0.72047860430370581</v>
      </c>
      <c r="I62" s="149">
        <f>I36</f>
        <v>896.35910000000013</v>
      </c>
      <c r="J62" s="207">
        <f>I62/I$60</f>
        <v>0.70390505297943928</v>
      </c>
      <c r="K62" s="149">
        <f>K36</f>
        <v>1032.5861</v>
      </c>
      <c r="L62" s="207">
        <f>K62/K$60</f>
        <v>0.69772343549157301</v>
      </c>
      <c r="M62" s="149">
        <f>M36</f>
        <v>1249.8420999999998</v>
      </c>
      <c r="N62" s="207">
        <f>M62/M$60</f>
        <v>0.70712740385091388</v>
      </c>
      <c r="O62" s="149">
        <f>O36</f>
        <v>1368.8181000000002</v>
      </c>
      <c r="P62" s="207">
        <f>O62/O$60</f>
        <v>0.69953005672976787</v>
      </c>
      <c r="Q62" s="149">
        <f>Q36</f>
        <v>1538.7021</v>
      </c>
      <c r="R62" s="207">
        <f>Q62/Q$60</f>
        <v>0.7003803587706805</v>
      </c>
      <c r="S62" s="149">
        <f>S36</f>
        <v>1655.5786000000003</v>
      </c>
      <c r="T62" s="207">
        <f>S62/S$60</f>
        <v>0.69431836334347563</v>
      </c>
      <c r="U62" s="149">
        <f>U36</f>
        <v>1808.4976000000001</v>
      </c>
      <c r="V62" s="207">
        <f>U62/U$60</f>
        <v>0.69352607030657187</v>
      </c>
      <c r="W62" s="149">
        <f>W36</f>
        <v>2087.1785999999993</v>
      </c>
      <c r="X62" s="207">
        <f>W62/W$60</f>
        <v>0.68952823753130232</v>
      </c>
      <c r="Y62" s="149">
        <f>Y36</f>
        <v>2087.1785999999993</v>
      </c>
      <c r="Z62" s="207">
        <f>Y62/Y$60</f>
        <v>0.68952823753130232</v>
      </c>
      <c r="AA62" s="149">
        <f>AA36</f>
        <v>2305.5227000000004</v>
      </c>
      <c r="AB62" s="207">
        <f>AA62/AA$60</f>
        <v>0.68087594958076858</v>
      </c>
      <c r="AC62" s="149">
        <f>AC36</f>
        <v>2305.5227000000004</v>
      </c>
      <c r="AD62" s="207">
        <f>AC62/AC$60</f>
        <v>0.68087594958076858</v>
      </c>
      <c r="AE62" s="149">
        <f>AE36</f>
        <v>2615.2190999999998</v>
      </c>
      <c r="AF62" s="207">
        <f>AE62/AE$60</f>
        <v>0.6816601169787152</v>
      </c>
      <c r="AG62" s="149">
        <f>AG36</f>
        <v>3045.0251000000003</v>
      </c>
      <c r="AH62" s="207">
        <f>AG62/AG$60</f>
        <v>0.69095974106899927</v>
      </c>
      <c r="AI62" s="149">
        <f>AI36</f>
        <v>3045.0251000000003</v>
      </c>
      <c r="AJ62" s="207">
        <f>AI62/AI$60</f>
        <v>0.69095974106899927</v>
      </c>
      <c r="AK62" s="149">
        <f>AK36</f>
        <v>3219.8204999999998</v>
      </c>
      <c r="AL62" s="207">
        <f>AK62/AK$60</f>
        <v>0.68180705034144662</v>
      </c>
      <c r="AM62" s="149">
        <f>AM36</f>
        <v>3219.8204999999998</v>
      </c>
      <c r="AN62" s="207">
        <f>AM62/AM$60</f>
        <v>0.68180705034144662</v>
      </c>
    </row>
    <row r="63" spans="1:42" ht="18" customHeight="1" x14ac:dyDescent="0.2">
      <c r="A63" s="154"/>
      <c r="B63" s="1562"/>
      <c r="C63" s="1578" t="s">
        <v>458</v>
      </c>
      <c r="D63" s="1579"/>
      <c r="E63" s="149">
        <f>E42</f>
        <v>30.150000000000002</v>
      </c>
      <c r="F63" s="207">
        <f>E63/E$60</f>
        <v>3.47039733804985E-2</v>
      </c>
      <c r="G63" s="149">
        <f>G42</f>
        <v>30.150000000000002</v>
      </c>
      <c r="H63" s="207">
        <f>G63/G$60</f>
        <v>2.750400222002454E-2</v>
      </c>
      <c r="I63" s="149">
        <f>I42</f>
        <v>30.150000000000002</v>
      </c>
      <c r="J63" s="207">
        <f>I63/I$60</f>
        <v>2.3676601651425298E-2</v>
      </c>
      <c r="K63" s="149">
        <f>K42</f>
        <v>30.150000000000002</v>
      </c>
      <c r="L63" s="207">
        <f>K63/K$60</f>
        <v>2.037250121812692E-2</v>
      </c>
      <c r="M63" s="149">
        <f>M42</f>
        <v>30.150000000000002</v>
      </c>
      <c r="N63" s="207">
        <f>M63/M$60</f>
        <v>1.7058067756002986E-2</v>
      </c>
      <c r="O63" s="149">
        <f>O42</f>
        <v>30.150000000000002</v>
      </c>
      <c r="P63" s="207">
        <f>O63/O$60</f>
        <v>1.5408059851343652E-2</v>
      </c>
      <c r="Q63" s="149">
        <f>Q42</f>
        <v>30.150000000000002</v>
      </c>
      <c r="R63" s="207">
        <f>Q63/Q$60</f>
        <v>1.3723558196830965E-2</v>
      </c>
      <c r="S63" s="149">
        <f>S42</f>
        <v>30.150000000000002</v>
      </c>
      <c r="T63" s="207">
        <f>S63/S$60</f>
        <v>1.2644339963566687E-2</v>
      </c>
      <c r="U63" s="149">
        <f>U42</f>
        <v>30.150000000000002</v>
      </c>
      <c r="V63" s="207">
        <f>U63/U$60</f>
        <v>1.1561978860100861E-2</v>
      </c>
      <c r="W63" s="149">
        <f>W42</f>
        <v>30.150000000000002</v>
      </c>
      <c r="X63" s="207">
        <f>W63/W$60</f>
        <v>9.9604683382479939E-3</v>
      </c>
      <c r="Y63" s="149">
        <f>Y42</f>
        <v>30.150000000000002</v>
      </c>
      <c r="Z63" s="207">
        <f>Y63/Y$60</f>
        <v>9.9604683382479939E-3</v>
      </c>
      <c r="AA63" s="149">
        <f>AA42</f>
        <v>30.150000000000002</v>
      </c>
      <c r="AB63" s="207">
        <f>AA63/AA$60</f>
        <v>8.9040155101748376E-3</v>
      </c>
      <c r="AC63" s="149">
        <f>AC42</f>
        <v>30.150000000000002</v>
      </c>
      <c r="AD63" s="207">
        <f>AC63/AC$60</f>
        <v>8.9040155101748376E-3</v>
      </c>
      <c r="AE63" s="149">
        <f>AE42</f>
        <v>30.150000000000002</v>
      </c>
      <c r="AF63" s="207">
        <f>AE63/AE$60</f>
        <v>7.8586350669082629E-3</v>
      </c>
      <c r="AG63" s="149">
        <f>AG42</f>
        <v>30.150000000000002</v>
      </c>
      <c r="AH63" s="207">
        <f>AG63/AG$60</f>
        <v>6.8414661650015056E-3</v>
      </c>
      <c r="AI63" s="149">
        <f>AI42</f>
        <v>30.150000000000002</v>
      </c>
      <c r="AJ63" s="207">
        <f>AI63/AI$60</f>
        <v>6.8414661650015056E-3</v>
      </c>
      <c r="AK63" s="149">
        <f>AK42</f>
        <v>30.150000000000002</v>
      </c>
      <c r="AL63" s="207">
        <f>AK63/AK$60</f>
        <v>6.384356695596732E-3</v>
      </c>
      <c r="AM63" s="149">
        <f>AM42</f>
        <v>30.150000000000002</v>
      </c>
      <c r="AN63" s="207">
        <f>AM63/AM$60</f>
        <v>6.384356695596732E-3</v>
      </c>
    </row>
    <row r="64" spans="1:42" ht="18" customHeight="1" x14ac:dyDescent="0.2">
      <c r="A64" s="154"/>
      <c r="B64" s="1562"/>
      <c r="C64" s="1578" t="s">
        <v>459</v>
      </c>
      <c r="D64" s="1579"/>
      <c r="E64" s="149">
        <f>E54</f>
        <v>135.39375000000001</v>
      </c>
      <c r="F64" s="207">
        <f>E64/E$60</f>
        <v>0.15584414911727593</v>
      </c>
      <c r="G64" s="149">
        <f>G54</f>
        <v>170.66250000000002</v>
      </c>
      <c r="H64" s="207">
        <f>G64/G$60</f>
        <v>0.15568496779021354</v>
      </c>
      <c r="I64" s="149">
        <f>I54</f>
        <v>206.1</v>
      </c>
      <c r="J64" s="207">
        <f>I64/I$60</f>
        <v>0.16184900830377291</v>
      </c>
      <c r="K64" s="149">
        <f>K54</f>
        <v>241.2</v>
      </c>
      <c r="L64" s="207">
        <f>K64/K$60</f>
        <v>0.16298000974501534</v>
      </c>
      <c r="M64" s="149">
        <f>M54</f>
        <v>276.3</v>
      </c>
      <c r="N64" s="207">
        <f>M64/M$60</f>
        <v>0.15632318809232584</v>
      </c>
      <c r="O64" s="149">
        <f>O54</f>
        <v>311.40000000000003</v>
      </c>
      <c r="P64" s="207">
        <f>O64/O$60</f>
        <v>0.15913996144969861</v>
      </c>
      <c r="Q64" s="149">
        <f>Q54</f>
        <v>346.50000000000006</v>
      </c>
      <c r="R64" s="207">
        <f>Q64/Q$60</f>
        <v>0.15771850465014692</v>
      </c>
      <c r="S64" s="149">
        <f>S54</f>
        <v>381.93749999999994</v>
      </c>
      <c r="T64" s="207">
        <f>S64/S$60</f>
        <v>0.1601773663295108</v>
      </c>
      <c r="U64" s="149">
        <f>U54</f>
        <v>417.03750000000002</v>
      </c>
      <c r="V64" s="207">
        <f>U64/U$60</f>
        <v>0.15992632699400705</v>
      </c>
      <c r="W64" s="149">
        <f>W54</f>
        <v>487.23750000000001</v>
      </c>
      <c r="X64" s="207">
        <f>W64/W$60</f>
        <v>0.1609656282572838</v>
      </c>
      <c r="Y64" s="149">
        <f>Y54</f>
        <v>487.23750000000001</v>
      </c>
      <c r="Z64" s="207">
        <f>Y64/Y$60</f>
        <v>0.1609656282572838</v>
      </c>
      <c r="AA64" s="149">
        <f>AA54</f>
        <v>557.6400000000001</v>
      </c>
      <c r="AB64" s="207">
        <f>AA64/AA$60</f>
        <v>0.16468441821206956</v>
      </c>
      <c r="AC64" s="149">
        <f>AC54</f>
        <v>557.6400000000001</v>
      </c>
      <c r="AD64" s="207">
        <f>AC64/AC$60</f>
        <v>0.16468441821206956</v>
      </c>
      <c r="AE64" s="149">
        <f>AE54</f>
        <v>627.97500000000002</v>
      </c>
      <c r="AF64" s="207">
        <f>AE64/AE$60</f>
        <v>0.16368246620702209</v>
      </c>
      <c r="AG64" s="149">
        <f>AG54</f>
        <v>698.17499999999995</v>
      </c>
      <c r="AH64" s="207">
        <f>AG64/AG$60</f>
        <v>0.15842589186566916</v>
      </c>
      <c r="AI64" s="149">
        <f>AI54</f>
        <v>698.17499999999995</v>
      </c>
      <c r="AJ64" s="207">
        <f>AI64/AI$60</f>
        <v>0.15842589186566916</v>
      </c>
      <c r="AK64" s="149">
        <f>AK54</f>
        <v>768.50999999999976</v>
      </c>
      <c r="AL64" s="207">
        <f>AK64/AK$60</f>
        <v>0.16273439350358351</v>
      </c>
      <c r="AM64" s="149">
        <f>AM54</f>
        <v>768.50999999999976</v>
      </c>
      <c r="AN64" s="207">
        <f>AM64/AM$60</f>
        <v>0.16273439350358351</v>
      </c>
    </row>
    <row r="65" spans="1:42" ht="18" customHeight="1" x14ac:dyDescent="0.2">
      <c r="A65" s="154"/>
      <c r="B65" s="1563"/>
      <c r="C65" s="1578" t="s">
        <v>5</v>
      </c>
      <c r="D65" s="1579"/>
      <c r="E65" s="149">
        <f>E58</f>
        <v>70.400000000000006</v>
      </c>
      <c r="F65" s="207">
        <f>E65/E$60</f>
        <v>8.1033490082490695E-2</v>
      </c>
      <c r="G65" s="149">
        <f>G58</f>
        <v>105.60000000000002</v>
      </c>
      <c r="H65" s="207">
        <f>G65/G$60</f>
        <v>9.6332425686056114E-2</v>
      </c>
      <c r="I65" s="149">
        <f>I58</f>
        <v>140.80000000000001</v>
      </c>
      <c r="J65" s="207">
        <f>I65/I$60</f>
        <v>0.11056933706536258</v>
      </c>
      <c r="K65" s="149">
        <f>K58</f>
        <v>176</v>
      </c>
      <c r="L65" s="207">
        <f>K65/K$60</f>
        <v>0.11892405354528483</v>
      </c>
      <c r="M65" s="149">
        <f>M58</f>
        <v>211.20000000000005</v>
      </c>
      <c r="N65" s="207">
        <f>M65/M$60</f>
        <v>0.11949134030075724</v>
      </c>
      <c r="O65" s="149">
        <f>O58</f>
        <v>246.4</v>
      </c>
      <c r="P65" s="207">
        <f>O65/O$60</f>
        <v>0.12592192196918989</v>
      </c>
      <c r="Q65" s="149">
        <f>Q58</f>
        <v>281.60000000000002</v>
      </c>
      <c r="R65" s="207">
        <f>Q65/Q$60</f>
        <v>0.12817757838234162</v>
      </c>
      <c r="S65" s="149">
        <f>S58</f>
        <v>316.8</v>
      </c>
      <c r="T65" s="207">
        <f>S65/S$60</f>
        <v>0.13285993036344698</v>
      </c>
      <c r="U65" s="149">
        <f>U58</f>
        <v>352</v>
      </c>
      <c r="V65" s="207">
        <f>U65/U$60</f>
        <v>0.13498562383932017</v>
      </c>
      <c r="W65" s="149">
        <f>W58</f>
        <v>422.40000000000009</v>
      </c>
      <c r="X65" s="207">
        <f>W65/W$60</f>
        <v>0.13954566587316594</v>
      </c>
      <c r="Y65" s="149">
        <f>Y58</f>
        <v>422.40000000000009</v>
      </c>
      <c r="Z65" s="207">
        <f>Y65/Y$60</f>
        <v>0.13954566587316594</v>
      </c>
      <c r="AA65" s="149">
        <f>AA58</f>
        <v>492.8</v>
      </c>
      <c r="AB65" s="207">
        <f>AA65/AA$60</f>
        <v>0.14553561669698706</v>
      </c>
      <c r="AC65" s="149">
        <f>AC58</f>
        <v>492.8</v>
      </c>
      <c r="AD65" s="207">
        <f>AC65/AC$60</f>
        <v>0.14553561669698706</v>
      </c>
      <c r="AE65" s="149">
        <f>AE58</f>
        <v>563.20000000000005</v>
      </c>
      <c r="AF65" s="207">
        <f>AE65/AE$60</f>
        <v>0.14679878174735436</v>
      </c>
      <c r="AG65" s="149">
        <f>AG58</f>
        <v>633.6</v>
      </c>
      <c r="AH65" s="207">
        <f>AG65/AG$60</f>
        <v>0.14377290090033015</v>
      </c>
      <c r="AI65" s="149">
        <f>AI58</f>
        <v>633.6</v>
      </c>
      <c r="AJ65" s="207">
        <f>AI65/AI$60</f>
        <v>0.14377290090033015</v>
      </c>
      <c r="AK65" s="149">
        <f>AK58</f>
        <v>704</v>
      </c>
      <c r="AL65" s="207">
        <f>AK65/AK$60</f>
        <v>0.14907419945937311</v>
      </c>
      <c r="AM65" s="149">
        <f>AM58</f>
        <v>704</v>
      </c>
      <c r="AN65" s="207">
        <f>AM65/AM$60</f>
        <v>0.14907419945937311</v>
      </c>
    </row>
    <row r="66" spans="1:42" x14ac:dyDescent="0.2">
      <c r="A66" s="154"/>
      <c r="B66" s="172"/>
      <c r="C66" s="154"/>
      <c r="D66" s="227"/>
      <c r="E66" s="154"/>
      <c r="F66" s="154"/>
      <c r="G66" s="154"/>
      <c r="H66" s="154"/>
      <c r="I66" s="154"/>
      <c r="J66" s="154"/>
      <c r="K66" s="154"/>
      <c r="L66" s="154"/>
      <c r="M66" s="154"/>
      <c r="N66" s="154"/>
      <c r="O66" s="154"/>
      <c r="P66" s="154"/>
      <c r="Q66" s="228"/>
      <c r="R66" s="229"/>
      <c r="S66" s="154"/>
      <c r="T66" s="230"/>
      <c r="U66" s="154"/>
      <c r="V66" s="154"/>
      <c r="W66" s="154"/>
      <c r="X66" s="154"/>
      <c r="Y66" s="154"/>
      <c r="Z66" s="154"/>
      <c r="AA66" s="154"/>
      <c r="AB66" s="154"/>
      <c r="AC66" s="154"/>
      <c r="AD66" s="154"/>
      <c r="AE66" s="154"/>
      <c r="AF66" s="154"/>
      <c r="AG66" s="154"/>
      <c r="AH66" s="154"/>
      <c r="AI66" s="154"/>
      <c r="AJ66" s="154"/>
      <c r="AK66" s="154"/>
      <c r="AL66" s="154"/>
      <c r="AM66" s="154"/>
      <c r="AN66" s="154"/>
      <c r="AO66" s="154"/>
      <c r="AP66" s="154"/>
    </row>
    <row r="67" spans="1:42" ht="36" x14ac:dyDescent="0.2">
      <c r="A67" s="154"/>
      <c r="B67" s="1375" t="s">
        <v>1462</v>
      </c>
      <c r="C67" s="1568" t="s">
        <v>1463</v>
      </c>
      <c r="D67" s="1569"/>
      <c r="E67" s="149">
        <f>(VLOOKUP("Prix HT",$C$1:$N$63,E$1,0))-(VLOOKUP("Non margé",$D$1:$N$63,E$1,0))</f>
        <v>381.98210000000006</v>
      </c>
      <c r="F67" s="207">
        <f>E67/VLOOKUP("Prix HT",$C$1:$N$63,E$1,0)</f>
        <v>0.43967816352328082</v>
      </c>
      <c r="G67" s="149">
        <f>(VLOOKUP("Prix HT",$C$1:$N$63,G$1,0))-(VLOOKUP("Non margé",$D$1:$N$63,G$1,0))</f>
        <v>488.6721</v>
      </c>
      <c r="H67" s="207">
        <f>G67/VLOOKUP("Prix HT",$C$1:$N$63,G$1,0)</f>
        <v>0.44578568899714938</v>
      </c>
      <c r="I67" s="149">
        <f>(VLOOKUP("Prix HT",$C$1:$N$63,I$1,0))-(VLOOKUP("Non margé",$D$1:$N$63,I$1,0))</f>
        <v>583.90210000000002</v>
      </c>
      <c r="J67" s="207">
        <f>I67/VLOOKUP("Prix HT",$C$1:$N$63,I$1,0)</f>
        <v>0.45853457463120062</v>
      </c>
      <c r="K67" s="149">
        <f>(VLOOKUP("Prix HT",$C$1:$N$63,K$1,0))-(VLOOKUP("Non margé",$D$1:$N$63,K$1,0))</f>
        <v>685.63909999999987</v>
      </c>
      <c r="L67" s="207">
        <f>K67/VLOOKUP("Prix HT",$C$1:$N$63,K$1,0)</f>
        <v>0.46328966500648233</v>
      </c>
      <c r="M67" s="149">
        <f>(VLOOKUP("Prix HT",$C$1:$N$63,M$1,0))-(VLOOKUP("Non margé",$D$1:$N$63,M$1,0))</f>
        <v>806.07510000000013</v>
      </c>
      <c r="N67" s="207">
        <f>M67/VLOOKUP("Prix HT",$C$1:$N$63,M$1,0)</f>
        <v>0.45605584319160475</v>
      </c>
      <c r="O67" s="149">
        <f>(VLOOKUP("Prix HT",$C$1:$AN$63,O$1,0))-(VLOOKUP("Non margé",$D$1:$AN$63,O$1,0))</f>
        <v>903.83110000000011</v>
      </c>
      <c r="P67" s="207">
        <f>O67/VLOOKUP("Prix HT",$C$1:$AN$63,O$1,0)</f>
        <v>0.46189995636171705</v>
      </c>
      <c r="Q67" s="149">
        <f>(VLOOKUP("Prix HT",$C$1:$AN$63,Q$1,0))-(VLOOKUP("Non margé",$D$1:$AN$63,Q$1,0))</f>
        <v>1013.3351</v>
      </c>
      <c r="R67" s="207">
        <f>Q67/VLOOKUP("Prix HT",$C$1:$AN$63,Q$1,0)</f>
        <v>0.4612458778687073</v>
      </c>
      <c r="S67" s="149">
        <f>(VLOOKUP("Prix HT",$C$1:$AN$63,S$1,0))-(VLOOKUP("Non margé",$D$1:$AN$63,S$1,0))</f>
        <v>1110.9440999999999</v>
      </c>
      <c r="T67" s="207">
        <f>S67/VLOOKUP("Prix HT",$C$1:$AN$63,S$1,0)</f>
        <v>0.46590895127424958</v>
      </c>
      <c r="U67" s="149">
        <f>(VLOOKUP("Prix HT",$C$1:$AN$63,U$1,0))-(VLOOKUP("Non margé",$D$1:$AN$63,U$1,0))</f>
        <v>1216.5331000000001</v>
      </c>
      <c r="V67" s="207">
        <f>U67/VLOOKUP("Prix HT",$C$1:$AN$63,U$1,0)</f>
        <v>0.46651840745648315</v>
      </c>
      <c r="W67" s="149">
        <f>(VLOOKUP("Prix HT",$C$1:$AN$63,W$1,0))-(VLOOKUP("Non margé",$D$1:$AN$63,W$1,0))</f>
        <v>1421.4440999999999</v>
      </c>
      <c r="X67" s="207">
        <f>W67/VLOOKUP("Prix HT",$C$1:$AN$63,W$1,0)</f>
        <v>0.46959366343745979</v>
      </c>
      <c r="Y67" s="149">
        <f>(VLOOKUP("Prix HT",$C$1:$AN$63,Y$1,0))-(VLOOKUP("Non margé",$D$1:$AN$63,Y$1,0))</f>
        <v>1421.4440999999999</v>
      </c>
      <c r="Z67" s="207">
        <f>Y67/VLOOKUP("Prix HT",$C$1:$AN$63,Y$1,0)</f>
        <v>0.46959366343745979</v>
      </c>
      <c r="AA67" s="149">
        <f>(VLOOKUP("Prix HT",$C$1:$AN$63,AA$1,0))-(VLOOKUP("Non margé",$D$1:$AN$63,AA$1,0))</f>
        <v>1612.6337000000003</v>
      </c>
      <c r="AB67" s="207">
        <f>AA67/VLOOKUP("Prix HT",$C$1:$AN$63,AA$1,0)</f>
        <v>0.47624926955325497</v>
      </c>
      <c r="AC67" s="149">
        <f>(VLOOKUP("Prix HT",$C$1:$AN$63,AC$1,0))-(VLOOKUP("Non margé",$D$1:$AN$63,AC$1,0))</f>
        <v>1612.6337000000003</v>
      </c>
      <c r="AD67" s="207">
        <f>AC67/VLOOKUP("Prix HT",$C$1:$AN$63,AC$1,0)</f>
        <v>0.47624926955325497</v>
      </c>
      <c r="AE67" s="149">
        <f>(VLOOKUP("Prix HT",$C$1:$AN$63,AE$1,0))-(VLOOKUP("Non margé",$D$1:$AN$63,AE$1,0))</f>
        <v>1824.8371000000004</v>
      </c>
      <c r="AF67" s="207">
        <f>AE67/VLOOKUP("Prix HT",$C$1:$AN$63,AE$1,0)</f>
        <v>0.47564606386252678</v>
      </c>
      <c r="AG67" s="149">
        <f>(VLOOKUP("Prix HT",$C$1:$AN$63,AG$1,0))-(VLOOKUP("Non margé",$D$1:$AN$63,AG$1,0))</f>
        <v>2064.6230999999998</v>
      </c>
      <c r="AH67" s="207">
        <f>AG67/VLOOKUP("Prix HT",$C$1:$AN$63,AG$1,0)</f>
        <v>0.4684925068700006</v>
      </c>
      <c r="AI67" s="149">
        <f>(VLOOKUP("Prix HT",$C$1:$AN$63,AI$1,0))-(VLOOKUP("Non margé",$D$1:$AN$63,AI$1,0))</f>
        <v>2064.6230999999998</v>
      </c>
      <c r="AJ67" s="207">
        <f>AI67/VLOOKUP("Prix HT",$C$1:$AN$63,AI$1,0)</f>
        <v>0.4684925068700006</v>
      </c>
      <c r="AK67" s="149">
        <f>(VLOOKUP("Prix HT",$C$1:$AN$63,AK$1,0))-(VLOOKUP("Non margé",$D$1:$AN$63,AK$1,0))</f>
        <v>2245.6954999999998</v>
      </c>
      <c r="AL67" s="207">
        <f>AK67/VLOOKUP("Prix HT",$C$1:$AN$63,AK$1,0)</f>
        <v>0.4755330381988872</v>
      </c>
      <c r="AM67" s="149">
        <f>(VLOOKUP("Prix HT",$C$1:$AN$63,AM$1,0))-(VLOOKUP("Non margé",$D$1:$AN$63,AM$1,0))</f>
        <v>2245.6954999999998</v>
      </c>
      <c r="AN67" s="207">
        <f>AM67/VLOOKUP("Prix HT",$C$1:$AN$63,AM$1,0)</f>
        <v>0.4755330381988872</v>
      </c>
      <c r="AO67" s="154"/>
      <c r="AP67" s="154"/>
    </row>
  </sheetData>
  <mergeCells count="42">
    <mergeCell ref="C67:D67"/>
    <mergeCell ref="AE60:AF60"/>
    <mergeCell ref="AG60:AH60"/>
    <mergeCell ref="AI60:AJ60"/>
    <mergeCell ref="AK60:AL60"/>
    <mergeCell ref="C61:D61"/>
    <mergeCell ref="C62:D62"/>
    <mergeCell ref="C63:D63"/>
    <mergeCell ref="C64:D64"/>
    <mergeCell ref="C65:D65"/>
    <mergeCell ref="C60:D60"/>
    <mergeCell ref="E60:F60"/>
    <mergeCell ref="AM60:AN60"/>
    <mergeCell ref="AC60:AD60"/>
    <mergeCell ref="G60:H60"/>
    <mergeCell ref="I60:J60"/>
    <mergeCell ref="K60:L60"/>
    <mergeCell ref="M60:N60"/>
    <mergeCell ref="O60:P60"/>
    <mergeCell ref="Q60:R60"/>
    <mergeCell ref="S60:T60"/>
    <mergeCell ref="U60:V60"/>
    <mergeCell ref="W60:X60"/>
    <mergeCell ref="Y60:Z60"/>
    <mergeCell ref="AA60:AB60"/>
    <mergeCell ref="B60:B65"/>
    <mergeCell ref="A4:A35"/>
    <mergeCell ref="A37:A42"/>
    <mergeCell ref="A43:A54"/>
    <mergeCell ref="A55:A58"/>
    <mergeCell ref="AE2:AF2"/>
    <mergeCell ref="B2:B3"/>
    <mergeCell ref="C2:C3"/>
    <mergeCell ref="E2:F2"/>
    <mergeCell ref="G2:H2"/>
    <mergeCell ref="I2:J2"/>
    <mergeCell ref="K2:L2"/>
    <mergeCell ref="M2:N2"/>
    <mergeCell ref="O2:P2"/>
    <mergeCell ref="Q2:R2"/>
    <mergeCell ref="S2:T2"/>
    <mergeCell ref="U2:V2"/>
  </mergeCells>
  <dataValidations count="8">
    <dataValidation type="list" allowBlank="1" showErrorMessage="1" sqref="C37:C41" xr:uid="{00000000-0002-0000-0800-000006000000}">
      <formula1>INDIRECT(B37)</formula1>
    </dataValidation>
    <dataValidation type="list" allowBlank="1" showInputMessage="1" showErrorMessage="1" promptTitle="MO ATELIER" prompt="choisir catégorie" sqref="B37:B41" xr:uid="{00000000-0002-0000-0800-000001000000}">
      <formula1>CATEGORIE_MOA</formula1>
    </dataValidation>
    <dataValidation type="list" allowBlank="1" showInputMessage="1" promptTitle="Main d'oeuvre CHANTIER" prompt="choisir la prestation" sqref="C43:C53" xr:uid="{00000000-0002-0000-0800-000002000000}">
      <formula1>INDIRECT(B43)</formula1>
    </dataValidation>
    <dataValidation type="list" allowBlank="1" showInputMessage="1" showErrorMessage="1" promptTitle="Catégorie MOC" prompt="choisir" sqref="B43:B53" xr:uid="{00000000-0002-0000-0800-000003000000}">
      <formula1>CATEGORIE_MOC</formula1>
    </dataValidation>
    <dataValidation type="list" allowBlank="1" showInputMessage="1" showErrorMessage="1" promptTitle="MINIPELLE" prompt="choisir catégorie" sqref="B55:B57" xr:uid="{00000000-0002-0000-0800-000004000000}">
      <formula1>CATEGORIE_MP</formula1>
    </dataValidation>
    <dataValidation type="list" allowBlank="1" showInputMessage="1" promptTitle="MINIPELLE" prompt="choisir la prestation" sqref="C55:C57" xr:uid="{00000000-0002-0000-0800-000005000000}">
      <formula1>INDIRECT(B55)</formula1>
    </dataValidation>
    <dataValidation type="list" allowBlank="1" showInputMessage="1" showErrorMessage="1" promptTitle="MATIERES" prompt="choisir catégorie" sqref="B4:B35" xr:uid="{00000000-0002-0000-0800-000000000000}">
      <formula1>MOA_ALIM</formula1>
    </dataValidation>
    <dataValidation type="list" allowBlank="1" showInputMessage="1" showErrorMessage="1" promptTitle="MATIERES" prompt="choisir le produit" sqref="C4:C35" xr:uid="{00000000-0002-0000-0800-000007000000}">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published="0" codeName="Feuil8"/>
  <dimension ref="A1:AL87"/>
  <sheetViews>
    <sheetView zoomScale="70" zoomScaleNormal="70" workbookViewId="0">
      <pane xSplit="4" ySplit="3" topLeftCell="E32" activePane="bottomRight" state="frozen"/>
      <selection pane="topRight" activeCell="E1" sqref="E1"/>
      <selection pane="bottomLeft" activeCell="A4" sqref="A4"/>
      <selection pane="bottomRight" activeCell="G44" sqref="G44:H44"/>
    </sheetView>
  </sheetViews>
  <sheetFormatPr baseColWidth="10" defaultRowHeight="14.25" x14ac:dyDescent="0.2"/>
  <cols>
    <col min="1" max="1" width="15.625" customWidth="1"/>
    <col min="2" max="2" width="23.125" customWidth="1"/>
    <col min="3" max="3" width="43.125" customWidth="1"/>
    <col min="4" max="4" width="10.625" customWidth="1"/>
    <col min="5" max="6" width="0.5" customWidth="1"/>
    <col min="7" max="7" width="13.625" customWidth="1"/>
    <col min="8" max="8" width="10" customWidth="1"/>
    <col min="9" max="10" width="0.5" customWidth="1"/>
    <col min="11" max="11" width="12.5" customWidth="1"/>
    <col min="12" max="12" width="14.5" customWidth="1"/>
    <col min="13" max="13" width="11" customWidth="1"/>
    <col min="14" max="14" width="13" customWidth="1"/>
    <col min="15" max="20" width="0.5" customWidth="1"/>
    <col min="21" max="21" width="11.625" customWidth="1"/>
    <col min="22" max="22" width="16.5" customWidth="1"/>
    <col min="23" max="23" width="11" customWidth="1"/>
    <col min="24" max="24" width="12" customWidth="1"/>
    <col min="25" max="26" width="0.5" customWidth="1"/>
    <col min="27" max="27" width="1.125" customWidth="1"/>
    <col min="28" max="28" width="0.625" customWidth="1"/>
    <col min="29" max="36" width="0.5" customWidth="1"/>
    <col min="37" max="37" width="12.125" customWidth="1"/>
    <col min="38" max="827" width="11.5" customWidth="1"/>
  </cols>
  <sheetData>
    <row r="1" spans="1:38" ht="11.85" customHeight="1" x14ac:dyDescent="0.2">
      <c r="A1" s="154"/>
      <c r="B1" s="172"/>
      <c r="C1" s="173"/>
      <c r="D1" s="154"/>
      <c r="E1" s="393"/>
      <c r="F1" s="393"/>
      <c r="G1" s="154">
        <v>5</v>
      </c>
      <c r="H1" s="154">
        <v>3</v>
      </c>
      <c r="I1" s="393"/>
      <c r="J1" s="393"/>
      <c r="K1" s="154">
        <v>9</v>
      </c>
      <c r="L1" s="154">
        <v>5</v>
      </c>
      <c r="M1" s="154">
        <v>11</v>
      </c>
      <c r="N1" s="154">
        <v>6</v>
      </c>
      <c r="O1" s="393"/>
      <c r="P1" s="393"/>
      <c r="Q1" s="393"/>
      <c r="R1" s="393"/>
      <c r="S1" s="393"/>
      <c r="T1" s="393"/>
      <c r="U1" s="154">
        <v>19</v>
      </c>
      <c r="V1" s="154">
        <v>10</v>
      </c>
      <c r="W1" s="154">
        <v>21</v>
      </c>
      <c r="X1" s="154" t="s">
        <v>460</v>
      </c>
      <c r="Y1" s="393"/>
      <c r="Z1" s="393"/>
      <c r="AA1" s="393"/>
      <c r="AB1" s="393"/>
      <c r="AC1" s="393"/>
      <c r="AD1" s="393"/>
      <c r="AE1" s="393"/>
      <c r="AF1" s="393"/>
      <c r="AG1" s="393"/>
      <c r="AH1" s="393"/>
      <c r="AI1" s="393"/>
      <c r="AJ1" s="393"/>
      <c r="AK1" s="154">
        <v>35</v>
      </c>
    </row>
    <row r="2" spans="1:38" ht="35.1" customHeight="1" x14ac:dyDescent="0.2">
      <c r="A2" s="174"/>
      <c r="B2" s="1588" t="s">
        <v>442</v>
      </c>
      <c r="C2" s="1590" t="s">
        <v>443</v>
      </c>
      <c r="D2" s="117" t="s">
        <v>203</v>
      </c>
      <c r="E2" s="504"/>
      <c r="F2" s="504"/>
      <c r="G2" s="1571">
        <v>3</v>
      </c>
      <c r="H2" s="1571"/>
      <c r="I2" s="504"/>
      <c r="J2" s="504"/>
      <c r="K2" s="1583">
        <v>5</v>
      </c>
      <c r="L2" s="1583"/>
      <c r="M2" s="1583">
        <v>6</v>
      </c>
      <c r="N2" s="1583"/>
      <c r="O2" s="504"/>
      <c r="P2" s="504"/>
      <c r="Q2" s="504"/>
      <c r="R2" s="504"/>
      <c r="S2" s="504"/>
      <c r="T2" s="504"/>
      <c r="U2" s="1583">
        <v>10</v>
      </c>
      <c r="V2" s="1583"/>
      <c r="W2" s="1583">
        <v>12</v>
      </c>
      <c r="X2" s="1583"/>
      <c r="Y2" s="504"/>
      <c r="Z2" s="504"/>
      <c r="AA2" s="504"/>
      <c r="AB2" s="504"/>
      <c r="AC2" s="504"/>
      <c r="AD2" s="504"/>
      <c r="AE2" s="504"/>
      <c r="AF2" s="504"/>
      <c r="AG2" s="504"/>
      <c r="AH2" s="504"/>
      <c r="AI2" s="504"/>
      <c r="AJ2" s="504"/>
      <c r="AK2" s="1591">
        <v>20</v>
      </c>
      <c r="AL2" s="1592"/>
    </row>
    <row r="3" spans="1:38" ht="35.1" customHeight="1" x14ac:dyDescent="0.2">
      <c r="A3" s="174"/>
      <c r="B3" s="1589"/>
      <c r="C3" s="1590"/>
      <c r="D3" s="176" t="s">
        <v>222</v>
      </c>
      <c r="E3" s="505"/>
      <c r="F3" s="505"/>
      <c r="G3" s="177" t="s">
        <v>444</v>
      </c>
      <c r="H3" s="115" t="s">
        <v>445</v>
      </c>
      <c r="I3" s="505"/>
      <c r="J3" s="505"/>
      <c r="K3" s="236" t="s">
        <v>444</v>
      </c>
      <c r="L3" s="115" t="s">
        <v>445</v>
      </c>
      <c r="M3" s="236" t="s">
        <v>444</v>
      </c>
      <c r="N3" s="115" t="s">
        <v>445</v>
      </c>
      <c r="O3" s="505"/>
      <c r="P3" s="505"/>
      <c r="Q3" s="505"/>
      <c r="R3" s="505"/>
      <c r="S3" s="505"/>
      <c r="T3" s="505"/>
      <c r="U3" s="236" t="s">
        <v>444</v>
      </c>
      <c r="V3" s="115" t="s">
        <v>445</v>
      </c>
      <c r="W3" s="236" t="s">
        <v>444</v>
      </c>
      <c r="X3" s="115" t="s">
        <v>445</v>
      </c>
      <c r="Y3" s="505"/>
      <c r="Z3" s="505"/>
      <c r="AA3" s="505"/>
      <c r="AB3" s="505"/>
      <c r="AC3" s="505"/>
      <c r="AD3" s="505"/>
      <c r="AE3" s="505"/>
      <c r="AF3" s="505"/>
      <c r="AG3" s="505"/>
      <c r="AH3" s="505"/>
      <c r="AI3" s="505"/>
      <c r="AJ3" s="505"/>
      <c r="AK3" s="236" t="s">
        <v>444</v>
      </c>
      <c r="AL3" s="115" t="s">
        <v>445</v>
      </c>
    </row>
    <row r="4" spans="1:38" ht="27.6" customHeight="1" x14ac:dyDescent="0.2">
      <c r="A4" s="1584" t="s">
        <v>1078</v>
      </c>
      <c r="B4" s="314" t="s">
        <v>377</v>
      </c>
      <c r="C4" s="1405" t="s">
        <v>348</v>
      </c>
      <c r="D4" s="179" t="str">
        <f>IF($C4="","",VLOOKUP($C4,MATIERES!$A$2:$F$424,5,0))</f>
        <v>pc</v>
      </c>
      <c r="E4" s="506"/>
      <c r="F4" s="506"/>
      <c r="G4" s="180">
        <v>1</v>
      </c>
      <c r="H4" s="181">
        <f>IF($C4="","",G4*VLOOKUP($C4,MATIERES!$A$2:$F$424,4,0))</f>
        <v>953.98</v>
      </c>
      <c r="I4" s="506"/>
      <c r="J4" s="506"/>
      <c r="K4" s="180"/>
      <c r="L4" s="181"/>
      <c r="M4" s="180"/>
      <c r="N4" s="181"/>
      <c r="O4" s="506"/>
      <c r="P4" s="506"/>
      <c r="Q4" s="506"/>
      <c r="R4" s="506"/>
      <c r="S4" s="506"/>
      <c r="T4" s="506"/>
      <c r="U4" s="180"/>
      <c r="V4" s="181"/>
      <c r="W4" s="180"/>
      <c r="X4" s="181"/>
      <c r="Y4" s="506"/>
      <c r="Z4" s="506"/>
      <c r="AA4" s="506"/>
      <c r="AB4" s="506"/>
      <c r="AC4" s="506"/>
      <c r="AD4" s="506"/>
      <c r="AE4" s="506"/>
      <c r="AF4" s="506"/>
      <c r="AG4" s="506"/>
      <c r="AH4" s="506"/>
      <c r="AI4" s="506"/>
      <c r="AJ4" s="506"/>
      <c r="AK4" s="180">
        <v>0</v>
      </c>
      <c r="AL4" s="181">
        <f>IF($C4="","",AK4*VLOOKUP($C4,MATIERES!$A$2:$F$424,4,0))</f>
        <v>0</v>
      </c>
    </row>
    <row r="5" spans="1:38" ht="28.35" customHeight="1" x14ac:dyDescent="0.2">
      <c r="A5" s="1585"/>
      <c r="B5" s="314" t="s">
        <v>377</v>
      </c>
      <c r="C5" s="1405" t="s">
        <v>362</v>
      </c>
      <c r="D5" s="179" t="str">
        <f>IF($C5="","",VLOOKUP($C5,MATIERES!$A$2:$F$424,5,0))</f>
        <v>pc</v>
      </c>
      <c r="E5" s="506"/>
      <c r="F5" s="506"/>
      <c r="G5" s="180"/>
      <c r="H5" s="181"/>
      <c r="I5" s="506"/>
      <c r="J5" s="506"/>
      <c r="K5" s="180">
        <v>1</v>
      </c>
      <c r="L5" s="181">
        <f>IF($C5="","",K5*VLOOKUP($C5,MATIERES!$A$2:$F$424,4,0))</f>
        <v>1625.78</v>
      </c>
      <c r="M5" s="180"/>
      <c r="N5" s="181"/>
      <c r="O5" s="506"/>
      <c r="P5" s="506"/>
      <c r="Q5" s="506"/>
      <c r="R5" s="506"/>
      <c r="S5" s="506"/>
      <c r="T5" s="506"/>
      <c r="U5" s="180"/>
      <c r="V5" s="181"/>
      <c r="W5" s="180"/>
      <c r="X5" s="181"/>
      <c r="Y5" s="506"/>
      <c r="Z5" s="506"/>
      <c r="AA5" s="506"/>
      <c r="AB5" s="506"/>
      <c r="AC5" s="506"/>
      <c r="AD5" s="506"/>
      <c r="AE5" s="506"/>
      <c r="AF5" s="506"/>
      <c r="AG5" s="506"/>
      <c r="AH5" s="506"/>
      <c r="AI5" s="506"/>
      <c r="AJ5" s="506"/>
      <c r="AK5" s="180">
        <v>0</v>
      </c>
      <c r="AL5" s="181">
        <f>IF($C5="","",AK5*VLOOKUP($C5,MATIERES!$A$2:$F$424,4,0))</f>
        <v>0</v>
      </c>
    </row>
    <row r="6" spans="1:38" ht="38.85" customHeight="1" x14ac:dyDescent="0.2">
      <c r="A6" s="1585"/>
      <c r="B6" s="314" t="s">
        <v>377</v>
      </c>
      <c r="C6" s="1405" t="s">
        <v>363</v>
      </c>
      <c r="D6" s="179" t="str">
        <f>IF($C6="","",VLOOKUP($C6,MATIERES!$A$2:$F$424,5,0))</f>
        <v>pc</v>
      </c>
      <c r="E6" s="507"/>
      <c r="F6" s="507"/>
      <c r="G6" s="180"/>
      <c r="H6" s="181"/>
      <c r="I6" s="507"/>
      <c r="J6" s="507"/>
      <c r="K6" s="180"/>
      <c r="L6" s="181"/>
      <c r="M6" s="180">
        <v>1</v>
      </c>
      <c r="N6" s="181">
        <f>IF($C6="","",M6*VLOOKUP($C6,MATIERES!$A$2:$F$424,4,0))</f>
        <v>1907.96</v>
      </c>
      <c r="O6" s="507"/>
      <c r="P6" s="507"/>
      <c r="Q6" s="507"/>
      <c r="R6" s="507"/>
      <c r="S6" s="507"/>
      <c r="T6" s="507"/>
      <c r="U6" s="180"/>
      <c r="V6" s="181"/>
      <c r="W6" s="180"/>
      <c r="X6" s="181"/>
      <c r="Y6" s="507"/>
      <c r="Z6" s="507"/>
      <c r="AA6" s="507"/>
      <c r="AB6" s="507"/>
      <c r="AC6" s="507"/>
      <c r="AD6" s="507"/>
      <c r="AE6" s="507"/>
      <c r="AF6" s="507"/>
      <c r="AG6" s="507"/>
      <c r="AH6" s="507"/>
      <c r="AI6" s="507"/>
      <c r="AJ6" s="507"/>
      <c r="AK6" s="180">
        <v>0</v>
      </c>
      <c r="AL6" s="181">
        <f>IF($C6="","",AK6*VLOOKUP($C6,MATIERES!$A$2:$F$424,4,0))</f>
        <v>0</v>
      </c>
    </row>
    <row r="7" spans="1:38" ht="31.35" customHeight="1" x14ac:dyDescent="0.2">
      <c r="A7" s="1585"/>
      <c r="B7" s="314" t="s">
        <v>377</v>
      </c>
      <c r="C7" s="1405" t="s">
        <v>364</v>
      </c>
      <c r="D7" s="179" t="str">
        <f>IF($C7="","",VLOOKUP($C7,MATIERES!$A$2:$F$424,5,0))</f>
        <v>pc</v>
      </c>
      <c r="E7" s="506"/>
      <c r="F7" s="506"/>
      <c r="G7" s="180"/>
      <c r="H7" s="181"/>
      <c r="I7" s="506"/>
      <c r="J7" s="506"/>
      <c r="K7" s="180"/>
      <c r="L7" s="181"/>
      <c r="M7" s="180"/>
      <c r="N7" s="181"/>
      <c r="O7" s="506"/>
      <c r="P7" s="506"/>
      <c r="Q7" s="506"/>
      <c r="R7" s="506"/>
      <c r="S7" s="506"/>
      <c r="T7" s="506"/>
      <c r="U7" s="180">
        <v>1</v>
      </c>
      <c r="V7" s="181">
        <f>IF($C7="","",U7*VLOOKUP($C7,MATIERES!$A$2:$F$424,4,0))</f>
        <v>3251.56</v>
      </c>
      <c r="W7" s="180"/>
      <c r="X7" s="181"/>
      <c r="Y7" s="506"/>
      <c r="Z7" s="506"/>
      <c r="AA7" s="506"/>
      <c r="AB7" s="506"/>
      <c r="AC7" s="506"/>
      <c r="AD7" s="506"/>
      <c r="AE7" s="506"/>
      <c r="AF7" s="506"/>
      <c r="AG7" s="506"/>
      <c r="AH7" s="506"/>
      <c r="AI7" s="506"/>
      <c r="AJ7" s="506"/>
      <c r="AK7" s="180">
        <v>0</v>
      </c>
      <c r="AL7" s="181">
        <f>IF($C7="","",AK7*VLOOKUP($C7,MATIERES!$A$2:$F$424,4,0))</f>
        <v>0</v>
      </c>
    </row>
    <row r="8" spans="1:38" ht="28.35" customHeight="1" x14ac:dyDescent="0.2">
      <c r="A8" s="1585"/>
      <c r="B8" s="314" t="s">
        <v>377</v>
      </c>
      <c r="C8" s="1405" t="s">
        <v>365</v>
      </c>
      <c r="D8" s="179" t="str">
        <f>IF($C8="","",VLOOKUP($C8,MATIERES!$A$2:$F$424,5,0))</f>
        <v>pc</v>
      </c>
      <c r="E8" s="506"/>
      <c r="F8" s="506"/>
      <c r="G8" s="180"/>
      <c r="H8" s="181"/>
      <c r="I8" s="506"/>
      <c r="J8" s="506"/>
      <c r="K8" s="180"/>
      <c r="L8" s="181"/>
      <c r="M8" s="180"/>
      <c r="N8" s="181"/>
      <c r="O8" s="506"/>
      <c r="P8" s="506"/>
      <c r="Q8" s="506"/>
      <c r="R8" s="506"/>
      <c r="S8" s="506"/>
      <c r="T8" s="506"/>
      <c r="U8" s="180"/>
      <c r="V8" s="181"/>
      <c r="W8" s="180">
        <v>1</v>
      </c>
      <c r="X8" s="181">
        <f>IF($C8="","",W8*VLOOKUP($C8,MATIERES!$A$2:$F$424,4,0))</f>
        <v>3815.92</v>
      </c>
      <c r="Y8" s="506"/>
      <c r="Z8" s="506"/>
      <c r="AA8" s="506"/>
      <c r="AB8" s="506"/>
      <c r="AC8" s="506"/>
      <c r="AD8" s="506"/>
      <c r="AE8" s="506"/>
      <c r="AF8" s="506"/>
      <c r="AG8" s="506"/>
      <c r="AH8" s="506"/>
      <c r="AI8" s="506"/>
      <c r="AJ8" s="506"/>
      <c r="AK8" s="180">
        <v>0</v>
      </c>
      <c r="AL8" s="181">
        <f>IF($C8="","",AK8*VLOOKUP($C8,MATIERES!$A$2:$F$424,4,0))</f>
        <v>0</v>
      </c>
    </row>
    <row r="9" spans="1:38" ht="28.35" customHeight="1" x14ac:dyDescent="0.2">
      <c r="A9" s="1585"/>
      <c r="B9" s="314" t="s">
        <v>377</v>
      </c>
      <c r="C9" s="1405" t="s">
        <v>366</v>
      </c>
      <c r="D9" s="179" t="str">
        <f>IF($C9="","",VLOOKUP($C9,MATIERES!$A$2:$F$424,5,0))</f>
        <v>pc</v>
      </c>
      <c r="E9" s="508"/>
      <c r="F9" s="508"/>
      <c r="G9" s="180"/>
      <c r="H9" s="181"/>
      <c r="I9" s="508"/>
      <c r="J9" s="508"/>
      <c r="K9" s="180"/>
      <c r="L9" s="181"/>
      <c r="M9" s="180"/>
      <c r="N9" s="181"/>
      <c r="O9" s="508"/>
      <c r="P9" s="508"/>
      <c r="Q9" s="508"/>
      <c r="R9" s="508"/>
      <c r="S9" s="508"/>
      <c r="T9" s="508"/>
      <c r="U9" s="180"/>
      <c r="V9" s="181"/>
      <c r="W9" s="180"/>
      <c r="X9" s="181"/>
      <c r="Y9" s="508"/>
      <c r="Z9" s="508"/>
      <c r="AA9" s="508"/>
      <c r="AB9" s="508"/>
      <c r="AC9" s="508"/>
      <c r="AD9" s="508"/>
      <c r="AE9" s="508"/>
      <c r="AF9" s="508"/>
      <c r="AG9" s="508"/>
      <c r="AH9" s="508"/>
      <c r="AI9" s="508"/>
      <c r="AJ9" s="508"/>
      <c r="AK9" s="180">
        <v>1</v>
      </c>
      <c r="AL9" s="181">
        <f>IF($C9="","",AK9*VLOOKUP($C9,MATIERES!$A$2:$F$424,4,0))</f>
        <v>6503.12</v>
      </c>
    </row>
    <row r="10" spans="1:38" ht="28.35" customHeight="1" x14ac:dyDescent="0.2">
      <c r="A10" s="1585"/>
      <c r="B10" s="314" t="s">
        <v>1140</v>
      </c>
      <c r="C10" s="1404" t="s">
        <v>814</v>
      </c>
      <c r="D10" s="179" t="str">
        <f>IF($C10="","",VLOOKUP($C10,MATIERES!$A$2:$F$424,5,0))</f>
        <v>pc</v>
      </c>
      <c r="E10" s="506"/>
      <c r="F10" s="506"/>
      <c r="G10" s="180">
        <f>'Outils de calculs'!G25*6</f>
        <v>36</v>
      </c>
      <c r="H10" s="181">
        <f>IF($C10="","",G10*VLOOKUP($C10,MATIERES!$A$2:$F$424,4,0))</f>
        <v>59.4</v>
      </c>
      <c r="I10" s="180">
        <f>'Outils de calculs'!I25*6</f>
        <v>48</v>
      </c>
      <c r="J10" s="181">
        <f>IF($C10="","",I10*VLOOKUP($C10,MATIERES!$A$2:$F$424,4,0))</f>
        <v>79.199999999999989</v>
      </c>
      <c r="K10" s="180">
        <f>'Outils de calculs'!K25*6</f>
        <v>60</v>
      </c>
      <c r="L10" s="181">
        <f>IF($C10="","",K10*VLOOKUP($C10,MATIERES!$A$2:$F$424,4,0))</f>
        <v>99</v>
      </c>
      <c r="M10" s="180">
        <f>'Outils de calculs'!M25*6</f>
        <v>72</v>
      </c>
      <c r="N10" s="181">
        <f>IF($C10="","",M10*VLOOKUP($C10,MATIERES!$A$2:$F$424,4,0))</f>
        <v>118.8</v>
      </c>
      <c r="O10" s="180">
        <f>'Outils de calculs'!O25*6</f>
        <v>84</v>
      </c>
      <c r="P10" s="181">
        <f>IF($C10="","",O10*VLOOKUP($C10,MATIERES!$A$2:$F$424,4,0))</f>
        <v>138.6</v>
      </c>
      <c r="Q10" s="180">
        <f>'Outils de calculs'!Q25*6</f>
        <v>96</v>
      </c>
      <c r="R10" s="181">
        <f>IF($C10="","",Q10*VLOOKUP($C10,MATIERES!$A$2:$F$424,4,0))</f>
        <v>158.39999999999998</v>
      </c>
      <c r="S10" s="180">
        <f>'Outils de calculs'!S25*6</f>
        <v>108</v>
      </c>
      <c r="T10" s="181">
        <f>IF($C10="","",S10*VLOOKUP($C10,MATIERES!$A$2:$F$424,4,0))</f>
        <v>178.2</v>
      </c>
      <c r="U10" s="180">
        <f>'Outils de calculs'!U25*6</f>
        <v>120</v>
      </c>
      <c r="V10" s="181">
        <f>IF($C10="","",U10*VLOOKUP($C10,MATIERES!$A$2:$F$424,4,0))</f>
        <v>198</v>
      </c>
      <c r="W10" s="180">
        <f>'Outils de calculs'!W25*6</f>
        <v>144</v>
      </c>
      <c r="X10" s="181">
        <f>IF($C10="","",W10*VLOOKUP($C10,MATIERES!$A$2:$F$424,4,0))</f>
        <v>237.6</v>
      </c>
      <c r="Y10" s="180">
        <f>'Outils de calculs'!Y25*6</f>
        <v>144</v>
      </c>
      <c r="Z10" s="181">
        <f>IF($C10="","",Y10*VLOOKUP($C10,MATIERES!$A$2:$F$424,4,0))</f>
        <v>237.6</v>
      </c>
      <c r="AA10" s="180">
        <f>'Outils de calculs'!AA25*6</f>
        <v>168</v>
      </c>
      <c r="AB10" s="181">
        <f>IF($C10="","",AA10*VLOOKUP($C10,MATIERES!$A$2:$F$424,4,0))</f>
        <v>277.2</v>
      </c>
      <c r="AC10" s="180">
        <f>'Outils de calculs'!AC25*6</f>
        <v>168</v>
      </c>
      <c r="AD10" s="181">
        <f>IF($C10="","",AC10*VLOOKUP($C10,MATIERES!$A$2:$F$424,4,0))</f>
        <v>277.2</v>
      </c>
      <c r="AE10" s="180">
        <f>'Outils de calculs'!AE25*6</f>
        <v>192</v>
      </c>
      <c r="AF10" s="181">
        <f>IF($C10="","",AE10*VLOOKUP($C10,MATIERES!$A$2:$F$424,4,0))</f>
        <v>316.79999999999995</v>
      </c>
      <c r="AG10" s="180">
        <f>'Outils de calculs'!AG25*6</f>
        <v>216</v>
      </c>
      <c r="AH10" s="181">
        <f>IF($C10="","",AG10*VLOOKUP($C10,MATIERES!$A$2:$F$424,4,0))</f>
        <v>356.4</v>
      </c>
      <c r="AI10" s="180">
        <f>'Outils de calculs'!AI25*6</f>
        <v>216</v>
      </c>
      <c r="AJ10" s="181">
        <f>IF($C10="","",AI10*VLOOKUP($C10,MATIERES!$A$2:$F$424,4,0))</f>
        <v>356.4</v>
      </c>
      <c r="AK10" s="180">
        <f>'Outils de calculs'!AK25*6</f>
        <v>240</v>
      </c>
      <c r="AL10" s="181">
        <f>IF($C10="","",AK10*VLOOKUP($C10,MATIERES!$A$2:$F$424,4,0))</f>
        <v>396</v>
      </c>
    </row>
    <row r="11" spans="1:38" ht="28.35" customHeight="1" x14ac:dyDescent="0.2">
      <c r="A11" s="1585"/>
      <c r="B11" s="314" t="s">
        <v>1069</v>
      </c>
      <c r="C11" s="1408" t="s">
        <v>761</v>
      </c>
      <c r="D11" s="179" t="str">
        <f>IF($C11="","",VLOOKUP($C11,MATIERES!$A$2:$F$424,5,0))</f>
        <v>ml</v>
      </c>
      <c r="E11" s="506"/>
      <c r="F11" s="506"/>
      <c r="G11" s="180">
        <v>2.2000000000000002</v>
      </c>
      <c r="H11" s="181">
        <f>IF($C11="","",G11*VLOOKUP($C11,MATIERES!$A$2:$F$424,4,0))</f>
        <v>14.828000000000001</v>
      </c>
      <c r="I11" s="506"/>
      <c r="J11" s="506"/>
      <c r="K11" s="180"/>
      <c r="L11" s="181"/>
      <c r="M11" s="180"/>
      <c r="N11" s="181"/>
      <c r="O11" s="506"/>
      <c r="P11" s="506"/>
      <c r="Q11" s="506"/>
      <c r="R11" s="506"/>
      <c r="S11" s="506"/>
      <c r="T11" s="506"/>
      <c r="U11" s="180"/>
      <c r="V11" s="181"/>
      <c r="W11" s="180"/>
      <c r="X11" s="181"/>
      <c r="Y11" s="506"/>
      <c r="Z11" s="506"/>
      <c r="AA11" s="506"/>
      <c r="AB11" s="506"/>
      <c r="AC11" s="506"/>
      <c r="AD11" s="506"/>
      <c r="AE11" s="506"/>
      <c r="AF11" s="506"/>
      <c r="AG11" s="506"/>
      <c r="AH11" s="506"/>
      <c r="AI11" s="506"/>
      <c r="AJ11" s="506"/>
      <c r="AK11" s="180"/>
      <c r="AL11" s="181"/>
    </row>
    <row r="12" spans="1:38" ht="28.35" customHeight="1" x14ac:dyDescent="0.2">
      <c r="A12" s="1585"/>
      <c r="B12" s="314" t="s">
        <v>719</v>
      </c>
      <c r="C12" s="1404" t="s">
        <v>720</v>
      </c>
      <c r="D12" s="179" t="str">
        <f>IF($C12="","",VLOOKUP($C12,MATIERES!$A$2:$F$424,5,0))</f>
        <v>ml</v>
      </c>
      <c r="E12" s="509"/>
      <c r="F12" s="509"/>
      <c r="G12" s="1406">
        <f>'Outils de calculs'!G25/2</f>
        <v>3</v>
      </c>
      <c r="H12" s="181">
        <f>IF($C12="","",G12*VLOOKUP($C12,MATIERES!$A$2:$F$424,4,0))</f>
        <v>5.97</v>
      </c>
      <c r="I12" s="1406">
        <f>'Outils de calculs'!I25/2</f>
        <v>4</v>
      </c>
      <c r="J12" s="181">
        <f>IF($C12="","",I12*VLOOKUP($C12,MATIERES!$A$2:$F$424,4,0))</f>
        <v>7.96</v>
      </c>
      <c r="K12" s="1406">
        <f>'Outils de calculs'!K25/2</f>
        <v>5</v>
      </c>
      <c r="L12" s="181">
        <f>IF($C12="","",K12*VLOOKUP($C12,MATIERES!$A$2:$F$424,4,0))</f>
        <v>9.9499999999999993</v>
      </c>
      <c r="M12" s="1406">
        <f>'Outils de calculs'!M25/2</f>
        <v>6</v>
      </c>
      <c r="N12" s="181">
        <f>IF($C12="","",M12*VLOOKUP($C12,MATIERES!$A$2:$F$424,4,0))</f>
        <v>11.94</v>
      </c>
      <c r="O12" s="1406">
        <f>'Outils de calculs'!O25/2</f>
        <v>7</v>
      </c>
      <c r="P12" s="181">
        <f>IF($C12="","",O12*VLOOKUP($C12,MATIERES!$A$2:$F$424,4,0))</f>
        <v>13.93</v>
      </c>
      <c r="Q12" s="1406">
        <f>'Outils de calculs'!Q25/2</f>
        <v>8</v>
      </c>
      <c r="R12" s="181">
        <f>IF($C12="","",Q12*VLOOKUP($C12,MATIERES!$A$2:$F$424,4,0))</f>
        <v>15.92</v>
      </c>
      <c r="S12" s="1406">
        <f>'Outils de calculs'!S25/2</f>
        <v>9</v>
      </c>
      <c r="T12" s="181">
        <f>IF($C12="","",S12*VLOOKUP($C12,MATIERES!$A$2:$F$424,4,0))</f>
        <v>17.91</v>
      </c>
      <c r="U12" s="1406">
        <f>'Outils de calculs'!U25/2</f>
        <v>10</v>
      </c>
      <c r="V12" s="181">
        <f>IF($C12="","",U12*VLOOKUP($C12,MATIERES!$A$2:$F$424,4,0))</f>
        <v>19.899999999999999</v>
      </c>
      <c r="W12" s="1406">
        <f>'Outils de calculs'!W25/2</f>
        <v>12</v>
      </c>
      <c r="X12" s="181">
        <f>IF($C12="","",W12*VLOOKUP($C12,MATIERES!$A$2:$F$424,4,0))</f>
        <v>23.88</v>
      </c>
      <c r="Y12" s="1406">
        <f>'Outils de calculs'!Y25/2</f>
        <v>12</v>
      </c>
      <c r="Z12" s="181">
        <f>IF($C12="","",Y12*VLOOKUP($C12,MATIERES!$A$2:$F$424,4,0))</f>
        <v>23.88</v>
      </c>
      <c r="AA12" s="1406">
        <f>'Outils de calculs'!AA25/2</f>
        <v>14</v>
      </c>
      <c r="AB12" s="181">
        <f>IF($C12="","",AA12*VLOOKUP($C12,MATIERES!$A$2:$F$424,4,0))</f>
        <v>27.86</v>
      </c>
      <c r="AC12" s="1406">
        <f>'Outils de calculs'!AC25/2</f>
        <v>14</v>
      </c>
      <c r="AD12" s="181">
        <f>IF($C12="","",AC12*VLOOKUP($C12,MATIERES!$A$2:$F$424,4,0))</f>
        <v>27.86</v>
      </c>
      <c r="AE12" s="1406">
        <f>'Outils de calculs'!AE25/2</f>
        <v>16</v>
      </c>
      <c r="AF12" s="181">
        <f>IF($C12="","",AE12*VLOOKUP($C12,MATIERES!$A$2:$F$424,4,0))</f>
        <v>31.84</v>
      </c>
      <c r="AG12" s="1406">
        <f>'Outils de calculs'!AG25/2</f>
        <v>18</v>
      </c>
      <c r="AH12" s="181">
        <f>IF($C12="","",AG12*VLOOKUP($C12,MATIERES!$A$2:$F$424,4,0))</f>
        <v>35.82</v>
      </c>
      <c r="AI12" s="1406">
        <f>'Outils de calculs'!AI25/2</f>
        <v>18</v>
      </c>
      <c r="AJ12" s="181">
        <f>IF($C12="","",AI12*VLOOKUP($C12,MATIERES!$A$2:$F$424,4,0))</f>
        <v>35.82</v>
      </c>
      <c r="AK12" s="1406">
        <f>'Outils de calculs'!AK25/2</f>
        <v>20</v>
      </c>
      <c r="AL12" s="181">
        <f>IF($C12="","",AK12*VLOOKUP($C12,MATIERES!$A$2:$F$424,4,0))</f>
        <v>39.799999999999997</v>
      </c>
    </row>
    <row r="13" spans="1:38" ht="28.35" customHeight="1" x14ac:dyDescent="0.2">
      <c r="A13" s="1585"/>
      <c r="B13" s="314" t="s">
        <v>1142</v>
      </c>
      <c r="C13" s="1404" t="s">
        <v>701</v>
      </c>
      <c r="D13" s="179" t="str">
        <f>IF($C13="","",VLOOKUP($C13,MATIERES!$A$2:$F$424,5,0))</f>
        <v>pc</v>
      </c>
      <c r="E13" s="506"/>
      <c r="F13" s="506"/>
      <c r="G13" s="180">
        <f>'Outils de calculs'!G43*3</f>
        <v>3</v>
      </c>
      <c r="H13" s="181">
        <f>IF($C13="","",G13*VLOOKUP($C13,MATIERES!$A$2:$F$424,4,0))</f>
        <v>10.68</v>
      </c>
      <c r="I13" s="180">
        <f>'Outils de calculs'!I43*3</f>
        <v>0</v>
      </c>
      <c r="J13" s="181">
        <f>IF($C13="","",I13*VLOOKUP($C13,MATIERES!$A$2:$F$424,4,0))</f>
        <v>0</v>
      </c>
      <c r="K13" s="180">
        <f>'Outils de calculs'!K43*3</f>
        <v>6</v>
      </c>
      <c r="L13" s="181">
        <f>IF($C13="","",K13*VLOOKUP($C13,MATIERES!$A$2:$F$424,4,0))</f>
        <v>21.36</v>
      </c>
      <c r="M13" s="180">
        <f>'Outils de calculs'!M43*3</f>
        <v>6</v>
      </c>
      <c r="N13" s="181">
        <f>IF($C13="","",M13*VLOOKUP($C13,MATIERES!$A$2:$F$424,4,0))</f>
        <v>21.36</v>
      </c>
      <c r="O13" s="180">
        <f>'Outils de calculs'!O43*3</f>
        <v>0</v>
      </c>
      <c r="P13" s="181">
        <f>IF($C13="","",O13*VLOOKUP($C13,MATIERES!$A$2:$F$424,4,0))</f>
        <v>0</v>
      </c>
      <c r="Q13" s="180">
        <f>'Outils de calculs'!Q43*3</f>
        <v>0</v>
      </c>
      <c r="R13" s="181">
        <f>IF($C13="","",Q13*VLOOKUP($C13,MATIERES!$A$2:$F$424,4,0))</f>
        <v>0</v>
      </c>
      <c r="S13" s="180">
        <f>'Outils de calculs'!S43*3</f>
        <v>0</v>
      </c>
      <c r="T13" s="181">
        <f>IF($C13="","",S13*VLOOKUP($C13,MATIERES!$A$2:$F$424,4,0))</f>
        <v>0</v>
      </c>
      <c r="U13" s="180">
        <f>'Outils de calculs'!U43*3</f>
        <v>12</v>
      </c>
      <c r="V13" s="181">
        <f>IF($C13="","",U13*VLOOKUP($C13,MATIERES!$A$2:$F$424,4,0))</f>
        <v>42.72</v>
      </c>
      <c r="W13" s="180">
        <f>'Outils de calculs'!W43*3</f>
        <v>12</v>
      </c>
      <c r="X13" s="181">
        <f>IF($C13="","",W13*VLOOKUP($C13,MATIERES!$A$2:$F$424,4,0))</f>
        <v>42.72</v>
      </c>
      <c r="Y13" s="180">
        <f>'Outils de calculs'!Y43*3</f>
        <v>12</v>
      </c>
      <c r="Z13" s="181">
        <f>IF($C13="","",Y13*VLOOKUP($C13,MATIERES!$A$2:$F$424,4,0))</f>
        <v>42.72</v>
      </c>
      <c r="AA13" s="180">
        <f>'Outils de calculs'!AA43*3</f>
        <v>0</v>
      </c>
      <c r="AB13" s="181">
        <f>IF($C13="","",AA13*VLOOKUP($C13,MATIERES!$A$2:$F$424,4,0))</f>
        <v>0</v>
      </c>
      <c r="AC13" s="180">
        <f>'Outils de calculs'!AC43*3</f>
        <v>0</v>
      </c>
      <c r="AD13" s="181">
        <f>IF($C13="","",AC13*VLOOKUP($C13,MATIERES!$A$2:$F$424,4,0))</f>
        <v>0</v>
      </c>
      <c r="AE13" s="180">
        <f>'Outils de calculs'!AE43*3</f>
        <v>0</v>
      </c>
      <c r="AF13" s="181">
        <f>IF($C13="","",AE13*VLOOKUP($C13,MATIERES!$A$2:$F$424,4,0))</f>
        <v>0</v>
      </c>
      <c r="AG13" s="180">
        <f>'Outils de calculs'!AG43*3</f>
        <v>0</v>
      </c>
      <c r="AH13" s="181">
        <f>IF($C13="","",AG13*VLOOKUP($C13,MATIERES!$A$2:$F$424,4,0))</f>
        <v>0</v>
      </c>
      <c r="AI13" s="180">
        <f>'Outils de calculs'!AI43*3</f>
        <v>0</v>
      </c>
      <c r="AJ13" s="181">
        <f>IF($C13="","",AI13*VLOOKUP($C13,MATIERES!$A$2:$F$424,4,0))</f>
        <v>0</v>
      </c>
      <c r="AK13" s="180">
        <f>'Outils de calculs'!AK43*3</f>
        <v>24</v>
      </c>
      <c r="AL13" s="181">
        <f>IF($C13="","",AK13*VLOOKUP($C13,MATIERES!$A$2:$F$424,4,0))</f>
        <v>85.44</v>
      </c>
    </row>
    <row r="14" spans="1:38" ht="28.35" customHeight="1" x14ac:dyDescent="0.2">
      <c r="A14" s="1585"/>
      <c r="B14" s="314" t="s">
        <v>719</v>
      </c>
      <c r="C14" s="1404" t="s">
        <v>721</v>
      </c>
      <c r="D14" s="179" t="str">
        <f>IF($C14="","",VLOOKUP($C14,MATIERES!$A$2:$F$424,5,0))</f>
        <v>ml</v>
      </c>
      <c r="E14" s="511"/>
      <c r="F14" s="511"/>
      <c r="G14" s="180">
        <f>'Outils de calculs'!G43</f>
        <v>1</v>
      </c>
      <c r="H14" s="181">
        <f>IF($C14="","",G14*VLOOKUP($C14,MATIERES!$A$2:$F$424,4,0))</f>
        <v>1.89</v>
      </c>
      <c r="I14" s="180">
        <f>'Outils de calculs'!I43</f>
        <v>0</v>
      </c>
      <c r="J14" s="181">
        <f>IF($C14="","",I14*VLOOKUP($C14,MATIERES!$A$2:$F$424,4,0))</f>
        <v>0</v>
      </c>
      <c r="K14" s="180">
        <f>'Outils de calculs'!K43</f>
        <v>2</v>
      </c>
      <c r="L14" s="181">
        <f>IF($C14="","",K14*VLOOKUP($C14,MATIERES!$A$2:$F$424,4,0))</f>
        <v>3.78</v>
      </c>
      <c r="M14" s="180">
        <f>'Outils de calculs'!M43</f>
        <v>2</v>
      </c>
      <c r="N14" s="181">
        <f>IF($C14="","",M14*VLOOKUP($C14,MATIERES!$A$2:$F$424,4,0))</f>
        <v>3.78</v>
      </c>
      <c r="O14" s="180">
        <f>'Outils de calculs'!O43</f>
        <v>0</v>
      </c>
      <c r="P14" s="181">
        <f>IF($C14="","",O14*VLOOKUP($C14,MATIERES!$A$2:$F$424,4,0))</f>
        <v>0</v>
      </c>
      <c r="Q14" s="180">
        <f>'Outils de calculs'!Q43</f>
        <v>0</v>
      </c>
      <c r="R14" s="181">
        <f>IF($C14="","",Q14*VLOOKUP($C14,MATIERES!$A$2:$F$424,4,0))</f>
        <v>0</v>
      </c>
      <c r="S14" s="180">
        <f>'Outils de calculs'!S43</f>
        <v>0</v>
      </c>
      <c r="T14" s="181">
        <f>IF($C14="","",S14*VLOOKUP($C14,MATIERES!$A$2:$F$424,4,0))</f>
        <v>0</v>
      </c>
      <c r="U14" s="180">
        <f>'Outils de calculs'!U43</f>
        <v>4</v>
      </c>
      <c r="V14" s="181">
        <f>IF($C14="","",U14*VLOOKUP($C14,MATIERES!$A$2:$F$424,4,0))</f>
        <v>7.56</v>
      </c>
      <c r="W14" s="180">
        <f>'Outils de calculs'!W43</f>
        <v>4</v>
      </c>
      <c r="X14" s="181">
        <f>IF($C14="","",W14*VLOOKUP($C14,MATIERES!$A$2:$F$424,4,0))</f>
        <v>7.56</v>
      </c>
      <c r="Y14" s="180">
        <f>'Outils de calculs'!Y43</f>
        <v>4</v>
      </c>
      <c r="Z14" s="181">
        <f>IF($C14="","",Y14*VLOOKUP($C14,MATIERES!$A$2:$F$424,4,0))</f>
        <v>7.56</v>
      </c>
      <c r="AA14" s="180">
        <f>'Outils de calculs'!AA43</f>
        <v>0</v>
      </c>
      <c r="AB14" s="181">
        <f>IF($C14="","",AA14*VLOOKUP($C14,MATIERES!$A$2:$F$424,4,0))</f>
        <v>0</v>
      </c>
      <c r="AC14" s="180">
        <f>'Outils de calculs'!AC43</f>
        <v>0</v>
      </c>
      <c r="AD14" s="181">
        <f>IF($C14="","",AC14*VLOOKUP($C14,MATIERES!$A$2:$F$424,4,0))</f>
        <v>0</v>
      </c>
      <c r="AE14" s="180">
        <f>'Outils de calculs'!AE43</f>
        <v>0</v>
      </c>
      <c r="AF14" s="181">
        <f>IF($C14="","",AE14*VLOOKUP($C14,MATIERES!$A$2:$F$424,4,0))</f>
        <v>0</v>
      </c>
      <c r="AG14" s="180">
        <f>'Outils de calculs'!AG43</f>
        <v>0</v>
      </c>
      <c r="AH14" s="181">
        <f>IF($C14="","",AG14*VLOOKUP($C14,MATIERES!$A$2:$F$424,4,0))</f>
        <v>0</v>
      </c>
      <c r="AI14" s="180">
        <f>'Outils de calculs'!AI43</f>
        <v>0</v>
      </c>
      <c r="AJ14" s="181">
        <f>IF($C14="","",AI14*VLOOKUP($C14,MATIERES!$A$2:$F$424,4,0))</f>
        <v>0</v>
      </c>
      <c r="AK14" s="180">
        <f>'Outils de calculs'!AK43</f>
        <v>8</v>
      </c>
      <c r="AL14" s="181">
        <f>IF($C14="","",AK14*VLOOKUP($C14,MATIERES!$A$2:$F$424,4,0))</f>
        <v>15.12</v>
      </c>
    </row>
    <row r="15" spans="1:38" ht="28.35" customHeight="1" x14ac:dyDescent="0.2">
      <c r="A15" s="1585"/>
      <c r="B15" s="314" t="s">
        <v>736</v>
      </c>
      <c r="C15" s="1404" t="s">
        <v>742</v>
      </c>
      <c r="D15" s="179" t="str">
        <f>IF($C15="","",VLOOKUP($C15,MATIERES!$A$2:$F$424,5,0))</f>
        <v>pc</v>
      </c>
      <c r="E15" s="512"/>
      <c r="F15" s="512"/>
      <c r="G15" s="180">
        <f>'Outils de calculs'!G43</f>
        <v>1</v>
      </c>
      <c r="H15" s="181">
        <f>IF($C15="","",G15*VLOOKUP($C15,MATIERES!$A$2:$F$424,4,0))</f>
        <v>21.77</v>
      </c>
      <c r="I15" s="180">
        <f>'Outils de calculs'!I43</f>
        <v>0</v>
      </c>
      <c r="J15" s="181">
        <f>IF($C15="","",I15*VLOOKUP($C15,MATIERES!$A$2:$F$424,4,0))</f>
        <v>0</v>
      </c>
      <c r="K15" s="180">
        <f>'Outils de calculs'!K43</f>
        <v>2</v>
      </c>
      <c r="L15" s="181">
        <f>IF($C15="","",K15*VLOOKUP($C15,MATIERES!$A$2:$F$424,4,0))</f>
        <v>43.54</v>
      </c>
      <c r="M15" s="180">
        <f>'Outils de calculs'!M43</f>
        <v>2</v>
      </c>
      <c r="N15" s="181">
        <f>IF($C15="","",M15*VLOOKUP($C15,MATIERES!$A$2:$F$424,4,0))</f>
        <v>43.54</v>
      </c>
      <c r="O15" s="180">
        <f>'Outils de calculs'!O43</f>
        <v>0</v>
      </c>
      <c r="P15" s="181">
        <f>IF($C15="","",O15*VLOOKUP($C15,MATIERES!$A$2:$F$424,4,0))</f>
        <v>0</v>
      </c>
      <c r="Q15" s="180">
        <f>'Outils de calculs'!Q43</f>
        <v>0</v>
      </c>
      <c r="R15" s="181">
        <f>IF($C15="","",Q15*VLOOKUP($C15,MATIERES!$A$2:$F$424,4,0))</f>
        <v>0</v>
      </c>
      <c r="S15" s="180">
        <f>'Outils de calculs'!S43</f>
        <v>0</v>
      </c>
      <c r="T15" s="181">
        <f>IF($C15="","",S15*VLOOKUP($C15,MATIERES!$A$2:$F$424,4,0))</f>
        <v>0</v>
      </c>
      <c r="U15" s="180">
        <f>'Outils de calculs'!U43</f>
        <v>4</v>
      </c>
      <c r="V15" s="181">
        <f>IF($C15="","",U15*VLOOKUP($C15,MATIERES!$A$2:$F$424,4,0))</f>
        <v>87.08</v>
      </c>
      <c r="W15" s="180">
        <f>'Outils de calculs'!W43</f>
        <v>4</v>
      </c>
      <c r="X15" s="181">
        <f>IF($C15="","",W15*VLOOKUP($C15,MATIERES!$A$2:$F$424,4,0))</f>
        <v>87.08</v>
      </c>
      <c r="Y15" s="180">
        <f>'Outils de calculs'!Y43</f>
        <v>4</v>
      </c>
      <c r="Z15" s="181">
        <f>IF($C15="","",Y15*VLOOKUP($C15,MATIERES!$A$2:$F$424,4,0))</f>
        <v>87.08</v>
      </c>
      <c r="AA15" s="180">
        <f>'Outils de calculs'!AA43</f>
        <v>0</v>
      </c>
      <c r="AB15" s="181">
        <f>IF($C15="","",AA15*VLOOKUP($C15,MATIERES!$A$2:$F$424,4,0))</f>
        <v>0</v>
      </c>
      <c r="AC15" s="180">
        <f>'Outils de calculs'!AC43</f>
        <v>0</v>
      </c>
      <c r="AD15" s="181">
        <f>IF($C15="","",AC15*VLOOKUP($C15,MATIERES!$A$2:$F$424,4,0))</f>
        <v>0</v>
      </c>
      <c r="AE15" s="180">
        <f>'Outils de calculs'!AE43</f>
        <v>0</v>
      </c>
      <c r="AF15" s="181">
        <f>IF($C15="","",AE15*VLOOKUP($C15,MATIERES!$A$2:$F$424,4,0))</f>
        <v>0</v>
      </c>
      <c r="AG15" s="180">
        <f>'Outils de calculs'!AG43</f>
        <v>0</v>
      </c>
      <c r="AH15" s="181">
        <f>IF($C15="","",AG15*VLOOKUP($C15,MATIERES!$A$2:$F$424,4,0))</f>
        <v>0</v>
      </c>
      <c r="AI15" s="180">
        <f>'Outils de calculs'!AI43</f>
        <v>0</v>
      </c>
      <c r="AJ15" s="181">
        <f>IF($C15="","",AI15*VLOOKUP($C15,MATIERES!$A$2:$F$424,4,0))</f>
        <v>0</v>
      </c>
      <c r="AK15" s="180">
        <f>'Outils de calculs'!AK43</f>
        <v>8</v>
      </c>
      <c r="AL15" s="181">
        <f>IF($C15="","",AK15*VLOOKUP($C15,MATIERES!$A$2:$F$424,4,0))</f>
        <v>174.16</v>
      </c>
    </row>
    <row r="16" spans="1:38" ht="28.35" customHeight="1" x14ac:dyDescent="0.2">
      <c r="A16" s="1585"/>
      <c r="B16" s="314" t="s">
        <v>127</v>
      </c>
      <c r="C16" s="1404" t="s">
        <v>1113</v>
      </c>
      <c r="D16" s="179" t="str">
        <f>IF($C16="","",VLOOKUP($C16,MATIERES!$A$2:$F$424,5,0))</f>
        <v>t</v>
      </c>
      <c r="E16" s="513"/>
      <c r="F16" s="513"/>
      <c r="G16" s="180">
        <f>'Outils de calculs'!G25*0.25*1.6</f>
        <v>2.4000000000000004</v>
      </c>
      <c r="H16" s="181">
        <f>IF($C16="","",G16*VLOOKUP($C16,MATIERES!$A$2:$F$424,4,0))</f>
        <v>72.000000000000014</v>
      </c>
      <c r="I16" s="180">
        <f>'Outils de calculs'!I25*0.25*1.6</f>
        <v>3.2</v>
      </c>
      <c r="J16" s="181">
        <f>IF($C16="","",I16*VLOOKUP($C16,MATIERES!$A$2:$F$424,4,0))</f>
        <v>96</v>
      </c>
      <c r="K16" s="180">
        <f>'Outils de calculs'!K25*0.25*1.6</f>
        <v>4</v>
      </c>
      <c r="L16" s="181">
        <f>IF($C16="","",K16*VLOOKUP($C16,MATIERES!$A$2:$F$424,4,0))</f>
        <v>120</v>
      </c>
      <c r="M16" s="180">
        <f>'Outils de calculs'!M25*0.25*1.6</f>
        <v>4.8000000000000007</v>
      </c>
      <c r="N16" s="181">
        <f>IF($C16="","",M16*VLOOKUP($C16,MATIERES!$A$2:$F$424,4,0))</f>
        <v>144.00000000000003</v>
      </c>
      <c r="O16" s="180">
        <f>'Outils de calculs'!O25*0.25*1.6</f>
        <v>5.6000000000000005</v>
      </c>
      <c r="P16" s="181">
        <f>IF($C16="","",O16*VLOOKUP($C16,MATIERES!$A$2:$F$424,4,0))</f>
        <v>168.00000000000003</v>
      </c>
      <c r="Q16" s="180">
        <f>'Outils de calculs'!Q25*0.25*1.6</f>
        <v>6.4</v>
      </c>
      <c r="R16" s="181">
        <f>IF($C16="","",Q16*VLOOKUP($C16,MATIERES!$A$2:$F$424,4,0))</f>
        <v>192</v>
      </c>
      <c r="S16" s="180">
        <f>'Outils de calculs'!S25*0.25*1.6</f>
        <v>7.2</v>
      </c>
      <c r="T16" s="181">
        <f>IF($C16="","",S16*VLOOKUP($C16,MATIERES!$A$2:$F$424,4,0))</f>
        <v>216</v>
      </c>
      <c r="U16" s="180">
        <f>'Outils de calculs'!U25*0.25*1.6</f>
        <v>8</v>
      </c>
      <c r="V16" s="181">
        <f>IF($C16="","",U16*VLOOKUP($C16,MATIERES!$A$2:$F$424,4,0))</f>
        <v>240</v>
      </c>
      <c r="W16" s="180">
        <f>'Outils de calculs'!W25*0.25*1.6</f>
        <v>9.6000000000000014</v>
      </c>
      <c r="X16" s="181">
        <f>IF($C16="","",W16*VLOOKUP($C16,MATIERES!$A$2:$F$424,4,0))</f>
        <v>288.00000000000006</v>
      </c>
      <c r="Y16" s="180">
        <f>'Outils de calculs'!Y25*0.25*1.6</f>
        <v>9.6000000000000014</v>
      </c>
      <c r="Z16" s="181">
        <f>IF($C16="","",Y16*VLOOKUP($C16,MATIERES!$A$2:$F$424,4,0))</f>
        <v>288.00000000000006</v>
      </c>
      <c r="AA16" s="180">
        <f>'Outils de calculs'!AA25*0.25*1.6</f>
        <v>11.200000000000001</v>
      </c>
      <c r="AB16" s="181">
        <f>IF($C16="","",AA16*VLOOKUP($C16,MATIERES!$A$2:$F$424,4,0))</f>
        <v>336.00000000000006</v>
      </c>
      <c r="AC16" s="180">
        <f>'Outils de calculs'!AC25*0.25*1.6</f>
        <v>11.200000000000001</v>
      </c>
      <c r="AD16" s="181">
        <f>IF($C16="","",AC16*VLOOKUP($C16,MATIERES!$A$2:$F$424,4,0))</f>
        <v>336.00000000000006</v>
      </c>
      <c r="AE16" s="180">
        <f>'Outils de calculs'!AE25*0.25*1.6</f>
        <v>12.8</v>
      </c>
      <c r="AF16" s="181">
        <f>IF($C16="","",AE16*VLOOKUP($C16,MATIERES!$A$2:$F$424,4,0))</f>
        <v>384</v>
      </c>
      <c r="AG16" s="180">
        <f>'Outils de calculs'!AG25*0.25*1.6</f>
        <v>14.4</v>
      </c>
      <c r="AH16" s="181">
        <f>IF($C16="","",AG16*VLOOKUP($C16,MATIERES!$A$2:$F$424,4,0))</f>
        <v>432</v>
      </c>
      <c r="AI16" s="180">
        <f>'Outils de calculs'!AI25*0.25*1.6</f>
        <v>14.4</v>
      </c>
      <c r="AJ16" s="181">
        <f>IF($C16="","",AI16*VLOOKUP($C16,MATIERES!$A$2:$F$424,4,0))</f>
        <v>432</v>
      </c>
      <c r="AK16" s="180">
        <f>'Outils de calculs'!AK25*0.25*1.6</f>
        <v>16</v>
      </c>
      <c r="AL16" s="181">
        <f>IF($C16="","",AK16*VLOOKUP($C16,MATIERES!$A$2:$F$424,4,0))</f>
        <v>480</v>
      </c>
    </row>
    <row r="17" spans="1:38" ht="28.35" customHeight="1" x14ac:dyDescent="0.2">
      <c r="A17" s="1585"/>
      <c r="B17" s="314" t="s">
        <v>127</v>
      </c>
      <c r="C17" s="1404" t="s">
        <v>1211</v>
      </c>
      <c r="D17" s="179" t="str">
        <f>IF($C17="","",VLOOKUP($C17,MATIERES!$A$2:$F$424,5,0))</f>
        <v>t</v>
      </c>
      <c r="E17" s="513"/>
      <c r="F17" s="513"/>
      <c r="G17" s="180">
        <f>'Outils de calculs'!G25*0.15*1.8</f>
        <v>1.6199999999999999</v>
      </c>
      <c r="H17" s="181">
        <f>IF($C17="","",G17*VLOOKUP($C17,MATIERES!$A$2:$F$424,4,0))</f>
        <v>81</v>
      </c>
      <c r="I17" s="180">
        <f>'Outils de calculs'!I25*0.15*1.8</f>
        <v>2.16</v>
      </c>
      <c r="J17" s="181">
        <f>IF($C17="","",I17*VLOOKUP($C17,MATIERES!$A$2:$F$424,4,0))</f>
        <v>108</v>
      </c>
      <c r="K17" s="180">
        <f>'Outils de calculs'!K25*0.15*1.8</f>
        <v>2.7</v>
      </c>
      <c r="L17" s="181">
        <f>IF($C17="","",K17*VLOOKUP($C17,MATIERES!$A$2:$F$424,4,0))</f>
        <v>135</v>
      </c>
      <c r="M17" s="180">
        <f>'Outils de calculs'!M25*0.15*1.8</f>
        <v>3.2399999999999998</v>
      </c>
      <c r="N17" s="181">
        <f>IF($C17="","",M17*VLOOKUP($C17,MATIERES!$A$2:$F$424,4,0))</f>
        <v>162</v>
      </c>
      <c r="O17" s="180">
        <f>'Outils de calculs'!O25*0.15*1.8</f>
        <v>3.7800000000000002</v>
      </c>
      <c r="P17" s="181">
        <f>IF($C17="","",O17*VLOOKUP($C17,MATIERES!$A$2:$F$424,4,0))</f>
        <v>189</v>
      </c>
      <c r="Q17" s="180">
        <f>'Outils de calculs'!Q25*0.15*1.8</f>
        <v>4.32</v>
      </c>
      <c r="R17" s="181">
        <f>IF($C17="","",Q17*VLOOKUP($C17,MATIERES!$A$2:$F$424,4,0))</f>
        <v>216</v>
      </c>
      <c r="S17" s="180">
        <f>'Outils de calculs'!S25*0.15*1.8</f>
        <v>4.8599999999999994</v>
      </c>
      <c r="T17" s="181">
        <f>IF($C17="","",S17*VLOOKUP($C17,MATIERES!$A$2:$F$424,4,0))</f>
        <v>242.99999999999997</v>
      </c>
      <c r="U17" s="180">
        <f>'Outils de calculs'!U25*0.15*1.8</f>
        <v>5.4</v>
      </c>
      <c r="V17" s="181">
        <f>IF($C17="","",U17*VLOOKUP($C17,MATIERES!$A$2:$F$424,4,0))</f>
        <v>270</v>
      </c>
      <c r="W17" s="180">
        <f>'Outils de calculs'!W25*0.15*1.8</f>
        <v>6.4799999999999995</v>
      </c>
      <c r="X17" s="181">
        <f>IF($C17="","",W17*VLOOKUP($C17,MATIERES!$A$2:$F$424,4,0))</f>
        <v>324</v>
      </c>
      <c r="Y17" s="180">
        <f>'Outils de calculs'!Y25*0.15*1.8</f>
        <v>6.4799999999999995</v>
      </c>
      <c r="Z17" s="181">
        <f>IF($C17="","",Y17*VLOOKUP($C17,MATIERES!$A$2:$F$424,4,0))</f>
        <v>324</v>
      </c>
      <c r="AA17" s="180">
        <f>'Outils de calculs'!AA25*0.15*1.8</f>
        <v>7.5600000000000005</v>
      </c>
      <c r="AB17" s="181">
        <f>IF($C17="","",AA17*VLOOKUP($C17,MATIERES!$A$2:$F$424,4,0))</f>
        <v>378</v>
      </c>
      <c r="AC17" s="180">
        <f>'Outils de calculs'!AC25*0.15*1.8</f>
        <v>7.5600000000000005</v>
      </c>
      <c r="AD17" s="181">
        <f>IF($C17="","",AC17*VLOOKUP($C17,MATIERES!$A$2:$F$424,4,0))</f>
        <v>378</v>
      </c>
      <c r="AE17" s="180">
        <f>'Outils de calculs'!AE25*0.15*1.8</f>
        <v>8.64</v>
      </c>
      <c r="AF17" s="181">
        <f>IF($C17="","",AE17*VLOOKUP($C17,MATIERES!$A$2:$F$424,4,0))</f>
        <v>432</v>
      </c>
      <c r="AG17" s="180">
        <f>'Outils de calculs'!AG25*0.15*1.8</f>
        <v>9.7199999999999989</v>
      </c>
      <c r="AH17" s="181">
        <f>IF($C17="","",AG17*VLOOKUP($C17,MATIERES!$A$2:$F$424,4,0))</f>
        <v>485.99999999999994</v>
      </c>
      <c r="AI17" s="180">
        <f>'Outils de calculs'!AI25*0.15*1.8</f>
        <v>9.7199999999999989</v>
      </c>
      <c r="AJ17" s="181">
        <f>IF($C17="","",AI17*VLOOKUP($C17,MATIERES!$A$2:$F$424,4,0))</f>
        <v>485.99999999999994</v>
      </c>
      <c r="AK17" s="180">
        <f>'Outils de calculs'!AK25*0.15*1.8</f>
        <v>10.8</v>
      </c>
      <c r="AL17" s="181">
        <f>IF($C17="","",AK17*VLOOKUP($C17,MATIERES!$A$2:$F$424,4,0))</f>
        <v>540</v>
      </c>
    </row>
    <row r="18" spans="1:38" ht="28.35" customHeight="1" x14ac:dyDescent="0.2">
      <c r="A18" s="1585"/>
      <c r="B18" s="314" t="s">
        <v>127</v>
      </c>
      <c r="C18" s="1404" t="s">
        <v>1209</v>
      </c>
      <c r="D18" s="179" t="str">
        <f>IF($C18="","",VLOOKUP($C18,MATIERES!$A$2:$F$424,5,0))</f>
        <v>t</v>
      </c>
      <c r="E18" s="513"/>
      <c r="F18" s="513"/>
      <c r="G18" s="180">
        <f>'Outils de calculs'!G25*1.6*0.2</f>
        <v>1.9200000000000004</v>
      </c>
      <c r="H18" s="181">
        <f>IF($C18="","",G18*VLOOKUP($C18,MATIERES!$A$2:$F$424,4,0))</f>
        <v>57.600000000000009</v>
      </c>
      <c r="I18" s="180">
        <f>'Outils de calculs'!I25*1.6*0.2</f>
        <v>2.5600000000000005</v>
      </c>
      <c r="J18" s="181">
        <f>IF($C18="","",I18*VLOOKUP($C18,MATIERES!$A$2:$F$424,4,0))</f>
        <v>76.800000000000011</v>
      </c>
      <c r="K18" s="180">
        <f>'Outils de calculs'!K25*1.6*0.2</f>
        <v>3.2</v>
      </c>
      <c r="L18" s="181">
        <f>IF($C18="","",K18*VLOOKUP($C18,MATIERES!$A$2:$F$424,4,0))</f>
        <v>96</v>
      </c>
      <c r="M18" s="180">
        <f>'Outils de calculs'!M25*1.6*0.2</f>
        <v>3.8400000000000007</v>
      </c>
      <c r="N18" s="181">
        <f>IF($C18="","",M18*VLOOKUP($C18,MATIERES!$A$2:$F$424,4,0))</f>
        <v>115.20000000000002</v>
      </c>
      <c r="O18" s="180">
        <f>'Outils de calculs'!O25*1.6*0.2</f>
        <v>4.4800000000000004</v>
      </c>
      <c r="P18" s="181">
        <f>IF($C18="","",O18*VLOOKUP($C18,MATIERES!$A$2:$F$424,4,0))</f>
        <v>134.4</v>
      </c>
      <c r="Q18" s="180">
        <f>'Outils de calculs'!Q25*1.6*0.2</f>
        <v>5.120000000000001</v>
      </c>
      <c r="R18" s="181">
        <f>IF($C18="","",Q18*VLOOKUP($C18,MATIERES!$A$2:$F$424,4,0))</f>
        <v>153.60000000000002</v>
      </c>
      <c r="S18" s="180">
        <f>'Outils de calculs'!S25*1.6*0.2</f>
        <v>5.7600000000000007</v>
      </c>
      <c r="T18" s="181">
        <f>IF($C18="","",S18*VLOOKUP($C18,MATIERES!$A$2:$F$424,4,0))</f>
        <v>172.8</v>
      </c>
      <c r="U18" s="180">
        <f>'Outils de calculs'!U25*1.6*0.2</f>
        <v>6.4</v>
      </c>
      <c r="V18" s="181">
        <f>IF($C18="","",U18*VLOOKUP($C18,MATIERES!$A$2:$F$424,4,0))</f>
        <v>192</v>
      </c>
      <c r="W18" s="180">
        <f>'Outils de calculs'!W25*1.6*0.2</f>
        <v>7.6800000000000015</v>
      </c>
      <c r="X18" s="181">
        <f>IF($C18="","",W18*VLOOKUP($C18,MATIERES!$A$2:$F$424,4,0))</f>
        <v>230.40000000000003</v>
      </c>
      <c r="Y18" s="180">
        <f>'Outils de calculs'!Y25*1.6*0.2</f>
        <v>7.6800000000000015</v>
      </c>
      <c r="Z18" s="181">
        <f>IF($C18="","",Y18*VLOOKUP($C18,MATIERES!$A$2:$F$424,4,0))</f>
        <v>230.40000000000003</v>
      </c>
      <c r="AA18" s="180">
        <f>'Outils de calculs'!AA25*1.6*0.2</f>
        <v>8.9600000000000009</v>
      </c>
      <c r="AB18" s="181">
        <f>IF($C18="","",AA18*VLOOKUP($C18,MATIERES!$A$2:$F$424,4,0))</f>
        <v>268.8</v>
      </c>
      <c r="AC18" s="180">
        <f>'Outils de calculs'!AC25*1.6*0.2</f>
        <v>8.9600000000000009</v>
      </c>
      <c r="AD18" s="181">
        <f>IF($C18="","",AC18*VLOOKUP($C18,MATIERES!$A$2:$F$424,4,0))</f>
        <v>268.8</v>
      </c>
      <c r="AE18" s="180">
        <f>'Outils de calculs'!AE25*1.6*0.2</f>
        <v>10.240000000000002</v>
      </c>
      <c r="AF18" s="181">
        <f>IF($C18="","",AE18*VLOOKUP($C18,MATIERES!$A$2:$F$424,4,0))</f>
        <v>307.20000000000005</v>
      </c>
      <c r="AG18" s="180">
        <f>'Outils de calculs'!AG25*1.6*0.2</f>
        <v>11.520000000000001</v>
      </c>
      <c r="AH18" s="181">
        <f>IF($C18="","",AG18*VLOOKUP($C18,MATIERES!$A$2:$F$424,4,0))</f>
        <v>345.6</v>
      </c>
      <c r="AI18" s="180">
        <f>'Outils de calculs'!AI25*1.6*0.2</f>
        <v>11.520000000000001</v>
      </c>
      <c r="AJ18" s="181">
        <f>IF($C18="","",AI18*VLOOKUP($C18,MATIERES!$A$2:$F$424,4,0))</f>
        <v>345.6</v>
      </c>
      <c r="AK18" s="180">
        <f>'Outils de calculs'!AK25*1.6*0.2</f>
        <v>12.8</v>
      </c>
      <c r="AL18" s="181">
        <f>IF($C18="","",AK18*VLOOKUP($C18,MATIERES!$A$2:$F$424,4,0))</f>
        <v>384</v>
      </c>
    </row>
    <row r="19" spans="1:38" ht="28.35" customHeight="1" x14ac:dyDescent="0.2">
      <c r="A19" s="1585"/>
      <c r="B19" s="314" t="s">
        <v>127</v>
      </c>
      <c r="C19" s="1404" t="s">
        <v>1210</v>
      </c>
      <c r="D19" s="179" t="str">
        <f>IF($C19="","",VLOOKUP($C19,MATIERES!$A$2:$F$424,5,0))</f>
        <v>t</v>
      </c>
      <c r="E19" s="513"/>
      <c r="F19" s="513"/>
      <c r="G19" s="180">
        <f>'Outils de calculs'!G25*1.25*0.05</f>
        <v>0.375</v>
      </c>
      <c r="H19" s="181">
        <f>IF($C19="","",G19*VLOOKUP($C19,MATIERES!$A$2:$F$424,4,0))</f>
        <v>7.5</v>
      </c>
      <c r="I19" s="180">
        <f>'Outils de calculs'!I25*1.25*0.05</f>
        <v>0.5</v>
      </c>
      <c r="J19" s="181">
        <f>IF($C19="","",I19*VLOOKUP($C19,MATIERES!$A$2:$F$424,4,0))</f>
        <v>10</v>
      </c>
      <c r="K19" s="180">
        <f>'Outils de calculs'!K25*1.25*0.05</f>
        <v>0.625</v>
      </c>
      <c r="L19" s="181">
        <f>IF($C19="","",K19*VLOOKUP($C19,MATIERES!$A$2:$F$424,4,0))</f>
        <v>12.5</v>
      </c>
      <c r="M19" s="180">
        <f>'Outils de calculs'!M25*1.25*0.05</f>
        <v>0.75</v>
      </c>
      <c r="N19" s="181">
        <f>IF($C19="","",M19*VLOOKUP($C19,MATIERES!$A$2:$F$424,4,0))</f>
        <v>15</v>
      </c>
      <c r="O19" s="180">
        <f>'Outils de calculs'!O25*1.25*0.05</f>
        <v>0.875</v>
      </c>
      <c r="P19" s="181">
        <f>IF($C19="","",O19*VLOOKUP($C19,MATIERES!$A$2:$F$424,4,0))</f>
        <v>17.5</v>
      </c>
      <c r="Q19" s="180">
        <f>'Outils de calculs'!Q25*1.25*0.05</f>
        <v>1</v>
      </c>
      <c r="R19" s="181">
        <f>IF($C19="","",Q19*VLOOKUP($C19,MATIERES!$A$2:$F$424,4,0))</f>
        <v>20</v>
      </c>
      <c r="S19" s="180">
        <f>'Outils de calculs'!S25*1.25*0.05</f>
        <v>1.125</v>
      </c>
      <c r="T19" s="181">
        <f>IF($C19="","",S19*VLOOKUP($C19,MATIERES!$A$2:$F$424,4,0))</f>
        <v>22.5</v>
      </c>
      <c r="U19" s="180">
        <f>'Outils de calculs'!U25*1.25*0.05</f>
        <v>1.25</v>
      </c>
      <c r="V19" s="181">
        <f>IF($C19="","",U19*VLOOKUP($C19,MATIERES!$A$2:$F$424,4,0))</f>
        <v>25</v>
      </c>
      <c r="W19" s="180">
        <f>'Outils de calculs'!W25*1.25*0.05</f>
        <v>1.5</v>
      </c>
      <c r="X19" s="181">
        <f>IF($C19="","",W19*VLOOKUP($C19,MATIERES!$A$2:$F$424,4,0))</f>
        <v>30</v>
      </c>
      <c r="Y19" s="180">
        <f>'Outils de calculs'!Y25*1.25*0.05</f>
        <v>1.5</v>
      </c>
      <c r="Z19" s="181">
        <f>IF($C19="","",Y19*VLOOKUP($C19,MATIERES!$A$2:$F$424,4,0))</f>
        <v>30</v>
      </c>
      <c r="AA19" s="180">
        <f>'Outils de calculs'!AA25*1.25*0.05</f>
        <v>1.75</v>
      </c>
      <c r="AB19" s="181">
        <f>IF($C19="","",AA19*VLOOKUP($C19,MATIERES!$A$2:$F$424,4,0))</f>
        <v>35</v>
      </c>
      <c r="AC19" s="180">
        <f>'Outils de calculs'!AC25*1.25*0.05</f>
        <v>1.75</v>
      </c>
      <c r="AD19" s="181">
        <f>IF($C19="","",AC19*VLOOKUP($C19,MATIERES!$A$2:$F$424,4,0))</f>
        <v>35</v>
      </c>
      <c r="AE19" s="180">
        <f>'Outils de calculs'!AE25*1.25*0.05</f>
        <v>2</v>
      </c>
      <c r="AF19" s="181">
        <f>IF($C19="","",AE19*VLOOKUP($C19,MATIERES!$A$2:$F$424,4,0))</f>
        <v>40</v>
      </c>
      <c r="AG19" s="180">
        <f>'Outils de calculs'!AG25*1.25*0.05</f>
        <v>2.25</v>
      </c>
      <c r="AH19" s="181">
        <f>IF($C19="","",AG19*VLOOKUP($C19,MATIERES!$A$2:$F$424,4,0))</f>
        <v>45</v>
      </c>
      <c r="AI19" s="180">
        <f>'Outils de calculs'!AI25*1.25*0.05</f>
        <v>2.25</v>
      </c>
      <c r="AJ19" s="181">
        <f>IF($C19="","",AI19*VLOOKUP($C19,MATIERES!$A$2:$F$424,4,0))</f>
        <v>45</v>
      </c>
      <c r="AK19" s="180">
        <f>'Outils de calculs'!AK25*1.25*0.05</f>
        <v>2.5</v>
      </c>
      <c r="AL19" s="181">
        <f>IF($C19="","",AK19*VLOOKUP($C19,MATIERES!$A$2:$F$424,4,0))</f>
        <v>50</v>
      </c>
    </row>
    <row r="20" spans="1:38" ht="57" customHeight="1" x14ac:dyDescent="0.2">
      <c r="A20" s="309"/>
      <c r="B20" s="314"/>
      <c r="C20" s="182" t="s">
        <v>446</v>
      </c>
      <c r="D20" s="183" t="s">
        <v>447</v>
      </c>
      <c r="E20" s="513"/>
      <c r="F20" s="513"/>
      <c r="G20" s="403">
        <f>H20*(1+Simulation!$P$11)</f>
        <v>1672.6034000000002</v>
      </c>
      <c r="H20" s="185">
        <f>SUM(H4:H19)</f>
        <v>1286.6180000000002</v>
      </c>
      <c r="I20" s="513"/>
      <c r="J20" s="513"/>
      <c r="K20" s="403">
        <f>L20*(1+Simulation!$P$11)</f>
        <v>2816.9829999999997</v>
      </c>
      <c r="L20" s="185">
        <f>SUM(L4:L19)</f>
        <v>2166.91</v>
      </c>
      <c r="M20" s="403">
        <f>N20*(1+Simulation!$P$11)</f>
        <v>3306.654</v>
      </c>
      <c r="N20" s="185">
        <f>SUM(N4:N19)</f>
        <v>2543.58</v>
      </c>
      <c r="O20" s="513"/>
      <c r="P20" s="513"/>
      <c r="Q20" s="513"/>
      <c r="R20" s="513"/>
      <c r="S20" s="513"/>
      <c r="T20" s="513"/>
      <c r="U20" s="403">
        <f>V20*(1+Simulation!$P$11)</f>
        <v>5633.9659999999994</v>
      </c>
      <c r="V20" s="185">
        <f>SUM(V4:V19)</f>
        <v>4333.82</v>
      </c>
      <c r="W20" s="403">
        <f>X20*(1+Simulation!$P$11)</f>
        <v>6613.308</v>
      </c>
      <c r="X20" s="185">
        <f>SUM(X4:X19)</f>
        <v>5087.16</v>
      </c>
      <c r="Y20" s="513"/>
      <c r="Z20" s="513"/>
      <c r="AA20" s="513"/>
      <c r="AB20" s="513"/>
      <c r="AC20" s="513"/>
      <c r="AD20" s="513"/>
      <c r="AE20" s="513"/>
      <c r="AF20" s="513"/>
      <c r="AG20" s="513"/>
      <c r="AH20" s="513"/>
      <c r="AI20" s="513"/>
      <c r="AJ20" s="513"/>
      <c r="AK20" s="403">
        <f>AL20*(1+Simulation!$P$11)</f>
        <v>11267.931999999999</v>
      </c>
      <c r="AL20" s="185">
        <f>SUM(AL4:AL19)</f>
        <v>8667.64</v>
      </c>
    </row>
    <row r="21" spans="1:38" ht="28.35" customHeight="1" x14ac:dyDescent="0.2">
      <c r="A21" s="1586" t="s">
        <v>448</v>
      </c>
      <c r="B21" s="314" t="s">
        <v>1156</v>
      </c>
      <c r="C21" s="1404" t="s">
        <v>1240</v>
      </c>
      <c r="D21" s="179" t="str">
        <f>IF($C21="","",VLOOKUP($C21,ATELIER!$A$2:$E$109,3,0))</f>
        <v>pc</v>
      </c>
      <c r="E21" s="390"/>
      <c r="F21" s="390"/>
      <c r="G21" s="180">
        <f>'Outils de calculs'!G43</f>
        <v>1</v>
      </c>
      <c r="H21" s="186">
        <f>IF($C21="","",G21*VLOOKUP($C21,ATELIER!$A$2:$F$109,4,0))</f>
        <v>0.12</v>
      </c>
      <c r="I21" s="180">
        <f>'Outils de calculs'!I43</f>
        <v>0</v>
      </c>
      <c r="J21" s="186">
        <f>IF($C21="","",I21*VLOOKUP($C21,ATELIER!$A$2:$F$109,4,0))</f>
        <v>0</v>
      </c>
      <c r="K21" s="180">
        <f>'Outils de calculs'!K43</f>
        <v>2</v>
      </c>
      <c r="L21" s="186">
        <f>IF($C21="","",K21*VLOOKUP($C21,ATELIER!$A$2:$F$109,4,0))</f>
        <v>0.24</v>
      </c>
      <c r="M21" s="180">
        <f>'Outils de calculs'!M43</f>
        <v>2</v>
      </c>
      <c r="N21" s="186">
        <f>IF($C21="","",M21*VLOOKUP($C21,ATELIER!$A$2:$F$109,4,0))</f>
        <v>0.24</v>
      </c>
      <c r="O21" s="180">
        <f>'Outils de calculs'!O43</f>
        <v>0</v>
      </c>
      <c r="P21" s="186">
        <f>IF($C21="","",O21*VLOOKUP($C21,ATELIER!$A$2:$F$109,4,0))</f>
        <v>0</v>
      </c>
      <c r="Q21" s="180">
        <f>'Outils de calculs'!Q43</f>
        <v>0</v>
      </c>
      <c r="R21" s="186">
        <f>IF($C21="","",Q21*VLOOKUP($C21,ATELIER!$A$2:$F$109,4,0))</f>
        <v>0</v>
      </c>
      <c r="S21" s="180">
        <f>'Outils de calculs'!S43</f>
        <v>0</v>
      </c>
      <c r="T21" s="186">
        <f>IF($C21="","",S21*VLOOKUP($C21,ATELIER!$A$2:$F$109,4,0))</f>
        <v>0</v>
      </c>
      <c r="U21" s="180">
        <f>'Outils de calculs'!U43</f>
        <v>4</v>
      </c>
      <c r="V21" s="186">
        <f>IF($C21="","",U21*VLOOKUP($C21,ATELIER!$A$2:$F$109,4,0))</f>
        <v>0.48</v>
      </c>
      <c r="W21" s="180">
        <f>'Outils de calculs'!W43</f>
        <v>4</v>
      </c>
      <c r="X21" s="186">
        <f>IF($C21="","",W21*VLOOKUP($C21,ATELIER!$A$2:$F$109,4,0))</f>
        <v>0.48</v>
      </c>
      <c r="Y21" s="180">
        <f>'Outils de calculs'!Y43</f>
        <v>4</v>
      </c>
      <c r="Z21" s="186">
        <f>IF($C21="","",Y21*VLOOKUP($C21,ATELIER!$A$2:$F$109,4,0))</f>
        <v>0.48</v>
      </c>
      <c r="AA21" s="180">
        <f>'Outils de calculs'!AA43</f>
        <v>0</v>
      </c>
      <c r="AB21" s="186">
        <f>IF($C21="","",AA21*VLOOKUP($C21,ATELIER!$A$2:$F$109,4,0))</f>
        <v>0</v>
      </c>
      <c r="AC21" s="180">
        <f>'Outils de calculs'!AC43</f>
        <v>0</v>
      </c>
      <c r="AD21" s="186">
        <f>IF($C21="","",AC21*VLOOKUP($C21,ATELIER!$A$2:$F$109,4,0))</f>
        <v>0</v>
      </c>
      <c r="AE21" s="180">
        <f>'Outils de calculs'!AE43</f>
        <v>0</v>
      </c>
      <c r="AF21" s="186">
        <f>IF($C21="","",AE21*VLOOKUP($C21,ATELIER!$A$2:$F$109,4,0))</f>
        <v>0</v>
      </c>
      <c r="AG21" s="180">
        <f>'Outils de calculs'!AG43</f>
        <v>0</v>
      </c>
      <c r="AH21" s="186">
        <f>IF($C21="","",AG21*VLOOKUP($C21,ATELIER!$A$2:$F$109,4,0))</f>
        <v>0</v>
      </c>
      <c r="AI21" s="180">
        <f>'Outils de calculs'!AI43</f>
        <v>0</v>
      </c>
      <c r="AJ21" s="186">
        <f>IF($C21="","",AI21*VLOOKUP($C21,ATELIER!$A$2:$F$109,4,0))</f>
        <v>0</v>
      </c>
      <c r="AK21" s="180">
        <f>'Outils de calculs'!AK43</f>
        <v>8</v>
      </c>
      <c r="AL21" s="186">
        <f>IF($C21="","",AK21*VLOOKUP($C21,ATELIER!$A$2:$F$109,4,0))</f>
        <v>0.96</v>
      </c>
    </row>
    <row r="22" spans="1:38" ht="28.35" customHeight="1" x14ac:dyDescent="0.2">
      <c r="A22" s="1586"/>
      <c r="B22" s="314" t="s">
        <v>1156</v>
      </c>
      <c r="C22" s="1404" t="s">
        <v>1659</v>
      </c>
      <c r="D22" s="179" t="str">
        <f>IF($C22="","",VLOOKUP($C22,ATELIER!$A$2:$E$109,3,0))</f>
        <v>pc</v>
      </c>
      <c r="E22" s="393"/>
      <c r="F22" s="393"/>
      <c r="G22" s="180">
        <f>'Outils de calculs'!G43</f>
        <v>1</v>
      </c>
      <c r="H22" s="186">
        <f>IF($C22="","",G22*VLOOKUP($C22,ATELIER!$A$2:$F$109,4,0))</f>
        <v>0.25</v>
      </c>
      <c r="I22" s="180">
        <f>'Outils de calculs'!I43</f>
        <v>0</v>
      </c>
      <c r="J22" s="186">
        <f>IF($C22="","",I22*VLOOKUP($C22,ATELIER!$A$2:$F$109,4,0))</f>
        <v>0</v>
      </c>
      <c r="K22" s="180">
        <f>'Outils de calculs'!K43</f>
        <v>2</v>
      </c>
      <c r="L22" s="186">
        <f>IF($C22="","",K22*VLOOKUP($C22,ATELIER!$A$2:$F$109,4,0))</f>
        <v>0.5</v>
      </c>
      <c r="M22" s="180">
        <f>'Outils de calculs'!M43</f>
        <v>2</v>
      </c>
      <c r="N22" s="186">
        <f>IF($C22="","",M22*VLOOKUP($C22,ATELIER!$A$2:$F$109,4,0))</f>
        <v>0.5</v>
      </c>
      <c r="O22" s="180">
        <f>'Outils de calculs'!O43</f>
        <v>0</v>
      </c>
      <c r="P22" s="186">
        <f>IF($C22="","",O22*VLOOKUP($C22,ATELIER!$A$2:$F$109,4,0))</f>
        <v>0</v>
      </c>
      <c r="Q22" s="180">
        <f>'Outils de calculs'!Q43</f>
        <v>0</v>
      </c>
      <c r="R22" s="186">
        <f>IF($C22="","",Q22*VLOOKUP($C22,ATELIER!$A$2:$F$109,4,0))</f>
        <v>0</v>
      </c>
      <c r="S22" s="180">
        <f>'Outils de calculs'!S43</f>
        <v>0</v>
      </c>
      <c r="T22" s="186">
        <f>IF($C22="","",S22*VLOOKUP($C22,ATELIER!$A$2:$F$109,4,0))</f>
        <v>0</v>
      </c>
      <c r="U22" s="180">
        <f>'Outils de calculs'!U43</f>
        <v>4</v>
      </c>
      <c r="V22" s="186">
        <f>IF($C22="","",U22*VLOOKUP($C22,ATELIER!$A$2:$F$109,4,0))</f>
        <v>1</v>
      </c>
      <c r="W22" s="180">
        <f>'Outils de calculs'!W43</f>
        <v>4</v>
      </c>
      <c r="X22" s="186">
        <f>IF($C22="","",W22*VLOOKUP($C22,ATELIER!$A$2:$F$109,4,0))</f>
        <v>1</v>
      </c>
      <c r="Y22" s="180">
        <f>'Outils de calculs'!Y43</f>
        <v>4</v>
      </c>
      <c r="Z22" s="186">
        <f>IF($C22="","",Y22*VLOOKUP($C22,ATELIER!$A$2:$F$109,4,0))</f>
        <v>1</v>
      </c>
      <c r="AA22" s="180">
        <f>'Outils de calculs'!AA43</f>
        <v>0</v>
      </c>
      <c r="AB22" s="186">
        <f>IF($C22="","",AA22*VLOOKUP($C22,ATELIER!$A$2:$F$109,4,0))</f>
        <v>0</v>
      </c>
      <c r="AC22" s="180">
        <f>'Outils de calculs'!AC43</f>
        <v>0</v>
      </c>
      <c r="AD22" s="186">
        <f>IF($C22="","",AC22*VLOOKUP($C22,ATELIER!$A$2:$F$109,4,0))</f>
        <v>0</v>
      </c>
      <c r="AE22" s="180">
        <f>'Outils de calculs'!AE43</f>
        <v>0</v>
      </c>
      <c r="AF22" s="186">
        <f>IF($C22="","",AE22*VLOOKUP($C22,ATELIER!$A$2:$F$109,4,0))</f>
        <v>0</v>
      </c>
      <c r="AG22" s="180">
        <f>'Outils de calculs'!AG43</f>
        <v>0</v>
      </c>
      <c r="AH22" s="186">
        <f>IF($C22="","",AG22*VLOOKUP($C22,ATELIER!$A$2:$F$109,4,0))</f>
        <v>0</v>
      </c>
      <c r="AI22" s="180">
        <f>'Outils de calculs'!AI43</f>
        <v>0</v>
      </c>
      <c r="AJ22" s="186">
        <f>IF($C22="","",AI22*VLOOKUP($C22,ATELIER!$A$2:$F$109,4,0))</f>
        <v>0</v>
      </c>
      <c r="AK22" s="180">
        <f>'Outils de calculs'!AK43</f>
        <v>8</v>
      </c>
      <c r="AL22" s="186">
        <f>IF($C22="","",AK22*VLOOKUP($C22,ATELIER!$A$2:$F$109,4,0))</f>
        <v>2</v>
      </c>
    </row>
    <row r="23" spans="1:38" ht="28.35" customHeight="1" x14ac:dyDescent="0.2">
      <c r="A23" s="1586"/>
      <c r="B23" s="314" t="s">
        <v>1080</v>
      </c>
      <c r="C23" s="1408" t="s">
        <v>428</v>
      </c>
      <c r="D23" s="179" t="str">
        <f>IF($C23="","",VLOOKUP($C23,ATELIER!$A$2:$E$109,3,0))</f>
        <v>pc</v>
      </c>
      <c r="E23" s="393"/>
      <c r="F23" s="393"/>
      <c r="G23" s="180">
        <v>1</v>
      </c>
      <c r="H23" s="186">
        <f>IF($C23="","",G23*VLOOKUP($C23,ATELIER!$A$2:$F$109,4,0))</f>
        <v>0.15</v>
      </c>
      <c r="I23" s="393"/>
      <c r="J23" s="393"/>
      <c r="K23" s="180">
        <v>0</v>
      </c>
      <c r="L23" s="186">
        <f>IF($C23="","",K23*VLOOKUP($C23,ATELIER!$A$2:$F$109,4,0))</f>
        <v>0</v>
      </c>
      <c r="M23" s="180">
        <v>0</v>
      </c>
      <c r="N23" s="186">
        <f>IF($C23="","",M23*VLOOKUP($C23,ATELIER!$A$2:$F$109,4,0))</f>
        <v>0</v>
      </c>
      <c r="O23" s="393"/>
      <c r="P23" s="393"/>
      <c r="Q23" s="393"/>
      <c r="R23" s="393"/>
      <c r="S23" s="393"/>
      <c r="T23" s="393"/>
      <c r="U23" s="180">
        <v>0</v>
      </c>
      <c r="V23" s="186">
        <f>IF($C23="","",U23*VLOOKUP($C23,ATELIER!$A$2:$F$109,4,0))</f>
        <v>0</v>
      </c>
      <c r="W23" s="180">
        <v>0</v>
      </c>
      <c r="X23" s="186">
        <f>IF($C23="","",W23*VLOOKUP($C23,ATELIER!$A$2:$F$109,4,0))</f>
        <v>0</v>
      </c>
      <c r="Y23" s="393"/>
      <c r="Z23" s="393"/>
      <c r="AA23" s="393"/>
      <c r="AB23" s="393"/>
      <c r="AC23" s="393"/>
      <c r="AD23" s="393"/>
      <c r="AE23" s="393"/>
      <c r="AF23" s="393"/>
      <c r="AG23" s="393"/>
      <c r="AH23" s="393"/>
      <c r="AI23" s="393"/>
      <c r="AJ23" s="393"/>
      <c r="AK23" s="180">
        <v>0</v>
      </c>
      <c r="AL23" s="186">
        <f>IF($C23="","",AK23*VLOOKUP($C23,ATELIER!$A$2:$F$109,4,0))</f>
        <v>0</v>
      </c>
    </row>
    <row r="24" spans="1:38" ht="28.35" customHeight="1" x14ac:dyDescent="0.2">
      <c r="A24" s="1586"/>
      <c r="B24" s="314" t="s">
        <v>1156</v>
      </c>
      <c r="C24" s="1404" t="s">
        <v>422</v>
      </c>
      <c r="D24" s="179" t="str">
        <f>IF($C24="","",VLOOKUP($C24,ATELIER!$A$2:$E$109,3,0))</f>
        <v>forfait</v>
      </c>
      <c r="E24" s="393"/>
      <c r="F24" s="393"/>
      <c r="G24" s="180">
        <f>'Outils de calculs'!G43</f>
        <v>1</v>
      </c>
      <c r="H24" s="186">
        <f>IF($C24="","",G24*VLOOKUP($C24,ATELIER!$A$2:$F$109,4,0))</f>
        <v>0.12</v>
      </c>
      <c r="I24" s="180">
        <f>'Outils de calculs'!I43</f>
        <v>0</v>
      </c>
      <c r="J24" s="186">
        <f>IF($C24="","",I24*VLOOKUP($C24,ATELIER!$A$2:$F$109,4,0))</f>
        <v>0</v>
      </c>
      <c r="K24" s="180">
        <f>'Outils de calculs'!K43</f>
        <v>2</v>
      </c>
      <c r="L24" s="186">
        <f>IF($C24="","",K24*VLOOKUP($C24,ATELIER!$A$2:$F$109,4,0))</f>
        <v>0.24</v>
      </c>
      <c r="M24" s="180">
        <f>'Outils de calculs'!M43</f>
        <v>2</v>
      </c>
      <c r="N24" s="186">
        <f>IF($C24="","",M24*VLOOKUP($C24,ATELIER!$A$2:$F$109,4,0))</f>
        <v>0.24</v>
      </c>
      <c r="O24" s="180">
        <f>'Outils de calculs'!O43</f>
        <v>0</v>
      </c>
      <c r="P24" s="186">
        <f>IF($C24="","",O24*VLOOKUP($C24,ATELIER!$A$2:$F$109,4,0))</f>
        <v>0</v>
      </c>
      <c r="Q24" s="180">
        <f>'Outils de calculs'!Q43</f>
        <v>0</v>
      </c>
      <c r="R24" s="186">
        <f>IF($C24="","",Q24*VLOOKUP($C24,ATELIER!$A$2:$F$109,4,0))</f>
        <v>0</v>
      </c>
      <c r="S24" s="180">
        <f>'Outils de calculs'!S43</f>
        <v>0</v>
      </c>
      <c r="T24" s="186">
        <f>IF($C24="","",S24*VLOOKUP($C24,ATELIER!$A$2:$F$109,4,0))</f>
        <v>0</v>
      </c>
      <c r="U24" s="180">
        <f>'Outils de calculs'!U43</f>
        <v>4</v>
      </c>
      <c r="V24" s="186">
        <f>IF($C24="","",U24*VLOOKUP($C24,ATELIER!$A$2:$F$109,4,0))</f>
        <v>0.48</v>
      </c>
      <c r="W24" s="180">
        <f>'Outils de calculs'!W43</f>
        <v>4</v>
      </c>
      <c r="X24" s="186">
        <f>IF($C24="","",W24*VLOOKUP($C24,ATELIER!$A$2:$F$109,4,0))</f>
        <v>0.48</v>
      </c>
      <c r="Y24" s="180">
        <f>'Outils de calculs'!Y43</f>
        <v>4</v>
      </c>
      <c r="Z24" s="186">
        <f>IF($C24="","",Y24*VLOOKUP($C24,ATELIER!$A$2:$F$109,4,0))</f>
        <v>0.48</v>
      </c>
      <c r="AA24" s="180">
        <f>'Outils de calculs'!AA43</f>
        <v>0</v>
      </c>
      <c r="AB24" s="186">
        <f>IF($C24="","",AA24*VLOOKUP($C24,ATELIER!$A$2:$F$109,4,0))</f>
        <v>0</v>
      </c>
      <c r="AC24" s="180">
        <f>'Outils de calculs'!AC43</f>
        <v>0</v>
      </c>
      <c r="AD24" s="186">
        <f>IF($C24="","",AC24*VLOOKUP($C24,ATELIER!$A$2:$F$109,4,0))</f>
        <v>0</v>
      </c>
      <c r="AE24" s="180">
        <f>'Outils de calculs'!AE43</f>
        <v>0</v>
      </c>
      <c r="AF24" s="186">
        <f>IF($C24="","",AE24*VLOOKUP($C24,ATELIER!$A$2:$F$109,4,0))</f>
        <v>0</v>
      </c>
      <c r="AG24" s="180">
        <f>'Outils de calculs'!AG43</f>
        <v>0</v>
      </c>
      <c r="AH24" s="186">
        <f>IF($C24="","",AG24*VLOOKUP($C24,ATELIER!$A$2:$F$109,4,0))</f>
        <v>0</v>
      </c>
      <c r="AI24" s="180">
        <f>'Outils de calculs'!AI43</f>
        <v>0</v>
      </c>
      <c r="AJ24" s="186">
        <f>IF($C24="","",AI24*VLOOKUP($C24,ATELIER!$A$2:$F$109,4,0))</f>
        <v>0</v>
      </c>
      <c r="AK24" s="180">
        <f>'Outils de calculs'!AK43</f>
        <v>8</v>
      </c>
      <c r="AL24" s="186">
        <f>IF($C24="","",AK24*VLOOKUP($C24,ATELIER!$A$2:$F$109,4,0))</f>
        <v>0.96</v>
      </c>
    </row>
    <row r="25" spans="1:38" ht="28.35" customHeight="1" x14ac:dyDescent="0.2">
      <c r="A25" s="1586"/>
      <c r="B25" s="314" t="s">
        <v>1156</v>
      </c>
      <c r="C25" s="1404" t="s">
        <v>1165</v>
      </c>
      <c r="D25" s="179" t="str">
        <f>IF($C25="","",VLOOKUP($C25,ATELIER!$A$2:$E$109,3,0))</f>
        <v>pc</v>
      </c>
      <c r="E25" s="393"/>
      <c r="F25" s="393"/>
      <c r="G25" s="180">
        <f>'Outils de calculs'!G43</f>
        <v>1</v>
      </c>
      <c r="H25" s="186">
        <f>IF($C25="","",G25*VLOOKUP($C25,ATELIER!$A$2:$F$109,4,0))</f>
        <v>0.05</v>
      </c>
      <c r="I25" s="180">
        <f>'Outils de calculs'!I43</f>
        <v>0</v>
      </c>
      <c r="J25" s="186">
        <f>IF($C25="","",I25*VLOOKUP($C25,ATELIER!$A$2:$F$109,4,0))</f>
        <v>0</v>
      </c>
      <c r="K25" s="180">
        <f>'Outils de calculs'!K43</f>
        <v>2</v>
      </c>
      <c r="L25" s="186">
        <f>IF($C25="","",K25*VLOOKUP($C25,ATELIER!$A$2:$F$109,4,0))</f>
        <v>0.1</v>
      </c>
      <c r="M25" s="180">
        <f>'Outils de calculs'!M43</f>
        <v>2</v>
      </c>
      <c r="N25" s="186">
        <f>IF($C25="","",M25*VLOOKUP($C25,ATELIER!$A$2:$F$109,4,0))</f>
        <v>0.1</v>
      </c>
      <c r="O25" s="180">
        <f>'Outils de calculs'!O43</f>
        <v>0</v>
      </c>
      <c r="P25" s="186">
        <f>IF($C25="","",O25*VLOOKUP($C25,ATELIER!$A$2:$F$109,4,0))</f>
        <v>0</v>
      </c>
      <c r="Q25" s="180">
        <f>'Outils de calculs'!Q43</f>
        <v>0</v>
      </c>
      <c r="R25" s="186">
        <f>IF($C25="","",Q25*VLOOKUP($C25,ATELIER!$A$2:$F$109,4,0))</f>
        <v>0</v>
      </c>
      <c r="S25" s="180">
        <f>'Outils de calculs'!S43</f>
        <v>0</v>
      </c>
      <c r="T25" s="186">
        <f>IF($C25="","",S25*VLOOKUP($C25,ATELIER!$A$2:$F$109,4,0))</f>
        <v>0</v>
      </c>
      <c r="U25" s="180">
        <f>'Outils de calculs'!U43</f>
        <v>4</v>
      </c>
      <c r="V25" s="186">
        <f>IF($C25="","",U25*VLOOKUP($C25,ATELIER!$A$2:$F$109,4,0))</f>
        <v>0.2</v>
      </c>
      <c r="W25" s="180">
        <f>'Outils de calculs'!W43</f>
        <v>4</v>
      </c>
      <c r="X25" s="186">
        <f>IF($C25="","",W25*VLOOKUP($C25,ATELIER!$A$2:$F$109,4,0))</f>
        <v>0.2</v>
      </c>
      <c r="Y25" s="180">
        <f>'Outils de calculs'!Y43</f>
        <v>4</v>
      </c>
      <c r="Z25" s="186">
        <f>IF($C25="","",Y25*VLOOKUP($C25,ATELIER!$A$2:$F$109,4,0))</f>
        <v>0.2</v>
      </c>
      <c r="AA25" s="180">
        <f>'Outils de calculs'!AA43</f>
        <v>0</v>
      </c>
      <c r="AB25" s="186">
        <f>IF($C25="","",AA25*VLOOKUP($C25,ATELIER!$A$2:$F$109,4,0))</f>
        <v>0</v>
      </c>
      <c r="AC25" s="180">
        <f>'Outils de calculs'!AC43</f>
        <v>0</v>
      </c>
      <c r="AD25" s="186">
        <f>IF($C25="","",AC25*VLOOKUP($C25,ATELIER!$A$2:$F$109,4,0))</f>
        <v>0</v>
      </c>
      <c r="AE25" s="180">
        <f>'Outils de calculs'!AE43</f>
        <v>0</v>
      </c>
      <c r="AF25" s="186">
        <f>IF($C25="","",AE25*VLOOKUP($C25,ATELIER!$A$2:$F$109,4,0))</f>
        <v>0</v>
      </c>
      <c r="AG25" s="180">
        <f>'Outils de calculs'!AG43</f>
        <v>0</v>
      </c>
      <c r="AH25" s="186">
        <f>IF($C25="","",AG25*VLOOKUP($C25,ATELIER!$A$2:$F$109,4,0))</f>
        <v>0</v>
      </c>
      <c r="AI25" s="180">
        <f>'Outils de calculs'!AI43</f>
        <v>0</v>
      </c>
      <c r="AJ25" s="186">
        <f>IF($C25="","",AI25*VLOOKUP($C25,ATELIER!$A$2:$F$109,4,0))</f>
        <v>0</v>
      </c>
      <c r="AK25" s="180">
        <f>'Outils de calculs'!AK43</f>
        <v>8</v>
      </c>
      <c r="AL25" s="186">
        <f>IF($C25="","",AK25*VLOOKUP($C25,ATELIER!$A$2:$F$109,4,0))</f>
        <v>0.4</v>
      </c>
    </row>
    <row r="26" spans="1:38" ht="28.35" customHeight="1" x14ac:dyDescent="0.2">
      <c r="A26" s="1586"/>
      <c r="B26" s="314" t="s">
        <v>1156</v>
      </c>
      <c r="C26" s="1404" t="s">
        <v>1241</v>
      </c>
      <c r="D26" s="179" t="str">
        <f>IF($C26="","",VLOOKUP($C26,ATELIER!$A$2:$E$109,3,0))</f>
        <v>pc</v>
      </c>
      <c r="E26" s="393"/>
      <c r="F26" s="393"/>
      <c r="G26" s="180">
        <f>'Outils de calculs'!G43</f>
        <v>1</v>
      </c>
      <c r="H26" s="186">
        <f>IF($C26="","",G26*VLOOKUP($C26,ATELIER!$A$2:$F$109,4,0))</f>
        <v>0.05</v>
      </c>
      <c r="I26" s="180">
        <f>'Outils de calculs'!I43</f>
        <v>0</v>
      </c>
      <c r="J26" s="186">
        <f>IF($C26="","",I26*VLOOKUP($C26,ATELIER!$A$2:$F$109,4,0))</f>
        <v>0</v>
      </c>
      <c r="K26" s="180">
        <f>'Outils de calculs'!K43</f>
        <v>2</v>
      </c>
      <c r="L26" s="186">
        <f>IF($C26="","",K26*VLOOKUP($C26,ATELIER!$A$2:$F$109,4,0))</f>
        <v>0.1</v>
      </c>
      <c r="M26" s="180">
        <f>'Outils de calculs'!M43</f>
        <v>2</v>
      </c>
      <c r="N26" s="186">
        <f>IF($C26="","",M26*VLOOKUP($C26,ATELIER!$A$2:$F$109,4,0))</f>
        <v>0.1</v>
      </c>
      <c r="O26" s="180">
        <f>'Outils de calculs'!O43</f>
        <v>0</v>
      </c>
      <c r="P26" s="186">
        <f>IF($C26="","",O26*VLOOKUP($C26,ATELIER!$A$2:$F$109,4,0))</f>
        <v>0</v>
      </c>
      <c r="Q26" s="180">
        <f>'Outils de calculs'!Q43</f>
        <v>0</v>
      </c>
      <c r="R26" s="186">
        <f>IF($C26="","",Q26*VLOOKUP($C26,ATELIER!$A$2:$F$109,4,0))</f>
        <v>0</v>
      </c>
      <c r="S26" s="180">
        <f>'Outils de calculs'!S43</f>
        <v>0</v>
      </c>
      <c r="T26" s="186">
        <f>IF($C26="","",S26*VLOOKUP($C26,ATELIER!$A$2:$F$109,4,0))</f>
        <v>0</v>
      </c>
      <c r="U26" s="180">
        <f>'Outils de calculs'!U43</f>
        <v>4</v>
      </c>
      <c r="V26" s="186">
        <f>IF($C26="","",U26*VLOOKUP($C26,ATELIER!$A$2:$F$109,4,0))</f>
        <v>0.2</v>
      </c>
      <c r="W26" s="180">
        <f>'Outils de calculs'!W43</f>
        <v>4</v>
      </c>
      <c r="X26" s="186">
        <f>IF($C26="","",W26*VLOOKUP($C26,ATELIER!$A$2:$F$109,4,0))</f>
        <v>0.2</v>
      </c>
      <c r="Y26" s="180">
        <f>'Outils de calculs'!Y43</f>
        <v>4</v>
      </c>
      <c r="Z26" s="186">
        <f>IF($C26="","",Y26*VLOOKUP($C26,ATELIER!$A$2:$F$109,4,0))</f>
        <v>0.2</v>
      </c>
      <c r="AA26" s="180">
        <f>'Outils de calculs'!AA43</f>
        <v>0</v>
      </c>
      <c r="AB26" s="186">
        <f>IF($C26="","",AA26*VLOOKUP($C26,ATELIER!$A$2:$F$109,4,0))</f>
        <v>0</v>
      </c>
      <c r="AC26" s="180">
        <f>'Outils de calculs'!AC43</f>
        <v>0</v>
      </c>
      <c r="AD26" s="186">
        <f>IF($C26="","",AC26*VLOOKUP($C26,ATELIER!$A$2:$F$109,4,0))</f>
        <v>0</v>
      </c>
      <c r="AE26" s="180">
        <f>'Outils de calculs'!AE43</f>
        <v>0</v>
      </c>
      <c r="AF26" s="186">
        <f>IF($C26="","",AE26*VLOOKUP($C26,ATELIER!$A$2:$F$109,4,0))</f>
        <v>0</v>
      </c>
      <c r="AG26" s="180">
        <f>'Outils de calculs'!AG43</f>
        <v>0</v>
      </c>
      <c r="AH26" s="186">
        <f>IF($C26="","",AG26*VLOOKUP($C26,ATELIER!$A$2:$F$109,4,0))</f>
        <v>0</v>
      </c>
      <c r="AI26" s="180">
        <f>'Outils de calculs'!AI43</f>
        <v>0</v>
      </c>
      <c r="AJ26" s="186">
        <f>IF($C26="","",AI26*VLOOKUP($C26,ATELIER!$A$2:$F$109,4,0))</f>
        <v>0</v>
      </c>
      <c r="AK26" s="180">
        <f>'Outils de calculs'!AK43</f>
        <v>8</v>
      </c>
      <c r="AL26" s="186">
        <f>IF($C26="","",AK26*VLOOKUP($C26,ATELIER!$A$2:$F$109,4,0))</f>
        <v>0.4</v>
      </c>
    </row>
    <row r="27" spans="1:38" ht="53.25" customHeight="1" x14ac:dyDescent="0.2">
      <c r="A27" s="1587"/>
      <c r="B27" s="316" t="s">
        <v>449</v>
      </c>
      <c r="C27" s="187" t="s">
        <v>450</v>
      </c>
      <c r="D27" s="188" t="s">
        <v>451</v>
      </c>
      <c r="E27" s="393"/>
      <c r="F27" s="393"/>
      <c r="G27" s="189">
        <f>H27*Simulation!$P$8</f>
        <v>33.300000000000004</v>
      </c>
      <c r="H27" s="190">
        <f>SUM(H21:H26)</f>
        <v>0.7400000000000001</v>
      </c>
      <c r="I27" s="393"/>
      <c r="J27" s="393"/>
      <c r="K27" s="189">
        <f>L27*Simulation!$P$8</f>
        <v>53.100000000000009</v>
      </c>
      <c r="L27" s="190">
        <f>SUM(L21:L26)</f>
        <v>1.1800000000000002</v>
      </c>
      <c r="M27" s="189">
        <f>N27*Simulation!$P$8</f>
        <v>53.100000000000009</v>
      </c>
      <c r="N27" s="190">
        <f>SUM(N21:N26)</f>
        <v>1.1800000000000002</v>
      </c>
      <c r="O27" s="393"/>
      <c r="P27" s="393"/>
      <c r="Q27" s="393"/>
      <c r="R27" s="393"/>
      <c r="S27" s="393"/>
      <c r="T27" s="393"/>
      <c r="U27" s="189">
        <f>V27*Simulation!$P$8</f>
        <v>106.20000000000002</v>
      </c>
      <c r="V27" s="190">
        <f>SUM(V21:V26)</f>
        <v>2.3600000000000003</v>
      </c>
      <c r="W27" s="189">
        <f>X27*Simulation!$P$8</f>
        <v>106.20000000000002</v>
      </c>
      <c r="X27" s="190">
        <f>SUM(X21:X26)</f>
        <v>2.3600000000000003</v>
      </c>
      <c r="Y27" s="393"/>
      <c r="Z27" s="393"/>
      <c r="AA27" s="393"/>
      <c r="AB27" s="393"/>
      <c r="AC27" s="393"/>
      <c r="AD27" s="393"/>
      <c r="AE27" s="393"/>
      <c r="AF27" s="393"/>
      <c r="AG27" s="393"/>
      <c r="AH27" s="393"/>
      <c r="AI27" s="393"/>
      <c r="AJ27" s="393"/>
      <c r="AK27" s="189">
        <f>AL27*Simulation!$P$8</f>
        <v>212.40000000000003</v>
      </c>
      <c r="AL27" s="190">
        <f>SUM(AL21:AL26)</f>
        <v>4.7200000000000006</v>
      </c>
    </row>
    <row r="28" spans="1:38" ht="28.35" customHeight="1" x14ac:dyDescent="0.2">
      <c r="A28" s="1554" t="s">
        <v>452</v>
      </c>
      <c r="B28" s="314" t="s">
        <v>1082</v>
      </c>
      <c r="C28" s="1409" t="s">
        <v>378</v>
      </c>
      <c r="D28" s="179" t="str">
        <f>IF(C28="","",VLOOKUP($C28,CHANTIER!$A$2:$C$83,3,0))</f>
        <v>forfait</v>
      </c>
      <c r="E28" s="393"/>
      <c r="F28" s="393"/>
      <c r="G28" s="180">
        <f>'Outils de calculs'!G43</f>
        <v>1</v>
      </c>
      <c r="H28" s="186">
        <f>IF($C28="","",G28*VLOOKUP($C28,CHANTIER!$A$2:$D$83,4,0))</f>
        <v>0.25</v>
      </c>
      <c r="I28" s="180">
        <f>'Outils de calculs'!I43</f>
        <v>0</v>
      </c>
      <c r="J28" s="186">
        <f>IF($C28="","",I28*VLOOKUP($C28,CHANTIER!$A$2:$D$83,4,0))</f>
        <v>0</v>
      </c>
      <c r="K28" s="180">
        <f>'Outils de calculs'!K43</f>
        <v>2</v>
      </c>
      <c r="L28" s="186">
        <f>IF($C28="","",K28*VLOOKUP($C28,CHANTIER!$A$2:$D$83,4,0))</f>
        <v>0.5</v>
      </c>
      <c r="M28" s="180">
        <f>'Outils de calculs'!M43</f>
        <v>2</v>
      </c>
      <c r="N28" s="186">
        <f>IF($C28="","",M28*VLOOKUP($C28,CHANTIER!$A$2:$D$83,4,0))</f>
        <v>0.5</v>
      </c>
      <c r="O28" s="180">
        <f>'Outils de calculs'!O43</f>
        <v>0</v>
      </c>
      <c r="P28" s="186">
        <f>IF($C28="","",O28*VLOOKUP($C28,CHANTIER!$A$2:$D$83,4,0))</f>
        <v>0</v>
      </c>
      <c r="Q28" s="180">
        <f>'Outils de calculs'!Q43</f>
        <v>0</v>
      </c>
      <c r="R28" s="186">
        <f>IF($C28="","",Q28*VLOOKUP($C28,CHANTIER!$A$2:$D$83,4,0))</f>
        <v>0</v>
      </c>
      <c r="S28" s="180">
        <f>'Outils de calculs'!S43</f>
        <v>0</v>
      </c>
      <c r="T28" s="186">
        <f>IF($C28="","",S28*VLOOKUP($C28,CHANTIER!$A$2:$D$83,4,0))</f>
        <v>0</v>
      </c>
      <c r="U28" s="180">
        <f>'Outils de calculs'!U43</f>
        <v>4</v>
      </c>
      <c r="V28" s="186">
        <f>IF($C28="","",U28*VLOOKUP($C28,CHANTIER!$A$2:$D$83,4,0))</f>
        <v>1</v>
      </c>
      <c r="W28" s="180">
        <f>'Outils de calculs'!W43</f>
        <v>4</v>
      </c>
      <c r="X28" s="186">
        <f>IF($C28="","",W28*VLOOKUP($C28,CHANTIER!$A$2:$D$83,4,0))</f>
        <v>1</v>
      </c>
      <c r="Y28" s="180">
        <f>'Outils de calculs'!Y43</f>
        <v>4</v>
      </c>
      <c r="Z28" s="186">
        <f>IF($C28="","",Y28*VLOOKUP($C28,CHANTIER!$A$2:$D$83,4,0))</f>
        <v>1</v>
      </c>
      <c r="AA28" s="180">
        <f>'Outils de calculs'!AA43</f>
        <v>0</v>
      </c>
      <c r="AB28" s="186">
        <f>IF($C28="","",AA28*VLOOKUP($C28,CHANTIER!$A$2:$D$83,4,0))</f>
        <v>0</v>
      </c>
      <c r="AC28" s="180">
        <f>'Outils de calculs'!AC43</f>
        <v>0</v>
      </c>
      <c r="AD28" s="186">
        <f>IF($C28="","",AC28*VLOOKUP($C28,CHANTIER!$A$2:$D$83,4,0))</f>
        <v>0</v>
      </c>
      <c r="AE28" s="180">
        <f>'Outils de calculs'!AE43</f>
        <v>0</v>
      </c>
      <c r="AF28" s="186">
        <f>IF($C28="","",AE28*VLOOKUP($C28,CHANTIER!$A$2:$D$83,4,0))</f>
        <v>0</v>
      </c>
      <c r="AG28" s="180">
        <f>'Outils de calculs'!AG43</f>
        <v>0</v>
      </c>
      <c r="AH28" s="186">
        <f>IF($C28="","",AG28*VLOOKUP($C28,CHANTIER!$A$2:$D$83,4,0))</f>
        <v>0</v>
      </c>
      <c r="AI28" s="180">
        <f>'Outils de calculs'!AI43</f>
        <v>0</v>
      </c>
      <c r="AJ28" s="186">
        <f>IF($C28="","",AI28*VLOOKUP($C28,CHANTIER!$A$2:$D$83,4,0))</f>
        <v>0</v>
      </c>
      <c r="AK28" s="180">
        <f>'Outils de calculs'!AK43</f>
        <v>8</v>
      </c>
      <c r="AL28" s="186">
        <f>IF($C28="","",AK28*VLOOKUP($C28,CHANTIER!$A$2:$D$83,4,0))</f>
        <v>2</v>
      </c>
    </row>
    <row r="29" spans="1:38" ht="28.35" customHeight="1" x14ac:dyDescent="0.2">
      <c r="A29" s="1554"/>
      <c r="B29" s="314" t="s">
        <v>1159</v>
      </c>
      <c r="C29" s="1409" t="s">
        <v>370</v>
      </c>
      <c r="D29" s="179" t="str">
        <f>IF(C29="","",VLOOKUP($C29,CHANTIER!$A$2:$C$83,3,0))</f>
        <v>m²</v>
      </c>
      <c r="E29" s="393"/>
      <c r="F29" s="393"/>
      <c r="G29" s="180">
        <f>'Outils de calculs'!G25</f>
        <v>6</v>
      </c>
      <c r="H29" s="186">
        <f>IF($C29="","",G29*VLOOKUP($C29,CHANTIER!$A$2:$D$83,4,0))</f>
        <v>0.30000000000000004</v>
      </c>
      <c r="I29" s="180">
        <f>'Outils de calculs'!I25</f>
        <v>8</v>
      </c>
      <c r="J29" s="186">
        <f>IF($C29="","",I29*VLOOKUP($C29,CHANTIER!$A$2:$D$83,4,0))</f>
        <v>0.4</v>
      </c>
      <c r="K29" s="180">
        <f>'Outils de calculs'!K25</f>
        <v>10</v>
      </c>
      <c r="L29" s="186">
        <f>IF($C29="","",K29*VLOOKUP($C29,CHANTIER!$A$2:$D$83,4,0))</f>
        <v>0.5</v>
      </c>
      <c r="M29" s="180">
        <f>'Outils de calculs'!M25</f>
        <v>12</v>
      </c>
      <c r="N29" s="186">
        <f>IF($C29="","",M29*VLOOKUP($C29,CHANTIER!$A$2:$D$83,4,0))</f>
        <v>0.60000000000000009</v>
      </c>
      <c r="O29" s="180">
        <f>'Outils de calculs'!O25</f>
        <v>14</v>
      </c>
      <c r="P29" s="186">
        <f>IF($C29="","",O29*VLOOKUP($C29,CHANTIER!$A$2:$D$83,4,0))</f>
        <v>0.70000000000000007</v>
      </c>
      <c r="Q29" s="180">
        <f>'Outils de calculs'!Q25</f>
        <v>16</v>
      </c>
      <c r="R29" s="186">
        <f>IF($C29="","",Q29*VLOOKUP($C29,CHANTIER!$A$2:$D$83,4,0))</f>
        <v>0.8</v>
      </c>
      <c r="S29" s="180">
        <f>'Outils de calculs'!S25</f>
        <v>18</v>
      </c>
      <c r="T29" s="186">
        <f>IF($C29="","",S29*VLOOKUP($C29,CHANTIER!$A$2:$D$83,4,0))</f>
        <v>0.9</v>
      </c>
      <c r="U29" s="180">
        <f>'Outils de calculs'!U25</f>
        <v>20</v>
      </c>
      <c r="V29" s="186">
        <f>IF($C29="","",U29*VLOOKUP($C29,CHANTIER!$A$2:$D$83,4,0))</f>
        <v>1</v>
      </c>
      <c r="W29" s="180">
        <f>'Outils de calculs'!W25</f>
        <v>24</v>
      </c>
      <c r="X29" s="186">
        <f>IF($C29="","",W29*VLOOKUP($C29,CHANTIER!$A$2:$D$83,4,0))</f>
        <v>1.2000000000000002</v>
      </c>
      <c r="Y29" s="180">
        <f>'Outils de calculs'!Y25</f>
        <v>24</v>
      </c>
      <c r="Z29" s="186">
        <f>IF($C29="","",Y29*VLOOKUP($C29,CHANTIER!$A$2:$D$83,4,0))</f>
        <v>1.2000000000000002</v>
      </c>
      <c r="AA29" s="180">
        <f>'Outils de calculs'!AA25</f>
        <v>28</v>
      </c>
      <c r="AB29" s="186">
        <f>IF($C29="","",AA29*VLOOKUP($C29,CHANTIER!$A$2:$D$83,4,0))</f>
        <v>1.4000000000000001</v>
      </c>
      <c r="AC29" s="180">
        <f>'Outils de calculs'!AC25</f>
        <v>28</v>
      </c>
      <c r="AD29" s="186">
        <f>IF($C29="","",AC29*VLOOKUP($C29,CHANTIER!$A$2:$D$83,4,0))</f>
        <v>1.4000000000000001</v>
      </c>
      <c r="AE29" s="180">
        <f>'Outils de calculs'!AE25</f>
        <v>32</v>
      </c>
      <c r="AF29" s="186">
        <f>IF($C29="","",AE29*VLOOKUP($C29,CHANTIER!$A$2:$D$83,4,0))</f>
        <v>1.6</v>
      </c>
      <c r="AG29" s="180">
        <f>'Outils de calculs'!AG25</f>
        <v>36</v>
      </c>
      <c r="AH29" s="186">
        <f>IF($C29="","",AG29*VLOOKUP($C29,CHANTIER!$A$2:$D$83,4,0))</f>
        <v>1.8</v>
      </c>
      <c r="AI29" s="180">
        <f>'Outils de calculs'!AI25</f>
        <v>36</v>
      </c>
      <c r="AJ29" s="186">
        <f>IF($C29="","",AI29*VLOOKUP($C29,CHANTIER!$A$2:$D$83,4,0))</f>
        <v>1.8</v>
      </c>
      <c r="AK29" s="180">
        <f>'Outils de calculs'!AK25</f>
        <v>40</v>
      </c>
      <c r="AL29" s="186">
        <f>IF($C29="","",AK29*VLOOKUP($C29,CHANTIER!$A$2:$D$83,4,0))</f>
        <v>2</v>
      </c>
    </row>
    <row r="30" spans="1:38" ht="28.35" customHeight="1" x14ac:dyDescent="0.2">
      <c r="A30" s="1554"/>
      <c r="B30" s="314" t="s">
        <v>1081</v>
      </c>
      <c r="C30" s="1409" t="s">
        <v>373</v>
      </c>
      <c r="D30" s="179" t="str">
        <f>IF(C30="","",VLOOKUP($C30,CHANTIER!$A$2:$C$83,3,0))</f>
        <v>m²</v>
      </c>
      <c r="E30" s="393"/>
      <c r="F30" s="393"/>
      <c r="G30" s="180">
        <f>'Outils de calculs'!G25</f>
        <v>6</v>
      </c>
      <c r="H30" s="186">
        <f>IF($C30="","",G30*VLOOKUP($C30,CHANTIER!$A$2:$D$83,4,0))</f>
        <v>0.30000000000000004</v>
      </c>
      <c r="I30" s="180">
        <f>'Outils de calculs'!I25</f>
        <v>8</v>
      </c>
      <c r="J30" s="186">
        <f>IF($C30="","",I30*VLOOKUP($C30,CHANTIER!$A$2:$D$83,4,0))</f>
        <v>0.4</v>
      </c>
      <c r="K30" s="180">
        <f>'Outils de calculs'!K25</f>
        <v>10</v>
      </c>
      <c r="L30" s="186">
        <f>IF($C30="","",K30*VLOOKUP($C30,CHANTIER!$A$2:$D$83,4,0))</f>
        <v>0.5</v>
      </c>
      <c r="M30" s="180">
        <f>'Outils de calculs'!M25</f>
        <v>12</v>
      </c>
      <c r="N30" s="186">
        <f>IF($C30="","",M30*VLOOKUP($C30,CHANTIER!$A$2:$D$83,4,0))</f>
        <v>0.60000000000000009</v>
      </c>
      <c r="O30" s="180">
        <f>'Outils de calculs'!O25</f>
        <v>14</v>
      </c>
      <c r="P30" s="186">
        <f>IF($C30="","",O30*VLOOKUP($C30,CHANTIER!$A$2:$D$83,4,0))</f>
        <v>0.70000000000000007</v>
      </c>
      <c r="Q30" s="180">
        <f>'Outils de calculs'!Q25</f>
        <v>16</v>
      </c>
      <c r="R30" s="186">
        <f>IF($C30="","",Q30*VLOOKUP($C30,CHANTIER!$A$2:$D$83,4,0))</f>
        <v>0.8</v>
      </c>
      <c r="S30" s="180">
        <f>'Outils de calculs'!S25</f>
        <v>18</v>
      </c>
      <c r="T30" s="186">
        <f>IF($C30="","",S30*VLOOKUP($C30,CHANTIER!$A$2:$D$83,4,0))</f>
        <v>0.9</v>
      </c>
      <c r="U30" s="180">
        <f>'Outils de calculs'!U25</f>
        <v>20</v>
      </c>
      <c r="V30" s="186">
        <f>IF($C30="","",U30*VLOOKUP($C30,CHANTIER!$A$2:$D$83,4,0))</f>
        <v>1</v>
      </c>
      <c r="W30" s="180">
        <f>'Outils de calculs'!W25</f>
        <v>24</v>
      </c>
      <c r="X30" s="186">
        <f>IF($C30="","",W30*VLOOKUP($C30,CHANTIER!$A$2:$D$83,4,0))</f>
        <v>1.2000000000000002</v>
      </c>
      <c r="Y30" s="180">
        <f>'Outils de calculs'!Y25</f>
        <v>24</v>
      </c>
      <c r="Z30" s="186">
        <f>IF($C30="","",Y30*VLOOKUP($C30,CHANTIER!$A$2:$D$83,4,0))</f>
        <v>1.2000000000000002</v>
      </c>
      <c r="AA30" s="180">
        <f>'Outils de calculs'!AA25</f>
        <v>28</v>
      </c>
      <c r="AB30" s="186">
        <f>IF($C30="","",AA30*VLOOKUP($C30,CHANTIER!$A$2:$D$83,4,0))</f>
        <v>1.4000000000000001</v>
      </c>
      <c r="AC30" s="180">
        <f>'Outils de calculs'!AC25</f>
        <v>28</v>
      </c>
      <c r="AD30" s="186">
        <f>IF($C30="","",AC30*VLOOKUP($C30,CHANTIER!$A$2:$D$83,4,0))</f>
        <v>1.4000000000000001</v>
      </c>
      <c r="AE30" s="180">
        <f>'Outils de calculs'!AE25</f>
        <v>32</v>
      </c>
      <c r="AF30" s="186">
        <f>IF($C30="","",AE30*VLOOKUP($C30,CHANTIER!$A$2:$D$83,4,0))</f>
        <v>1.6</v>
      </c>
      <c r="AG30" s="180">
        <f>'Outils de calculs'!AG25</f>
        <v>36</v>
      </c>
      <c r="AH30" s="186">
        <f>IF($C30="","",AG30*VLOOKUP($C30,CHANTIER!$A$2:$D$83,4,0))</f>
        <v>1.8</v>
      </c>
      <c r="AI30" s="180">
        <f>'Outils de calculs'!AI25</f>
        <v>36</v>
      </c>
      <c r="AJ30" s="186">
        <f>IF($C30="","",AI30*VLOOKUP($C30,CHANTIER!$A$2:$D$83,4,0))</f>
        <v>1.8</v>
      </c>
      <c r="AK30" s="180">
        <f>'Outils de calculs'!AK25</f>
        <v>40</v>
      </c>
      <c r="AL30" s="186">
        <f>IF($C30="","",AK30*VLOOKUP($C30,CHANTIER!$A$2:$D$83,4,0))</f>
        <v>2</v>
      </c>
    </row>
    <row r="31" spans="1:38" ht="28.35" customHeight="1" x14ac:dyDescent="0.2">
      <c r="A31" s="1554"/>
      <c r="B31" s="314" t="s">
        <v>1081</v>
      </c>
      <c r="C31" s="1409" t="s">
        <v>983</v>
      </c>
      <c r="D31" s="179" t="str">
        <f>IF(C31="","",VLOOKUP($C31,CHANTIER!$A$2:$C$83,3,0))</f>
        <v>m3</v>
      </c>
      <c r="E31" s="393"/>
      <c r="F31" s="393"/>
      <c r="G31" s="180">
        <f>'Outils de calculs'!G25*0.6</f>
        <v>3.5999999999999996</v>
      </c>
      <c r="H31" s="186">
        <f>IF($C31="","",G31*VLOOKUP($C31,CHANTIER!$A$2:$D$83,4,0))</f>
        <v>0.89999999999999991</v>
      </c>
      <c r="I31" s="180">
        <f>'Outils de calculs'!I25*0.6</f>
        <v>4.8</v>
      </c>
      <c r="J31" s="186">
        <f>IF($C31="","",I31*VLOOKUP($C31,CHANTIER!$A$2:$D$83,4,0))</f>
        <v>1.2</v>
      </c>
      <c r="K31" s="180">
        <f>'Outils de calculs'!K25*0.6</f>
        <v>6</v>
      </c>
      <c r="L31" s="186">
        <f>IF($C31="","",K31*VLOOKUP($C31,CHANTIER!$A$2:$D$83,4,0))</f>
        <v>1.5</v>
      </c>
      <c r="M31" s="180">
        <f>'Outils de calculs'!M25*0.6</f>
        <v>7.1999999999999993</v>
      </c>
      <c r="N31" s="186">
        <f>IF($C31="","",M31*VLOOKUP($C31,CHANTIER!$A$2:$D$83,4,0))</f>
        <v>1.7999999999999998</v>
      </c>
      <c r="O31" s="180">
        <f>'Outils de calculs'!O25*0.6</f>
        <v>8.4</v>
      </c>
      <c r="P31" s="186">
        <f>IF($C31="","",O31*VLOOKUP($C31,CHANTIER!$A$2:$D$83,4,0))</f>
        <v>2.1</v>
      </c>
      <c r="Q31" s="180">
        <f>'Outils de calculs'!Q25*0.6</f>
        <v>9.6</v>
      </c>
      <c r="R31" s="186">
        <f>IF($C31="","",Q31*VLOOKUP($C31,CHANTIER!$A$2:$D$83,4,0))</f>
        <v>2.4</v>
      </c>
      <c r="S31" s="180">
        <f>'Outils de calculs'!S25*0.6</f>
        <v>10.799999999999999</v>
      </c>
      <c r="T31" s="186">
        <f>IF($C31="","",S31*VLOOKUP($C31,CHANTIER!$A$2:$D$83,4,0))</f>
        <v>2.6999999999999997</v>
      </c>
      <c r="U31" s="180">
        <f>'Outils de calculs'!U25*0.6</f>
        <v>12</v>
      </c>
      <c r="V31" s="186">
        <f>IF($C31="","",U31*VLOOKUP($C31,CHANTIER!$A$2:$D$83,4,0))</f>
        <v>3</v>
      </c>
      <c r="W31" s="180">
        <f>'Outils de calculs'!W25*0.6</f>
        <v>14.399999999999999</v>
      </c>
      <c r="X31" s="186">
        <f>IF($C31="","",W31*VLOOKUP($C31,CHANTIER!$A$2:$D$83,4,0))</f>
        <v>3.5999999999999996</v>
      </c>
      <c r="Y31" s="180">
        <f>'Outils de calculs'!Y25*0.6</f>
        <v>14.399999999999999</v>
      </c>
      <c r="Z31" s="186">
        <f>IF($C31="","",Y31*VLOOKUP($C31,CHANTIER!$A$2:$D$83,4,0))</f>
        <v>3.5999999999999996</v>
      </c>
      <c r="AA31" s="180">
        <f>'Outils de calculs'!AA25*0.6</f>
        <v>16.8</v>
      </c>
      <c r="AB31" s="186">
        <f>IF($C31="","",AA31*VLOOKUP($C31,CHANTIER!$A$2:$D$83,4,0))</f>
        <v>4.2</v>
      </c>
      <c r="AC31" s="180">
        <f>'Outils de calculs'!AC25*0.6</f>
        <v>16.8</v>
      </c>
      <c r="AD31" s="186">
        <f>IF($C31="","",AC31*VLOOKUP($C31,CHANTIER!$A$2:$D$83,4,0))</f>
        <v>4.2</v>
      </c>
      <c r="AE31" s="180">
        <f>'Outils de calculs'!AE25*0.6</f>
        <v>19.2</v>
      </c>
      <c r="AF31" s="186">
        <f>IF($C31="","",AE31*VLOOKUP($C31,CHANTIER!$A$2:$D$83,4,0))</f>
        <v>4.8</v>
      </c>
      <c r="AG31" s="180">
        <f>'Outils de calculs'!AG25*0.6</f>
        <v>21.599999999999998</v>
      </c>
      <c r="AH31" s="186">
        <f>IF($C31="","",AG31*VLOOKUP($C31,CHANTIER!$A$2:$D$83,4,0))</f>
        <v>5.3999999999999995</v>
      </c>
      <c r="AI31" s="180">
        <f>'Outils de calculs'!AI25*0.6</f>
        <v>21.599999999999998</v>
      </c>
      <c r="AJ31" s="186">
        <f>IF($C31="","",AI31*VLOOKUP($C31,CHANTIER!$A$2:$D$83,4,0))</f>
        <v>5.3999999999999995</v>
      </c>
      <c r="AK31" s="180">
        <f>'Outils de calculs'!AK25*0.6</f>
        <v>24</v>
      </c>
      <c r="AL31" s="186">
        <f>IF($C31="","",AK31*VLOOKUP($C31,CHANTIER!$A$2:$D$83,4,0))</f>
        <v>6</v>
      </c>
    </row>
    <row r="32" spans="1:38" ht="28.35" customHeight="1" x14ac:dyDescent="0.2">
      <c r="A32" s="1554"/>
      <c r="B32" s="314" t="s">
        <v>1159</v>
      </c>
      <c r="C32" s="1409" t="s">
        <v>1223</v>
      </c>
      <c r="D32" s="179" t="str">
        <f>IF(C32="","",VLOOKUP($C32,CHANTIER!$A$2:$C$83,3,0))</f>
        <v>pc</v>
      </c>
      <c r="E32" s="393"/>
      <c r="F32" s="393"/>
      <c r="G32" s="180">
        <f>'Outils de calculs'!G25*6</f>
        <v>36</v>
      </c>
      <c r="H32" s="186">
        <f>IF($C32="","",G32*VLOOKUP($C32,CHANTIER!$A$2:$D$83,4,0))</f>
        <v>0.54</v>
      </c>
      <c r="I32" s="180">
        <f>'Outils de calculs'!I25*6</f>
        <v>48</v>
      </c>
      <c r="J32" s="186">
        <f>IF($C32="","",I32*VLOOKUP($C32,CHANTIER!$A$2:$D$83,4,0))</f>
        <v>0.72</v>
      </c>
      <c r="K32" s="180">
        <f>'Outils de calculs'!K25*6</f>
        <v>60</v>
      </c>
      <c r="L32" s="186">
        <f>IF($C32="","",K32*VLOOKUP($C32,CHANTIER!$A$2:$D$83,4,0))</f>
        <v>0.89999999999999991</v>
      </c>
      <c r="M32" s="180">
        <f>'Outils de calculs'!M25*6</f>
        <v>72</v>
      </c>
      <c r="N32" s="186">
        <f>IF($C32="","",M32*VLOOKUP($C32,CHANTIER!$A$2:$D$83,4,0))</f>
        <v>1.08</v>
      </c>
      <c r="O32" s="180">
        <f>'Outils de calculs'!O25*6</f>
        <v>84</v>
      </c>
      <c r="P32" s="186">
        <f>IF($C32="","",O32*VLOOKUP($C32,CHANTIER!$A$2:$D$83,4,0))</f>
        <v>1.26</v>
      </c>
      <c r="Q32" s="180">
        <f>'Outils de calculs'!Q25*6</f>
        <v>96</v>
      </c>
      <c r="R32" s="186">
        <f>IF($C32="","",Q32*VLOOKUP($C32,CHANTIER!$A$2:$D$83,4,0))</f>
        <v>1.44</v>
      </c>
      <c r="S32" s="180">
        <f>'Outils de calculs'!S25*6</f>
        <v>108</v>
      </c>
      <c r="T32" s="186">
        <f>IF($C32="","",S32*VLOOKUP($C32,CHANTIER!$A$2:$D$83,4,0))</f>
        <v>1.6199999999999999</v>
      </c>
      <c r="U32" s="180">
        <f>'Outils de calculs'!U25*6</f>
        <v>120</v>
      </c>
      <c r="V32" s="186">
        <f>IF($C32="","",U32*VLOOKUP($C32,CHANTIER!$A$2:$D$83,4,0))</f>
        <v>1.7999999999999998</v>
      </c>
      <c r="W32" s="180">
        <f>'Outils de calculs'!W25*6</f>
        <v>144</v>
      </c>
      <c r="X32" s="186">
        <f>IF($C32="","",W32*VLOOKUP($C32,CHANTIER!$A$2:$D$83,4,0))</f>
        <v>2.16</v>
      </c>
      <c r="Y32" s="180">
        <f>'Outils de calculs'!Y25*6</f>
        <v>144</v>
      </c>
      <c r="Z32" s="186">
        <f>IF($C32="","",Y32*VLOOKUP($C32,CHANTIER!$A$2:$D$83,4,0))</f>
        <v>2.16</v>
      </c>
      <c r="AA32" s="180">
        <f>'Outils de calculs'!AA25*6</f>
        <v>168</v>
      </c>
      <c r="AB32" s="186">
        <f>IF($C32="","",AA32*VLOOKUP($C32,CHANTIER!$A$2:$D$83,4,0))</f>
        <v>2.52</v>
      </c>
      <c r="AC32" s="180">
        <f>'Outils de calculs'!AC25*6</f>
        <v>168</v>
      </c>
      <c r="AD32" s="186">
        <f>IF($C32="","",AC32*VLOOKUP($C32,CHANTIER!$A$2:$D$83,4,0))</f>
        <v>2.52</v>
      </c>
      <c r="AE32" s="180">
        <f>'Outils de calculs'!AE25*6</f>
        <v>192</v>
      </c>
      <c r="AF32" s="186">
        <f>IF($C32="","",AE32*VLOOKUP($C32,CHANTIER!$A$2:$D$83,4,0))</f>
        <v>2.88</v>
      </c>
      <c r="AG32" s="180">
        <f>'Outils de calculs'!AG25*6</f>
        <v>216</v>
      </c>
      <c r="AH32" s="186">
        <f>IF($C32="","",AG32*VLOOKUP($C32,CHANTIER!$A$2:$D$83,4,0))</f>
        <v>3.2399999999999998</v>
      </c>
      <c r="AI32" s="180">
        <f>'Outils de calculs'!AI25*6</f>
        <v>216</v>
      </c>
      <c r="AJ32" s="186">
        <f>IF($C32="","",AI32*VLOOKUP($C32,CHANTIER!$A$2:$D$83,4,0))</f>
        <v>3.2399999999999998</v>
      </c>
      <c r="AK32" s="180">
        <f>'Outils de calculs'!AK25*6</f>
        <v>240</v>
      </c>
      <c r="AL32" s="186">
        <f>IF($C32="","",AK32*VLOOKUP($C32,CHANTIER!$A$2:$D$83,4,0))</f>
        <v>3.5999999999999996</v>
      </c>
    </row>
    <row r="33" spans="1:38" ht="28.35" customHeight="1" x14ac:dyDescent="0.2">
      <c r="A33" s="1554"/>
      <c r="B33" s="314" t="s">
        <v>1161</v>
      </c>
      <c r="C33" s="1409" t="s">
        <v>136</v>
      </c>
      <c r="D33" s="179" t="str">
        <f>IF(C33="","",VLOOKUP($C33,CHANTIER!$A$2:$C$83,3,0))</f>
        <v>pc</v>
      </c>
      <c r="E33" s="393"/>
      <c r="F33" s="393"/>
      <c r="G33" s="180">
        <f>3*'Outils de calculs'!G43</f>
        <v>3</v>
      </c>
      <c r="H33" s="186">
        <f>IF($C33="","",G33*VLOOKUP($C33,CHANTIER!$A$2:$D$83,4,0))</f>
        <v>0.15000000000000002</v>
      </c>
      <c r="I33" s="180">
        <f>3*'Outils de calculs'!I43</f>
        <v>0</v>
      </c>
      <c r="J33" s="186">
        <f>IF($C33="","",I33*VLOOKUP($C33,CHANTIER!$A$2:$D$83,4,0))</f>
        <v>0</v>
      </c>
      <c r="K33" s="180">
        <f>3*'Outils de calculs'!K43</f>
        <v>6</v>
      </c>
      <c r="L33" s="186">
        <f>IF($C33="","",K33*VLOOKUP($C33,CHANTIER!$A$2:$D$83,4,0))</f>
        <v>0.30000000000000004</v>
      </c>
      <c r="M33" s="180">
        <f>3*'Outils de calculs'!M43</f>
        <v>6</v>
      </c>
      <c r="N33" s="186">
        <f>IF($C33="","",M33*VLOOKUP($C33,CHANTIER!$A$2:$D$83,4,0))</f>
        <v>0.30000000000000004</v>
      </c>
      <c r="O33" s="180">
        <f>3*'Outils de calculs'!O43</f>
        <v>0</v>
      </c>
      <c r="P33" s="186">
        <f>IF($C33="","",O33*VLOOKUP($C33,CHANTIER!$A$2:$D$83,4,0))</f>
        <v>0</v>
      </c>
      <c r="Q33" s="180">
        <f>3*'Outils de calculs'!Q43</f>
        <v>0</v>
      </c>
      <c r="R33" s="186">
        <f>IF($C33="","",Q33*VLOOKUP($C33,CHANTIER!$A$2:$D$83,4,0))</f>
        <v>0</v>
      </c>
      <c r="S33" s="180">
        <f>3*'Outils de calculs'!S43</f>
        <v>0</v>
      </c>
      <c r="T33" s="186">
        <f>IF($C33="","",S33*VLOOKUP($C33,CHANTIER!$A$2:$D$83,4,0))</f>
        <v>0</v>
      </c>
      <c r="U33" s="180">
        <f>3*'Outils de calculs'!U43</f>
        <v>12</v>
      </c>
      <c r="V33" s="186">
        <f>IF($C33="","",U33*VLOOKUP($C33,CHANTIER!$A$2:$D$83,4,0))</f>
        <v>0.60000000000000009</v>
      </c>
      <c r="W33" s="180">
        <f>3*'Outils de calculs'!W43</f>
        <v>12</v>
      </c>
      <c r="X33" s="186">
        <f>IF($C33="","",W33*VLOOKUP($C33,CHANTIER!$A$2:$D$83,4,0))</f>
        <v>0.60000000000000009</v>
      </c>
      <c r="Y33" s="180">
        <f>3*'Outils de calculs'!Y43</f>
        <v>12</v>
      </c>
      <c r="Z33" s="186">
        <f>IF($C33="","",Y33*VLOOKUP($C33,CHANTIER!$A$2:$D$83,4,0))</f>
        <v>0.60000000000000009</v>
      </c>
      <c r="AA33" s="180">
        <f>3*'Outils de calculs'!AA43</f>
        <v>0</v>
      </c>
      <c r="AB33" s="186">
        <f>IF($C33="","",AA33*VLOOKUP($C33,CHANTIER!$A$2:$D$83,4,0))</f>
        <v>0</v>
      </c>
      <c r="AC33" s="180">
        <f>3*'Outils de calculs'!AC43</f>
        <v>0</v>
      </c>
      <c r="AD33" s="186">
        <f>IF($C33="","",AC33*VLOOKUP($C33,CHANTIER!$A$2:$D$83,4,0))</f>
        <v>0</v>
      </c>
      <c r="AE33" s="180">
        <f>3*'Outils de calculs'!AE43</f>
        <v>0</v>
      </c>
      <c r="AF33" s="186">
        <f>IF($C33="","",AE33*VLOOKUP($C33,CHANTIER!$A$2:$D$83,4,0))</f>
        <v>0</v>
      </c>
      <c r="AG33" s="180">
        <f>3*'Outils de calculs'!AG43</f>
        <v>0</v>
      </c>
      <c r="AH33" s="186">
        <f>IF($C33="","",AG33*VLOOKUP($C33,CHANTIER!$A$2:$D$83,4,0))</f>
        <v>0</v>
      </c>
      <c r="AI33" s="180">
        <f>3*'Outils de calculs'!AI43</f>
        <v>0</v>
      </c>
      <c r="AJ33" s="186">
        <f>IF($C33="","",AI33*VLOOKUP($C33,CHANTIER!$A$2:$D$83,4,0))</f>
        <v>0</v>
      </c>
      <c r="AK33" s="180">
        <f>3*'Outils de calculs'!AK43</f>
        <v>24</v>
      </c>
      <c r="AL33" s="186">
        <f>IF($C33="","",AK33*VLOOKUP($C33,CHANTIER!$A$2:$D$83,4,0))</f>
        <v>1.2000000000000002</v>
      </c>
    </row>
    <row r="34" spans="1:38" ht="28.35" customHeight="1" x14ac:dyDescent="0.2">
      <c r="A34" s="1554"/>
      <c r="B34" s="314" t="s">
        <v>1161</v>
      </c>
      <c r="C34" s="1409" t="s">
        <v>1655</v>
      </c>
      <c r="D34" s="179" t="str">
        <f>IF(C34="","",VLOOKUP($C34,CHANTIER!$A$2:$C$83,3,0))</f>
        <v>pc</v>
      </c>
      <c r="E34" s="393"/>
      <c r="F34" s="393"/>
      <c r="G34" s="180">
        <f>'Outils de calculs'!G43</f>
        <v>1</v>
      </c>
      <c r="H34" s="186">
        <f>IF($C34="","",G34*VLOOKUP($C34,CHANTIER!$A$2:$D$83,4,0))</f>
        <v>0.25</v>
      </c>
      <c r="I34" s="180">
        <f>'Outils de calculs'!I43</f>
        <v>0</v>
      </c>
      <c r="J34" s="186">
        <f>IF($C34="","",I34*VLOOKUP($C34,CHANTIER!$A$2:$D$83,4,0))</f>
        <v>0</v>
      </c>
      <c r="K34" s="180">
        <f>'Outils de calculs'!K43</f>
        <v>2</v>
      </c>
      <c r="L34" s="186">
        <f>IF($C34="","",K34*VLOOKUP($C34,CHANTIER!$A$2:$D$83,4,0))</f>
        <v>0.5</v>
      </c>
      <c r="M34" s="180">
        <f>'Outils de calculs'!M43</f>
        <v>2</v>
      </c>
      <c r="N34" s="186">
        <f>IF($C34="","",M34*VLOOKUP($C34,CHANTIER!$A$2:$D$83,4,0))</f>
        <v>0.5</v>
      </c>
      <c r="O34" s="180">
        <f>'Outils de calculs'!O43</f>
        <v>0</v>
      </c>
      <c r="P34" s="186">
        <f>IF($C34="","",O34*VLOOKUP($C34,CHANTIER!$A$2:$D$83,4,0))</f>
        <v>0</v>
      </c>
      <c r="Q34" s="180">
        <f>'Outils de calculs'!Q43</f>
        <v>0</v>
      </c>
      <c r="R34" s="186">
        <f>IF($C34="","",Q34*VLOOKUP($C34,CHANTIER!$A$2:$D$83,4,0))</f>
        <v>0</v>
      </c>
      <c r="S34" s="180">
        <f>'Outils de calculs'!S43</f>
        <v>0</v>
      </c>
      <c r="T34" s="186">
        <f>IF($C34="","",S34*VLOOKUP($C34,CHANTIER!$A$2:$D$83,4,0))</f>
        <v>0</v>
      </c>
      <c r="U34" s="180">
        <f>'Outils de calculs'!U43</f>
        <v>4</v>
      </c>
      <c r="V34" s="186">
        <f>IF($C34="","",U34*VLOOKUP($C34,CHANTIER!$A$2:$D$83,4,0))</f>
        <v>1</v>
      </c>
      <c r="W34" s="180">
        <f>'Outils de calculs'!W43</f>
        <v>4</v>
      </c>
      <c r="X34" s="186">
        <f>IF($C34="","",W34*VLOOKUP($C34,CHANTIER!$A$2:$D$83,4,0))</f>
        <v>1</v>
      </c>
      <c r="Y34" s="180">
        <f>'Outils de calculs'!Y43</f>
        <v>4</v>
      </c>
      <c r="Z34" s="186">
        <f>IF($C34="","",Y34*VLOOKUP($C34,CHANTIER!$A$2:$D$83,4,0))</f>
        <v>1</v>
      </c>
      <c r="AA34" s="180">
        <f>'Outils de calculs'!AA43</f>
        <v>0</v>
      </c>
      <c r="AB34" s="186">
        <f>IF($C34="","",AA34*VLOOKUP($C34,CHANTIER!$A$2:$D$83,4,0))</f>
        <v>0</v>
      </c>
      <c r="AC34" s="180">
        <f>'Outils de calculs'!AC43</f>
        <v>0</v>
      </c>
      <c r="AD34" s="186">
        <f>IF($C34="","",AC34*VLOOKUP($C34,CHANTIER!$A$2:$D$83,4,0))</f>
        <v>0</v>
      </c>
      <c r="AE34" s="180">
        <f>'Outils de calculs'!AE43</f>
        <v>0</v>
      </c>
      <c r="AF34" s="186">
        <f>IF($C34="","",AE34*VLOOKUP($C34,CHANTIER!$A$2:$D$83,4,0))</f>
        <v>0</v>
      </c>
      <c r="AG34" s="180">
        <f>'Outils de calculs'!AG43</f>
        <v>0</v>
      </c>
      <c r="AH34" s="186">
        <f>IF($C34="","",AG34*VLOOKUP($C34,CHANTIER!$A$2:$D$83,4,0))</f>
        <v>0</v>
      </c>
      <c r="AI34" s="180">
        <f>'Outils de calculs'!AI43</f>
        <v>0</v>
      </c>
      <c r="AJ34" s="186">
        <f>IF($C34="","",AI34*VLOOKUP($C34,CHANTIER!$A$2:$D$83,4,0))</f>
        <v>0</v>
      </c>
      <c r="AK34" s="180">
        <f>'Outils de calculs'!AK43</f>
        <v>8</v>
      </c>
      <c r="AL34" s="186">
        <f>IF($C34="","",AK34*VLOOKUP($C34,CHANTIER!$A$2:$D$83,4,0))</f>
        <v>2</v>
      </c>
    </row>
    <row r="35" spans="1:38" ht="42.75" customHeight="1" x14ac:dyDescent="0.2">
      <c r="A35" s="1555"/>
      <c r="B35" s="317" t="s">
        <v>453</v>
      </c>
      <c r="C35" s="191" t="s">
        <v>450</v>
      </c>
      <c r="D35" s="192" t="s">
        <v>451</v>
      </c>
      <c r="E35" s="393"/>
      <c r="F35" s="393"/>
      <c r="G35" s="193">
        <f>H35*Simulation!$P$9</f>
        <v>121.05</v>
      </c>
      <c r="H35" s="194">
        <f>SUM(H28:H34)</f>
        <v>2.69</v>
      </c>
      <c r="I35" s="193">
        <f>J35*Simulation!$P$9</f>
        <v>122.39999999999999</v>
      </c>
      <c r="J35" s="194">
        <f t="shared" ref="J35" si="0">SUM(J28:J34)</f>
        <v>2.7199999999999998</v>
      </c>
      <c r="K35" s="193">
        <f>L35*Simulation!$P$9</f>
        <v>211.5</v>
      </c>
      <c r="L35" s="194">
        <f t="shared" ref="L35" si="1">SUM(L28:L34)</f>
        <v>4.7</v>
      </c>
      <c r="M35" s="193">
        <f>N35*Simulation!$P$9</f>
        <v>242.1</v>
      </c>
      <c r="N35" s="194">
        <f t="shared" ref="N35" si="2">SUM(N28:N34)</f>
        <v>5.38</v>
      </c>
      <c r="O35" s="518">
        <f>P35*Simulation!$P$9</f>
        <v>214.2</v>
      </c>
      <c r="P35" s="515">
        <f t="shared" ref="P35" si="3">SUM(P28:P34)</f>
        <v>4.76</v>
      </c>
      <c r="Q35" s="518">
        <f>R35*Simulation!$P$9</f>
        <v>244.79999999999998</v>
      </c>
      <c r="R35" s="515">
        <f t="shared" ref="R35" si="4">SUM(R28:R34)</f>
        <v>5.4399999999999995</v>
      </c>
      <c r="S35" s="518">
        <f>T35*Simulation!$P$9</f>
        <v>275.39999999999998</v>
      </c>
      <c r="T35" s="194">
        <f t="shared" ref="T35" si="5">SUM(T28:T34)</f>
        <v>6.12</v>
      </c>
      <c r="U35" s="193">
        <f>V35*Simulation!$P$9</f>
        <v>423</v>
      </c>
      <c r="V35" s="194">
        <f t="shared" ref="V35" si="6">SUM(V28:V34)</f>
        <v>9.4</v>
      </c>
      <c r="W35" s="193">
        <f>X35*Simulation!$P$9</f>
        <v>484.2</v>
      </c>
      <c r="X35" s="194">
        <f t="shared" ref="X35" si="7">SUM(X28:X34)</f>
        <v>10.76</v>
      </c>
      <c r="Y35" s="518">
        <f>Z35*Simulation!$P$9</f>
        <v>484.2</v>
      </c>
      <c r="Z35" s="515">
        <f t="shared" ref="Z35" si="8">SUM(Z28:Z34)</f>
        <v>10.76</v>
      </c>
      <c r="AA35" s="518">
        <f>AB35*Simulation!$P$9</f>
        <v>428.4</v>
      </c>
      <c r="AB35" s="515">
        <f t="shared" ref="AB35" si="9">SUM(AB28:AB34)</f>
        <v>9.52</v>
      </c>
      <c r="AC35" s="518">
        <f>AD35*Simulation!$P$9</f>
        <v>428.4</v>
      </c>
      <c r="AD35" s="515">
        <f t="shared" ref="AD35" si="10">SUM(AD28:AD34)</f>
        <v>9.52</v>
      </c>
      <c r="AE35" s="518">
        <f>AF35*Simulation!$P$9</f>
        <v>489.59999999999997</v>
      </c>
      <c r="AF35" s="515">
        <f t="shared" ref="AF35" si="11">SUM(AF28:AF34)</f>
        <v>10.879999999999999</v>
      </c>
      <c r="AG35" s="518">
        <f>AH35*Simulation!$P$9</f>
        <v>550.79999999999995</v>
      </c>
      <c r="AH35" s="515">
        <f t="shared" ref="AH35" si="12">SUM(AH28:AH34)</f>
        <v>12.24</v>
      </c>
      <c r="AI35" s="518">
        <f>AJ35*Simulation!$P$9</f>
        <v>550.79999999999995</v>
      </c>
      <c r="AJ35" s="194">
        <f t="shared" ref="AJ35" si="13">SUM(AJ28:AJ34)</f>
        <v>12.24</v>
      </c>
      <c r="AK35" s="193">
        <f>AL35*Simulation!$P$9</f>
        <v>846</v>
      </c>
      <c r="AL35" s="194">
        <f t="shared" ref="AL35" si="14">SUM(AL28:AL34)</f>
        <v>18.8</v>
      </c>
    </row>
    <row r="36" spans="1:38" ht="28.35" customHeight="1" x14ac:dyDescent="0.2">
      <c r="A36" s="1559" t="s">
        <v>4</v>
      </c>
      <c r="B36" s="314" t="s">
        <v>371</v>
      </c>
      <c r="C36" s="1411" t="s">
        <v>370</v>
      </c>
      <c r="D36" s="179" t="str">
        <f>IF(C36="","",VLOOKUP($C36,MINIPELLE!$A$2:$C$28,3,0))</f>
        <v>m²</v>
      </c>
      <c r="E36" s="393"/>
      <c r="F36" s="393"/>
      <c r="G36" s="180">
        <f>'Outils de calculs'!G25</f>
        <v>6</v>
      </c>
      <c r="H36" s="186">
        <f>IF($C36="","",G36*VLOOKUP($C36,MINIPELLE!$A$2:$D$28,4,0))</f>
        <v>0.30000000000000004</v>
      </c>
      <c r="I36" s="180">
        <f>'Outils de calculs'!I25</f>
        <v>8</v>
      </c>
      <c r="J36" s="186">
        <f>IF($C36="","",I36*VLOOKUP($C36,MINIPELLE!$A$2:$D$28,4,0))</f>
        <v>0.4</v>
      </c>
      <c r="K36" s="180">
        <f>'Outils de calculs'!K25</f>
        <v>10</v>
      </c>
      <c r="L36" s="186">
        <f>IF($C36="","",K36*VLOOKUP($C36,MINIPELLE!$A$2:$D$28,4,0))</f>
        <v>0.5</v>
      </c>
      <c r="M36" s="180">
        <f>'Outils de calculs'!M25</f>
        <v>12</v>
      </c>
      <c r="N36" s="186">
        <f>IF($C36="","",M36*VLOOKUP($C36,MINIPELLE!$A$2:$D$28,4,0))</f>
        <v>0.60000000000000009</v>
      </c>
      <c r="O36" s="180">
        <f>'Outils de calculs'!O25</f>
        <v>14</v>
      </c>
      <c r="P36" s="186">
        <f>IF($C36="","",O36*VLOOKUP($C36,MINIPELLE!$A$2:$D$28,4,0))</f>
        <v>0.70000000000000007</v>
      </c>
      <c r="Q36" s="180">
        <f>'Outils de calculs'!Q25</f>
        <v>16</v>
      </c>
      <c r="R36" s="186">
        <f>IF($C36="","",Q36*VLOOKUP($C36,MINIPELLE!$A$2:$D$28,4,0))</f>
        <v>0.8</v>
      </c>
      <c r="S36" s="180">
        <f>'Outils de calculs'!S25</f>
        <v>18</v>
      </c>
      <c r="T36" s="186">
        <f>IF($C36="","",S36*VLOOKUP($C36,MINIPELLE!$A$2:$D$28,4,0))</f>
        <v>0.9</v>
      </c>
      <c r="U36" s="180">
        <f>'Outils de calculs'!U25</f>
        <v>20</v>
      </c>
      <c r="V36" s="186">
        <f>IF($C36="","",U36*VLOOKUP($C36,MINIPELLE!$A$2:$D$28,4,0))</f>
        <v>1</v>
      </c>
      <c r="W36" s="180">
        <f>'Outils de calculs'!W25</f>
        <v>24</v>
      </c>
      <c r="X36" s="186">
        <f>IF($C36="","",W36*VLOOKUP($C36,MINIPELLE!$A$2:$D$28,4,0))</f>
        <v>1.2000000000000002</v>
      </c>
      <c r="Y36" s="180">
        <f>'Outils de calculs'!Y25</f>
        <v>24</v>
      </c>
      <c r="Z36" s="186">
        <f>IF($C36="","",Y36*VLOOKUP($C36,MINIPELLE!$A$2:$D$28,4,0))</f>
        <v>1.2000000000000002</v>
      </c>
      <c r="AA36" s="180">
        <f>'Outils de calculs'!AA25</f>
        <v>28</v>
      </c>
      <c r="AB36" s="186">
        <f>IF($C36="","",AA36*VLOOKUP($C36,MINIPELLE!$A$2:$D$28,4,0))</f>
        <v>1.4000000000000001</v>
      </c>
      <c r="AC36" s="180">
        <f>'Outils de calculs'!AC25</f>
        <v>28</v>
      </c>
      <c r="AD36" s="186">
        <f>IF($C36="","",AC36*VLOOKUP($C36,MINIPELLE!$A$2:$D$28,4,0))</f>
        <v>1.4000000000000001</v>
      </c>
      <c r="AE36" s="180">
        <f>'Outils de calculs'!AE25</f>
        <v>32</v>
      </c>
      <c r="AF36" s="186">
        <f>IF($C36="","",AE36*VLOOKUP($C36,MINIPELLE!$A$2:$D$28,4,0))</f>
        <v>1.6</v>
      </c>
      <c r="AG36" s="180">
        <f>'Outils de calculs'!AG25</f>
        <v>36</v>
      </c>
      <c r="AH36" s="186">
        <f>IF($C36="","",AG36*VLOOKUP($C36,MINIPELLE!$A$2:$D$28,4,0))</f>
        <v>1.8</v>
      </c>
      <c r="AI36" s="180">
        <f>'Outils de calculs'!AI25</f>
        <v>36</v>
      </c>
      <c r="AJ36" s="186">
        <f>IF($C36="","",AI36*VLOOKUP($C36,MINIPELLE!$A$2:$D$28,4,0))</f>
        <v>1.8</v>
      </c>
      <c r="AK36" s="180">
        <f>'Outils de calculs'!AK25</f>
        <v>40</v>
      </c>
      <c r="AL36" s="186">
        <f>IF($C36="","",AK36*VLOOKUP($C36,MINIPELLE!$A$2:$D$28,4,0))</f>
        <v>2</v>
      </c>
    </row>
    <row r="37" spans="1:38" ht="28.35" customHeight="1" x14ac:dyDescent="0.2">
      <c r="A37" s="1559"/>
      <c r="B37" s="314" t="s">
        <v>374</v>
      </c>
      <c r="C37" s="1411" t="s">
        <v>373</v>
      </c>
      <c r="D37" s="179" t="str">
        <f>IF(C37="","",VLOOKUP($C37,MINIPELLE!$A$2:$C$28,3,0))</f>
        <v>m²</v>
      </c>
      <c r="E37" s="393"/>
      <c r="F37" s="393"/>
      <c r="G37" s="180">
        <f>'Outils de calculs'!G25</f>
        <v>6</v>
      </c>
      <c r="H37" s="186">
        <f>IF($C37="","",G37*VLOOKUP($C37,MINIPELLE!$A$2:$D$28,4,0))</f>
        <v>0.30000000000000004</v>
      </c>
      <c r="I37" s="180">
        <f>'Outils de calculs'!I25</f>
        <v>8</v>
      </c>
      <c r="J37" s="186">
        <f>IF($C37="","",I37*VLOOKUP($C37,MINIPELLE!$A$2:$D$28,4,0))</f>
        <v>0.4</v>
      </c>
      <c r="K37" s="180">
        <f>'Outils de calculs'!K25</f>
        <v>10</v>
      </c>
      <c r="L37" s="186">
        <f>IF($C37="","",K37*VLOOKUP($C37,MINIPELLE!$A$2:$D$28,4,0))</f>
        <v>0.5</v>
      </c>
      <c r="M37" s="180">
        <f>'Outils de calculs'!M25</f>
        <v>12</v>
      </c>
      <c r="N37" s="186">
        <f>IF($C37="","",M37*VLOOKUP($C37,MINIPELLE!$A$2:$D$28,4,0))</f>
        <v>0.60000000000000009</v>
      </c>
      <c r="O37" s="180">
        <f>'Outils de calculs'!O25</f>
        <v>14</v>
      </c>
      <c r="P37" s="186">
        <f>IF($C37="","",O37*VLOOKUP($C37,MINIPELLE!$A$2:$D$28,4,0))</f>
        <v>0.70000000000000007</v>
      </c>
      <c r="Q37" s="180">
        <f>'Outils de calculs'!Q25</f>
        <v>16</v>
      </c>
      <c r="R37" s="186">
        <f>IF($C37="","",Q37*VLOOKUP($C37,MINIPELLE!$A$2:$D$28,4,0))</f>
        <v>0.8</v>
      </c>
      <c r="S37" s="180">
        <f>'Outils de calculs'!S25</f>
        <v>18</v>
      </c>
      <c r="T37" s="186">
        <f>IF($C37="","",S37*VLOOKUP($C37,MINIPELLE!$A$2:$D$28,4,0))</f>
        <v>0.9</v>
      </c>
      <c r="U37" s="180">
        <f>'Outils de calculs'!U25</f>
        <v>20</v>
      </c>
      <c r="V37" s="186">
        <f>IF($C37="","",U37*VLOOKUP($C37,MINIPELLE!$A$2:$D$28,4,0))</f>
        <v>1</v>
      </c>
      <c r="W37" s="180">
        <f>'Outils de calculs'!W25</f>
        <v>24</v>
      </c>
      <c r="X37" s="186">
        <f>IF($C37="","",W37*VLOOKUP($C37,MINIPELLE!$A$2:$D$28,4,0))</f>
        <v>1.2000000000000002</v>
      </c>
      <c r="Y37" s="180">
        <f>'Outils de calculs'!Y25</f>
        <v>24</v>
      </c>
      <c r="Z37" s="186">
        <f>IF($C37="","",Y37*VLOOKUP($C37,MINIPELLE!$A$2:$D$28,4,0))</f>
        <v>1.2000000000000002</v>
      </c>
      <c r="AA37" s="180">
        <f>'Outils de calculs'!AA25</f>
        <v>28</v>
      </c>
      <c r="AB37" s="186">
        <f>IF($C37="","",AA37*VLOOKUP($C37,MINIPELLE!$A$2:$D$28,4,0))</f>
        <v>1.4000000000000001</v>
      </c>
      <c r="AC37" s="180">
        <f>'Outils de calculs'!AC25</f>
        <v>28</v>
      </c>
      <c r="AD37" s="186">
        <f>IF($C37="","",AC37*VLOOKUP($C37,MINIPELLE!$A$2:$D$28,4,0))</f>
        <v>1.4000000000000001</v>
      </c>
      <c r="AE37" s="180">
        <f>'Outils de calculs'!AE25</f>
        <v>32</v>
      </c>
      <c r="AF37" s="186">
        <f>IF($C37="","",AE37*VLOOKUP($C37,MINIPELLE!$A$2:$D$28,4,0))</f>
        <v>1.6</v>
      </c>
      <c r="AG37" s="180">
        <f>'Outils de calculs'!AG25</f>
        <v>36</v>
      </c>
      <c r="AH37" s="186">
        <f>IF($C37="","",AG37*VLOOKUP($C37,MINIPELLE!$A$2:$D$28,4,0))</f>
        <v>1.8</v>
      </c>
      <c r="AI37" s="180">
        <f>'Outils de calculs'!AI25</f>
        <v>36</v>
      </c>
      <c r="AJ37" s="186">
        <f>IF($C37="","",AI37*VLOOKUP($C37,MINIPELLE!$A$2:$D$28,4,0))</f>
        <v>1.8</v>
      </c>
      <c r="AK37" s="180">
        <f>'Outils de calculs'!AK25</f>
        <v>40</v>
      </c>
      <c r="AL37" s="186">
        <f>IF($C37="","",AK37*VLOOKUP($C37,MINIPELLE!$A$2:$D$28,4,0))</f>
        <v>2</v>
      </c>
    </row>
    <row r="38" spans="1:38" ht="28.35" customHeight="1" x14ac:dyDescent="0.2">
      <c r="A38" s="1559"/>
      <c r="B38" s="314" t="s">
        <v>374</v>
      </c>
      <c r="C38" s="1411" t="s">
        <v>379</v>
      </c>
      <c r="D38" s="179" t="str">
        <f>IF(C38="","",VLOOKUP($C38,MINIPELLE!$A$2:$C$28,3,0))</f>
        <v>m3</v>
      </c>
      <c r="E38" s="393"/>
      <c r="F38" s="393"/>
      <c r="G38" s="180">
        <f>'Outils de calculs'!G25*0.6</f>
        <v>3.5999999999999996</v>
      </c>
      <c r="H38" s="186">
        <f>IF($C38="","",G38*VLOOKUP($C38,MINIPELLE!$A$2:$D$28,4,0))</f>
        <v>1.0799999999999998</v>
      </c>
      <c r="I38" s="180">
        <f>'Outils de calculs'!I25*0.6</f>
        <v>4.8</v>
      </c>
      <c r="J38" s="186">
        <f>IF($C38="","",I38*VLOOKUP($C38,MINIPELLE!$A$2:$D$28,4,0))</f>
        <v>1.44</v>
      </c>
      <c r="K38" s="180">
        <f>'Outils de calculs'!K25*0.6</f>
        <v>6</v>
      </c>
      <c r="L38" s="186">
        <f>IF($C38="","",K38*VLOOKUP($C38,MINIPELLE!$A$2:$D$28,4,0))</f>
        <v>1.7999999999999998</v>
      </c>
      <c r="M38" s="180">
        <f>'Outils de calculs'!M25*0.6</f>
        <v>7.1999999999999993</v>
      </c>
      <c r="N38" s="186">
        <f>IF($C38="","",M38*VLOOKUP($C38,MINIPELLE!$A$2:$D$28,4,0))</f>
        <v>2.1599999999999997</v>
      </c>
      <c r="O38" s="180">
        <f>'Outils de calculs'!O25*0.6</f>
        <v>8.4</v>
      </c>
      <c r="P38" s="186">
        <f>IF($C38="","",O38*VLOOKUP($C38,MINIPELLE!$A$2:$D$28,4,0))</f>
        <v>2.52</v>
      </c>
      <c r="Q38" s="180">
        <f>'Outils de calculs'!Q25*0.6</f>
        <v>9.6</v>
      </c>
      <c r="R38" s="186">
        <f>IF($C38="","",Q38*VLOOKUP($C38,MINIPELLE!$A$2:$D$28,4,0))</f>
        <v>2.88</v>
      </c>
      <c r="S38" s="180">
        <f>'Outils de calculs'!S25*0.6</f>
        <v>10.799999999999999</v>
      </c>
      <c r="T38" s="186">
        <f>IF($C38="","",S38*VLOOKUP($C38,MINIPELLE!$A$2:$D$28,4,0))</f>
        <v>3.2399999999999998</v>
      </c>
      <c r="U38" s="180">
        <f>'Outils de calculs'!U25*0.6</f>
        <v>12</v>
      </c>
      <c r="V38" s="186">
        <f>IF($C38="","",U38*VLOOKUP($C38,MINIPELLE!$A$2:$D$28,4,0))</f>
        <v>3.5999999999999996</v>
      </c>
      <c r="W38" s="180">
        <f>'Outils de calculs'!W25*0.6</f>
        <v>14.399999999999999</v>
      </c>
      <c r="X38" s="186">
        <f>IF($C38="","",W38*VLOOKUP($C38,MINIPELLE!$A$2:$D$28,4,0))</f>
        <v>4.3199999999999994</v>
      </c>
      <c r="Y38" s="180">
        <f>'Outils de calculs'!Y25*0.6</f>
        <v>14.399999999999999</v>
      </c>
      <c r="Z38" s="186">
        <f>IF($C38="","",Y38*VLOOKUP($C38,MINIPELLE!$A$2:$D$28,4,0))</f>
        <v>4.3199999999999994</v>
      </c>
      <c r="AA38" s="180">
        <f>'Outils de calculs'!AA25*0.6</f>
        <v>16.8</v>
      </c>
      <c r="AB38" s="186">
        <f>IF($C38="","",AA38*VLOOKUP($C38,MINIPELLE!$A$2:$D$28,4,0))</f>
        <v>5.04</v>
      </c>
      <c r="AC38" s="180">
        <f>'Outils de calculs'!AC25*0.6</f>
        <v>16.8</v>
      </c>
      <c r="AD38" s="186">
        <f>IF($C38="","",AC38*VLOOKUP($C38,MINIPELLE!$A$2:$D$28,4,0))</f>
        <v>5.04</v>
      </c>
      <c r="AE38" s="180">
        <f>'Outils de calculs'!AE25*0.6</f>
        <v>19.2</v>
      </c>
      <c r="AF38" s="186">
        <f>IF($C38="","",AE38*VLOOKUP($C38,MINIPELLE!$A$2:$D$28,4,0))</f>
        <v>5.76</v>
      </c>
      <c r="AG38" s="180">
        <f>'Outils de calculs'!AG25*0.6</f>
        <v>21.599999999999998</v>
      </c>
      <c r="AH38" s="186">
        <f>IF($C38="","",AG38*VLOOKUP($C38,MINIPELLE!$A$2:$D$28,4,0))</f>
        <v>6.4799999999999995</v>
      </c>
      <c r="AI38" s="180">
        <f>'Outils de calculs'!AI25*0.6</f>
        <v>21.599999999999998</v>
      </c>
      <c r="AJ38" s="186">
        <f>IF($C38="","",AI38*VLOOKUP($C38,MINIPELLE!$A$2:$D$28,4,0))</f>
        <v>6.4799999999999995</v>
      </c>
      <c r="AK38" s="180">
        <f>'Outils de calculs'!AK25*0.6</f>
        <v>24</v>
      </c>
      <c r="AL38" s="186">
        <f>IF($C38="","",AK38*VLOOKUP($C38,MINIPELLE!$A$2:$D$28,4,0))</f>
        <v>7.1999999999999993</v>
      </c>
    </row>
    <row r="39" spans="1:38" ht="28.35" customHeight="1" x14ac:dyDescent="0.2">
      <c r="A39" s="1559"/>
      <c r="B39" s="314" t="s">
        <v>1067</v>
      </c>
      <c r="C39" s="1412" t="s">
        <v>376</v>
      </c>
      <c r="D39" s="179" t="str">
        <f>IF(C39="","",VLOOKUP($C39,MINIPELLE!$A$2:$C$28,3,0))</f>
        <v>forfait</v>
      </c>
      <c r="E39" s="393"/>
      <c r="F39" s="393"/>
      <c r="G39" s="180">
        <f>_xlfn.CEILING.MATH('Outils de calculs'!G43/2,1,1)</f>
        <v>1</v>
      </c>
      <c r="H39" s="186">
        <f>IF($C39="","",G39*VLOOKUP($C39,MINIPELLE!$A$2:$D$28,4,0))</f>
        <v>0.25</v>
      </c>
      <c r="I39" s="180">
        <f>_xlfn.CEILING.MATH('Outils de calculs'!I43/2,1,1)</f>
        <v>0</v>
      </c>
      <c r="J39" s="186">
        <f>IF($C39="","",I39*VLOOKUP($C39,MINIPELLE!$A$2:$D$28,4,0))</f>
        <v>0</v>
      </c>
      <c r="K39" s="180">
        <f>_xlfn.CEILING.MATH('Outils de calculs'!K43/2,1,1)</f>
        <v>1</v>
      </c>
      <c r="L39" s="186">
        <f>IF($C39="","",K39*VLOOKUP($C39,MINIPELLE!$A$2:$D$28,4,0))</f>
        <v>0.25</v>
      </c>
      <c r="M39" s="180">
        <f>_xlfn.CEILING.MATH('Outils de calculs'!M43/2,1,1)</f>
        <v>1</v>
      </c>
      <c r="N39" s="186">
        <f>IF($C39="","",M39*VLOOKUP($C39,MINIPELLE!$A$2:$D$28,4,0))</f>
        <v>0.25</v>
      </c>
      <c r="O39" s="180">
        <f>_xlfn.CEILING.MATH('Outils de calculs'!O43/2,1,1)</f>
        <v>0</v>
      </c>
      <c r="P39" s="186">
        <f>IF($C39="","",O39*VLOOKUP($C39,MINIPELLE!$A$2:$D$28,4,0))</f>
        <v>0</v>
      </c>
      <c r="Q39" s="180">
        <f>_xlfn.CEILING.MATH('Outils de calculs'!Q43/2,1,1)</f>
        <v>0</v>
      </c>
      <c r="R39" s="186">
        <f>IF($C39="","",Q39*VLOOKUP($C39,MINIPELLE!$A$2:$D$28,4,0))</f>
        <v>0</v>
      </c>
      <c r="S39" s="180">
        <f>_xlfn.CEILING.MATH('Outils de calculs'!S43/2,1,1)</f>
        <v>0</v>
      </c>
      <c r="T39" s="186">
        <f>IF($C39="","",S39*VLOOKUP($C39,MINIPELLE!$A$2:$D$28,4,0))</f>
        <v>0</v>
      </c>
      <c r="U39" s="180">
        <f>_xlfn.CEILING.MATH('Outils de calculs'!U43/2,1,1)</f>
        <v>2</v>
      </c>
      <c r="V39" s="186">
        <f>IF($C39="","",U39*VLOOKUP($C39,MINIPELLE!$A$2:$D$28,4,0))</f>
        <v>0.5</v>
      </c>
      <c r="W39" s="180">
        <f>_xlfn.CEILING.MATH('Outils de calculs'!W43/2,1,1)</f>
        <v>2</v>
      </c>
      <c r="X39" s="186">
        <f>IF($C39="","",W39*VLOOKUP($C39,MINIPELLE!$A$2:$D$28,4,0))</f>
        <v>0.5</v>
      </c>
      <c r="Y39" s="180">
        <f>_xlfn.CEILING.MATH('Outils de calculs'!Y43/2,1,1)</f>
        <v>2</v>
      </c>
      <c r="Z39" s="186">
        <f>IF($C39="","",Y39*VLOOKUP($C39,MINIPELLE!$A$2:$D$28,4,0))</f>
        <v>0.5</v>
      </c>
      <c r="AA39" s="180">
        <f>_xlfn.CEILING.MATH('Outils de calculs'!AA43/2,1,1)</f>
        <v>0</v>
      </c>
      <c r="AB39" s="186">
        <f>IF($C39="","",AA39*VLOOKUP($C39,MINIPELLE!$A$2:$D$28,4,0))</f>
        <v>0</v>
      </c>
      <c r="AC39" s="180">
        <f>_xlfn.CEILING.MATH('Outils de calculs'!AC43/2,1,1)</f>
        <v>0</v>
      </c>
      <c r="AD39" s="186">
        <f>IF($C39="","",AC39*VLOOKUP($C39,MINIPELLE!$A$2:$D$28,4,0))</f>
        <v>0</v>
      </c>
      <c r="AE39" s="180">
        <f>_xlfn.CEILING.MATH('Outils de calculs'!AE43/2,1,1)</f>
        <v>0</v>
      </c>
      <c r="AF39" s="186">
        <f>IF($C39="","",AE39*VLOOKUP($C39,MINIPELLE!$A$2:$D$28,4,0))</f>
        <v>0</v>
      </c>
      <c r="AG39" s="180">
        <f>_xlfn.CEILING.MATH('Outils de calculs'!AG43/2,1,1)</f>
        <v>0</v>
      </c>
      <c r="AH39" s="186">
        <f>IF($C39="","",AG39*VLOOKUP($C39,MINIPELLE!$A$2:$D$28,4,0))</f>
        <v>0</v>
      </c>
      <c r="AI39" s="180">
        <f>_xlfn.CEILING.MATH('Outils de calculs'!AI43/2,1,1)</f>
        <v>0</v>
      </c>
      <c r="AJ39" s="186">
        <f>IF($C39="","",AI39*VLOOKUP($C39,MINIPELLE!$A$2:$D$28,4,0))</f>
        <v>0</v>
      </c>
      <c r="AK39" s="180">
        <f>_xlfn.CEILING.MATH('Outils de calculs'!AK43/2,1,1)</f>
        <v>4</v>
      </c>
      <c r="AL39" s="186">
        <f>IF($C39="","",AK39*VLOOKUP($C39,MINIPELLE!$A$2:$D$28,4,0))</f>
        <v>1</v>
      </c>
    </row>
    <row r="40" spans="1:38" ht="28.35" customHeight="1" x14ac:dyDescent="0.2">
      <c r="A40" s="1559"/>
      <c r="B40" s="314" t="s">
        <v>1067</v>
      </c>
      <c r="C40" s="1410" t="s">
        <v>405</v>
      </c>
      <c r="D40" s="179" t="str">
        <f>IF(C40="","",VLOOKUP($C40,MINIPELLE!$A$2:$C$28,3,0))</f>
        <v>ml</v>
      </c>
      <c r="E40" s="393"/>
      <c r="F40" s="393"/>
      <c r="G40" s="180">
        <v>2.2000000000000002</v>
      </c>
      <c r="H40" s="186">
        <f>IF($C40="","",G40*VLOOKUP($C40,MINIPELLE!$A$2:$D$28,4,0))</f>
        <v>0.17600000000000002</v>
      </c>
      <c r="I40" s="393"/>
      <c r="J40" s="393"/>
      <c r="K40" s="180">
        <f>0.6*K6*2</f>
        <v>0</v>
      </c>
      <c r="L40" s="186">
        <f>IF($C40="","",K40*VLOOKUP($C40,MINIPELLE!$A$2:$D$28,4,0))</f>
        <v>0</v>
      </c>
      <c r="M40" s="180">
        <v>0</v>
      </c>
      <c r="N40" s="186">
        <f>IF($C40="","",M40*VLOOKUP($C40,MINIPELLE!$A$2:$D$28,4,0))</f>
        <v>0</v>
      </c>
      <c r="O40" s="393"/>
      <c r="P40" s="393"/>
      <c r="Q40" s="393"/>
      <c r="R40" s="393"/>
      <c r="S40" s="393"/>
      <c r="T40" s="393"/>
      <c r="U40" s="180">
        <f>0.6*U6*2</f>
        <v>0</v>
      </c>
      <c r="V40" s="186">
        <f>IF($C40="","",U40*VLOOKUP($C40,MINIPELLE!$A$2:$D$28,4,0))</f>
        <v>0</v>
      </c>
      <c r="W40" s="180">
        <f>0.6*W6*2</f>
        <v>0</v>
      </c>
      <c r="X40" s="186">
        <f>IF($C40="","",W40*VLOOKUP($C40,MINIPELLE!$A$2:$D$28,4,0))</f>
        <v>0</v>
      </c>
      <c r="Y40" s="393"/>
      <c r="Z40" s="393"/>
      <c r="AA40" s="393"/>
      <c r="AB40" s="393"/>
      <c r="AC40" s="393"/>
      <c r="AD40" s="393"/>
      <c r="AE40" s="393"/>
      <c r="AF40" s="393"/>
      <c r="AG40" s="393"/>
      <c r="AH40" s="393"/>
      <c r="AI40" s="393"/>
      <c r="AJ40" s="393"/>
      <c r="AK40" s="180">
        <f>0.6*AK6*2</f>
        <v>0</v>
      </c>
      <c r="AL40" s="186">
        <f>IF($C40="","",AK40*VLOOKUP($C40,MINIPELLE!$A$2:$D$28,4,0))</f>
        <v>0</v>
      </c>
    </row>
    <row r="41" spans="1:38" ht="28.35" customHeight="1" x14ac:dyDescent="0.2">
      <c r="A41" s="1559"/>
      <c r="B41" s="314" t="s">
        <v>1171</v>
      </c>
      <c r="C41" s="1409" t="s">
        <v>1244</v>
      </c>
      <c r="D41" s="179" t="str">
        <f>IF(C41="","",VLOOKUP($C41,MINIPELLE!$A$2:$C$28,3,0))</f>
        <v>pc</v>
      </c>
      <c r="E41" s="393"/>
      <c r="F41" s="393"/>
      <c r="G41" s="180">
        <f>'Outils de calculs'!G43</f>
        <v>1</v>
      </c>
      <c r="H41" s="186">
        <f>IF($C41="","",G41*VLOOKUP($C41,MINIPELLE!$A$2:$D$28,4,0))</f>
        <v>0.25</v>
      </c>
      <c r="I41" s="180">
        <f>'Outils de calculs'!I43</f>
        <v>0</v>
      </c>
      <c r="J41" s="186">
        <f>IF($C41="","",I41*VLOOKUP($C41,MINIPELLE!$A$2:$D$28,4,0))</f>
        <v>0</v>
      </c>
      <c r="K41" s="180">
        <f>'Outils de calculs'!K43</f>
        <v>2</v>
      </c>
      <c r="L41" s="186">
        <f>IF($C41="","",K41*VLOOKUP($C41,MINIPELLE!$A$2:$D$28,4,0))</f>
        <v>0.5</v>
      </c>
      <c r="M41" s="180">
        <f>'Outils de calculs'!M43</f>
        <v>2</v>
      </c>
      <c r="N41" s="186">
        <f>IF($C41="","",M41*VLOOKUP($C41,MINIPELLE!$A$2:$D$28,4,0))</f>
        <v>0.5</v>
      </c>
      <c r="O41" s="180">
        <f>'Outils de calculs'!O43</f>
        <v>0</v>
      </c>
      <c r="P41" s="186">
        <f>IF($C41="","",O41*VLOOKUP($C41,MINIPELLE!$A$2:$D$28,4,0))</f>
        <v>0</v>
      </c>
      <c r="Q41" s="180">
        <f>'Outils de calculs'!Q43</f>
        <v>0</v>
      </c>
      <c r="R41" s="186">
        <f>IF($C41="","",Q41*VLOOKUP($C41,MINIPELLE!$A$2:$D$28,4,0))</f>
        <v>0</v>
      </c>
      <c r="S41" s="180">
        <f>'Outils de calculs'!S43</f>
        <v>0</v>
      </c>
      <c r="T41" s="186">
        <f>IF($C41="","",S41*VLOOKUP($C41,MINIPELLE!$A$2:$D$28,4,0))</f>
        <v>0</v>
      </c>
      <c r="U41" s="180">
        <f>'Outils de calculs'!U43</f>
        <v>4</v>
      </c>
      <c r="V41" s="186">
        <f>IF($C41="","",U41*VLOOKUP($C41,MINIPELLE!$A$2:$D$28,4,0))</f>
        <v>1</v>
      </c>
      <c r="W41" s="180">
        <f>'Outils de calculs'!W43</f>
        <v>4</v>
      </c>
      <c r="X41" s="186">
        <f>IF($C41="","",W41*VLOOKUP($C41,MINIPELLE!$A$2:$D$28,4,0))</f>
        <v>1</v>
      </c>
      <c r="Y41" s="180">
        <f>'Outils de calculs'!Y43</f>
        <v>4</v>
      </c>
      <c r="Z41" s="186">
        <f>IF($C41="","",Y41*VLOOKUP($C41,MINIPELLE!$A$2:$D$28,4,0))</f>
        <v>1</v>
      </c>
      <c r="AA41" s="180">
        <f>'Outils de calculs'!AA43</f>
        <v>0</v>
      </c>
      <c r="AB41" s="186">
        <f>IF($C41="","",AA41*VLOOKUP($C41,MINIPELLE!$A$2:$D$28,4,0))</f>
        <v>0</v>
      </c>
      <c r="AC41" s="180">
        <f>'Outils de calculs'!AC43</f>
        <v>0</v>
      </c>
      <c r="AD41" s="186">
        <f>IF($C41="","",AC41*VLOOKUP($C41,MINIPELLE!$A$2:$D$28,4,0))</f>
        <v>0</v>
      </c>
      <c r="AE41" s="180">
        <f>'Outils de calculs'!AE43</f>
        <v>0</v>
      </c>
      <c r="AF41" s="186">
        <f>IF($C41="","",AE41*VLOOKUP($C41,MINIPELLE!$A$2:$D$28,4,0))</f>
        <v>0</v>
      </c>
      <c r="AG41" s="180">
        <f>'Outils de calculs'!AG43</f>
        <v>0</v>
      </c>
      <c r="AH41" s="186">
        <f>IF($C41="","",AG41*VLOOKUP($C41,MINIPELLE!$A$2:$D$28,4,0))</f>
        <v>0</v>
      </c>
      <c r="AI41" s="180">
        <f>'Outils de calculs'!AI43</f>
        <v>0</v>
      </c>
      <c r="AJ41" s="186">
        <f>IF($C41="","",AI41*VLOOKUP($C41,MINIPELLE!$A$2:$D$28,4,0))</f>
        <v>0</v>
      </c>
      <c r="AK41" s="180">
        <f>'Outils de calculs'!AK43</f>
        <v>8</v>
      </c>
      <c r="AL41" s="186">
        <f>IF($C41="","",AK41*VLOOKUP($C41,MINIPELLE!$A$2:$D$28,4,0))</f>
        <v>2</v>
      </c>
    </row>
    <row r="42" spans="1:38" ht="45" customHeight="1" x14ac:dyDescent="0.2">
      <c r="A42" s="1560"/>
      <c r="B42" s="318" t="s">
        <v>454</v>
      </c>
      <c r="C42" s="195" t="s">
        <v>455</v>
      </c>
      <c r="D42" s="196" t="s">
        <v>451</v>
      </c>
      <c r="E42" s="393"/>
      <c r="F42" s="393"/>
      <c r="G42" s="197">
        <f>H42*Simulation!$P$10</f>
        <v>188.48</v>
      </c>
      <c r="H42" s="198">
        <f>SUM(H36:H41)</f>
        <v>2.3559999999999999</v>
      </c>
      <c r="I42" s="197">
        <f>J42*Simulation!$P$10</f>
        <v>179.20000000000002</v>
      </c>
      <c r="J42" s="198">
        <f t="shared" ref="J42" si="15">SUM(J36:J41)</f>
        <v>2.2400000000000002</v>
      </c>
      <c r="K42" s="197">
        <f>L42*Simulation!$P$10</f>
        <v>284</v>
      </c>
      <c r="L42" s="198">
        <f t="shared" ref="L42" si="16">SUM(L36:L41)</f>
        <v>3.55</v>
      </c>
      <c r="M42" s="197">
        <f>N42*Simulation!$P$10</f>
        <v>328.79999999999995</v>
      </c>
      <c r="N42" s="198">
        <f t="shared" ref="N42" si="17">SUM(N36:N41)</f>
        <v>4.1099999999999994</v>
      </c>
      <c r="O42" s="197">
        <f>P42*Simulation!$P$10</f>
        <v>313.60000000000002</v>
      </c>
      <c r="P42" s="198">
        <f t="shared" ref="P42" si="18">SUM(P36:P41)</f>
        <v>3.92</v>
      </c>
      <c r="Q42" s="197">
        <f>R42*Simulation!$P$10</f>
        <v>358.40000000000003</v>
      </c>
      <c r="R42" s="198">
        <f t="shared" ref="R42" si="19">SUM(R36:R41)</f>
        <v>4.4800000000000004</v>
      </c>
      <c r="S42" s="197">
        <f>T42*Simulation!$P$10</f>
        <v>403.2</v>
      </c>
      <c r="T42" s="198">
        <f t="shared" ref="T42" si="20">SUM(T36:T41)</f>
        <v>5.04</v>
      </c>
      <c r="U42" s="197">
        <f>V42*Simulation!$P$10</f>
        <v>568</v>
      </c>
      <c r="V42" s="198">
        <f t="shared" ref="V42" si="21">SUM(V36:V41)</f>
        <v>7.1</v>
      </c>
      <c r="W42" s="197">
        <f>X42*Simulation!$P$10</f>
        <v>657.59999999999991</v>
      </c>
      <c r="X42" s="198">
        <f t="shared" ref="X42" si="22">SUM(X36:X41)</f>
        <v>8.2199999999999989</v>
      </c>
      <c r="Y42" s="197">
        <f>Z42*Simulation!$P$10</f>
        <v>657.59999999999991</v>
      </c>
      <c r="Z42" s="198">
        <f t="shared" ref="Z42" si="23">SUM(Z36:Z41)</f>
        <v>8.2199999999999989</v>
      </c>
      <c r="AA42" s="197">
        <f>AB42*Simulation!$P$10</f>
        <v>627.20000000000005</v>
      </c>
      <c r="AB42" s="198">
        <f t="shared" ref="AB42" si="24">SUM(AB36:AB41)</f>
        <v>7.84</v>
      </c>
      <c r="AC42" s="197">
        <f>AD42*Simulation!$P$10</f>
        <v>627.20000000000005</v>
      </c>
      <c r="AD42" s="198">
        <f t="shared" ref="AD42" si="25">SUM(AD36:AD41)</f>
        <v>7.84</v>
      </c>
      <c r="AE42" s="197">
        <f>AF42*Simulation!$P$10</f>
        <v>716.80000000000007</v>
      </c>
      <c r="AF42" s="198">
        <f t="shared" ref="AF42" si="26">SUM(AF36:AF41)</f>
        <v>8.9600000000000009</v>
      </c>
      <c r="AG42" s="197">
        <f>AH42*Simulation!$P$10</f>
        <v>806.4</v>
      </c>
      <c r="AH42" s="198">
        <f t="shared" ref="AH42" si="27">SUM(AH36:AH41)</f>
        <v>10.08</v>
      </c>
      <c r="AI42" s="197">
        <f>AJ42*Simulation!$P$10</f>
        <v>806.4</v>
      </c>
      <c r="AJ42" s="198">
        <f t="shared" ref="AJ42" si="28">SUM(AJ36:AJ41)</f>
        <v>10.08</v>
      </c>
      <c r="AK42" s="197">
        <f>AL42*Simulation!$P$10</f>
        <v>1136</v>
      </c>
      <c r="AL42" s="198">
        <f t="shared" ref="AL42" si="29">SUM(AL36:AL41)</f>
        <v>14.2</v>
      </c>
    </row>
    <row r="43" spans="1:38" ht="18" x14ac:dyDescent="0.2">
      <c r="A43" s="199"/>
      <c r="B43" s="172"/>
      <c r="C43" s="200"/>
      <c r="D43" s="201"/>
      <c r="E43" s="393"/>
      <c r="F43" s="393"/>
      <c r="G43" s="202"/>
      <c r="H43" s="203"/>
      <c r="I43" s="393"/>
      <c r="J43" s="393"/>
      <c r="K43" s="202"/>
      <c r="L43" s="203"/>
      <c r="M43" s="202"/>
      <c r="N43" s="203"/>
      <c r="O43" s="393"/>
      <c r="P43" s="393"/>
      <c r="Q43" s="393"/>
      <c r="R43" s="393"/>
      <c r="S43" s="393"/>
      <c r="T43" s="393"/>
      <c r="U43" s="202"/>
      <c r="V43" s="203"/>
      <c r="W43" s="202"/>
      <c r="X43" s="203"/>
      <c r="Y43" s="393"/>
      <c r="Z43" s="393"/>
      <c r="AA43" s="393"/>
      <c r="AB43" s="393"/>
      <c r="AC43" s="393"/>
      <c r="AD43" s="393"/>
      <c r="AE43" s="393"/>
      <c r="AF43" s="393"/>
      <c r="AG43" s="393"/>
      <c r="AH43" s="393"/>
      <c r="AI43" s="393"/>
      <c r="AJ43" s="393"/>
      <c r="AK43" s="202"/>
      <c r="AL43" s="203"/>
    </row>
    <row r="44" spans="1:38" ht="42.6" customHeight="1" x14ac:dyDescent="0.2">
      <c r="A44" s="204"/>
      <c r="B44" s="205" t="s">
        <v>456</v>
      </c>
      <c r="C44" s="1564" t="s">
        <v>445</v>
      </c>
      <c r="D44" s="1564"/>
      <c r="E44" s="393"/>
      <c r="F44" s="393"/>
      <c r="G44" s="1547">
        <f>G42+G35+G27+G20</f>
        <v>2015.4334000000001</v>
      </c>
      <c r="H44" s="1547"/>
      <c r="I44" s="393"/>
      <c r="J44" s="393"/>
      <c r="K44" s="1547">
        <f>K42+K35+K27+K20</f>
        <v>3365.5829999999996</v>
      </c>
      <c r="L44" s="1547"/>
      <c r="M44" s="1547">
        <f>M42+M35+M27+M20</f>
        <v>3930.654</v>
      </c>
      <c r="N44" s="1547"/>
      <c r="O44" s="393"/>
      <c r="P44" s="393"/>
      <c r="Q44" s="393"/>
      <c r="R44" s="393"/>
      <c r="S44" s="393"/>
      <c r="T44" s="393"/>
      <c r="U44" s="1547">
        <f>U42+U35+U27+U20</f>
        <v>6731.1659999999993</v>
      </c>
      <c r="V44" s="1547"/>
      <c r="W44" s="1547">
        <f>W42+W35+W27+W20</f>
        <v>7861.308</v>
      </c>
      <c r="X44" s="1547"/>
      <c r="Y44" s="393"/>
      <c r="Z44" s="393"/>
      <c r="AA44" s="393"/>
      <c r="AB44" s="393"/>
      <c r="AC44" s="393"/>
      <c r="AD44" s="393"/>
      <c r="AE44" s="393"/>
      <c r="AF44" s="393"/>
      <c r="AG44" s="393"/>
      <c r="AH44" s="393"/>
      <c r="AI44" s="393"/>
      <c r="AJ44" s="393"/>
      <c r="AK44" s="1547">
        <f>AK42+AK35+AK27+AK20</f>
        <v>13462.331999999999</v>
      </c>
      <c r="AL44" s="1547"/>
    </row>
    <row r="45" spans="1:38" ht="42.6" customHeight="1" x14ac:dyDescent="0.2">
      <c r="A45" s="154"/>
      <c r="B45" s="206"/>
      <c r="C45" s="1582" t="s">
        <v>457</v>
      </c>
      <c r="D45" s="1582"/>
      <c r="E45" s="393"/>
      <c r="F45" s="393"/>
      <c r="G45" s="149">
        <f>G20-H20</f>
        <v>385.98540000000003</v>
      </c>
      <c r="H45" s="207">
        <f>G45/G$44</f>
        <v>0.19151483745382011</v>
      </c>
      <c r="I45" s="393"/>
      <c r="J45" s="393"/>
      <c r="K45" s="149">
        <f>K20-L20</f>
        <v>650.07299999999987</v>
      </c>
      <c r="L45" s="207">
        <f>K45/K$44</f>
        <v>0.19315316246843411</v>
      </c>
      <c r="M45" s="149">
        <f>M20-N20</f>
        <v>763.07400000000007</v>
      </c>
      <c r="N45" s="207">
        <f>M45/M$44</f>
        <v>0.19413410592741057</v>
      </c>
      <c r="O45" s="393"/>
      <c r="P45" s="393"/>
      <c r="Q45" s="393"/>
      <c r="R45" s="393"/>
      <c r="S45" s="393"/>
      <c r="T45" s="393"/>
      <c r="U45" s="149">
        <f>U20-V20</f>
        <v>1300.1459999999997</v>
      </c>
      <c r="V45" s="207">
        <f>U45/U$44</f>
        <v>0.19315316246843411</v>
      </c>
      <c r="W45" s="149">
        <f>W20-X20</f>
        <v>1526.1480000000001</v>
      </c>
      <c r="X45" s="207">
        <f>W45/W$44</f>
        <v>0.19413410592741057</v>
      </c>
      <c r="Y45" s="393"/>
      <c r="Z45" s="393"/>
      <c r="AA45" s="393"/>
      <c r="AB45" s="393"/>
      <c r="AC45" s="393"/>
      <c r="AD45" s="393"/>
      <c r="AE45" s="393"/>
      <c r="AF45" s="393"/>
      <c r="AG45" s="393"/>
      <c r="AH45" s="393"/>
      <c r="AI45" s="393"/>
      <c r="AJ45" s="393"/>
      <c r="AK45" s="149">
        <f>AK20-AL20</f>
        <v>2600.2919999999995</v>
      </c>
      <c r="AL45" s="207">
        <f>AK45/AK$44</f>
        <v>0.19315316246843411</v>
      </c>
    </row>
    <row r="46" spans="1:38" ht="42.6" customHeight="1" x14ac:dyDescent="0.2">
      <c r="A46" s="154"/>
      <c r="B46" s="206"/>
      <c r="C46" s="1582" t="s">
        <v>9</v>
      </c>
      <c r="D46" s="1582"/>
      <c r="E46" s="393"/>
      <c r="F46" s="393"/>
      <c r="G46" s="149">
        <f>G20</f>
        <v>1672.6034000000002</v>
      </c>
      <c r="H46" s="207">
        <f>G46/G$44</f>
        <v>0.82989762896655384</v>
      </c>
      <c r="I46" s="393"/>
      <c r="J46" s="393"/>
      <c r="K46" s="149">
        <f>K20</f>
        <v>2816.9829999999997</v>
      </c>
      <c r="L46" s="207">
        <f>K46/K$44</f>
        <v>0.83699703736321462</v>
      </c>
      <c r="M46" s="149">
        <f>M20</f>
        <v>3306.654</v>
      </c>
      <c r="N46" s="207">
        <f>M46/M$44</f>
        <v>0.84124779235211244</v>
      </c>
      <c r="O46" s="393"/>
      <c r="P46" s="393"/>
      <c r="Q46" s="393"/>
      <c r="R46" s="393"/>
      <c r="S46" s="393"/>
      <c r="T46" s="393"/>
      <c r="U46" s="149">
        <f>U20</f>
        <v>5633.9659999999994</v>
      </c>
      <c r="V46" s="207">
        <f>U46/U$44</f>
        <v>0.83699703736321462</v>
      </c>
      <c r="W46" s="149">
        <f>W20</f>
        <v>6613.308</v>
      </c>
      <c r="X46" s="207">
        <f>W46/W$44</f>
        <v>0.84124779235211244</v>
      </c>
      <c r="Y46" s="393"/>
      <c r="Z46" s="393"/>
      <c r="AA46" s="393"/>
      <c r="AB46" s="393"/>
      <c r="AC46" s="393"/>
      <c r="AD46" s="393"/>
      <c r="AE46" s="393"/>
      <c r="AF46" s="393"/>
      <c r="AG46" s="393"/>
      <c r="AH46" s="393"/>
      <c r="AI46" s="393"/>
      <c r="AJ46" s="393"/>
      <c r="AK46" s="149">
        <f>AK20</f>
        <v>11267.931999999999</v>
      </c>
      <c r="AL46" s="207">
        <f>AK46/AK$44</f>
        <v>0.83699703736321462</v>
      </c>
    </row>
    <row r="47" spans="1:38" ht="42.6" customHeight="1" x14ac:dyDescent="0.2">
      <c r="A47" s="154"/>
      <c r="B47" s="206"/>
      <c r="C47" s="1582" t="s">
        <v>458</v>
      </c>
      <c r="D47" s="1582"/>
      <c r="E47" s="393"/>
      <c r="F47" s="393"/>
      <c r="G47" s="149">
        <f>G27</f>
        <v>33.300000000000004</v>
      </c>
      <c r="H47" s="207">
        <f>G47/G$44</f>
        <v>1.6522500817938216E-2</v>
      </c>
      <c r="I47" s="393"/>
      <c r="J47" s="393"/>
      <c r="K47" s="149">
        <f>K27</f>
        <v>53.100000000000009</v>
      </c>
      <c r="L47" s="207">
        <f>K47/K$44</f>
        <v>1.5777355661708542E-2</v>
      </c>
      <c r="M47" s="149">
        <f>M27</f>
        <v>53.100000000000009</v>
      </c>
      <c r="N47" s="207">
        <f>M47/M$44</f>
        <v>1.3509202285421207E-2</v>
      </c>
      <c r="O47" s="393"/>
      <c r="P47" s="393"/>
      <c r="Q47" s="393"/>
      <c r="R47" s="393"/>
      <c r="S47" s="393"/>
      <c r="T47" s="393"/>
      <c r="U47" s="149">
        <f>U27</f>
        <v>106.20000000000002</v>
      </c>
      <c r="V47" s="207">
        <f>U47/U$44</f>
        <v>1.5777355661708542E-2</v>
      </c>
      <c r="W47" s="149">
        <f>W27</f>
        <v>106.20000000000002</v>
      </c>
      <c r="X47" s="207">
        <f>W47/W$44</f>
        <v>1.3509202285421207E-2</v>
      </c>
      <c r="Y47" s="393"/>
      <c r="Z47" s="393"/>
      <c r="AA47" s="393"/>
      <c r="AB47" s="393"/>
      <c r="AC47" s="393"/>
      <c r="AD47" s="393"/>
      <c r="AE47" s="393"/>
      <c r="AF47" s="393"/>
      <c r="AG47" s="393"/>
      <c r="AH47" s="393"/>
      <c r="AI47" s="393"/>
      <c r="AJ47" s="393"/>
      <c r="AK47" s="149">
        <f>AK27</f>
        <v>212.40000000000003</v>
      </c>
      <c r="AL47" s="207">
        <f>AK47/AK$44</f>
        <v>1.5777355661708542E-2</v>
      </c>
    </row>
    <row r="48" spans="1:38" ht="42.6" customHeight="1" x14ac:dyDescent="0.2">
      <c r="A48" s="154"/>
      <c r="B48" s="206"/>
      <c r="C48" s="1582" t="s">
        <v>459</v>
      </c>
      <c r="D48" s="1582"/>
      <c r="E48" s="393"/>
      <c r="F48" s="393"/>
      <c r="G48" s="149">
        <f>G35</f>
        <v>121.05</v>
      </c>
      <c r="H48" s="207">
        <f>G48/G$44</f>
        <v>6.0061523243586212E-2</v>
      </c>
      <c r="I48" s="393"/>
      <c r="J48" s="393"/>
      <c r="K48" s="149">
        <f>K35</f>
        <v>211.5</v>
      </c>
      <c r="L48" s="207">
        <f>K48/K$44</f>
        <v>6.2842009839008589E-2</v>
      </c>
      <c r="M48" s="149">
        <f>M35</f>
        <v>242.1</v>
      </c>
      <c r="N48" s="207">
        <f>M48/M$44</f>
        <v>6.1592803640310237E-2</v>
      </c>
      <c r="O48" s="393"/>
      <c r="P48" s="393"/>
      <c r="Q48" s="393"/>
      <c r="R48" s="393"/>
      <c r="S48" s="393"/>
      <c r="T48" s="393"/>
      <c r="U48" s="149">
        <f>U35</f>
        <v>423</v>
      </c>
      <c r="V48" s="207">
        <f>U48/U$44</f>
        <v>6.2842009839008589E-2</v>
      </c>
      <c r="W48" s="149">
        <f>W35</f>
        <v>484.2</v>
      </c>
      <c r="X48" s="207">
        <f>W48/W$44</f>
        <v>6.1592803640310237E-2</v>
      </c>
      <c r="Y48" s="393"/>
      <c r="Z48" s="393"/>
      <c r="AA48" s="393"/>
      <c r="AB48" s="393"/>
      <c r="AC48" s="393"/>
      <c r="AD48" s="393"/>
      <c r="AE48" s="393"/>
      <c r="AF48" s="393"/>
      <c r="AG48" s="393"/>
      <c r="AH48" s="393"/>
      <c r="AI48" s="393"/>
      <c r="AJ48" s="393"/>
      <c r="AK48" s="149">
        <f>AK35</f>
        <v>846</v>
      </c>
      <c r="AL48" s="207">
        <f>AK48/AK$44</f>
        <v>6.2842009839008589E-2</v>
      </c>
    </row>
    <row r="49" spans="1:38" ht="42.6" customHeight="1" x14ac:dyDescent="0.2">
      <c r="A49" s="154"/>
      <c r="B49" s="208"/>
      <c r="C49" s="1582" t="s">
        <v>5</v>
      </c>
      <c r="D49" s="1582"/>
      <c r="E49" s="393"/>
      <c r="F49" s="393"/>
      <c r="G49" s="149">
        <f>G42</f>
        <v>188.48</v>
      </c>
      <c r="H49" s="207">
        <f>G49/G$44</f>
        <v>9.3518346971921767E-2</v>
      </c>
      <c r="I49" s="393"/>
      <c r="J49" s="393"/>
      <c r="K49" s="149">
        <f>K42</f>
        <v>284</v>
      </c>
      <c r="L49" s="207">
        <f>K49/K$44</f>
        <v>8.4383597136068259E-2</v>
      </c>
      <c r="M49" s="149">
        <f>M42</f>
        <v>328.79999999999995</v>
      </c>
      <c r="N49" s="207">
        <f>M49/M$44</f>
        <v>8.3650201722156148E-2</v>
      </c>
      <c r="O49" s="393"/>
      <c r="P49" s="393"/>
      <c r="Q49" s="393"/>
      <c r="R49" s="393"/>
      <c r="S49" s="393"/>
      <c r="T49" s="393"/>
      <c r="U49" s="149">
        <f>U42</f>
        <v>568</v>
      </c>
      <c r="V49" s="207">
        <f>U49/U$44</f>
        <v>8.4383597136068259E-2</v>
      </c>
      <c r="W49" s="149">
        <f>W42</f>
        <v>657.59999999999991</v>
      </c>
      <c r="X49" s="207">
        <f>W49/W$44</f>
        <v>8.3650201722156148E-2</v>
      </c>
      <c r="Y49" s="393"/>
      <c r="Z49" s="393"/>
      <c r="AA49" s="393"/>
      <c r="AB49" s="393"/>
      <c r="AC49" s="393"/>
      <c r="AD49" s="393"/>
      <c r="AE49" s="393"/>
      <c r="AF49" s="393"/>
      <c r="AG49" s="393"/>
      <c r="AH49" s="393"/>
      <c r="AI49" s="393"/>
      <c r="AJ49" s="393"/>
      <c r="AK49" s="149">
        <f>AK42</f>
        <v>1136</v>
      </c>
      <c r="AL49" s="207">
        <f>AK49/AK$44</f>
        <v>8.4383597136068259E-2</v>
      </c>
    </row>
    <row r="50" spans="1:38" ht="18" x14ac:dyDescent="0.2">
      <c r="A50" s="154"/>
      <c r="B50" s="172"/>
      <c r="C50" s="154"/>
      <c r="D50" s="135"/>
      <c r="E50" s="393"/>
      <c r="F50" s="393"/>
      <c r="G50" s="209"/>
      <c r="H50" s="154"/>
      <c r="I50" s="393"/>
      <c r="J50" s="393"/>
      <c r="K50" s="154"/>
      <c r="L50" s="154"/>
      <c r="M50" s="154"/>
      <c r="N50" s="154"/>
      <c r="O50" s="393"/>
      <c r="P50" s="393"/>
      <c r="Q50" s="393"/>
      <c r="R50" s="393"/>
      <c r="S50" s="393"/>
      <c r="T50" s="393"/>
      <c r="U50" s="154"/>
      <c r="V50" s="154"/>
      <c r="W50" s="154"/>
      <c r="X50" s="154"/>
      <c r="Y50" s="393"/>
      <c r="Z50" s="393"/>
      <c r="AA50" s="393"/>
      <c r="AB50" s="393"/>
      <c r="AC50" s="393"/>
      <c r="AD50" s="393"/>
      <c r="AE50" s="393"/>
      <c r="AF50" s="393"/>
      <c r="AG50" s="393"/>
      <c r="AH50" s="393"/>
      <c r="AI50" s="393"/>
      <c r="AJ50" s="393"/>
      <c r="AK50" s="154"/>
      <c r="AL50" s="154"/>
    </row>
    <row r="51" spans="1:38" x14ac:dyDescent="0.2">
      <c r="A51" s="154"/>
      <c r="B51" s="1566" t="s">
        <v>1462</v>
      </c>
      <c r="C51" s="1568" t="s">
        <v>1463</v>
      </c>
      <c r="D51" s="1569"/>
      <c r="E51" s="149" t="e">
        <f>(VLOOKUP("Prix HT",$C$1:$N$63,E$1,0))-(VLOOKUP("Non margé",$D$1:$N$63,E$1,0))</f>
        <v>#VALUE!</v>
      </c>
      <c r="F51" s="207" t="e">
        <f>E51/VLOOKUP("Prix HT",$C$1:$N$63,E$1,0)</f>
        <v>#VALUE!</v>
      </c>
      <c r="G51" s="149">
        <f>(VLOOKUP("Prix HT",$C$1:$N$63,G$1,0))-(VLOOKUP("Non margé",$D$1:$N$63,G$1,0))</f>
        <v>728.81539999999995</v>
      </c>
      <c r="H51" s="207">
        <f>G51/VLOOKUP("Prix HT",$C$1:$N$63,G$1,0)</f>
        <v>0.36161720848726625</v>
      </c>
      <c r="I51" s="149" t="e">
        <f>(VLOOKUP("Prix HT",$C$1:$N$63,I$1,0))-(VLOOKUP("Non margé",$D$1:$N$63,I$1,0))</f>
        <v>#VALUE!</v>
      </c>
      <c r="J51" s="207" t="e">
        <f>I51/VLOOKUP("Prix HT",$C$1:$N$63,I$1,0)</f>
        <v>#VALUE!</v>
      </c>
      <c r="K51" s="149">
        <f>(VLOOKUP("Prix HT",$C$1:$N$63,K$1,0))-(VLOOKUP("Non margé",$D$1:$N$63,K$1,0))</f>
        <v>1198.6729999999998</v>
      </c>
      <c r="L51" s="207">
        <f>K51/VLOOKUP("Prix HT",$C$1:$N$63,K$1,0)</f>
        <v>0.35615612510521949</v>
      </c>
      <c r="M51" s="149">
        <f>(VLOOKUP("Prix HT",$C$1:$N$63,M$1,0))-(VLOOKUP("Non margé",$D$1:$N$63,M$1,0))</f>
        <v>1387.0740000000001</v>
      </c>
      <c r="N51" s="207">
        <f>M51/VLOOKUP("Prix HT",$C$1:$N$63,M$1,0)</f>
        <v>0.35288631357529815</v>
      </c>
      <c r="O51" s="149" t="e">
        <f>(VLOOKUP("Prix HT",$C$1:$AK$63,O$1,0))-(VLOOKUP("Non margé",$D$1:$AK$63,O$1,0))</f>
        <v>#VALUE!</v>
      </c>
      <c r="P51" s="207" t="e">
        <f>O51/VLOOKUP("Prix HT",$C$1:$AK$63,O$1,0)</f>
        <v>#VALUE!</v>
      </c>
      <c r="Q51" s="149" t="e">
        <f>(VLOOKUP("Prix HT",$C$1:$AK$63,Q$1,0))-(VLOOKUP("Non margé",$D$1:$AK$63,Q$1,0))</f>
        <v>#VALUE!</v>
      </c>
      <c r="R51" s="207" t="e">
        <f>Q51/VLOOKUP("Prix HT",$C$1:$AK$63,Q$1,0)</f>
        <v>#VALUE!</v>
      </c>
      <c r="S51" s="149" t="e">
        <f>(VLOOKUP("Prix HT",$C$1:$AK$63,S$1,0))-(VLOOKUP("Non margé",$D$1:$AK$63,S$1,0))</f>
        <v>#VALUE!</v>
      </c>
      <c r="T51" s="207" t="e">
        <f>S51/VLOOKUP("Prix HT",$C$1:$AK$63,S$1,0)</f>
        <v>#VALUE!</v>
      </c>
      <c r="U51" s="149">
        <f>(VLOOKUP("Prix HT",$C$1:$AK$63,U$1,0))-(VLOOKUP("Non margé",$D$1:$AK$63,U$1,0))</f>
        <v>2397.3459999999995</v>
      </c>
      <c r="V51" s="207">
        <f>U51/VLOOKUP("Prix HT",$C$1:$AK$63,U$1,0)</f>
        <v>0.35615612510521949</v>
      </c>
      <c r="W51" s="149">
        <f>(VLOOKUP("Prix HT",$C$1:$AK$63,W$1,0))-(VLOOKUP("Non margé",$D$1:$AK$63,W$1,0))</f>
        <v>2774.1480000000001</v>
      </c>
      <c r="X51" s="207">
        <f>W51/VLOOKUP("Prix HT",$C$1:$AK$63,W$1,0)</f>
        <v>0.35288631357529815</v>
      </c>
      <c r="Y51" s="149" t="e">
        <f>(VLOOKUP("Prix HT",$C$1:$AK$63,Y$1,0))-(VLOOKUP("Non margé",$D$1:$AK$63,Y$1,0))</f>
        <v>#VALUE!</v>
      </c>
      <c r="Z51" s="207" t="e">
        <f>Y51/VLOOKUP("Prix HT",$C$1:$AK$63,Y$1,0)</f>
        <v>#VALUE!</v>
      </c>
      <c r="AA51" s="149" t="e">
        <f>(VLOOKUP("Prix HT",$C$1:$AK$63,AA$1,0))-(VLOOKUP("Non margé",$D$1:$AK$63,AA$1,0))</f>
        <v>#VALUE!</v>
      </c>
      <c r="AB51" s="207" t="e">
        <f>AA51/VLOOKUP("Prix HT",$C$1:$AK$63,AA$1,0)</f>
        <v>#VALUE!</v>
      </c>
      <c r="AC51" s="149" t="e">
        <f>(VLOOKUP("Prix HT",$C$1:$AK$63,AC$1,0))-(VLOOKUP("Non margé",$D$1:$AK$63,AC$1,0))</f>
        <v>#VALUE!</v>
      </c>
      <c r="AD51" s="207" t="e">
        <f>AC51/VLOOKUP("Prix HT",$C$1:$AK$63,AC$1,0)</f>
        <v>#VALUE!</v>
      </c>
      <c r="AE51" s="149" t="e">
        <f>(VLOOKUP("Prix HT",$C$1:$AK$63,AE$1,0))-(VLOOKUP("Non margé",$D$1:$AK$63,AE$1,0))</f>
        <v>#VALUE!</v>
      </c>
      <c r="AF51" s="207" t="e">
        <f>AE51/VLOOKUP("Prix HT",$C$1:$AK$63,AE$1,0)</f>
        <v>#VALUE!</v>
      </c>
      <c r="AG51" s="149" t="e">
        <f>(VLOOKUP("Prix HT",$C$1:$AK$63,AG$1,0))-(VLOOKUP("Non margé",$D$1:$AK$63,AG$1,0))</f>
        <v>#VALUE!</v>
      </c>
      <c r="AH51" s="207" t="e">
        <f>AG51/VLOOKUP("Prix HT",$C$1:$AK$63,AG$1,0)</f>
        <v>#VALUE!</v>
      </c>
      <c r="AI51" s="149" t="e">
        <f>(VLOOKUP("Prix HT",$C$1:$AK$63,AI$1,0))-(VLOOKUP("Non margé",$D$1:$AK$63,AI$1,0))</f>
        <v>#VALUE!</v>
      </c>
      <c r="AJ51" s="207" t="e">
        <f>AI51/VLOOKUP("Prix HT",$C$1:$AK$63,AI$1,0)</f>
        <v>#VALUE!</v>
      </c>
      <c r="AK51" s="149" t="e">
        <f>(VLOOKUP("Prix HT",$C$1:$AK$63,AK$1,0))-(VLOOKUP("Non margé",$D$1:$AK$63,AK$1,0))</f>
        <v>#REF!</v>
      </c>
      <c r="AL51" s="207" t="e">
        <f>AK51/VLOOKUP("Prix HT",$C$1:$AK$63,AK$1,0)</f>
        <v>#REF!</v>
      </c>
    </row>
    <row r="52" spans="1:38" ht="15" customHeight="1" x14ac:dyDescent="0.2">
      <c r="A52" s="154"/>
      <c r="B52" s="1566"/>
      <c r="C52" s="1568" t="s">
        <v>240</v>
      </c>
      <c r="D52" s="1569"/>
      <c r="E52" s="149" t="e">
        <f>SUMIF($AC$74:$AC$87,$C$68,#REF!)</f>
        <v>#REF!</v>
      </c>
      <c r="F52" s="207" t="e">
        <f>E52/E44</f>
        <v>#REF!</v>
      </c>
      <c r="G52" s="149">
        <f ca="1">SUMIF($AC$58:$AC$87,$C$52,H4:H19)</f>
        <v>953.98</v>
      </c>
      <c r="H52" s="207">
        <f t="shared" ref="H52:AJ52" ca="1" si="30">G52/G44</f>
        <v>0.47333739730620716</v>
      </c>
      <c r="I52" s="149">
        <f ca="1">SUMIF($AC$58:$AC$87,$C$52,J4:J19)</f>
        <v>0</v>
      </c>
      <c r="J52" s="207" t="e">
        <f t="shared" ca="1" si="30"/>
        <v>#DIV/0!</v>
      </c>
      <c r="K52" s="149">
        <f ca="1">SUMIF($AC$58:$AC$87,$C$52,L4:L19)</f>
        <v>1625.78</v>
      </c>
      <c r="L52" s="207">
        <f t="shared" ca="1" si="30"/>
        <v>0.48306043856294739</v>
      </c>
      <c r="M52" s="149">
        <f ca="1">SUMIF($AC$58:$AC$87,$C$52,N4:N19)</f>
        <v>1907.96</v>
      </c>
      <c r="N52" s="207">
        <f t="shared" ca="1" si="30"/>
        <v>0.48540522773055073</v>
      </c>
      <c r="O52" s="149">
        <f ca="1">SUMIF($AC$58:$AC$87,$C$52,P4:P19)</f>
        <v>0</v>
      </c>
      <c r="P52" s="207" t="e">
        <f t="shared" ca="1" si="30"/>
        <v>#DIV/0!</v>
      </c>
      <c r="Q52" s="149">
        <f ca="1">SUMIF($AC$58:$AC$87,$C$52,R4:R19)</f>
        <v>0</v>
      </c>
      <c r="R52" s="207" t="e">
        <f t="shared" ca="1" si="30"/>
        <v>#DIV/0!</v>
      </c>
      <c r="S52" s="149">
        <f ca="1">SUMIF($AC$58:$AC$87,$C$52,T4:T19)</f>
        <v>0</v>
      </c>
      <c r="T52" s="207" t="e">
        <f t="shared" ca="1" si="30"/>
        <v>#DIV/0!</v>
      </c>
      <c r="U52" s="149">
        <f ca="1">SUMIF($AC$58:$AC$87,$C$52,V4:V19)</f>
        <v>3251.56</v>
      </c>
      <c r="V52" s="207">
        <f t="shared" ca="1" si="30"/>
        <v>0.48306043856294739</v>
      </c>
      <c r="W52" s="149">
        <f ca="1">SUMIF($AC$58:$AC$87,$C$52,X4:X19)</f>
        <v>3815.92</v>
      </c>
      <c r="X52" s="207">
        <f t="shared" ca="1" si="30"/>
        <v>0.48540522773055073</v>
      </c>
      <c r="Y52" s="149">
        <f ca="1">SUMIF($AC$58:$AC$87,$C$52,Z4:Z19)</f>
        <v>0</v>
      </c>
      <c r="Z52" s="207" t="e">
        <f t="shared" ca="1" si="30"/>
        <v>#DIV/0!</v>
      </c>
      <c r="AA52" s="149">
        <f ca="1">SUMIF($AC$58:$AC$87,$C$52,AB4:AB19)</f>
        <v>0</v>
      </c>
      <c r="AB52" s="207" t="e">
        <f t="shared" ca="1" si="30"/>
        <v>#DIV/0!</v>
      </c>
      <c r="AC52" s="149">
        <f ca="1">SUMIF($AC$58:$AC$87,$C$52,AD4:AD19)</f>
        <v>0</v>
      </c>
      <c r="AD52" s="207" t="e">
        <f t="shared" ca="1" si="30"/>
        <v>#DIV/0!</v>
      </c>
      <c r="AE52" s="149">
        <f ca="1">SUMIF($AC$58:$AC$87,$C$52,AF4:AF19)</f>
        <v>0</v>
      </c>
      <c r="AF52" s="207" t="e">
        <f t="shared" ca="1" si="30"/>
        <v>#DIV/0!</v>
      </c>
      <c r="AG52" s="149">
        <f ca="1">SUMIF($AC$58:$AC$87,$C$52,AH4:AH19)</f>
        <v>0</v>
      </c>
      <c r="AH52" s="207" t="e">
        <f t="shared" ca="1" si="30"/>
        <v>#DIV/0!</v>
      </c>
      <c r="AI52" s="149">
        <f ca="1">SUMIF($AC$58:$AC$87,$C$52,AJ4:AJ19)</f>
        <v>0</v>
      </c>
      <c r="AJ52" s="207" t="e">
        <f t="shared" ca="1" si="30"/>
        <v>#DIV/0!</v>
      </c>
      <c r="AK52" s="149">
        <f ca="1">SUMIF($AC$58:$AC$87,$C$52,AL4:AL19)</f>
        <v>6503.12</v>
      </c>
      <c r="AL52" s="207">
        <f t="shared" ref="AL52" ca="1" si="31">AK52/AK44</f>
        <v>0.48306043856294739</v>
      </c>
    </row>
    <row r="53" spans="1:38" x14ac:dyDescent="0.2">
      <c r="A53" s="154"/>
      <c r="B53" s="1566"/>
      <c r="C53" s="1568"/>
      <c r="D53" s="1569"/>
      <c r="E53" s="149"/>
      <c r="F53" s="207"/>
      <c r="G53" s="149"/>
      <c r="H53" s="207"/>
      <c r="I53" s="149"/>
      <c r="J53" s="207"/>
      <c r="K53" s="149"/>
      <c r="L53" s="207"/>
      <c r="M53" s="149"/>
      <c r="N53" s="207"/>
      <c r="O53" s="149"/>
      <c r="P53" s="207"/>
      <c r="Q53" s="149"/>
      <c r="R53" s="207"/>
      <c r="S53" s="149"/>
      <c r="T53" s="207"/>
      <c r="U53" s="149"/>
      <c r="V53" s="207"/>
      <c r="W53" s="149"/>
      <c r="X53" s="207"/>
      <c r="Y53" s="149"/>
      <c r="Z53" s="207"/>
      <c r="AA53" s="149"/>
      <c r="AB53" s="207"/>
      <c r="AC53" s="149"/>
      <c r="AD53" s="207"/>
      <c r="AE53" s="149"/>
      <c r="AF53" s="207"/>
      <c r="AG53" s="149"/>
      <c r="AH53" s="207"/>
      <c r="AI53" s="149"/>
      <c r="AJ53" s="207"/>
      <c r="AK53" s="149"/>
      <c r="AL53" s="207"/>
    </row>
    <row r="54" spans="1:38" x14ac:dyDescent="0.2">
      <c r="A54" s="154"/>
      <c r="B54" s="1566"/>
      <c r="C54" s="1569"/>
      <c r="D54" s="1569"/>
      <c r="E54" s="149"/>
      <c r="F54" s="207"/>
      <c r="G54" s="149"/>
      <c r="H54" s="207"/>
      <c r="I54" s="149"/>
      <c r="J54" s="207"/>
      <c r="K54" s="149"/>
      <c r="L54" s="207"/>
      <c r="M54" s="149"/>
      <c r="N54" s="207"/>
      <c r="O54" s="149"/>
      <c r="P54" s="207"/>
      <c r="Q54" s="149"/>
      <c r="R54" s="207"/>
      <c r="S54" s="149"/>
      <c r="T54" s="207"/>
      <c r="U54" s="149"/>
      <c r="V54" s="207"/>
      <c r="W54" s="149"/>
      <c r="X54" s="207"/>
      <c r="Y54" s="149"/>
      <c r="Z54" s="207"/>
      <c r="AA54" s="149"/>
      <c r="AB54" s="207"/>
      <c r="AC54" s="149"/>
      <c r="AD54" s="207"/>
      <c r="AE54" s="149"/>
      <c r="AF54" s="207"/>
      <c r="AG54" s="149"/>
      <c r="AH54" s="207"/>
      <c r="AI54" s="149"/>
      <c r="AJ54" s="207"/>
      <c r="AK54" s="149"/>
      <c r="AL54" s="207"/>
    </row>
    <row r="55" spans="1:38" x14ac:dyDescent="0.2">
      <c r="A55" s="154"/>
      <c r="B55" s="1567"/>
      <c r="C55" s="1569"/>
      <c r="D55" s="1569"/>
      <c r="E55" s="149"/>
      <c r="F55" s="207"/>
      <c r="G55" s="149"/>
      <c r="H55" s="207"/>
      <c r="I55" s="149"/>
      <c r="J55" s="207"/>
      <c r="K55" s="149"/>
      <c r="L55" s="207"/>
      <c r="M55" s="149"/>
      <c r="N55" s="207"/>
      <c r="O55" s="149"/>
      <c r="P55" s="207"/>
      <c r="Q55" s="149"/>
      <c r="R55" s="207"/>
      <c r="S55" s="149"/>
      <c r="T55" s="207"/>
      <c r="U55" s="149"/>
      <c r="V55" s="207"/>
      <c r="W55" s="149"/>
      <c r="X55" s="207"/>
      <c r="Y55" s="149"/>
      <c r="Z55" s="207"/>
      <c r="AA55" s="149"/>
      <c r="AB55" s="207"/>
      <c r="AC55" s="149"/>
      <c r="AD55" s="207"/>
      <c r="AE55" s="149"/>
      <c r="AF55" s="207"/>
      <c r="AG55" s="149"/>
      <c r="AH55" s="207"/>
      <c r="AI55" s="149"/>
      <c r="AJ55" s="207"/>
      <c r="AK55" s="149"/>
      <c r="AL55" s="207"/>
    </row>
    <row r="56" spans="1:38" ht="10.35" customHeight="1" x14ac:dyDescent="0.2">
      <c r="A56" s="154"/>
      <c r="B56" s="172"/>
      <c r="C56" s="231"/>
      <c r="D56" s="227"/>
      <c r="E56" s="154"/>
      <c r="F56" s="154"/>
      <c r="G56" s="154"/>
      <c r="H56" s="154"/>
      <c r="I56" s="154"/>
      <c r="J56" s="154"/>
      <c r="K56" s="154"/>
      <c r="L56" s="154"/>
      <c r="M56" s="154"/>
      <c r="N56" s="154"/>
      <c r="O56" s="154"/>
      <c r="P56" s="154"/>
      <c r="Q56" s="154"/>
      <c r="R56" s="154"/>
      <c r="S56" s="154"/>
      <c r="T56" s="154"/>
      <c r="U56" s="154"/>
      <c r="V56" s="154"/>
      <c r="W56" s="154"/>
      <c r="X56" s="154"/>
      <c r="Y56" s="154"/>
      <c r="Z56" s="154"/>
      <c r="AA56" s="154"/>
      <c r="AB56" s="154"/>
      <c r="AC56" s="154"/>
      <c r="AD56" s="393"/>
      <c r="AE56" s="393"/>
      <c r="AF56" s="393"/>
      <c r="AG56" s="393"/>
      <c r="AH56" s="393"/>
      <c r="AI56" s="393"/>
      <c r="AJ56" s="393"/>
      <c r="AK56" s="154"/>
    </row>
    <row r="57" spans="1:38" ht="10.35" customHeight="1" x14ac:dyDescent="0.2">
      <c r="A57" s="154"/>
      <c r="B57" s="172"/>
      <c r="C57" s="231"/>
      <c r="D57" s="227"/>
      <c r="E57" s="154"/>
      <c r="F57" s="154"/>
      <c r="G57" s="154"/>
      <c r="H57" s="154"/>
      <c r="I57" s="154"/>
      <c r="J57" s="154"/>
      <c r="K57" s="154"/>
      <c r="L57" s="154"/>
      <c r="M57" s="154"/>
      <c r="N57" s="154"/>
      <c r="O57" s="154"/>
      <c r="P57" s="154"/>
      <c r="Q57" s="154"/>
      <c r="R57" s="154"/>
      <c r="S57" s="154"/>
      <c r="T57" s="154"/>
      <c r="U57" s="154"/>
      <c r="V57" s="154"/>
      <c r="W57" s="154"/>
      <c r="X57" s="154"/>
      <c r="Y57" s="154"/>
      <c r="Z57" s="154"/>
      <c r="AA57" s="154"/>
      <c r="AB57" s="154"/>
      <c r="AC57" s="154"/>
      <c r="AD57" s="393"/>
      <c r="AE57" s="393"/>
      <c r="AF57" s="393"/>
      <c r="AG57" s="393"/>
      <c r="AH57" s="393"/>
      <c r="AI57" s="393"/>
      <c r="AJ57" s="393"/>
      <c r="AK57" s="154"/>
    </row>
    <row r="58" spans="1:38" ht="10.35" customHeight="1" x14ac:dyDescent="0.2">
      <c r="A58" s="154"/>
      <c r="B58" s="172"/>
      <c r="C58" s="231"/>
      <c r="D58" s="227"/>
      <c r="E58" s="154"/>
      <c r="F58" s="154"/>
      <c r="G58" s="154"/>
      <c r="H58" s="154"/>
      <c r="I58" s="154"/>
      <c r="J58" s="154"/>
      <c r="K58" s="154"/>
      <c r="L58" s="154"/>
      <c r="M58" s="154"/>
      <c r="N58" s="154"/>
      <c r="O58" s="154"/>
      <c r="P58" s="154"/>
      <c r="Q58" s="154"/>
      <c r="R58" s="154"/>
      <c r="S58" s="154"/>
      <c r="T58" s="154"/>
      <c r="U58" s="154"/>
      <c r="V58" s="154"/>
      <c r="W58" s="154"/>
      <c r="X58" s="154"/>
      <c r="Y58" s="154"/>
      <c r="Z58" s="154"/>
      <c r="AA58" s="154"/>
      <c r="AB58" s="154"/>
      <c r="AC58" s="154" t="str">
        <f>VLOOKUP(C4,MATIERES!$A$2:$D$448,3,0)</f>
        <v>SASKIT</v>
      </c>
      <c r="AD58" s="393"/>
      <c r="AE58" s="393"/>
      <c r="AF58" s="393"/>
      <c r="AG58" s="393"/>
      <c r="AH58" s="393"/>
      <c r="AI58" s="393"/>
      <c r="AJ58" s="393"/>
      <c r="AK58" s="154"/>
    </row>
    <row r="59" spans="1:38" ht="10.35" customHeight="1" x14ac:dyDescent="0.2">
      <c r="A59" s="154"/>
      <c r="B59" s="172"/>
      <c r="C59" s="231"/>
      <c r="D59" s="227"/>
      <c r="E59" s="154"/>
      <c r="F59" s="154"/>
      <c r="G59" s="154"/>
      <c r="H59" s="154"/>
      <c r="I59" s="154"/>
      <c r="J59" s="154"/>
      <c r="K59" s="154"/>
      <c r="L59" s="154"/>
      <c r="M59" s="154"/>
      <c r="N59" s="154"/>
      <c r="O59" s="154"/>
      <c r="P59" s="154"/>
      <c r="Q59" s="154"/>
      <c r="R59" s="154"/>
      <c r="S59" s="154"/>
      <c r="T59" s="154"/>
      <c r="U59" s="154"/>
      <c r="V59" s="154"/>
      <c r="W59" s="154"/>
      <c r="X59" s="154"/>
      <c r="Y59" s="154"/>
      <c r="Z59" s="154"/>
      <c r="AA59" s="154"/>
      <c r="AB59" s="154"/>
      <c r="AC59" s="154" t="str">
        <f>VLOOKUP(C5,MATIERES!$A$2:$D$448,3,0)</f>
        <v>SASKIT</v>
      </c>
      <c r="AD59" s="390"/>
      <c r="AE59" s="390"/>
      <c r="AF59" s="390"/>
      <c r="AG59" s="390"/>
      <c r="AH59" s="390"/>
      <c r="AI59" s="390"/>
      <c r="AJ59" s="390"/>
      <c r="AK59" s="154"/>
    </row>
    <row r="60" spans="1:38" ht="10.35" customHeight="1" x14ac:dyDescent="0.2">
      <c r="A60" s="154"/>
      <c r="B60" s="172"/>
      <c r="C60" s="231"/>
      <c r="D60" s="227"/>
      <c r="E60" s="154"/>
      <c r="F60" s="154"/>
      <c r="G60" s="154"/>
      <c r="H60" s="154"/>
      <c r="I60" s="154"/>
      <c r="J60" s="154"/>
      <c r="K60" s="154"/>
      <c r="L60" s="154"/>
      <c r="M60" s="154"/>
      <c r="N60" s="154"/>
      <c r="O60" s="154"/>
      <c r="P60" s="154"/>
      <c r="Q60" s="154"/>
      <c r="R60" s="154"/>
      <c r="S60" s="154"/>
      <c r="T60" s="154"/>
      <c r="U60" s="154"/>
      <c r="V60" s="154"/>
      <c r="W60" s="154"/>
      <c r="X60" s="154"/>
      <c r="Y60" s="154"/>
      <c r="Z60" s="154"/>
      <c r="AA60" s="154"/>
      <c r="AB60" s="154"/>
      <c r="AC60" s="154" t="str">
        <f>VLOOKUP(C6,MATIERES!$A$2:$D$448,3,0)</f>
        <v>SASKIT</v>
      </c>
      <c r="AD60" s="390"/>
      <c r="AE60" s="390"/>
      <c r="AF60" s="390"/>
      <c r="AG60" s="390"/>
      <c r="AH60" s="390"/>
      <c r="AI60" s="390"/>
      <c r="AJ60" s="390"/>
      <c r="AK60" s="154"/>
    </row>
    <row r="61" spans="1:38" ht="10.35" customHeight="1" x14ac:dyDescent="0.2">
      <c r="A61" s="154"/>
      <c r="B61" s="172"/>
      <c r="C61" s="231"/>
      <c r="D61" s="227"/>
      <c r="E61" s="154"/>
      <c r="F61" s="154"/>
      <c r="G61" s="154"/>
      <c r="H61" s="154"/>
      <c r="I61" s="154"/>
      <c r="J61" s="154"/>
      <c r="K61" s="154"/>
      <c r="L61" s="154"/>
      <c r="M61" s="154"/>
      <c r="N61" s="154"/>
      <c r="O61" s="154"/>
      <c r="P61" s="154"/>
      <c r="Q61" s="154"/>
      <c r="R61" s="154"/>
      <c r="S61" s="154"/>
      <c r="T61" s="154"/>
      <c r="U61" s="154"/>
      <c r="V61" s="154"/>
      <c r="W61" s="154"/>
      <c r="X61" s="154"/>
      <c r="Y61" s="154"/>
      <c r="Z61" s="154"/>
      <c r="AA61" s="154"/>
      <c r="AB61" s="154"/>
      <c r="AC61" s="154" t="str">
        <f>VLOOKUP(C7,MATIERES!$A$2:$D$448,3,0)</f>
        <v>SASKIT</v>
      </c>
      <c r="AD61" s="390"/>
      <c r="AE61" s="390"/>
      <c r="AF61" s="390"/>
      <c r="AG61" s="390"/>
      <c r="AH61" s="390"/>
      <c r="AI61" s="390"/>
      <c r="AJ61" s="390"/>
      <c r="AK61" s="154"/>
    </row>
    <row r="62" spans="1:38" ht="10.35" customHeight="1" x14ac:dyDescent="0.2">
      <c r="A62" s="154"/>
      <c r="B62" s="172"/>
      <c r="C62" s="231"/>
      <c r="D62" s="227"/>
      <c r="E62" s="154"/>
      <c r="F62" s="154"/>
      <c r="G62" s="154"/>
      <c r="H62" s="154"/>
      <c r="I62" s="154"/>
      <c r="J62" s="154"/>
      <c r="K62" s="154"/>
      <c r="L62" s="154"/>
      <c r="M62" s="154"/>
      <c r="N62" s="154"/>
      <c r="O62" s="154"/>
      <c r="P62" s="154"/>
      <c r="Q62" s="154"/>
      <c r="R62" s="154"/>
      <c r="S62" s="154"/>
      <c r="T62" s="154"/>
      <c r="U62" s="154"/>
      <c r="V62" s="154"/>
      <c r="W62" s="154"/>
      <c r="X62" s="154"/>
      <c r="Y62" s="154"/>
      <c r="Z62" s="154"/>
      <c r="AA62" s="154"/>
      <c r="AB62" s="154"/>
      <c r="AC62" s="154" t="str">
        <f>VLOOKUP(C8,MATIERES!$A$2:$D$448,3,0)</f>
        <v>SASKIT</v>
      </c>
      <c r="AD62" s="390"/>
      <c r="AE62" s="390"/>
      <c r="AF62" s="390"/>
      <c r="AG62" s="390"/>
      <c r="AH62" s="390"/>
      <c r="AI62" s="390"/>
      <c r="AJ62" s="390"/>
      <c r="AK62" s="154"/>
    </row>
    <row r="63" spans="1:38" ht="10.35" customHeight="1" x14ac:dyDescent="0.2">
      <c r="A63" s="154"/>
      <c r="B63" s="172"/>
      <c r="C63" s="231"/>
      <c r="D63" s="227"/>
      <c r="E63" s="154"/>
      <c r="F63" s="154"/>
      <c r="G63" s="154"/>
      <c r="H63" s="154"/>
      <c r="I63" s="154"/>
      <c r="J63" s="154"/>
      <c r="K63" s="154"/>
      <c r="L63" s="154"/>
      <c r="M63" s="154"/>
      <c r="N63" s="154"/>
      <c r="O63" s="154"/>
      <c r="P63" s="154"/>
      <c r="Q63" s="154"/>
      <c r="R63" s="154"/>
      <c r="S63" s="154"/>
      <c r="T63" s="154"/>
      <c r="U63" s="154"/>
      <c r="V63" s="154"/>
      <c r="W63" s="154"/>
      <c r="X63" s="154"/>
      <c r="Y63" s="154"/>
      <c r="Z63" s="154"/>
      <c r="AA63" s="154"/>
      <c r="AB63" s="154"/>
      <c r="AC63" s="154" t="str">
        <f>VLOOKUP(C9,MATIERES!$A$2:$D$448,3,0)</f>
        <v>SASKIT</v>
      </c>
      <c r="AD63" s="390"/>
      <c r="AE63" s="390"/>
      <c r="AF63" s="390"/>
      <c r="AG63" s="390"/>
      <c r="AH63" s="390"/>
      <c r="AI63" s="390"/>
      <c r="AJ63" s="390"/>
      <c r="AK63" s="154"/>
    </row>
    <row r="64" spans="1:38" ht="10.35" customHeight="1" x14ac:dyDescent="0.2">
      <c r="A64" s="154"/>
      <c r="B64" s="172"/>
      <c r="C64" s="231"/>
      <c r="D64" s="227"/>
      <c r="E64" s="154"/>
      <c r="F64" s="154"/>
      <c r="G64" s="154"/>
      <c r="H64" s="154"/>
      <c r="I64" s="154"/>
      <c r="J64" s="154"/>
      <c r="K64" s="154"/>
      <c r="L64" s="154"/>
      <c r="M64" s="154"/>
      <c r="N64" s="154"/>
      <c r="O64" s="154"/>
      <c r="P64" s="154"/>
      <c r="Q64" s="154"/>
      <c r="R64" s="154"/>
      <c r="S64" s="154"/>
      <c r="T64" s="154"/>
      <c r="U64" s="154"/>
      <c r="V64" s="154"/>
      <c r="W64" s="154"/>
      <c r="X64" s="154"/>
      <c r="Y64" s="154"/>
      <c r="Z64" s="154"/>
      <c r="AA64" s="154"/>
      <c r="AB64" s="154"/>
      <c r="AC64" s="154" t="str">
        <f>VLOOKUP(C10,MATIERES!$A$2:$D$448,3,0)</f>
        <v>JARDINS DE LEONIE</v>
      </c>
      <c r="AD64" s="390"/>
      <c r="AE64" s="390"/>
      <c r="AF64" s="390"/>
      <c r="AG64" s="390"/>
      <c r="AH64" s="390"/>
      <c r="AI64" s="390"/>
      <c r="AJ64" s="390"/>
      <c r="AK64" s="154"/>
    </row>
    <row r="65" spans="1:37" ht="10.35" customHeight="1" x14ac:dyDescent="0.2">
      <c r="A65" s="154"/>
      <c r="B65" s="172"/>
      <c r="C65" s="231"/>
      <c r="D65" s="227"/>
      <c r="E65" s="154"/>
      <c r="F65" s="154"/>
      <c r="G65" s="154"/>
      <c r="H65" s="154"/>
      <c r="I65" s="154"/>
      <c r="J65" s="154"/>
      <c r="K65" s="154"/>
      <c r="L65" s="154"/>
      <c r="M65" s="154"/>
      <c r="N65" s="154"/>
      <c r="O65" s="154"/>
      <c r="P65" s="154"/>
      <c r="Q65" s="154"/>
      <c r="R65" s="154"/>
      <c r="S65" s="154"/>
      <c r="T65" s="154"/>
      <c r="U65" s="154"/>
      <c r="V65" s="154"/>
      <c r="W65" s="154"/>
      <c r="X65" s="154"/>
      <c r="Y65" s="154"/>
      <c r="Z65" s="154"/>
      <c r="AA65" s="154"/>
      <c r="AB65" s="154"/>
      <c r="AC65" s="154" t="str">
        <f>VLOOKUP(C11,MATIERES!$A$2:$D$448,3,0)</f>
        <v>PIGEON</v>
      </c>
      <c r="AD65" s="390"/>
      <c r="AE65" s="390"/>
      <c r="AF65" s="390"/>
      <c r="AG65" s="390"/>
      <c r="AH65" s="390"/>
      <c r="AI65" s="390"/>
      <c r="AJ65" s="390"/>
      <c r="AK65" s="154"/>
    </row>
    <row r="66" spans="1:37" ht="10.35" customHeight="1" x14ac:dyDescent="0.2">
      <c r="A66" s="154"/>
      <c r="B66" s="172"/>
      <c r="C66" s="231"/>
      <c r="D66" s="227"/>
      <c r="E66" s="154"/>
      <c r="F66" s="154"/>
      <c r="G66" s="154"/>
      <c r="H66" s="154"/>
      <c r="I66" s="154"/>
      <c r="J66" s="154"/>
      <c r="K66" s="154"/>
      <c r="L66" s="154"/>
      <c r="M66" s="154"/>
      <c r="N66" s="154"/>
      <c r="O66" s="154"/>
      <c r="P66" s="154"/>
      <c r="Q66" s="154"/>
      <c r="R66" s="154"/>
      <c r="S66" s="154"/>
      <c r="T66" s="154"/>
      <c r="U66" s="154"/>
      <c r="V66" s="154"/>
      <c r="W66" s="154"/>
      <c r="X66" s="154"/>
      <c r="Y66" s="154"/>
      <c r="Z66" s="154"/>
      <c r="AA66" s="154"/>
      <c r="AB66" s="154"/>
      <c r="AC66" s="154" t="str">
        <f>VLOOKUP(C12,MATIERES!$A$2:$D$448,3,0)</f>
        <v>PUM</v>
      </c>
      <c r="AD66" s="390"/>
      <c r="AE66" s="390"/>
      <c r="AF66" s="390"/>
      <c r="AG66" s="390"/>
      <c r="AH66" s="390"/>
      <c r="AI66" s="390"/>
      <c r="AJ66" s="390"/>
      <c r="AK66" s="154"/>
    </row>
    <row r="67" spans="1:37" ht="10.35" customHeight="1" x14ac:dyDescent="0.2">
      <c r="A67" s="154"/>
      <c r="B67" s="172"/>
      <c r="C67" s="231"/>
      <c r="D67" s="227"/>
      <c r="E67" s="154"/>
      <c r="F67" s="154"/>
      <c r="G67" s="154"/>
      <c r="H67" s="154"/>
      <c r="I67" s="154"/>
      <c r="J67" s="154"/>
      <c r="K67" s="154"/>
      <c r="L67" s="154"/>
      <c r="M67" s="154"/>
      <c r="N67" s="154"/>
      <c r="O67" s="154"/>
      <c r="P67" s="154"/>
      <c r="Q67" s="154"/>
      <c r="R67" s="154"/>
      <c r="S67" s="154"/>
      <c r="T67" s="154"/>
      <c r="U67" s="154"/>
      <c r="V67" s="154"/>
      <c r="W67" s="154"/>
      <c r="X67" s="154"/>
      <c r="Y67" s="154"/>
      <c r="Z67" s="154"/>
      <c r="AA67" s="154"/>
      <c r="AB67" s="154"/>
      <c r="AC67" s="154" t="str">
        <f>VLOOKUP(C13,MATIERES!$A$2:$D$448,3,0)</f>
        <v>PUM</v>
      </c>
      <c r="AD67" s="390"/>
      <c r="AE67" s="390"/>
      <c r="AF67" s="390"/>
      <c r="AG67" s="390"/>
      <c r="AH67" s="390"/>
      <c r="AI67" s="390"/>
      <c r="AJ67" s="390"/>
      <c r="AK67" s="154"/>
    </row>
    <row r="68" spans="1:37" ht="10.35" customHeight="1" x14ac:dyDescent="0.2">
      <c r="A68" s="154"/>
      <c r="B68" s="172"/>
      <c r="C68" s="231"/>
      <c r="D68" s="227"/>
      <c r="E68" s="154"/>
      <c r="F68" s="154"/>
      <c r="G68" s="154"/>
      <c r="H68" s="154"/>
      <c r="I68" s="154"/>
      <c r="J68" s="154"/>
      <c r="K68" s="154"/>
      <c r="L68" s="154"/>
      <c r="M68" s="154"/>
      <c r="N68" s="154"/>
      <c r="O68" s="154"/>
      <c r="P68" s="154"/>
      <c r="Q68" s="154"/>
      <c r="R68" s="154"/>
      <c r="S68" s="154"/>
      <c r="T68" s="154"/>
      <c r="U68" s="154"/>
      <c r="V68" s="154"/>
      <c r="W68" s="154"/>
      <c r="X68" s="154"/>
      <c r="Y68" s="154"/>
      <c r="Z68" s="154"/>
      <c r="AA68" s="154"/>
      <c r="AB68" s="154"/>
      <c r="AC68" s="154" t="e">
        <f>VLOOKUP(#REF!,MATIERES!$A$2:$D$448,3,0)</f>
        <v>#REF!</v>
      </c>
      <c r="AD68" s="390"/>
      <c r="AE68" s="390"/>
      <c r="AF68" s="390"/>
      <c r="AG68" s="390"/>
      <c r="AH68" s="390"/>
      <c r="AI68" s="390"/>
      <c r="AJ68" s="390"/>
      <c r="AK68" s="154"/>
    </row>
    <row r="69" spans="1:37" ht="10.35" customHeight="1" x14ac:dyDescent="0.2">
      <c r="A69" s="154"/>
      <c r="B69" s="172"/>
      <c r="C69" s="231"/>
      <c r="D69" s="227"/>
      <c r="E69" s="154"/>
      <c r="F69" s="154"/>
      <c r="G69" s="154"/>
      <c r="H69" s="154"/>
      <c r="I69" s="154"/>
      <c r="J69" s="154"/>
      <c r="K69" s="154"/>
      <c r="L69" s="154"/>
      <c r="M69" s="154"/>
      <c r="N69" s="154"/>
      <c r="O69" s="154"/>
      <c r="P69" s="154"/>
      <c r="Q69" s="154"/>
      <c r="R69" s="154"/>
      <c r="S69" s="154"/>
      <c r="T69" s="154"/>
      <c r="U69" s="154"/>
      <c r="V69" s="154"/>
      <c r="W69" s="154"/>
      <c r="X69" s="154"/>
      <c r="Y69" s="154"/>
      <c r="Z69" s="154"/>
      <c r="AA69" s="154"/>
      <c r="AB69" s="154"/>
      <c r="AC69" s="154" t="e">
        <f>VLOOKUP(#REF!,MATIERES!$A$2:$D$448,3,0)</f>
        <v>#REF!</v>
      </c>
      <c r="AD69" s="390"/>
      <c r="AE69" s="390"/>
      <c r="AF69" s="390"/>
      <c r="AG69" s="390"/>
      <c r="AH69" s="390"/>
      <c r="AI69" s="390"/>
      <c r="AJ69" s="390"/>
      <c r="AK69" s="154"/>
    </row>
    <row r="70" spans="1:37" ht="10.35" customHeight="1" x14ac:dyDescent="0.2">
      <c r="A70" s="154"/>
      <c r="B70" s="172"/>
      <c r="C70" s="231"/>
      <c r="D70" s="227"/>
      <c r="E70" s="154"/>
      <c r="F70" s="154"/>
      <c r="G70" s="154"/>
      <c r="H70" s="154"/>
      <c r="I70" s="154"/>
      <c r="J70" s="154"/>
      <c r="K70" s="154"/>
      <c r="L70" s="154"/>
      <c r="M70" s="154"/>
      <c r="N70" s="154"/>
      <c r="O70" s="154"/>
      <c r="P70" s="154"/>
      <c r="Q70" s="154"/>
      <c r="R70" s="154"/>
      <c r="S70" s="154"/>
      <c r="T70" s="154"/>
      <c r="U70" s="154"/>
      <c r="V70" s="154"/>
      <c r="W70" s="154"/>
      <c r="X70" s="154"/>
      <c r="Y70" s="154"/>
      <c r="Z70" s="154"/>
      <c r="AA70" s="154"/>
      <c r="AB70" s="154"/>
      <c r="AC70" s="154" t="str">
        <f>VLOOKUP(C14,MATIERES!$A$2:$D$448,3,0)</f>
        <v>PUM</v>
      </c>
      <c r="AD70" s="390"/>
      <c r="AE70" s="390"/>
      <c r="AF70" s="390"/>
      <c r="AG70" s="390"/>
      <c r="AH70" s="390"/>
      <c r="AI70" s="390"/>
      <c r="AJ70" s="390"/>
      <c r="AK70" s="154"/>
    </row>
    <row r="71" spans="1:37" ht="10.35" customHeight="1" x14ac:dyDescent="0.2">
      <c r="A71" s="154"/>
      <c r="B71" s="172"/>
      <c r="C71" s="231"/>
      <c r="D71" s="227"/>
      <c r="E71" s="154"/>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t="str">
        <f>VLOOKUP(C15,MATIERES!$A$2:$D$448,3,0)</f>
        <v>PUM</v>
      </c>
      <c r="AD71" s="390"/>
      <c r="AE71" s="390"/>
      <c r="AF71" s="390"/>
      <c r="AG71" s="390"/>
      <c r="AH71" s="390"/>
      <c r="AI71" s="390"/>
      <c r="AJ71" s="390"/>
      <c r="AK71" s="154"/>
    </row>
    <row r="72" spans="1:37" ht="10.35" customHeight="1" x14ac:dyDescent="0.2">
      <c r="A72" s="154"/>
      <c r="B72" s="172"/>
      <c r="C72" s="231"/>
      <c r="D72" s="227"/>
      <c r="E72" s="154"/>
      <c r="F72" s="154"/>
      <c r="G72" s="154"/>
      <c r="H72" s="154"/>
      <c r="I72" s="154"/>
      <c r="J72" s="154"/>
      <c r="K72" s="154"/>
      <c r="L72" s="154"/>
      <c r="M72" s="154"/>
      <c r="N72" s="154"/>
      <c r="O72" s="154"/>
      <c r="P72" s="154"/>
      <c r="Q72" s="154"/>
      <c r="R72" s="154"/>
      <c r="S72" s="154"/>
      <c r="T72" s="154"/>
      <c r="U72" s="154"/>
      <c r="V72" s="154"/>
      <c r="W72" s="154"/>
      <c r="X72" s="154"/>
      <c r="Y72" s="154"/>
      <c r="Z72" s="154"/>
      <c r="AA72" s="154"/>
      <c r="AB72" s="154"/>
      <c r="AC72" s="154" t="str">
        <f>VLOOKUP(C16,MATIERES!$A$2:$D$448,3,0)</f>
        <v>PIGEON</v>
      </c>
      <c r="AD72" s="390"/>
      <c r="AE72" s="390"/>
      <c r="AF72" s="390"/>
      <c r="AG72" s="390"/>
      <c r="AH72" s="390"/>
      <c r="AI72" s="390"/>
      <c r="AJ72" s="390"/>
      <c r="AK72" s="154"/>
    </row>
    <row r="73" spans="1:37" ht="10.35" customHeight="1" x14ac:dyDescent="0.2">
      <c r="A73" s="154"/>
      <c r="B73" s="172"/>
      <c r="C73" s="231"/>
      <c r="D73" s="227"/>
      <c r="E73" s="154"/>
      <c r="F73" s="154"/>
      <c r="G73" s="154"/>
      <c r="H73" s="154"/>
      <c r="I73" s="154"/>
      <c r="J73" s="154"/>
      <c r="K73" s="154"/>
      <c r="L73" s="154"/>
      <c r="M73" s="154"/>
      <c r="N73" s="154"/>
      <c r="O73" s="154"/>
      <c r="P73" s="154"/>
      <c r="Q73" s="154"/>
      <c r="R73" s="154"/>
      <c r="S73" s="154"/>
      <c r="T73" s="154"/>
      <c r="U73" s="154"/>
      <c r="V73" s="154"/>
      <c r="W73" s="154"/>
      <c r="X73" s="154"/>
      <c r="Y73" s="154"/>
      <c r="Z73" s="154"/>
      <c r="AA73" s="154"/>
      <c r="AB73" s="154"/>
      <c r="AC73" s="154" t="str">
        <f>VLOOKUP(C17,MATIERES!$A$2:$D$448,3,0)</f>
        <v>PIGEON</v>
      </c>
      <c r="AD73" s="390"/>
      <c r="AE73" s="390"/>
      <c r="AF73" s="390"/>
      <c r="AG73" s="390"/>
      <c r="AH73" s="390"/>
      <c r="AI73" s="390"/>
      <c r="AJ73" s="390"/>
      <c r="AK73" s="154"/>
    </row>
    <row r="74" spans="1:37" ht="10.35" customHeight="1" x14ac:dyDescent="0.2">
      <c r="A74" s="154"/>
      <c r="B74" s="172"/>
      <c r="C74" s="231"/>
      <c r="D74" s="227"/>
      <c r="E74" s="154"/>
      <c r="F74" s="154"/>
      <c r="G74" s="154"/>
      <c r="H74" s="154"/>
      <c r="I74" s="154"/>
      <c r="J74" s="154"/>
      <c r="K74" s="154"/>
      <c r="L74" s="154"/>
      <c r="M74" s="154"/>
      <c r="N74" s="154"/>
      <c r="O74" s="154"/>
      <c r="P74" s="154"/>
      <c r="Q74" s="154"/>
      <c r="R74" s="154"/>
      <c r="S74" s="154"/>
      <c r="T74" s="154"/>
      <c r="U74" s="154"/>
      <c r="V74" s="154"/>
      <c r="W74" s="154"/>
      <c r="X74" s="154"/>
      <c r="Y74" s="154"/>
      <c r="Z74" s="154"/>
      <c r="AA74" s="154"/>
      <c r="AB74" s="154"/>
      <c r="AC74" s="154" t="str">
        <f>VLOOKUP(C18,MATIERES!$A$2:$D$448,3,0)</f>
        <v>PIGEON</v>
      </c>
      <c r="AD74" s="390"/>
      <c r="AE74" s="390"/>
      <c r="AF74" s="390"/>
      <c r="AG74" s="390"/>
      <c r="AH74" s="390"/>
      <c r="AI74" s="390"/>
      <c r="AJ74" s="390"/>
      <c r="AK74" s="154"/>
    </row>
    <row r="75" spans="1:37" ht="10.35" customHeight="1" x14ac:dyDescent="0.2">
      <c r="A75" s="154"/>
      <c r="B75" s="172"/>
      <c r="C75" s="231"/>
      <c r="D75" s="227"/>
      <c r="E75" s="154"/>
      <c r="F75" s="154"/>
      <c r="G75" s="154"/>
      <c r="H75" s="154"/>
      <c r="I75" s="154"/>
      <c r="J75" s="154"/>
      <c r="K75" s="154"/>
      <c r="L75" s="154"/>
      <c r="M75" s="154"/>
      <c r="N75" s="154"/>
      <c r="O75" s="154"/>
      <c r="P75" s="154"/>
      <c r="Q75" s="154"/>
      <c r="R75" s="154"/>
      <c r="S75" s="154"/>
      <c r="T75" s="154"/>
      <c r="U75" s="154"/>
      <c r="V75" s="154"/>
      <c r="W75" s="154"/>
      <c r="X75" s="154"/>
      <c r="Y75" s="154"/>
      <c r="Z75" s="154"/>
      <c r="AA75" s="154"/>
      <c r="AB75" s="154"/>
      <c r="AC75" s="154" t="str">
        <f>VLOOKUP(C19,MATIERES!$A$2:$D$448,3,0)</f>
        <v>PIGEON</v>
      </c>
      <c r="AD75" s="390"/>
      <c r="AE75" s="390"/>
      <c r="AF75" s="390"/>
      <c r="AG75" s="390"/>
      <c r="AH75" s="390"/>
      <c r="AI75" s="390"/>
      <c r="AJ75" s="390"/>
      <c r="AK75" s="154"/>
    </row>
    <row r="76" spans="1:37" ht="10.35" customHeight="1" x14ac:dyDescent="0.2">
      <c r="A76" s="154"/>
      <c r="B76" s="172"/>
      <c r="C76" s="231"/>
      <c r="D76" s="227"/>
      <c r="E76" s="154"/>
      <c r="F76" s="154"/>
      <c r="G76" s="154"/>
      <c r="H76" s="154"/>
      <c r="I76" s="154"/>
      <c r="J76" s="154"/>
      <c r="K76" s="154"/>
      <c r="L76" s="154"/>
      <c r="M76" s="154"/>
      <c r="N76" s="154"/>
      <c r="O76" s="154"/>
      <c r="P76" s="154"/>
      <c r="Q76" s="154"/>
      <c r="R76" s="154"/>
      <c r="S76" s="154"/>
      <c r="T76" s="154"/>
      <c r="U76" s="154"/>
      <c r="V76" s="154"/>
      <c r="W76" s="154"/>
      <c r="X76" s="154"/>
      <c r="Y76" s="154"/>
      <c r="Z76" s="154"/>
      <c r="AA76" s="154"/>
      <c r="AB76" s="154"/>
      <c r="AC76" s="154" t="e">
        <f>VLOOKUP(C20,MATIERES!$A$2:$D$448,3,0)</f>
        <v>#N/A</v>
      </c>
      <c r="AD76" s="390"/>
      <c r="AE76" s="390"/>
      <c r="AF76" s="390"/>
      <c r="AG76" s="390"/>
      <c r="AH76" s="390"/>
      <c r="AI76" s="390"/>
      <c r="AJ76" s="390"/>
      <c r="AK76" s="154"/>
    </row>
    <row r="77" spans="1:37" ht="10.35" customHeight="1" x14ac:dyDescent="0.2">
      <c r="A77" s="154"/>
      <c r="B77" s="172"/>
      <c r="C77" s="231"/>
      <c r="D77" s="227"/>
      <c r="E77" s="154"/>
      <c r="F77" s="154"/>
      <c r="G77" s="154"/>
      <c r="H77" s="154"/>
      <c r="I77" s="154"/>
      <c r="J77" s="154"/>
      <c r="K77" s="154"/>
      <c r="L77" s="154"/>
      <c r="M77" s="154"/>
      <c r="N77" s="154"/>
      <c r="O77" s="154"/>
      <c r="P77" s="154"/>
      <c r="Q77" s="154"/>
      <c r="R77" s="154"/>
      <c r="S77" s="154"/>
      <c r="T77" s="154"/>
      <c r="U77" s="154"/>
      <c r="V77" s="154"/>
      <c r="W77" s="154"/>
      <c r="X77" s="154"/>
      <c r="Y77" s="154"/>
      <c r="Z77" s="154"/>
      <c r="AA77" s="154"/>
      <c r="AB77" s="154"/>
      <c r="AC77" s="154" t="e">
        <f>VLOOKUP(C21,MATIERES!$A$2:$D$448,3,0)</f>
        <v>#N/A</v>
      </c>
      <c r="AD77" s="390"/>
      <c r="AE77" s="390"/>
      <c r="AF77" s="390"/>
      <c r="AG77" s="390"/>
      <c r="AH77" s="390"/>
      <c r="AI77" s="390"/>
      <c r="AJ77" s="390"/>
      <c r="AK77" s="154"/>
    </row>
    <row r="78" spans="1:37" ht="10.35" customHeight="1" x14ac:dyDescent="0.2">
      <c r="A78" s="154"/>
      <c r="B78" s="172"/>
      <c r="C78" s="231"/>
      <c r="D78" s="227"/>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154"/>
      <c r="AC78" s="154" t="e">
        <f>VLOOKUP(C22,MATIERES!$A$2:$D$448,3,0)</f>
        <v>#N/A</v>
      </c>
      <c r="AD78" s="390"/>
      <c r="AE78" s="390"/>
      <c r="AF78" s="390"/>
      <c r="AG78" s="390"/>
      <c r="AH78" s="390"/>
      <c r="AI78" s="390"/>
      <c r="AJ78" s="390"/>
      <c r="AK78" s="154"/>
    </row>
    <row r="79" spans="1:37" ht="18" x14ac:dyDescent="0.2">
      <c r="A79" s="154"/>
      <c r="B79" s="172"/>
      <c r="C79" s="231"/>
      <c r="D79" s="227"/>
      <c r="E79" s="154"/>
      <c r="F79" s="154"/>
      <c r="G79" s="154"/>
      <c r="H79" s="154"/>
      <c r="I79" s="154"/>
      <c r="J79" s="154"/>
      <c r="K79" s="154"/>
      <c r="L79" s="154"/>
      <c r="M79" s="154"/>
      <c r="N79" s="154"/>
      <c r="O79" s="154"/>
      <c r="P79" s="154"/>
      <c r="Q79" s="154"/>
      <c r="R79" s="154"/>
      <c r="S79" s="154"/>
      <c r="T79" s="154"/>
      <c r="U79" s="154"/>
      <c r="V79" s="154"/>
      <c r="W79" s="154"/>
      <c r="X79" s="154"/>
      <c r="Y79" s="154"/>
      <c r="Z79" s="154"/>
      <c r="AA79" s="154"/>
      <c r="AB79" s="154"/>
      <c r="AC79" s="154" t="e">
        <f>VLOOKUP(C23,MATIERES!$A$2:$D$448,3,0)</f>
        <v>#N/A</v>
      </c>
      <c r="AD79" s="390"/>
      <c r="AE79" s="390"/>
      <c r="AF79" s="390"/>
      <c r="AG79" s="390"/>
      <c r="AH79" s="390"/>
      <c r="AI79" s="390"/>
      <c r="AJ79" s="390"/>
      <c r="AK79" s="154"/>
    </row>
    <row r="80" spans="1:37" ht="18" x14ac:dyDescent="0.2">
      <c r="A80" s="154"/>
      <c r="B80" s="172"/>
      <c r="C80" s="231"/>
      <c r="D80" s="227"/>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154"/>
      <c r="AC80" s="154" t="e">
        <f>VLOOKUP(C24,MATIERES!$A$2:$D$448,3,0)</f>
        <v>#N/A</v>
      </c>
      <c r="AD80" s="390"/>
      <c r="AE80" s="390"/>
      <c r="AF80" s="390"/>
      <c r="AG80" s="390"/>
      <c r="AH80" s="390"/>
      <c r="AI80" s="390"/>
      <c r="AJ80" s="390"/>
      <c r="AK80" s="154"/>
    </row>
    <row r="81" spans="1:37" ht="18" x14ac:dyDescent="0.2">
      <c r="A81" s="154"/>
      <c r="B81" s="172"/>
      <c r="C81" s="231"/>
      <c r="D81" s="227"/>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154"/>
      <c r="AC81" s="154" t="e">
        <f>VLOOKUP(C25,MATIERES!$A$2:$D$448,3,0)</f>
        <v>#N/A</v>
      </c>
      <c r="AD81" s="390"/>
      <c r="AE81" s="390"/>
      <c r="AF81" s="390"/>
      <c r="AG81" s="390"/>
      <c r="AH81" s="390"/>
      <c r="AI81" s="390"/>
      <c r="AJ81" s="390"/>
      <c r="AK81" s="154"/>
    </row>
    <row r="82" spans="1:37" ht="18" x14ac:dyDescent="0.2">
      <c r="A82" s="154"/>
      <c r="B82" s="172"/>
      <c r="C82" s="231"/>
      <c r="D82" s="227"/>
      <c r="E82" s="154"/>
      <c r="F82" s="154"/>
      <c r="G82" s="154"/>
      <c r="H82" s="154"/>
      <c r="I82" s="154"/>
      <c r="J82" s="154"/>
      <c r="K82" s="154"/>
      <c r="L82" s="154"/>
      <c r="M82" s="154"/>
      <c r="N82" s="154"/>
      <c r="O82" s="154"/>
      <c r="P82" s="154"/>
      <c r="Q82" s="154"/>
      <c r="R82" s="154"/>
      <c r="S82" s="154"/>
      <c r="T82" s="154"/>
      <c r="U82" s="154"/>
      <c r="V82" s="154"/>
      <c r="W82" s="154"/>
      <c r="X82" s="154"/>
      <c r="Y82" s="154"/>
      <c r="Z82" s="154"/>
      <c r="AA82" s="154"/>
      <c r="AB82" s="154"/>
      <c r="AC82" s="154" t="e">
        <f>VLOOKUP(C26,MATIERES!$A$2:$D$448,3,0)</f>
        <v>#N/A</v>
      </c>
      <c r="AD82" s="390"/>
      <c r="AE82" s="390"/>
      <c r="AF82" s="390"/>
      <c r="AG82" s="390"/>
      <c r="AH82" s="390"/>
      <c r="AI82" s="390"/>
      <c r="AJ82" s="390"/>
      <c r="AK82" s="154"/>
    </row>
    <row r="83" spans="1:37" ht="18" x14ac:dyDescent="0.2">
      <c r="A83" s="154"/>
      <c r="B83" s="172"/>
      <c r="C83" s="231"/>
      <c r="D83" s="227"/>
      <c r="E83" s="154"/>
      <c r="F83" s="154"/>
      <c r="G83" s="154"/>
      <c r="H83" s="154"/>
      <c r="I83" s="154"/>
      <c r="J83" s="154"/>
      <c r="K83" s="154"/>
      <c r="L83" s="154"/>
      <c r="M83" s="154"/>
      <c r="N83" s="154"/>
      <c r="O83" s="154"/>
      <c r="P83" s="154"/>
      <c r="Q83" s="154"/>
      <c r="R83" s="154"/>
      <c r="S83" s="154"/>
      <c r="T83" s="154"/>
      <c r="U83" s="154"/>
      <c r="V83" s="154"/>
      <c r="W83" s="154"/>
      <c r="X83" s="154"/>
      <c r="Y83" s="154"/>
      <c r="Z83" s="154"/>
      <c r="AA83" s="154"/>
      <c r="AB83" s="154"/>
      <c r="AC83" s="154" t="e">
        <f>VLOOKUP(C27,MATIERES!$A$2:$D$448,3,0)</f>
        <v>#N/A</v>
      </c>
      <c r="AD83" s="390"/>
      <c r="AE83" s="390"/>
      <c r="AF83" s="390"/>
      <c r="AG83" s="390"/>
      <c r="AH83" s="390"/>
      <c r="AI83" s="390"/>
      <c r="AJ83" s="390"/>
      <c r="AK83" s="154"/>
    </row>
    <row r="84" spans="1:37" ht="18" x14ac:dyDescent="0.2">
      <c r="A84" s="154"/>
      <c r="B84" s="172"/>
      <c r="C84" s="231"/>
      <c r="D84" s="227"/>
      <c r="E84" s="154"/>
      <c r="F84" s="154"/>
      <c r="G84" s="154"/>
      <c r="H84" s="154"/>
      <c r="I84" s="154"/>
      <c r="J84" s="154"/>
      <c r="K84" s="154"/>
      <c r="L84" s="154"/>
      <c r="M84" s="154"/>
      <c r="N84" s="154"/>
      <c r="O84" s="154"/>
      <c r="P84" s="154"/>
      <c r="Q84" s="154"/>
      <c r="R84" s="154"/>
      <c r="S84" s="154"/>
      <c r="T84" s="154"/>
      <c r="U84" s="154"/>
      <c r="V84" s="154"/>
      <c r="W84" s="154"/>
      <c r="X84" s="154"/>
      <c r="Y84" s="154"/>
      <c r="Z84" s="154"/>
      <c r="AA84" s="154"/>
      <c r="AB84" s="154"/>
      <c r="AC84" s="154" t="e">
        <f>VLOOKUP(C28,MATIERES!$A$2:$D$448,3,0)</f>
        <v>#N/A</v>
      </c>
      <c r="AD84" s="390"/>
      <c r="AE84" s="390"/>
      <c r="AF84" s="390"/>
      <c r="AG84" s="390"/>
      <c r="AH84" s="390"/>
      <c r="AI84" s="390"/>
      <c r="AJ84" s="390"/>
      <c r="AK84" s="154"/>
    </row>
    <row r="85" spans="1:37" ht="18" x14ac:dyDescent="0.2">
      <c r="A85" s="154"/>
      <c r="B85" s="172"/>
      <c r="C85" s="231"/>
      <c r="D85" s="227"/>
      <c r="E85" s="154"/>
      <c r="F85" s="154"/>
      <c r="G85" s="154"/>
      <c r="H85" s="154"/>
      <c r="I85" s="154"/>
      <c r="J85" s="154"/>
      <c r="K85" s="154"/>
      <c r="L85" s="154"/>
      <c r="M85" s="154"/>
      <c r="N85" s="154"/>
      <c r="O85" s="154"/>
      <c r="P85" s="154"/>
      <c r="Q85" s="154"/>
      <c r="R85" s="154"/>
      <c r="S85" s="154"/>
      <c r="T85" s="154"/>
      <c r="U85" s="154"/>
      <c r="V85" s="154"/>
      <c r="W85" s="154"/>
      <c r="X85" s="154"/>
      <c r="Y85" s="154"/>
      <c r="Z85" s="154"/>
      <c r="AA85" s="154"/>
      <c r="AB85" s="154"/>
      <c r="AC85" s="154" t="e">
        <f>VLOOKUP(C29,MATIERES!$A$2:$D$448,3,0)</f>
        <v>#N/A</v>
      </c>
      <c r="AD85" s="390"/>
      <c r="AE85" s="390"/>
      <c r="AF85" s="390"/>
      <c r="AG85" s="390"/>
      <c r="AH85" s="390"/>
      <c r="AI85" s="390"/>
      <c r="AJ85" s="390"/>
      <c r="AK85" s="154"/>
    </row>
    <row r="86" spans="1:37" ht="18" x14ac:dyDescent="0.2">
      <c r="A86" s="154"/>
      <c r="B86" s="172"/>
      <c r="C86" s="231"/>
      <c r="D86" s="227"/>
      <c r="E86" s="154"/>
      <c r="F86" s="154"/>
      <c r="G86" s="154"/>
      <c r="H86" s="154"/>
      <c r="I86" s="154"/>
      <c r="J86" s="154"/>
      <c r="K86" s="154"/>
      <c r="L86" s="154"/>
      <c r="M86" s="154"/>
      <c r="N86" s="154"/>
      <c r="O86" s="154"/>
      <c r="P86" s="154"/>
      <c r="Q86" s="154"/>
      <c r="R86" s="154"/>
      <c r="S86" s="154"/>
      <c r="T86" s="154"/>
      <c r="U86" s="154"/>
      <c r="V86" s="154"/>
      <c r="W86" s="154"/>
      <c r="X86" s="154"/>
      <c r="Y86" s="154"/>
      <c r="Z86" s="154"/>
      <c r="AA86" s="154"/>
      <c r="AB86" s="154"/>
      <c r="AC86" s="154" t="e">
        <f>VLOOKUP(C30,MATIERES!$A$2:$D$448,3,0)</f>
        <v>#N/A</v>
      </c>
      <c r="AD86" s="390"/>
      <c r="AE86" s="390"/>
      <c r="AF86" s="390"/>
      <c r="AG86" s="390"/>
      <c r="AH86" s="390"/>
      <c r="AI86" s="390"/>
      <c r="AJ86" s="390"/>
      <c r="AK86" s="154"/>
    </row>
    <row r="87" spans="1:37" ht="18" x14ac:dyDescent="0.2">
      <c r="A87" s="210"/>
      <c r="B87" s="211"/>
      <c r="C87" s="231"/>
      <c r="D87" s="227"/>
      <c r="E87" s="154"/>
      <c r="F87" s="154"/>
      <c r="G87" s="154"/>
      <c r="H87" s="154"/>
      <c r="I87" s="154"/>
      <c r="J87" s="154"/>
      <c r="K87" s="154"/>
      <c r="L87" s="154"/>
      <c r="M87" s="154"/>
      <c r="N87" s="154"/>
      <c r="O87" s="154"/>
      <c r="P87" s="154"/>
      <c r="Q87" s="154"/>
      <c r="R87" s="154"/>
      <c r="S87" s="154"/>
      <c r="T87" s="154"/>
      <c r="U87" s="154"/>
      <c r="V87" s="154"/>
      <c r="W87" s="154"/>
      <c r="X87" s="154"/>
      <c r="Y87" s="154"/>
      <c r="Z87" s="154"/>
      <c r="AA87" s="154"/>
      <c r="AB87" s="154"/>
      <c r="AC87" s="154" t="e">
        <f>VLOOKUP(C31,MATIERES!$A$2:$D$448,3,0)</f>
        <v>#N/A</v>
      </c>
      <c r="AD87" s="390"/>
      <c r="AE87" s="390"/>
      <c r="AF87" s="390"/>
      <c r="AG87" s="390"/>
      <c r="AH87" s="390"/>
      <c r="AI87" s="390"/>
      <c r="AJ87" s="390"/>
      <c r="AK87" s="135"/>
    </row>
  </sheetData>
  <mergeCells count="30">
    <mergeCell ref="AK44:AL44"/>
    <mergeCell ref="AK2:AL2"/>
    <mergeCell ref="U44:V44"/>
    <mergeCell ref="W44:X44"/>
    <mergeCell ref="B51:B55"/>
    <mergeCell ref="C51:D51"/>
    <mergeCell ref="C52:D52"/>
    <mergeCell ref="C53:D53"/>
    <mergeCell ref="C54:D54"/>
    <mergeCell ref="C55:D55"/>
    <mergeCell ref="C49:D49"/>
    <mergeCell ref="C44:D44"/>
    <mergeCell ref="G44:H44"/>
    <mergeCell ref="K44:L44"/>
    <mergeCell ref="M44:N44"/>
    <mergeCell ref="C45:D45"/>
    <mergeCell ref="C46:D46"/>
    <mergeCell ref="C47:D47"/>
    <mergeCell ref="C48:D48"/>
    <mergeCell ref="W2:X2"/>
    <mergeCell ref="A4:A19"/>
    <mergeCell ref="A21:A27"/>
    <mergeCell ref="A28:A35"/>
    <mergeCell ref="M2:N2"/>
    <mergeCell ref="U2:V2"/>
    <mergeCell ref="A36:A42"/>
    <mergeCell ref="B2:B3"/>
    <mergeCell ref="C2:C3"/>
    <mergeCell ref="G2:H2"/>
    <mergeCell ref="K2:L2"/>
  </mergeCells>
  <dataValidations xWindow="452" yWindow="665" count="8">
    <dataValidation type="list" allowBlank="1" showInputMessage="1" showErrorMessage="1" promptTitle="MINIPELLE" prompt="choisir catégorie" sqref="B36:B41" xr:uid="{00000000-0002-0000-0900-000000000000}">
      <formula1>CATEGORIE_MP</formula1>
    </dataValidation>
    <dataValidation type="list" allowBlank="1" showInputMessage="1" showErrorMessage="1" promptTitle="MO ATELIER" prompt="choisir catégorie" sqref="B21:B26" xr:uid="{00000000-0002-0000-0900-000001000000}">
      <formula1>CATEGORIE_MOA</formula1>
    </dataValidation>
    <dataValidation type="list" allowBlank="1" showInputMessage="1" showErrorMessage="1" promptTitle="Catégorie MOC" prompt="choisir" sqref="B28:B34" xr:uid="{00000000-0002-0000-0900-000003000000}">
      <formula1>CATEGORIE_MOC</formula1>
    </dataValidation>
    <dataValidation type="list" allowBlank="1" showInputMessage="1" promptTitle="MINIPELLE" prompt="choisir la prestation" sqref="C36:C41" xr:uid="{00000000-0002-0000-0900-000004000000}">
      <formula1>INDIRECT(B36)</formula1>
    </dataValidation>
    <dataValidation type="list" allowBlank="1" showInputMessage="1" promptTitle="Main d'oeuvre CHANTIER" prompt="choisir la prestation" sqref="C28:C34" xr:uid="{00000000-0002-0000-0900-000005000000}">
      <formula1>INDIRECT(B28)</formula1>
    </dataValidation>
    <dataValidation type="list" allowBlank="1" showInputMessage="1" showErrorMessage="1" promptTitle="Main d'oeuvre ATELIER" prompt="choisir la prestation" sqref="C21:C26" xr:uid="{00000000-0002-0000-0900-000006000000}">
      <formula1>INDIRECT(B21)</formula1>
    </dataValidation>
    <dataValidation type="list" allowBlank="1" showInputMessage="1" showErrorMessage="1" promptTitle="MATIERES" prompt="choisir catégorie" sqref="B4:B19" xr:uid="{00000000-0002-0000-0900-000002000000}">
      <formula1>MOA_ALIM</formula1>
    </dataValidation>
    <dataValidation type="list" allowBlank="1" showInputMessage="1" showErrorMessage="1" promptTitle="MATIERES" prompt="choisir le produit" sqref="C4:C19" xr:uid="{00000000-0002-0000-0900-000007000000}">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xWindow="452" yWindow="665" count="1">
        <x14:dataValidation type="list" allowBlank="1" showInputMessage="1" showErrorMessage="1" xr:uid="{00000000-0002-0000-0900-000008000000}">
          <x14:formula1>
            <xm:f>MATIERES!#REF!</xm:f>
          </x14:formula1>
          <xm:sqref>B20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published="0" codeName="Feuil3"/>
  <dimension ref="A1:IU69"/>
  <sheetViews>
    <sheetView topLeftCell="A10" zoomScale="55" zoomScaleNormal="55" workbookViewId="0">
      <pane xSplit="4" ySplit="15" topLeftCell="E25" activePane="bottomRight" state="frozen"/>
      <selection activeCell="A10" sqref="A10"/>
      <selection pane="topRight" activeCell="E10" sqref="E10"/>
      <selection pane="bottomLeft" activeCell="A25" sqref="A25"/>
      <selection pane="bottomRight" activeCell="S58" sqref="S58"/>
    </sheetView>
  </sheetViews>
  <sheetFormatPr baseColWidth="10" defaultRowHeight="14.25" x14ac:dyDescent="0.2"/>
  <cols>
    <col min="1" max="2" width="11.5" customWidth="1"/>
    <col min="3" max="3" width="26.125" customWidth="1"/>
    <col min="4" max="4" width="5.125" customWidth="1"/>
    <col min="5" max="5" width="11.5" customWidth="1"/>
    <col min="6" max="6" width="0.5" customWidth="1"/>
    <col min="7" max="7" width="11.5" customWidth="1"/>
    <col min="8" max="8" width="0.125" customWidth="1"/>
    <col min="9" max="9" width="11.5" customWidth="1"/>
    <col min="10" max="10" width="0.125" customWidth="1"/>
    <col min="11" max="11" width="11.5" customWidth="1"/>
    <col min="12" max="12" width="0.5" customWidth="1"/>
    <col min="13" max="13" width="11.5" customWidth="1"/>
    <col min="14" max="14" width="0.5" customWidth="1"/>
    <col min="15" max="15" width="11.5" customWidth="1"/>
    <col min="16" max="16" width="0.625" customWidth="1"/>
    <col min="17" max="17" width="11.5" customWidth="1"/>
    <col min="18" max="18" width="0.5" customWidth="1"/>
    <col min="19" max="19" width="18.625" customWidth="1"/>
    <col min="20" max="20" width="0.5" customWidth="1"/>
    <col min="21" max="21" width="11.5" customWidth="1"/>
    <col min="22" max="22" width="0.125" customWidth="1"/>
    <col min="23" max="23" width="11.5" customWidth="1"/>
    <col min="24" max="24" width="0.125" customWidth="1"/>
    <col min="25" max="25" width="11.5" customWidth="1"/>
    <col min="26" max="26" width="0.125" customWidth="1"/>
    <col min="27" max="27" width="11.5" customWidth="1"/>
    <col min="28" max="28" width="1" customWidth="1"/>
    <col min="29" max="29" width="11.5" customWidth="1"/>
    <col min="30" max="30" width="0.5" customWidth="1"/>
    <col min="31" max="31" width="11.5" customWidth="1"/>
    <col min="32" max="32" width="0.5" customWidth="1"/>
    <col min="33" max="33" width="11.5" customWidth="1"/>
    <col min="34" max="34" width="0.125" customWidth="1"/>
    <col min="35" max="35" width="11.5" customWidth="1"/>
    <col min="36" max="36" width="0.125" customWidth="1"/>
    <col min="37" max="37" width="11.5" customWidth="1"/>
    <col min="38" max="38" width="0.125" customWidth="1"/>
    <col min="39" max="255" width="11.5" customWidth="1"/>
  </cols>
  <sheetData>
    <row r="1" spans="1:255" ht="18" x14ac:dyDescent="0.2">
      <c r="A1" s="112"/>
      <c r="B1" s="112"/>
      <c r="C1" s="1597" t="s">
        <v>202</v>
      </c>
      <c r="D1" s="1597"/>
      <c r="E1" s="1597"/>
      <c r="F1" s="1597"/>
      <c r="G1" s="1597"/>
      <c r="H1" s="1597"/>
      <c r="I1" s="1597"/>
      <c r="J1" s="1597"/>
      <c r="K1" s="1597"/>
      <c r="L1" s="1597"/>
      <c r="M1" s="1597"/>
      <c r="N1" s="1597"/>
      <c r="O1" s="1597"/>
      <c r="P1" s="113"/>
      <c r="Q1" s="112"/>
      <c r="R1" s="112"/>
      <c r="S1" s="112"/>
      <c r="T1" s="112"/>
      <c r="U1" s="112"/>
      <c r="V1" s="112"/>
      <c r="W1" s="112"/>
      <c r="X1" s="112"/>
      <c r="Y1" s="112"/>
      <c r="Z1" s="112"/>
      <c r="AA1" s="112"/>
      <c r="AB1" s="112"/>
      <c r="AC1" s="112"/>
      <c r="AD1" s="112"/>
      <c r="AE1" s="112"/>
      <c r="AF1" s="112"/>
      <c r="AG1" s="112"/>
      <c r="AH1" s="112"/>
      <c r="AI1" s="112"/>
      <c r="AJ1" s="112"/>
      <c r="AK1" s="112"/>
      <c r="AL1" s="112"/>
      <c r="AM1" s="112"/>
      <c r="AN1" s="112"/>
      <c r="AO1" s="112"/>
      <c r="AP1" s="112"/>
      <c r="AQ1" s="112"/>
      <c r="AR1" s="112"/>
      <c r="AS1" s="112"/>
      <c r="AT1" s="112"/>
      <c r="AU1" s="112"/>
      <c r="AV1" s="112"/>
      <c r="AW1" s="112"/>
      <c r="AX1" s="112"/>
      <c r="AY1" s="112"/>
      <c r="AZ1" s="112"/>
      <c r="BA1" s="112"/>
      <c r="BB1" s="112"/>
      <c r="BC1" s="112"/>
      <c r="BD1" s="112"/>
      <c r="BE1" s="112"/>
      <c r="BF1" s="112"/>
      <c r="BG1" s="112"/>
      <c r="BH1" s="112"/>
      <c r="BI1" s="112"/>
      <c r="BJ1" s="112"/>
      <c r="BK1" s="112"/>
      <c r="BL1" s="112"/>
      <c r="BM1" s="112"/>
      <c r="BN1" s="112"/>
      <c r="BO1" s="112"/>
      <c r="BP1" s="112"/>
      <c r="BQ1" s="112"/>
      <c r="BR1" s="112"/>
      <c r="BS1" s="112"/>
      <c r="BT1" s="112"/>
      <c r="BU1" s="112"/>
      <c r="BV1" s="112"/>
      <c r="BW1" s="112"/>
      <c r="BX1" s="112"/>
      <c r="BY1" s="112"/>
      <c r="BZ1" s="112"/>
      <c r="CA1" s="112"/>
      <c r="CB1" s="112"/>
      <c r="CC1" s="112"/>
      <c r="CD1" s="112"/>
      <c r="CE1" s="112"/>
      <c r="CF1" s="112"/>
      <c r="CG1" s="112"/>
      <c r="CH1" s="112"/>
      <c r="CI1" s="112"/>
      <c r="CJ1" s="112"/>
      <c r="CK1" s="112"/>
      <c r="CL1" s="112"/>
      <c r="CM1" s="112"/>
      <c r="CN1" s="112"/>
      <c r="CO1" s="112"/>
      <c r="CP1" s="112"/>
      <c r="CQ1" s="112"/>
      <c r="CR1" s="112"/>
      <c r="CS1" s="112"/>
      <c r="CT1" s="112"/>
      <c r="CU1" s="112"/>
      <c r="CV1" s="112"/>
      <c r="CW1" s="112"/>
      <c r="CX1" s="112"/>
      <c r="CY1" s="112"/>
      <c r="CZ1" s="112"/>
      <c r="DA1" s="112"/>
      <c r="DB1" s="112"/>
      <c r="DC1" s="112"/>
      <c r="DD1" s="112"/>
      <c r="DE1" s="112"/>
      <c r="DF1" s="112"/>
      <c r="DG1" s="112"/>
      <c r="DH1" s="112"/>
      <c r="DI1" s="112"/>
      <c r="DJ1" s="112"/>
      <c r="DK1" s="112"/>
      <c r="DL1" s="112"/>
      <c r="DM1" s="112"/>
      <c r="DN1" s="112"/>
      <c r="DO1" s="112"/>
      <c r="DP1" s="112"/>
      <c r="DQ1" s="112"/>
      <c r="DR1" s="112"/>
      <c r="DS1" s="112"/>
      <c r="DT1" s="112"/>
      <c r="DU1" s="112"/>
      <c r="DV1" s="112"/>
      <c r="DW1" s="112"/>
      <c r="DX1" s="112"/>
      <c r="DY1" s="112"/>
      <c r="DZ1" s="112"/>
      <c r="EA1" s="112"/>
      <c r="EB1" s="112"/>
      <c r="EC1" s="112"/>
      <c r="ED1" s="112"/>
      <c r="EE1" s="112"/>
      <c r="EF1" s="112"/>
      <c r="EG1" s="112"/>
      <c r="EH1" s="112"/>
      <c r="EI1" s="112"/>
      <c r="EJ1" s="112"/>
      <c r="EK1" s="112"/>
      <c r="EL1" s="112"/>
      <c r="EM1" s="112"/>
      <c r="EN1" s="112"/>
      <c r="EO1" s="112"/>
      <c r="EP1" s="112"/>
      <c r="EQ1" s="112"/>
      <c r="ER1" s="112"/>
      <c r="ES1" s="112"/>
      <c r="ET1" s="112"/>
      <c r="EU1" s="112"/>
      <c r="EV1" s="112"/>
      <c r="EW1" s="112"/>
      <c r="EX1" s="112"/>
      <c r="EY1" s="112"/>
      <c r="EZ1" s="112"/>
      <c r="FA1" s="112"/>
      <c r="FB1" s="112"/>
      <c r="FC1" s="112"/>
      <c r="FD1" s="112"/>
      <c r="FE1" s="112"/>
      <c r="FF1" s="112"/>
      <c r="FG1" s="112"/>
      <c r="FH1" s="112"/>
      <c r="FI1" s="112"/>
      <c r="FJ1" s="112"/>
      <c r="FK1" s="112"/>
      <c r="FL1" s="112"/>
      <c r="FM1" s="112"/>
      <c r="FN1" s="112"/>
      <c r="FO1" s="112"/>
      <c r="FP1" s="112"/>
      <c r="FQ1" s="112"/>
      <c r="FR1" s="112"/>
      <c r="FS1" s="112"/>
      <c r="FT1" s="112"/>
      <c r="FU1" s="112"/>
      <c r="FV1" s="112"/>
      <c r="FW1" s="112"/>
      <c r="FX1" s="112"/>
      <c r="FY1" s="112"/>
      <c r="FZ1" s="112"/>
      <c r="GA1" s="112"/>
      <c r="GB1" s="112"/>
      <c r="GC1" s="112"/>
      <c r="GD1" s="112"/>
      <c r="GE1" s="112"/>
      <c r="GF1" s="112"/>
      <c r="GG1" s="112"/>
      <c r="GH1" s="112"/>
      <c r="GI1" s="112"/>
      <c r="GJ1" s="112"/>
      <c r="GK1" s="112"/>
      <c r="GL1" s="112"/>
      <c r="GM1" s="112"/>
      <c r="GN1" s="112"/>
      <c r="GO1" s="112"/>
      <c r="GP1" s="112"/>
      <c r="GQ1" s="112"/>
      <c r="GR1" s="112"/>
      <c r="GS1" s="112"/>
      <c r="GT1" s="112"/>
      <c r="GU1" s="112"/>
      <c r="GV1" s="112"/>
      <c r="GW1" s="112"/>
      <c r="GX1" s="112"/>
      <c r="GY1" s="112"/>
      <c r="GZ1" s="112"/>
      <c r="HA1" s="112"/>
      <c r="HB1" s="112"/>
      <c r="HC1" s="112"/>
      <c r="HD1" s="112"/>
      <c r="HE1" s="112"/>
      <c r="HF1" s="112"/>
      <c r="HG1" s="112"/>
      <c r="HH1" s="112"/>
      <c r="HI1" s="112"/>
      <c r="HJ1" s="112"/>
      <c r="HK1" s="112"/>
      <c r="HL1" s="112"/>
      <c r="HM1" s="112"/>
      <c r="HN1" s="112"/>
      <c r="HO1" s="112"/>
      <c r="HP1" s="112"/>
      <c r="HQ1" s="112"/>
      <c r="HR1" s="112"/>
      <c r="HS1" s="112"/>
      <c r="HT1" s="112"/>
      <c r="HU1" s="112"/>
      <c r="HV1" s="112"/>
      <c r="HW1" s="112"/>
      <c r="HX1" s="112"/>
      <c r="HY1" s="112"/>
      <c r="HZ1" s="112"/>
      <c r="IA1" s="112"/>
      <c r="IB1" s="112"/>
      <c r="IC1" s="112"/>
      <c r="ID1" s="112"/>
      <c r="IE1" s="112"/>
      <c r="IF1" s="112"/>
      <c r="IG1" s="112"/>
      <c r="IH1" s="112"/>
      <c r="II1" s="112"/>
      <c r="IJ1" s="112"/>
      <c r="IK1" s="112"/>
      <c r="IL1" s="112"/>
      <c r="IM1" s="112"/>
      <c r="IN1" s="112"/>
      <c r="IO1" s="112"/>
      <c r="IP1" s="112"/>
      <c r="IQ1" s="112"/>
      <c r="IR1" s="112"/>
      <c r="IS1" s="112"/>
      <c r="IT1" s="112"/>
      <c r="IU1" s="112"/>
    </row>
    <row r="2" spans="1:255" ht="18" x14ac:dyDescent="0.2">
      <c r="A2" s="112"/>
      <c r="B2" s="112"/>
      <c r="C2" s="1597"/>
      <c r="D2" s="1597"/>
      <c r="E2" s="1597"/>
      <c r="F2" s="1597"/>
      <c r="G2" s="1597"/>
      <c r="H2" s="1597"/>
      <c r="I2" s="1597"/>
      <c r="J2" s="1597"/>
      <c r="K2" s="1597"/>
      <c r="L2" s="1597"/>
      <c r="M2" s="1597"/>
      <c r="N2" s="1597"/>
      <c r="O2" s="1597"/>
      <c r="P2" s="114"/>
      <c r="Q2" s="112"/>
      <c r="R2" s="112"/>
      <c r="S2" s="112"/>
      <c r="T2" s="112"/>
      <c r="U2" s="112"/>
      <c r="V2" s="112"/>
      <c r="W2" s="112"/>
      <c r="X2" s="112"/>
      <c r="Y2" s="112"/>
      <c r="Z2" s="112"/>
      <c r="AA2" s="112"/>
      <c r="AB2" s="112"/>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c r="BA2" s="112"/>
      <c r="BB2" s="112"/>
      <c r="BC2" s="112"/>
      <c r="BD2" s="112"/>
      <c r="BE2" s="112"/>
      <c r="BF2" s="112"/>
      <c r="BG2" s="112"/>
      <c r="BH2" s="112"/>
      <c r="BI2" s="112"/>
      <c r="BJ2" s="112"/>
      <c r="BK2" s="112"/>
      <c r="BL2" s="112"/>
      <c r="BM2" s="112"/>
      <c r="BN2" s="112"/>
      <c r="BO2" s="112"/>
      <c r="BP2" s="112"/>
      <c r="BQ2" s="112"/>
      <c r="BR2" s="112"/>
      <c r="BS2" s="112"/>
      <c r="BT2" s="112"/>
      <c r="BU2" s="112"/>
      <c r="BV2" s="112"/>
      <c r="BW2" s="112"/>
      <c r="BX2" s="112"/>
      <c r="BY2" s="112"/>
      <c r="BZ2" s="112"/>
      <c r="CA2" s="112"/>
      <c r="CB2" s="112"/>
      <c r="CC2" s="112"/>
      <c r="CD2" s="112"/>
      <c r="CE2" s="112"/>
      <c r="CF2" s="112"/>
      <c r="CG2" s="112"/>
      <c r="CH2" s="112"/>
      <c r="CI2" s="112"/>
      <c r="CJ2" s="112"/>
      <c r="CK2" s="112"/>
      <c r="CL2" s="112"/>
      <c r="CM2" s="112"/>
      <c r="CN2" s="112"/>
      <c r="CO2" s="112"/>
      <c r="CP2" s="112"/>
      <c r="CQ2" s="112"/>
      <c r="CR2" s="112"/>
      <c r="CS2" s="112"/>
      <c r="CT2" s="112"/>
      <c r="CU2" s="112"/>
      <c r="CV2" s="112"/>
      <c r="CW2" s="112"/>
      <c r="CX2" s="112"/>
      <c r="CY2" s="112"/>
      <c r="CZ2" s="112"/>
      <c r="DA2" s="112"/>
      <c r="DB2" s="112"/>
      <c r="DC2" s="112"/>
      <c r="DD2" s="112"/>
      <c r="DE2" s="112"/>
      <c r="DF2" s="112"/>
      <c r="DG2" s="112"/>
      <c r="DH2" s="112"/>
      <c r="DI2" s="112"/>
      <c r="DJ2" s="112"/>
      <c r="DK2" s="112"/>
      <c r="DL2" s="112"/>
      <c r="DM2" s="112"/>
      <c r="DN2" s="112"/>
      <c r="DO2" s="112"/>
      <c r="DP2" s="112"/>
      <c r="DQ2" s="112"/>
      <c r="DR2" s="112"/>
      <c r="DS2" s="112"/>
      <c r="DT2" s="112"/>
      <c r="DU2" s="112"/>
      <c r="DV2" s="112"/>
      <c r="DW2" s="112"/>
      <c r="DX2" s="112"/>
      <c r="DY2" s="112"/>
      <c r="DZ2" s="112"/>
      <c r="EA2" s="112"/>
      <c r="EB2" s="112"/>
      <c r="EC2" s="112"/>
      <c r="ED2" s="112"/>
      <c r="EE2" s="112"/>
      <c r="EF2" s="112"/>
      <c r="EG2" s="112"/>
      <c r="EH2" s="112"/>
      <c r="EI2" s="112"/>
      <c r="EJ2" s="112"/>
      <c r="EK2" s="112"/>
      <c r="EL2" s="112"/>
      <c r="EM2" s="112"/>
      <c r="EN2" s="112"/>
      <c r="EO2" s="112"/>
      <c r="EP2" s="112"/>
      <c r="EQ2" s="112"/>
      <c r="ER2" s="112"/>
      <c r="ES2" s="112"/>
      <c r="ET2" s="112"/>
      <c r="EU2" s="112"/>
      <c r="EV2" s="112"/>
      <c r="EW2" s="112"/>
      <c r="EX2" s="112"/>
      <c r="EY2" s="112"/>
      <c r="EZ2" s="112"/>
      <c r="FA2" s="112"/>
      <c r="FB2" s="112"/>
      <c r="FC2" s="112"/>
      <c r="FD2" s="112"/>
      <c r="FE2" s="112"/>
      <c r="FF2" s="112"/>
      <c r="FG2" s="112"/>
      <c r="FH2" s="112"/>
      <c r="FI2" s="112"/>
      <c r="FJ2" s="112"/>
      <c r="FK2" s="112"/>
      <c r="FL2" s="112"/>
      <c r="FM2" s="112"/>
      <c r="FN2" s="112"/>
      <c r="FO2" s="112"/>
      <c r="FP2" s="112"/>
      <c r="FQ2" s="112"/>
      <c r="FR2" s="112"/>
      <c r="FS2" s="112"/>
      <c r="FT2" s="112"/>
      <c r="FU2" s="112"/>
      <c r="FV2" s="112"/>
      <c r="FW2" s="112"/>
      <c r="FX2" s="112"/>
      <c r="FY2" s="112"/>
      <c r="FZ2" s="112"/>
      <c r="GA2" s="112"/>
      <c r="GB2" s="112"/>
      <c r="GC2" s="112"/>
      <c r="GD2" s="112"/>
      <c r="GE2" s="112"/>
      <c r="GF2" s="112"/>
      <c r="GG2" s="112"/>
      <c r="GH2" s="112"/>
      <c r="GI2" s="112"/>
      <c r="GJ2" s="112"/>
      <c r="GK2" s="112"/>
      <c r="GL2" s="112"/>
      <c r="GM2" s="112"/>
      <c r="GN2" s="112"/>
      <c r="GO2" s="112"/>
      <c r="GP2" s="112"/>
      <c r="GQ2" s="112"/>
      <c r="GR2" s="112"/>
      <c r="GS2" s="112"/>
      <c r="GT2" s="112"/>
      <c r="GU2" s="112"/>
      <c r="GV2" s="112"/>
      <c r="GW2" s="112"/>
      <c r="GX2" s="112"/>
      <c r="GY2" s="112"/>
      <c r="GZ2" s="112"/>
      <c r="HA2" s="112"/>
      <c r="HB2" s="112"/>
      <c r="HC2" s="112"/>
      <c r="HD2" s="112"/>
      <c r="HE2" s="112"/>
      <c r="HF2" s="112"/>
      <c r="HG2" s="112"/>
      <c r="HH2" s="112"/>
      <c r="HI2" s="112"/>
      <c r="HJ2" s="112"/>
      <c r="HK2" s="112"/>
      <c r="HL2" s="112"/>
      <c r="HM2" s="112"/>
      <c r="HN2" s="112"/>
      <c r="HO2" s="112"/>
      <c r="HP2" s="112"/>
      <c r="HQ2" s="112"/>
      <c r="HR2" s="112"/>
      <c r="HS2" s="112"/>
      <c r="HT2" s="112"/>
      <c r="HU2" s="112"/>
      <c r="HV2" s="112"/>
      <c r="HW2" s="112"/>
      <c r="HX2" s="112"/>
      <c r="HY2" s="112"/>
      <c r="HZ2" s="112"/>
      <c r="IA2" s="112"/>
      <c r="IB2" s="112"/>
      <c r="IC2" s="112"/>
      <c r="ID2" s="112"/>
      <c r="IE2" s="112"/>
      <c r="IF2" s="112"/>
      <c r="IG2" s="112"/>
      <c r="IH2" s="112"/>
      <c r="II2" s="112"/>
      <c r="IJ2" s="112"/>
      <c r="IK2" s="112"/>
      <c r="IL2" s="112"/>
      <c r="IM2" s="112"/>
      <c r="IN2" s="112"/>
      <c r="IO2" s="112"/>
      <c r="IP2" s="112"/>
      <c r="IQ2" s="112"/>
      <c r="IR2" s="112"/>
      <c r="IS2" s="112"/>
      <c r="IT2" s="112"/>
      <c r="IU2" s="112"/>
    </row>
    <row r="3" spans="1:255" ht="52.35" customHeight="1" x14ac:dyDescent="0.2">
      <c r="A3" s="112"/>
      <c r="B3" s="112"/>
      <c r="C3" s="115" t="s">
        <v>203</v>
      </c>
      <c r="D3" s="116"/>
      <c r="E3" s="115" t="s">
        <v>204</v>
      </c>
      <c r="F3" s="115"/>
      <c r="G3" s="117" t="s">
        <v>205</v>
      </c>
      <c r="H3" s="117"/>
      <c r="I3" s="117" t="s">
        <v>206</v>
      </c>
      <c r="J3" s="117"/>
      <c r="K3" s="117" t="s">
        <v>207</v>
      </c>
      <c r="L3" s="117"/>
      <c r="M3" s="117" t="s">
        <v>208</v>
      </c>
      <c r="N3" s="117"/>
      <c r="O3" s="117" t="s">
        <v>209</v>
      </c>
      <c r="P3" s="117"/>
      <c r="Q3" s="118" t="s">
        <v>210</v>
      </c>
      <c r="R3" s="118"/>
      <c r="S3" s="118" t="s">
        <v>211</v>
      </c>
      <c r="T3" s="118"/>
      <c r="U3" s="118" t="s">
        <v>212</v>
      </c>
      <c r="V3" s="118"/>
      <c r="W3" s="118" t="s">
        <v>213</v>
      </c>
      <c r="X3" s="118"/>
      <c r="Y3" s="119"/>
      <c r="Z3" s="119"/>
      <c r="AA3" s="119"/>
      <c r="AB3" s="119"/>
      <c r="AC3" s="119"/>
      <c r="AD3" s="119"/>
      <c r="AE3" s="119"/>
      <c r="AF3" s="119"/>
      <c r="AG3" s="119"/>
      <c r="AH3" s="119"/>
      <c r="AI3" s="119"/>
      <c r="AJ3" s="119"/>
      <c r="AK3" s="119"/>
      <c r="AL3" s="119"/>
      <c r="AM3" s="119"/>
      <c r="AN3" s="119"/>
      <c r="AO3" s="119"/>
      <c r="AP3" s="119"/>
      <c r="AQ3" s="119"/>
      <c r="AR3" s="119"/>
      <c r="AS3" s="119"/>
      <c r="AT3" s="119"/>
      <c r="AU3" s="119"/>
      <c r="AV3" s="119"/>
      <c r="AW3" s="112"/>
      <c r="AX3" s="112"/>
      <c r="AY3" s="112"/>
      <c r="AZ3" s="112"/>
      <c r="BA3" s="112"/>
      <c r="BB3" s="112"/>
      <c r="BC3" s="112"/>
      <c r="BD3" s="112"/>
      <c r="BE3" s="112"/>
      <c r="BF3" s="112"/>
      <c r="BG3" s="112"/>
      <c r="BH3" s="112"/>
      <c r="BI3" s="112"/>
      <c r="BJ3" s="112"/>
      <c r="BK3" s="112"/>
      <c r="BL3" s="112"/>
      <c r="BM3" s="112"/>
      <c r="BN3" s="112"/>
      <c r="BO3" s="112"/>
      <c r="BP3" s="112"/>
      <c r="BQ3" s="112"/>
      <c r="BR3" s="112"/>
      <c r="BS3" s="112"/>
      <c r="BT3" s="112"/>
      <c r="BU3" s="112"/>
      <c r="BV3" s="112"/>
      <c r="BW3" s="112"/>
      <c r="BX3" s="112"/>
      <c r="BY3" s="112"/>
      <c r="BZ3" s="112"/>
      <c r="CA3" s="112"/>
      <c r="CB3" s="112"/>
      <c r="CC3" s="112"/>
      <c r="CD3" s="112"/>
      <c r="CE3" s="112"/>
      <c r="CF3" s="112"/>
      <c r="CG3" s="112"/>
      <c r="CH3" s="112"/>
      <c r="CI3" s="112"/>
      <c r="CJ3" s="112"/>
      <c r="CK3" s="112"/>
      <c r="CL3" s="112"/>
      <c r="CM3" s="112"/>
      <c r="CN3" s="112"/>
      <c r="CO3" s="112"/>
      <c r="CP3" s="112"/>
      <c r="CQ3" s="112"/>
      <c r="CR3" s="112"/>
      <c r="CS3" s="112"/>
      <c r="CT3" s="112"/>
      <c r="CU3" s="112"/>
      <c r="CV3" s="112"/>
      <c r="CW3" s="112"/>
      <c r="CX3" s="112"/>
      <c r="CY3" s="112"/>
      <c r="CZ3" s="112"/>
      <c r="DA3" s="112"/>
      <c r="DB3" s="112"/>
      <c r="DC3" s="112"/>
      <c r="DD3" s="112"/>
      <c r="DE3" s="112"/>
      <c r="DF3" s="112"/>
      <c r="DG3" s="112"/>
      <c r="DH3" s="112"/>
      <c r="DI3" s="112"/>
      <c r="DJ3" s="112"/>
      <c r="DK3" s="112"/>
      <c r="DL3" s="112"/>
      <c r="DM3" s="112"/>
      <c r="DN3" s="112"/>
      <c r="DO3" s="112"/>
      <c r="DP3" s="112"/>
      <c r="DQ3" s="112"/>
      <c r="DR3" s="112"/>
      <c r="DS3" s="112"/>
      <c r="DT3" s="112"/>
      <c r="DU3" s="112"/>
      <c r="DV3" s="112"/>
      <c r="DW3" s="112"/>
      <c r="DX3" s="112"/>
      <c r="DY3" s="112"/>
      <c r="DZ3" s="112"/>
      <c r="EA3" s="112"/>
      <c r="EB3" s="112"/>
      <c r="EC3" s="112"/>
      <c r="ED3" s="112"/>
      <c r="EE3" s="112"/>
      <c r="EF3" s="112"/>
      <c r="EG3" s="112"/>
      <c r="EH3" s="112"/>
      <c r="EI3" s="112"/>
      <c r="EJ3" s="112"/>
      <c r="EK3" s="112"/>
      <c r="EL3" s="112"/>
      <c r="EM3" s="112"/>
      <c r="EN3" s="112"/>
      <c r="EO3" s="112"/>
      <c r="EP3" s="112"/>
      <c r="EQ3" s="112"/>
      <c r="ER3" s="112"/>
      <c r="ES3" s="112"/>
      <c r="ET3" s="112"/>
      <c r="EU3" s="112"/>
      <c r="EV3" s="112"/>
      <c r="EW3" s="112"/>
      <c r="EX3" s="112"/>
      <c r="EY3" s="112"/>
      <c r="EZ3" s="112"/>
      <c r="FA3" s="112"/>
      <c r="FB3" s="112"/>
      <c r="FC3" s="112"/>
      <c r="FD3" s="112"/>
      <c r="FE3" s="112"/>
      <c r="FF3" s="112"/>
      <c r="FG3" s="112"/>
      <c r="FH3" s="112"/>
      <c r="FI3" s="112"/>
      <c r="FJ3" s="112"/>
      <c r="FK3" s="112"/>
      <c r="FL3" s="112"/>
      <c r="FM3" s="112"/>
      <c r="FN3" s="112"/>
      <c r="FO3" s="112"/>
      <c r="FP3" s="112"/>
      <c r="FQ3" s="112"/>
      <c r="FR3" s="112"/>
      <c r="FS3" s="112"/>
      <c r="FT3" s="112"/>
      <c r="FU3" s="112"/>
      <c r="FV3" s="112"/>
      <c r="FW3" s="112"/>
      <c r="FX3" s="112"/>
      <c r="FY3" s="112"/>
      <c r="FZ3" s="112"/>
      <c r="GA3" s="112"/>
      <c r="GB3" s="112"/>
      <c r="GC3" s="112"/>
      <c r="GD3" s="112"/>
      <c r="GE3" s="112"/>
      <c r="GF3" s="112"/>
      <c r="GG3" s="112"/>
      <c r="GH3" s="112"/>
      <c r="GI3" s="112"/>
      <c r="GJ3" s="112"/>
      <c r="GK3" s="112"/>
      <c r="GL3" s="112"/>
      <c r="GM3" s="112"/>
      <c r="GN3" s="112"/>
      <c r="GO3" s="112"/>
      <c r="GP3" s="112"/>
      <c r="GQ3" s="112"/>
      <c r="GR3" s="112"/>
      <c r="GS3" s="112"/>
      <c r="GT3" s="112"/>
      <c r="GU3" s="112"/>
      <c r="GV3" s="112"/>
      <c r="GW3" s="112"/>
      <c r="GX3" s="112"/>
      <c r="GY3" s="112"/>
      <c r="GZ3" s="112"/>
      <c r="HA3" s="112"/>
      <c r="HB3" s="112"/>
      <c r="HC3" s="112"/>
      <c r="HD3" s="112"/>
      <c r="HE3" s="112"/>
      <c r="HF3" s="112"/>
      <c r="HG3" s="112"/>
      <c r="HH3" s="112"/>
      <c r="HI3" s="112"/>
      <c r="HJ3" s="112"/>
      <c r="HK3" s="112"/>
      <c r="HL3" s="112"/>
      <c r="HM3" s="112"/>
      <c r="HN3" s="112"/>
      <c r="HO3" s="112"/>
      <c r="HP3" s="112"/>
      <c r="HQ3" s="112"/>
      <c r="HR3" s="112"/>
      <c r="HS3" s="112"/>
      <c r="HT3" s="112"/>
      <c r="HU3" s="112"/>
      <c r="HV3" s="112"/>
      <c r="HW3" s="112"/>
      <c r="HX3" s="112"/>
      <c r="HY3" s="112"/>
      <c r="HZ3" s="112"/>
      <c r="IA3" s="112"/>
      <c r="IB3" s="112"/>
      <c r="IC3" s="112"/>
      <c r="ID3" s="112"/>
      <c r="IE3" s="112"/>
      <c r="IF3" s="112"/>
      <c r="IG3" s="112"/>
      <c r="IH3" s="112"/>
      <c r="II3" s="112"/>
      <c r="IJ3" s="112"/>
      <c r="IK3" s="112"/>
      <c r="IL3" s="112"/>
      <c r="IM3" s="112"/>
      <c r="IN3" s="112"/>
      <c r="IO3" s="112"/>
      <c r="IP3" s="112"/>
      <c r="IQ3" s="112"/>
      <c r="IR3" s="112"/>
      <c r="IS3" s="112"/>
      <c r="IT3" s="112"/>
      <c r="IU3" s="112"/>
    </row>
    <row r="4" spans="1:255" x14ac:dyDescent="0.2">
      <c r="A4" s="112"/>
      <c r="B4" s="112"/>
      <c r="C4" s="120">
        <v>2</v>
      </c>
      <c r="D4" s="121"/>
      <c r="E4" s="120">
        <f t="shared" ref="E4:E12" si="0">2*C4</f>
        <v>4</v>
      </c>
      <c r="F4" s="120"/>
      <c r="G4" s="122">
        <f>2*(2.5+1.6)</f>
        <v>8.1999999999999993</v>
      </c>
      <c r="H4" s="122"/>
      <c r="I4" s="122">
        <f>2*(1.25*3.2)</f>
        <v>8</v>
      </c>
      <c r="J4" s="122"/>
      <c r="K4" s="122">
        <f t="shared" ref="K4:K21" si="1">G4+I4</f>
        <v>16.2</v>
      </c>
      <c r="L4" s="122"/>
      <c r="M4" s="122"/>
      <c r="N4" s="122"/>
      <c r="O4" s="122"/>
      <c r="P4" s="122"/>
      <c r="Q4" s="123">
        <v>1.6</v>
      </c>
      <c r="R4" s="123"/>
      <c r="S4" s="123">
        <v>2.5</v>
      </c>
      <c r="T4" s="123"/>
      <c r="U4" s="123">
        <v>1.25</v>
      </c>
      <c r="V4" s="123"/>
      <c r="W4" s="123">
        <v>3.2</v>
      </c>
      <c r="X4" s="123"/>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12"/>
      <c r="AX4" s="112"/>
      <c r="AY4" s="112"/>
      <c r="AZ4" s="112"/>
      <c r="BA4" s="112"/>
      <c r="BB4" s="112"/>
      <c r="BC4" s="112"/>
      <c r="BD4" s="112"/>
      <c r="BE4" s="112"/>
      <c r="BF4" s="112"/>
      <c r="BG4" s="112"/>
      <c r="BH4" s="112"/>
      <c r="BI4" s="112"/>
      <c r="BJ4" s="112"/>
      <c r="BK4" s="112"/>
      <c r="BL4" s="112"/>
      <c r="BM4" s="112"/>
      <c r="BN4" s="112"/>
      <c r="BO4" s="112"/>
      <c r="BP4" s="112"/>
      <c r="BQ4" s="112"/>
      <c r="BR4" s="112"/>
      <c r="BS4" s="112"/>
      <c r="BT4" s="112"/>
      <c r="BU4" s="112"/>
      <c r="BV4" s="112"/>
      <c r="BW4" s="112"/>
      <c r="BX4" s="112"/>
      <c r="BY4" s="112"/>
      <c r="BZ4" s="112"/>
      <c r="CA4" s="112"/>
      <c r="CB4" s="112"/>
      <c r="CC4" s="112"/>
      <c r="CD4" s="112"/>
      <c r="CE4" s="112"/>
      <c r="CF4" s="112"/>
      <c r="CG4" s="112"/>
      <c r="CH4" s="112"/>
      <c r="CI4" s="112"/>
      <c r="CJ4" s="112"/>
      <c r="CK4" s="112"/>
      <c r="CL4" s="112"/>
      <c r="CM4" s="112"/>
      <c r="CN4" s="112"/>
      <c r="CO4" s="112"/>
      <c r="CP4" s="112"/>
      <c r="CQ4" s="112"/>
      <c r="CR4" s="112"/>
      <c r="CS4" s="112"/>
      <c r="CT4" s="112"/>
      <c r="CU4" s="112"/>
      <c r="CV4" s="112"/>
      <c r="CW4" s="112"/>
      <c r="CX4" s="112"/>
      <c r="CY4" s="112"/>
      <c r="CZ4" s="112"/>
      <c r="DA4" s="112"/>
      <c r="DB4" s="112"/>
      <c r="DC4" s="112"/>
      <c r="DD4" s="112"/>
      <c r="DE4" s="112"/>
      <c r="DF4" s="112"/>
      <c r="DG4" s="112"/>
      <c r="DH4" s="112"/>
      <c r="DI4" s="112"/>
      <c r="DJ4" s="112"/>
      <c r="DK4" s="112"/>
      <c r="DL4" s="112"/>
      <c r="DM4" s="112"/>
      <c r="DN4" s="112"/>
      <c r="DO4" s="112"/>
      <c r="DP4" s="112"/>
      <c r="DQ4" s="112"/>
      <c r="DR4" s="112"/>
      <c r="DS4" s="112"/>
      <c r="DT4" s="112"/>
      <c r="DU4" s="112"/>
      <c r="DV4" s="112"/>
      <c r="DW4" s="112"/>
      <c r="DX4" s="112"/>
      <c r="DY4" s="112"/>
      <c r="DZ4" s="112"/>
      <c r="EA4" s="112"/>
      <c r="EB4" s="112"/>
      <c r="EC4" s="112"/>
      <c r="ED4" s="112"/>
      <c r="EE4" s="112"/>
      <c r="EF4" s="112"/>
      <c r="EG4" s="112"/>
      <c r="EH4" s="112"/>
      <c r="EI4" s="112"/>
      <c r="EJ4" s="112"/>
      <c r="EK4" s="112"/>
      <c r="EL4" s="112"/>
      <c r="EM4" s="112"/>
      <c r="EN4" s="112"/>
      <c r="EO4" s="112"/>
      <c r="EP4" s="112"/>
      <c r="EQ4" s="112"/>
      <c r="ER4" s="112"/>
      <c r="ES4" s="112"/>
      <c r="ET4" s="112"/>
      <c r="EU4" s="112"/>
      <c r="EV4" s="112"/>
      <c r="EW4" s="112"/>
      <c r="EX4" s="112"/>
      <c r="EY4" s="112"/>
      <c r="EZ4" s="112"/>
      <c r="FA4" s="112"/>
      <c r="FB4" s="112"/>
      <c r="FC4" s="112"/>
      <c r="FD4" s="112"/>
      <c r="FE4" s="112"/>
      <c r="FF4" s="112"/>
      <c r="FG4" s="112"/>
      <c r="FH4" s="112"/>
      <c r="FI4" s="112"/>
      <c r="FJ4" s="112"/>
      <c r="FK4" s="112"/>
      <c r="FL4" s="112"/>
      <c r="FM4" s="112"/>
      <c r="FN4" s="112"/>
      <c r="FO4" s="112"/>
      <c r="FP4" s="112"/>
      <c r="FQ4" s="112"/>
      <c r="FR4" s="112"/>
      <c r="FS4" s="112"/>
      <c r="FT4" s="112"/>
      <c r="FU4" s="112"/>
      <c r="FV4" s="112"/>
      <c r="FW4" s="112"/>
      <c r="FX4" s="112"/>
      <c r="FY4" s="112"/>
      <c r="FZ4" s="112"/>
      <c r="GA4" s="112"/>
      <c r="GB4" s="112"/>
      <c r="GC4" s="112"/>
      <c r="GD4" s="112"/>
      <c r="GE4" s="112"/>
      <c r="GF4" s="112"/>
      <c r="GG4" s="112"/>
      <c r="GH4" s="112"/>
      <c r="GI4" s="112"/>
      <c r="GJ4" s="112"/>
      <c r="GK4" s="112"/>
      <c r="GL4" s="112"/>
      <c r="GM4" s="112"/>
      <c r="GN4" s="112"/>
      <c r="GO4" s="112"/>
      <c r="GP4" s="112"/>
      <c r="GQ4" s="112"/>
      <c r="GR4" s="112"/>
      <c r="GS4" s="112"/>
      <c r="GT4" s="112"/>
      <c r="GU4" s="112"/>
      <c r="GV4" s="112"/>
      <c r="GW4" s="112"/>
      <c r="GX4" s="112"/>
      <c r="GY4" s="112"/>
      <c r="GZ4" s="112"/>
      <c r="HA4" s="112"/>
      <c r="HB4" s="112"/>
      <c r="HC4" s="112"/>
      <c r="HD4" s="112"/>
      <c r="HE4" s="112"/>
      <c r="HF4" s="112"/>
      <c r="HG4" s="112"/>
      <c r="HH4" s="112"/>
      <c r="HI4" s="112"/>
      <c r="HJ4" s="112"/>
      <c r="HK4" s="112"/>
      <c r="HL4" s="112"/>
      <c r="HM4" s="112"/>
      <c r="HN4" s="112"/>
      <c r="HO4" s="112"/>
      <c r="HP4" s="112"/>
      <c r="HQ4" s="112"/>
      <c r="HR4" s="112"/>
      <c r="HS4" s="112"/>
      <c r="HT4" s="112"/>
      <c r="HU4" s="112"/>
      <c r="HV4" s="112"/>
      <c r="HW4" s="112"/>
      <c r="HX4" s="112"/>
      <c r="HY4" s="112"/>
      <c r="HZ4" s="112"/>
      <c r="IA4" s="112"/>
      <c r="IB4" s="112"/>
      <c r="IC4" s="112"/>
      <c r="ID4" s="112"/>
      <c r="IE4" s="112"/>
      <c r="IF4" s="112"/>
      <c r="IG4" s="112"/>
      <c r="IH4" s="112"/>
      <c r="II4" s="112"/>
      <c r="IJ4" s="112"/>
      <c r="IK4" s="112"/>
      <c r="IL4" s="112"/>
      <c r="IM4" s="112"/>
      <c r="IN4" s="112"/>
      <c r="IO4" s="112"/>
      <c r="IP4" s="112"/>
      <c r="IQ4" s="112"/>
      <c r="IR4" s="112"/>
      <c r="IS4" s="112"/>
      <c r="IT4" s="112"/>
      <c r="IU4" s="112"/>
    </row>
    <row r="5" spans="1:255" x14ac:dyDescent="0.2">
      <c r="A5" s="112"/>
      <c r="B5" s="112"/>
      <c r="C5" s="120">
        <v>3</v>
      </c>
      <c r="D5" s="121"/>
      <c r="E5" s="120">
        <f t="shared" si="0"/>
        <v>6</v>
      </c>
      <c r="F5" s="120"/>
      <c r="G5" s="122">
        <f>2*(3+2)</f>
        <v>10</v>
      </c>
      <c r="H5" s="122"/>
      <c r="I5" s="122">
        <f>2*(1.5+4)</f>
        <v>11</v>
      </c>
      <c r="J5" s="122"/>
      <c r="K5" s="122">
        <f t="shared" si="1"/>
        <v>21</v>
      </c>
      <c r="L5" s="122"/>
      <c r="M5" s="122">
        <v>11</v>
      </c>
      <c r="N5" s="122"/>
      <c r="O5" s="122">
        <v>11</v>
      </c>
      <c r="P5" s="122"/>
      <c r="Q5" s="123">
        <v>2</v>
      </c>
      <c r="R5" s="123"/>
      <c r="S5" s="123">
        <v>3</v>
      </c>
      <c r="T5" s="123"/>
      <c r="U5" s="123">
        <v>1.5</v>
      </c>
      <c r="V5" s="123"/>
      <c r="W5" s="123">
        <v>4</v>
      </c>
      <c r="X5" s="123"/>
      <c r="Y5" s="124"/>
      <c r="Z5" s="124"/>
      <c r="AA5" s="124"/>
      <c r="AB5" s="124"/>
      <c r="AC5" s="124"/>
      <c r="AD5" s="124"/>
      <c r="AE5" s="124"/>
      <c r="AF5" s="124"/>
      <c r="AG5" s="124"/>
      <c r="AH5" s="124"/>
      <c r="AI5" s="124"/>
      <c r="AJ5" s="124"/>
      <c r="AK5" s="124"/>
      <c r="AL5" s="124"/>
      <c r="AM5" s="124"/>
      <c r="AN5" s="124"/>
      <c r="AO5" s="124"/>
      <c r="AP5" s="124"/>
      <c r="AQ5" s="124"/>
      <c r="AR5" s="124"/>
      <c r="AS5" s="124"/>
      <c r="AT5" s="124"/>
      <c r="AU5" s="124"/>
      <c r="AV5" s="124"/>
      <c r="AW5" s="112"/>
      <c r="AX5" s="112"/>
      <c r="AY5" s="112"/>
      <c r="AZ5" s="112"/>
      <c r="BA5" s="112"/>
      <c r="BB5" s="112"/>
      <c r="BC5" s="112"/>
      <c r="BD5" s="112"/>
      <c r="BE5" s="112"/>
      <c r="BF5" s="112"/>
      <c r="BG5" s="112"/>
      <c r="BH5" s="112"/>
      <c r="BI5" s="112"/>
      <c r="BJ5" s="112"/>
      <c r="BK5" s="112"/>
      <c r="BL5" s="112"/>
      <c r="BM5" s="112"/>
      <c r="BN5" s="112"/>
      <c r="BO5" s="112"/>
      <c r="BP5" s="112"/>
      <c r="BQ5" s="112"/>
      <c r="BR5" s="112"/>
      <c r="BS5" s="112"/>
      <c r="BT5" s="112"/>
      <c r="BU5" s="112"/>
      <c r="BV5" s="112"/>
      <c r="BW5" s="112"/>
      <c r="BX5" s="112"/>
      <c r="BY5" s="112"/>
      <c r="BZ5" s="112"/>
      <c r="CA5" s="112"/>
      <c r="CB5" s="112"/>
      <c r="CC5" s="112"/>
      <c r="CD5" s="112"/>
      <c r="CE5" s="112"/>
      <c r="CF5" s="112"/>
      <c r="CG5" s="112"/>
      <c r="CH5" s="112"/>
      <c r="CI5" s="112"/>
      <c r="CJ5" s="112"/>
      <c r="CK5" s="112"/>
      <c r="CL5" s="112"/>
      <c r="CM5" s="112"/>
      <c r="CN5" s="112"/>
      <c r="CO5" s="112"/>
      <c r="CP5" s="112"/>
      <c r="CQ5" s="112"/>
      <c r="CR5" s="112"/>
      <c r="CS5" s="112"/>
      <c r="CT5" s="112"/>
      <c r="CU5" s="112"/>
      <c r="CV5" s="112"/>
      <c r="CW5" s="112"/>
      <c r="CX5" s="112"/>
      <c r="CY5" s="112"/>
      <c r="CZ5" s="112"/>
      <c r="DA5" s="112"/>
      <c r="DB5" s="112"/>
      <c r="DC5" s="112"/>
      <c r="DD5" s="112"/>
      <c r="DE5" s="112"/>
      <c r="DF5" s="112"/>
      <c r="DG5" s="112"/>
      <c r="DH5" s="112"/>
      <c r="DI5" s="112"/>
      <c r="DJ5" s="112"/>
      <c r="DK5" s="112"/>
      <c r="DL5" s="112"/>
      <c r="DM5" s="112"/>
      <c r="DN5" s="112"/>
      <c r="DO5" s="112"/>
      <c r="DP5" s="112"/>
      <c r="DQ5" s="112"/>
      <c r="DR5" s="112"/>
      <c r="DS5" s="112"/>
      <c r="DT5" s="112"/>
      <c r="DU5" s="112"/>
      <c r="DV5" s="112"/>
      <c r="DW5" s="112"/>
      <c r="DX5" s="112"/>
      <c r="DY5" s="112"/>
      <c r="DZ5" s="112"/>
      <c r="EA5" s="112"/>
      <c r="EB5" s="112"/>
      <c r="EC5" s="112"/>
      <c r="ED5" s="112"/>
      <c r="EE5" s="112"/>
      <c r="EF5" s="112"/>
      <c r="EG5" s="112"/>
      <c r="EH5" s="112"/>
      <c r="EI5" s="112"/>
      <c r="EJ5" s="112"/>
      <c r="EK5" s="112"/>
      <c r="EL5" s="112"/>
      <c r="EM5" s="112"/>
      <c r="EN5" s="112"/>
      <c r="EO5" s="112"/>
      <c r="EP5" s="112"/>
      <c r="EQ5" s="112"/>
      <c r="ER5" s="112"/>
      <c r="ES5" s="112"/>
      <c r="ET5" s="112"/>
      <c r="EU5" s="112"/>
      <c r="EV5" s="112"/>
      <c r="EW5" s="112"/>
      <c r="EX5" s="112"/>
      <c r="EY5" s="112"/>
      <c r="EZ5" s="112"/>
      <c r="FA5" s="112"/>
      <c r="FB5" s="112"/>
      <c r="FC5" s="112"/>
      <c r="FD5" s="112"/>
      <c r="FE5" s="112"/>
      <c r="FF5" s="112"/>
      <c r="FG5" s="112"/>
      <c r="FH5" s="112"/>
      <c r="FI5" s="112"/>
      <c r="FJ5" s="112"/>
      <c r="FK5" s="112"/>
      <c r="FL5" s="112"/>
      <c r="FM5" s="112"/>
      <c r="FN5" s="112"/>
      <c r="FO5" s="112"/>
      <c r="FP5" s="112"/>
      <c r="FQ5" s="112"/>
      <c r="FR5" s="112"/>
      <c r="FS5" s="112"/>
      <c r="FT5" s="112"/>
      <c r="FU5" s="112"/>
      <c r="FV5" s="112"/>
      <c r="FW5" s="112"/>
      <c r="FX5" s="112"/>
      <c r="FY5" s="112"/>
      <c r="FZ5" s="112"/>
      <c r="GA5" s="112"/>
      <c r="GB5" s="112"/>
      <c r="GC5" s="112"/>
      <c r="GD5" s="112"/>
      <c r="GE5" s="112"/>
      <c r="GF5" s="112"/>
      <c r="GG5" s="112"/>
      <c r="GH5" s="112"/>
      <c r="GI5" s="112"/>
      <c r="GJ5" s="112"/>
      <c r="GK5" s="112"/>
      <c r="GL5" s="112"/>
      <c r="GM5" s="112"/>
      <c r="GN5" s="112"/>
      <c r="GO5" s="112"/>
      <c r="GP5" s="112"/>
      <c r="GQ5" s="112"/>
      <c r="GR5" s="112"/>
      <c r="GS5" s="112"/>
      <c r="GT5" s="112"/>
      <c r="GU5" s="112"/>
      <c r="GV5" s="112"/>
      <c r="GW5" s="112"/>
      <c r="GX5" s="112"/>
      <c r="GY5" s="112"/>
      <c r="GZ5" s="112"/>
      <c r="HA5" s="112"/>
      <c r="HB5" s="112"/>
      <c r="HC5" s="112"/>
      <c r="HD5" s="112"/>
      <c r="HE5" s="112"/>
      <c r="HF5" s="112"/>
      <c r="HG5" s="112"/>
      <c r="HH5" s="112"/>
      <c r="HI5" s="112"/>
      <c r="HJ5" s="112"/>
      <c r="HK5" s="112"/>
      <c r="HL5" s="112"/>
      <c r="HM5" s="112"/>
      <c r="HN5" s="112"/>
      <c r="HO5" s="112"/>
      <c r="HP5" s="112"/>
      <c r="HQ5" s="112"/>
      <c r="HR5" s="112"/>
      <c r="HS5" s="112"/>
      <c r="HT5" s="112"/>
      <c r="HU5" s="112"/>
      <c r="HV5" s="112"/>
      <c r="HW5" s="112"/>
      <c r="HX5" s="112"/>
      <c r="HY5" s="112"/>
      <c r="HZ5" s="112"/>
      <c r="IA5" s="112"/>
      <c r="IB5" s="112"/>
      <c r="IC5" s="112"/>
      <c r="ID5" s="112"/>
      <c r="IE5" s="112"/>
      <c r="IF5" s="112"/>
      <c r="IG5" s="112"/>
      <c r="IH5" s="112"/>
      <c r="II5" s="112"/>
      <c r="IJ5" s="112"/>
      <c r="IK5" s="112"/>
      <c r="IL5" s="112"/>
      <c r="IM5" s="112"/>
      <c r="IN5" s="112"/>
      <c r="IO5" s="112"/>
      <c r="IP5" s="112"/>
      <c r="IQ5" s="112"/>
      <c r="IR5" s="112"/>
      <c r="IS5" s="112"/>
      <c r="IT5" s="112"/>
      <c r="IU5" s="112"/>
    </row>
    <row r="6" spans="1:255" x14ac:dyDescent="0.2">
      <c r="A6" s="112"/>
      <c r="B6" s="112"/>
      <c r="C6" s="120">
        <v>4</v>
      </c>
      <c r="D6" s="121"/>
      <c r="E6" s="120">
        <f t="shared" si="0"/>
        <v>8</v>
      </c>
      <c r="F6" s="120"/>
      <c r="G6" s="122">
        <f>2*(4+2)</f>
        <v>12</v>
      </c>
      <c r="H6" s="122"/>
      <c r="I6" s="122">
        <f>2*(2+4)</f>
        <v>12</v>
      </c>
      <c r="J6" s="122"/>
      <c r="K6" s="122">
        <f t="shared" si="1"/>
        <v>24</v>
      </c>
      <c r="L6" s="122"/>
      <c r="M6" s="122"/>
      <c r="N6" s="122"/>
      <c r="O6" s="122"/>
      <c r="P6" s="122"/>
      <c r="Q6" s="123">
        <v>2</v>
      </c>
      <c r="R6" s="123"/>
      <c r="S6" s="123">
        <v>4</v>
      </c>
      <c r="T6" s="123"/>
      <c r="U6" s="123">
        <v>2</v>
      </c>
      <c r="V6" s="123"/>
      <c r="W6" s="123">
        <v>4</v>
      </c>
      <c r="X6" s="123"/>
      <c r="Y6" s="124"/>
      <c r="Z6" s="124"/>
      <c r="AA6" s="124"/>
      <c r="AB6" s="124"/>
      <c r="AC6" s="124"/>
      <c r="AD6" s="124"/>
      <c r="AE6" s="124"/>
      <c r="AF6" s="124"/>
      <c r="AG6" s="124"/>
      <c r="AH6" s="124"/>
      <c r="AI6" s="124"/>
      <c r="AJ6" s="124"/>
      <c r="AK6" s="124"/>
      <c r="AL6" s="124"/>
      <c r="AM6" s="124"/>
      <c r="AN6" s="124"/>
      <c r="AO6" s="124"/>
      <c r="AP6" s="124"/>
      <c r="AQ6" s="124"/>
      <c r="AR6" s="124"/>
      <c r="AS6" s="124"/>
      <c r="AT6" s="124"/>
      <c r="AU6" s="124"/>
      <c r="AV6" s="124"/>
      <c r="AW6" s="112"/>
      <c r="AX6" s="112"/>
      <c r="AY6" s="112"/>
      <c r="AZ6" s="112"/>
      <c r="BA6" s="112"/>
      <c r="BB6" s="112"/>
      <c r="BC6" s="112"/>
      <c r="BD6" s="112"/>
      <c r="BE6" s="112"/>
      <c r="BF6" s="112"/>
      <c r="BG6" s="112"/>
      <c r="BH6" s="112"/>
      <c r="BI6" s="112"/>
      <c r="BJ6" s="112"/>
      <c r="BK6" s="112"/>
      <c r="BL6" s="112"/>
      <c r="BM6" s="112"/>
      <c r="BN6" s="112"/>
      <c r="BO6" s="112"/>
      <c r="BP6" s="112"/>
      <c r="BQ6" s="112"/>
      <c r="BR6" s="112"/>
      <c r="BS6" s="112"/>
      <c r="BT6" s="112"/>
      <c r="BU6" s="112"/>
      <c r="BV6" s="112"/>
      <c r="BW6" s="112"/>
      <c r="BX6" s="112"/>
      <c r="BY6" s="112"/>
      <c r="BZ6" s="112"/>
      <c r="CA6" s="112"/>
      <c r="CB6" s="112"/>
      <c r="CC6" s="112"/>
      <c r="CD6" s="112"/>
      <c r="CE6" s="112"/>
      <c r="CF6" s="112"/>
      <c r="CG6" s="112"/>
      <c r="CH6" s="112"/>
      <c r="CI6" s="112"/>
      <c r="CJ6" s="112"/>
      <c r="CK6" s="112"/>
      <c r="CL6" s="112"/>
      <c r="CM6" s="112"/>
      <c r="CN6" s="112"/>
      <c r="CO6" s="112"/>
      <c r="CP6" s="112"/>
      <c r="CQ6" s="112"/>
      <c r="CR6" s="112"/>
      <c r="CS6" s="112"/>
      <c r="CT6" s="112"/>
      <c r="CU6" s="112"/>
      <c r="CV6" s="112"/>
      <c r="CW6" s="112"/>
      <c r="CX6" s="112"/>
      <c r="CY6" s="112"/>
      <c r="CZ6" s="112"/>
      <c r="DA6" s="112"/>
      <c r="DB6" s="112"/>
      <c r="DC6" s="112"/>
      <c r="DD6" s="112"/>
      <c r="DE6" s="112"/>
      <c r="DF6" s="112"/>
      <c r="DG6" s="112"/>
      <c r="DH6" s="112"/>
      <c r="DI6" s="112"/>
      <c r="DJ6" s="112"/>
      <c r="DK6" s="112"/>
      <c r="DL6" s="112"/>
      <c r="DM6" s="112"/>
      <c r="DN6" s="112"/>
      <c r="DO6" s="112"/>
      <c r="DP6" s="112"/>
      <c r="DQ6" s="112"/>
      <c r="DR6" s="112"/>
      <c r="DS6" s="112"/>
      <c r="DT6" s="112"/>
      <c r="DU6" s="112"/>
      <c r="DV6" s="112"/>
      <c r="DW6" s="112"/>
      <c r="DX6" s="112"/>
      <c r="DY6" s="112"/>
      <c r="DZ6" s="112"/>
      <c r="EA6" s="112"/>
      <c r="EB6" s="112"/>
      <c r="EC6" s="112"/>
      <c r="ED6" s="112"/>
      <c r="EE6" s="112"/>
      <c r="EF6" s="112"/>
      <c r="EG6" s="112"/>
      <c r="EH6" s="112"/>
      <c r="EI6" s="112"/>
      <c r="EJ6" s="112"/>
      <c r="EK6" s="112"/>
      <c r="EL6" s="112"/>
      <c r="EM6" s="112"/>
      <c r="EN6" s="112"/>
      <c r="EO6" s="112"/>
      <c r="EP6" s="112"/>
      <c r="EQ6" s="112"/>
      <c r="ER6" s="112"/>
      <c r="ES6" s="112"/>
      <c r="ET6" s="112"/>
      <c r="EU6" s="112"/>
      <c r="EV6" s="112"/>
      <c r="EW6" s="112"/>
      <c r="EX6" s="112"/>
      <c r="EY6" s="112"/>
      <c r="EZ6" s="112"/>
      <c r="FA6" s="112"/>
      <c r="FB6" s="112"/>
      <c r="FC6" s="112"/>
      <c r="FD6" s="112"/>
      <c r="FE6" s="112"/>
      <c r="FF6" s="112"/>
      <c r="FG6" s="112"/>
      <c r="FH6" s="112"/>
      <c r="FI6" s="112"/>
      <c r="FJ6" s="112"/>
      <c r="FK6" s="112"/>
      <c r="FL6" s="112"/>
      <c r="FM6" s="112"/>
      <c r="FN6" s="112"/>
      <c r="FO6" s="112"/>
      <c r="FP6" s="112"/>
      <c r="FQ6" s="112"/>
      <c r="FR6" s="112"/>
      <c r="FS6" s="112"/>
      <c r="FT6" s="112"/>
      <c r="FU6" s="112"/>
      <c r="FV6" s="112"/>
      <c r="FW6" s="112"/>
      <c r="FX6" s="112"/>
      <c r="FY6" s="112"/>
      <c r="FZ6" s="112"/>
      <c r="GA6" s="112"/>
      <c r="GB6" s="112"/>
      <c r="GC6" s="112"/>
      <c r="GD6" s="112"/>
      <c r="GE6" s="112"/>
      <c r="GF6" s="112"/>
      <c r="GG6" s="112"/>
      <c r="GH6" s="112"/>
      <c r="GI6" s="112"/>
      <c r="GJ6" s="112"/>
      <c r="GK6" s="112"/>
      <c r="GL6" s="112"/>
      <c r="GM6" s="112"/>
      <c r="GN6" s="112"/>
      <c r="GO6" s="112"/>
      <c r="GP6" s="112"/>
      <c r="GQ6" s="112"/>
      <c r="GR6" s="112"/>
      <c r="GS6" s="112"/>
      <c r="GT6" s="112"/>
      <c r="GU6" s="112"/>
      <c r="GV6" s="112"/>
      <c r="GW6" s="112"/>
      <c r="GX6" s="112"/>
      <c r="GY6" s="112"/>
      <c r="GZ6" s="112"/>
      <c r="HA6" s="112"/>
      <c r="HB6" s="112"/>
      <c r="HC6" s="112"/>
      <c r="HD6" s="112"/>
      <c r="HE6" s="112"/>
      <c r="HF6" s="112"/>
      <c r="HG6" s="112"/>
      <c r="HH6" s="112"/>
      <c r="HI6" s="112"/>
      <c r="HJ6" s="112"/>
      <c r="HK6" s="112"/>
      <c r="HL6" s="112"/>
      <c r="HM6" s="112"/>
      <c r="HN6" s="112"/>
      <c r="HO6" s="112"/>
      <c r="HP6" s="112"/>
      <c r="HQ6" s="112"/>
      <c r="HR6" s="112"/>
      <c r="HS6" s="112"/>
      <c r="HT6" s="112"/>
      <c r="HU6" s="112"/>
      <c r="HV6" s="112"/>
      <c r="HW6" s="112"/>
      <c r="HX6" s="112"/>
      <c r="HY6" s="112"/>
      <c r="HZ6" s="112"/>
      <c r="IA6" s="112"/>
      <c r="IB6" s="112"/>
      <c r="IC6" s="112"/>
      <c r="ID6" s="112"/>
      <c r="IE6" s="112"/>
      <c r="IF6" s="112"/>
      <c r="IG6" s="112"/>
      <c r="IH6" s="112"/>
      <c r="II6" s="112"/>
      <c r="IJ6" s="112"/>
      <c r="IK6" s="112"/>
      <c r="IL6" s="112"/>
      <c r="IM6" s="112"/>
      <c r="IN6" s="112"/>
      <c r="IO6" s="112"/>
      <c r="IP6" s="112"/>
      <c r="IQ6" s="112"/>
      <c r="IR6" s="112"/>
      <c r="IS6" s="112"/>
      <c r="IT6" s="112"/>
      <c r="IU6" s="112"/>
    </row>
    <row r="7" spans="1:255" x14ac:dyDescent="0.2">
      <c r="A7" s="112"/>
      <c r="B7" s="112"/>
      <c r="C7" s="120">
        <v>5</v>
      </c>
      <c r="D7" s="121"/>
      <c r="E7" s="120">
        <f t="shared" si="0"/>
        <v>10</v>
      </c>
      <c r="F7" s="120"/>
      <c r="G7" s="122">
        <f>2*(4+2.5)</f>
        <v>13</v>
      </c>
      <c r="H7" s="122"/>
      <c r="I7" s="122">
        <f>2*(2+5)</f>
        <v>14</v>
      </c>
      <c r="J7" s="122"/>
      <c r="K7" s="122">
        <f t="shared" si="1"/>
        <v>27</v>
      </c>
      <c r="L7" s="122"/>
      <c r="M7" s="122">
        <v>16</v>
      </c>
      <c r="N7" s="122"/>
      <c r="O7" s="122">
        <f>9.8*2</f>
        <v>19.600000000000001</v>
      </c>
      <c r="P7" s="122"/>
      <c r="Q7" s="123">
        <v>2.5</v>
      </c>
      <c r="R7" s="123"/>
      <c r="S7" s="123">
        <v>4</v>
      </c>
      <c r="T7" s="123"/>
      <c r="U7" s="123">
        <v>2</v>
      </c>
      <c r="V7" s="123"/>
      <c r="W7" s="123">
        <v>5</v>
      </c>
      <c r="X7" s="123"/>
      <c r="Y7" s="124"/>
      <c r="Z7" s="124"/>
      <c r="AA7" s="124"/>
      <c r="AB7" s="124"/>
      <c r="AC7" s="124"/>
      <c r="AD7" s="124"/>
      <c r="AE7" s="124"/>
      <c r="AF7" s="124"/>
      <c r="AG7" s="124"/>
      <c r="AH7" s="124"/>
      <c r="AI7" s="124"/>
      <c r="AJ7" s="124"/>
      <c r="AK7" s="124"/>
      <c r="AL7" s="124"/>
      <c r="AM7" s="124"/>
      <c r="AN7" s="124"/>
      <c r="AO7" s="124"/>
      <c r="AP7" s="124"/>
      <c r="AQ7" s="124"/>
      <c r="AR7" s="124"/>
      <c r="AS7" s="124"/>
      <c r="AT7" s="124"/>
      <c r="AU7" s="124"/>
      <c r="AV7" s="124"/>
      <c r="AW7" s="112"/>
      <c r="AX7" s="112"/>
      <c r="AY7" s="112"/>
      <c r="AZ7" s="112"/>
      <c r="BA7" s="112"/>
      <c r="BB7" s="112"/>
      <c r="BC7" s="112"/>
      <c r="BD7" s="112"/>
      <c r="BE7" s="112"/>
      <c r="BF7" s="112"/>
      <c r="BG7" s="112"/>
      <c r="BH7" s="112"/>
      <c r="BI7" s="112"/>
      <c r="BJ7" s="112"/>
      <c r="BK7" s="112"/>
      <c r="BL7" s="112"/>
      <c r="BM7" s="112"/>
      <c r="BN7" s="112"/>
      <c r="BO7" s="112"/>
      <c r="BP7" s="112"/>
      <c r="BQ7" s="112"/>
      <c r="BR7" s="112"/>
      <c r="BS7" s="112"/>
      <c r="BT7" s="112"/>
      <c r="BU7" s="112"/>
      <c r="BV7" s="112"/>
      <c r="BW7" s="112"/>
      <c r="BX7" s="112"/>
      <c r="BY7" s="112"/>
      <c r="BZ7" s="112"/>
      <c r="CA7" s="112"/>
      <c r="CB7" s="112"/>
      <c r="CC7" s="112"/>
      <c r="CD7" s="112"/>
      <c r="CE7" s="112"/>
      <c r="CF7" s="112"/>
      <c r="CG7" s="112"/>
      <c r="CH7" s="112"/>
      <c r="CI7" s="112"/>
      <c r="CJ7" s="112"/>
      <c r="CK7" s="112"/>
      <c r="CL7" s="112"/>
      <c r="CM7" s="112"/>
      <c r="CN7" s="112"/>
      <c r="CO7" s="112"/>
      <c r="CP7" s="112"/>
      <c r="CQ7" s="112"/>
      <c r="CR7" s="112"/>
      <c r="CS7" s="112"/>
      <c r="CT7" s="112"/>
      <c r="CU7" s="112"/>
      <c r="CV7" s="112"/>
      <c r="CW7" s="112"/>
      <c r="CX7" s="112"/>
      <c r="CY7" s="112"/>
      <c r="CZ7" s="112"/>
      <c r="DA7" s="112"/>
      <c r="DB7" s="112"/>
      <c r="DC7" s="112"/>
      <c r="DD7" s="112"/>
      <c r="DE7" s="112"/>
      <c r="DF7" s="112"/>
      <c r="DG7" s="112"/>
      <c r="DH7" s="112"/>
      <c r="DI7" s="112"/>
      <c r="DJ7" s="112"/>
      <c r="DK7" s="112"/>
      <c r="DL7" s="112"/>
      <c r="DM7" s="112"/>
      <c r="DN7" s="112"/>
      <c r="DO7" s="112"/>
      <c r="DP7" s="112"/>
      <c r="DQ7" s="112"/>
      <c r="DR7" s="112"/>
      <c r="DS7" s="112"/>
      <c r="DT7" s="112"/>
      <c r="DU7" s="112"/>
      <c r="DV7" s="112"/>
      <c r="DW7" s="112"/>
      <c r="DX7" s="112"/>
      <c r="DY7" s="112"/>
      <c r="DZ7" s="112"/>
      <c r="EA7" s="112"/>
      <c r="EB7" s="112"/>
      <c r="EC7" s="112"/>
      <c r="ED7" s="112"/>
      <c r="EE7" s="112"/>
      <c r="EF7" s="112"/>
      <c r="EG7" s="112"/>
      <c r="EH7" s="112"/>
      <c r="EI7" s="112"/>
      <c r="EJ7" s="112"/>
      <c r="EK7" s="112"/>
      <c r="EL7" s="112"/>
      <c r="EM7" s="112"/>
      <c r="EN7" s="112"/>
      <c r="EO7" s="112"/>
      <c r="EP7" s="112"/>
      <c r="EQ7" s="112"/>
      <c r="ER7" s="112"/>
      <c r="ES7" s="112"/>
      <c r="ET7" s="112"/>
      <c r="EU7" s="112"/>
      <c r="EV7" s="112"/>
      <c r="EW7" s="112"/>
      <c r="EX7" s="112"/>
      <c r="EY7" s="112"/>
      <c r="EZ7" s="112"/>
      <c r="FA7" s="112"/>
      <c r="FB7" s="112"/>
      <c r="FC7" s="112"/>
      <c r="FD7" s="112"/>
      <c r="FE7" s="112"/>
      <c r="FF7" s="112"/>
      <c r="FG7" s="112"/>
      <c r="FH7" s="112"/>
      <c r="FI7" s="112"/>
      <c r="FJ7" s="112"/>
      <c r="FK7" s="112"/>
      <c r="FL7" s="112"/>
      <c r="FM7" s="112"/>
      <c r="FN7" s="112"/>
      <c r="FO7" s="112"/>
      <c r="FP7" s="112"/>
      <c r="FQ7" s="112"/>
      <c r="FR7" s="112"/>
      <c r="FS7" s="112"/>
      <c r="FT7" s="112"/>
      <c r="FU7" s="112"/>
      <c r="FV7" s="112"/>
      <c r="FW7" s="112"/>
      <c r="FX7" s="112"/>
      <c r="FY7" s="112"/>
      <c r="FZ7" s="112"/>
      <c r="GA7" s="112"/>
      <c r="GB7" s="112"/>
      <c r="GC7" s="112"/>
      <c r="GD7" s="112"/>
      <c r="GE7" s="112"/>
      <c r="GF7" s="112"/>
      <c r="GG7" s="112"/>
      <c r="GH7" s="112"/>
      <c r="GI7" s="112"/>
      <c r="GJ7" s="112"/>
      <c r="GK7" s="112"/>
      <c r="GL7" s="112"/>
      <c r="GM7" s="112"/>
      <c r="GN7" s="112"/>
      <c r="GO7" s="112"/>
      <c r="GP7" s="112"/>
      <c r="GQ7" s="112"/>
      <c r="GR7" s="112"/>
      <c r="GS7" s="112"/>
      <c r="GT7" s="112"/>
      <c r="GU7" s="112"/>
      <c r="GV7" s="112"/>
      <c r="GW7" s="112"/>
      <c r="GX7" s="112"/>
      <c r="GY7" s="112"/>
      <c r="GZ7" s="112"/>
      <c r="HA7" s="112"/>
      <c r="HB7" s="112"/>
      <c r="HC7" s="112"/>
      <c r="HD7" s="112"/>
      <c r="HE7" s="112"/>
      <c r="HF7" s="112"/>
      <c r="HG7" s="112"/>
      <c r="HH7" s="112"/>
      <c r="HI7" s="112"/>
      <c r="HJ7" s="112"/>
      <c r="HK7" s="112"/>
      <c r="HL7" s="112"/>
      <c r="HM7" s="112"/>
      <c r="HN7" s="112"/>
      <c r="HO7" s="112"/>
      <c r="HP7" s="112"/>
      <c r="HQ7" s="112"/>
      <c r="HR7" s="112"/>
      <c r="HS7" s="112"/>
      <c r="HT7" s="112"/>
      <c r="HU7" s="112"/>
      <c r="HV7" s="112"/>
      <c r="HW7" s="112"/>
      <c r="HX7" s="112"/>
      <c r="HY7" s="112"/>
      <c r="HZ7" s="112"/>
      <c r="IA7" s="112"/>
      <c r="IB7" s="112"/>
      <c r="IC7" s="112"/>
      <c r="ID7" s="112"/>
      <c r="IE7" s="112"/>
      <c r="IF7" s="112"/>
      <c r="IG7" s="112"/>
      <c r="IH7" s="112"/>
      <c r="II7" s="112"/>
      <c r="IJ7" s="112"/>
      <c r="IK7" s="112"/>
      <c r="IL7" s="112"/>
      <c r="IM7" s="112"/>
      <c r="IN7" s="112"/>
      <c r="IO7" s="112"/>
      <c r="IP7" s="112"/>
      <c r="IQ7" s="112"/>
      <c r="IR7" s="112"/>
      <c r="IS7" s="112"/>
      <c r="IT7" s="112"/>
      <c r="IU7" s="112"/>
    </row>
    <row r="8" spans="1:255" x14ac:dyDescent="0.2">
      <c r="A8" s="112"/>
      <c r="B8" s="112"/>
      <c r="C8" s="120">
        <v>6</v>
      </c>
      <c r="D8" s="121"/>
      <c r="E8" s="120">
        <f t="shared" si="0"/>
        <v>12</v>
      </c>
      <c r="F8" s="120"/>
      <c r="G8" s="122">
        <f>2*(4+3)</f>
        <v>14</v>
      </c>
      <c r="H8" s="122"/>
      <c r="I8" s="122">
        <f>2*(2+6)</f>
        <v>16</v>
      </c>
      <c r="J8" s="122"/>
      <c r="K8" s="122">
        <f t="shared" si="1"/>
        <v>30</v>
      </c>
      <c r="L8" s="122"/>
      <c r="M8" s="122">
        <v>17</v>
      </c>
      <c r="N8" s="122"/>
      <c r="O8" s="122">
        <v>22</v>
      </c>
      <c r="P8" s="122"/>
      <c r="Q8" s="123">
        <v>3</v>
      </c>
      <c r="R8" s="123"/>
      <c r="S8" s="123">
        <v>4</v>
      </c>
      <c r="T8" s="123"/>
      <c r="U8" s="123">
        <v>2</v>
      </c>
      <c r="V8" s="123"/>
      <c r="W8" s="123">
        <v>6</v>
      </c>
      <c r="X8" s="123"/>
      <c r="Y8" s="124"/>
      <c r="Z8" s="124"/>
      <c r="AA8" s="124"/>
      <c r="AB8" s="124"/>
      <c r="AC8" s="124"/>
      <c r="AD8" s="124"/>
      <c r="AE8" s="124"/>
      <c r="AF8" s="124"/>
      <c r="AG8" s="124"/>
      <c r="AH8" s="124"/>
      <c r="AI8" s="124"/>
      <c r="AJ8" s="124"/>
      <c r="AK8" s="124"/>
      <c r="AL8" s="124"/>
      <c r="AM8" s="124"/>
      <c r="AN8" s="124"/>
      <c r="AO8" s="124"/>
      <c r="AP8" s="124"/>
      <c r="AQ8" s="124"/>
      <c r="AR8" s="124"/>
      <c r="AS8" s="124"/>
      <c r="AT8" s="124"/>
      <c r="AU8" s="124"/>
      <c r="AV8" s="124"/>
      <c r="AW8" s="112"/>
      <c r="AX8" s="112"/>
      <c r="AY8" s="112"/>
      <c r="AZ8" s="112"/>
      <c r="BA8" s="112"/>
      <c r="BB8" s="112"/>
      <c r="BC8" s="112"/>
      <c r="BD8" s="112"/>
      <c r="BE8" s="112"/>
      <c r="BF8" s="112"/>
      <c r="BG8" s="112"/>
      <c r="BH8" s="112"/>
      <c r="BI8" s="112"/>
      <c r="BJ8" s="112"/>
      <c r="BK8" s="112"/>
      <c r="BL8" s="112"/>
      <c r="BM8" s="112"/>
      <c r="BN8" s="112"/>
      <c r="BO8" s="112"/>
      <c r="BP8" s="112"/>
      <c r="BQ8" s="112"/>
      <c r="BR8" s="112"/>
      <c r="BS8" s="112"/>
      <c r="BT8" s="112"/>
      <c r="BU8" s="112"/>
      <c r="BV8" s="112"/>
      <c r="BW8" s="112"/>
      <c r="BX8" s="112"/>
      <c r="BY8" s="112"/>
      <c r="BZ8" s="112"/>
      <c r="CA8" s="112"/>
      <c r="CB8" s="112"/>
      <c r="CC8" s="112"/>
      <c r="CD8" s="112"/>
      <c r="CE8" s="112"/>
      <c r="CF8" s="112"/>
      <c r="CG8" s="112"/>
      <c r="CH8" s="112"/>
      <c r="CI8" s="112"/>
      <c r="CJ8" s="112"/>
      <c r="CK8" s="112"/>
      <c r="CL8" s="112"/>
      <c r="CM8" s="112"/>
      <c r="CN8" s="112"/>
      <c r="CO8" s="112"/>
      <c r="CP8" s="112"/>
      <c r="CQ8" s="112"/>
      <c r="CR8" s="112"/>
      <c r="CS8" s="112"/>
      <c r="CT8" s="112"/>
      <c r="CU8" s="112"/>
      <c r="CV8" s="112"/>
      <c r="CW8" s="112"/>
      <c r="CX8" s="112"/>
      <c r="CY8" s="112"/>
      <c r="CZ8" s="112"/>
      <c r="DA8" s="112"/>
      <c r="DB8" s="112"/>
      <c r="DC8" s="112"/>
      <c r="DD8" s="112"/>
      <c r="DE8" s="112"/>
      <c r="DF8" s="112"/>
      <c r="DG8" s="112"/>
      <c r="DH8" s="112"/>
      <c r="DI8" s="112"/>
      <c r="DJ8" s="112"/>
      <c r="DK8" s="112"/>
      <c r="DL8" s="112"/>
      <c r="DM8" s="112"/>
      <c r="DN8" s="112"/>
      <c r="DO8" s="112"/>
      <c r="DP8" s="112"/>
      <c r="DQ8" s="112"/>
      <c r="DR8" s="112"/>
      <c r="DS8" s="112"/>
      <c r="DT8" s="112"/>
      <c r="DU8" s="112"/>
      <c r="DV8" s="112"/>
      <c r="DW8" s="112"/>
      <c r="DX8" s="112"/>
      <c r="DY8" s="112"/>
      <c r="DZ8" s="112"/>
      <c r="EA8" s="112"/>
      <c r="EB8" s="112"/>
      <c r="EC8" s="112"/>
      <c r="ED8" s="112"/>
      <c r="EE8" s="112"/>
      <c r="EF8" s="112"/>
      <c r="EG8" s="112"/>
      <c r="EH8" s="112"/>
      <c r="EI8" s="112"/>
      <c r="EJ8" s="112"/>
      <c r="EK8" s="112"/>
      <c r="EL8" s="112"/>
      <c r="EM8" s="112"/>
      <c r="EN8" s="112"/>
      <c r="EO8" s="112"/>
      <c r="EP8" s="112"/>
      <c r="EQ8" s="112"/>
      <c r="ER8" s="112"/>
      <c r="ES8" s="112"/>
      <c r="ET8" s="112"/>
      <c r="EU8" s="112"/>
      <c r="EV8" s="112"/>
      <c r="EW8" s="112"/>
      <c r="EX8" s="112"/>
      <c r="EY8" s="112"/>
      <c r="EZ8" s="112"/>
      <c r="FA8" s="112"/>
      <c r="FB8" s="112"/>
      <c r="FC8" s="112"/>
      <c r="FD8" s="112"/>
      <c r="FE8" s="112"/>
      <c r="FF8" s="112"/>
      <c r="FG8" s="112"/>
      <c r="FH8" s="112"/>
      <c r="FI8" s="112"/>
      <c r="FJ8" s="112"/>
      <c r="FK8" s="112"/>
      <c r="FL8" s="112"/>
      <c r="FM8" s="112"/>
      <c r="FN8" s="112"/>
      <c r="FO8" s="112"/>
      <c r="FP8" s="112"/>
      <c r="FQ8" s="112"/>
      <c r="FR8" s="112"/>
      <c r="FS8" s="112"/>
      <c r="FT8" s="112"/>
      <c r="FU8" s="112"/>
      <c r="FV8" s="112"/>
      <c r="FW8" s="112"/>
      <c r="FX8" s="112"/>
      <c r="FY8" s="112"/>
      <c r="FZ8" s="112"/>
      <c r="GA8" s="112"/>
      <c r="GB8" s="112"/>
      <c r="GC8" s="112"/>
      <c r="GD8" s="112"/>
      <c r="GE8" s="112"/>
      <c r="GF8" s="112"/>
      <c r="GG8" s="112"/>
      <c r="GH8" s="112"/>
      <c r="GI8" s="112"/>
      <c r="GJ8" s="112"/>
      <c r="GK8" s="112"/>
      <c r="GL8" s="112"/>
      <c r="GM8" s="112"/>
      <c r="GN8" s="112"/>
      <c r="GO8" s="112"/>
      <c r="GP8" s="112"/>
      <c r="GQ8" s="112"/>
      <c r="GR8" s="112"/>
      <c r="GS8" s="112"/>
      <c r="GT8" s="112"/>
      <c r="GU8" s="112"/>
      <c r="GV8" s="112"/>
      <c r="GW8" s="112"/>
      <c r="GX8" s="112"/>
      <c r="GY8" s="112"/>
      <c r="GZ8" s="112"/>
      <c r="HA8" s="112"/>
      <c r="HB8" s="112"/>
      <c r="HC8" s="112"/>
      <c r="HD8" s="112"/>
      <c r="HE8" s="112"/>
      <c r="HF8" s="112"/>
      <c r="HG8" s="112"/>
      <c r="HH8" s="112"/>
      <c r="HI8" s="112"/>
      <c r="HJ8" s="112"/>
      <c r="HK8" s="112"/>
      <c r="HL8" s="112"/>
      <c r="HM8" s="112"/>
      <c r="HN8" s="112"/>
      <c r="HO8" s="112"/>
      <c r="HP8" s="112"/>
      <c r="HQ8" s="112"/>
      <c r="HR8" s="112"/>
      <c r="HS8" s="112"/>
      <c r="HT8" s="112"/>
      <c r="HU8" s="112"/>
      <c r="HV8" s="112"/>
      <c r="HW8" s="112"/>
      <c r="HX8" s="112"/>
      <c r="HY8" s="112"/>
      <c r="HZ8" s="112"/>
      <c r="IA8" s="112"/>
      <c r="IB8" s="112"/>
      <c r="IC8" s="112"/>
      <c r="ID8" s="112"/>
      <c r="IE8" s="112"/>
      <c r="IF8" s="112"/>
      <c r="IG8" s="112"/>
      <c r="IH8" s="112"/>
      <c r="II8" s="112"/>
      <c r="IJ8" s="112"/>
      <c r="IK8" s="112"/>
      <c r="IL8" s="112"/>
      <c r="IM8" s="112"/>
      <c r="IN8" s="112"/>
      <c r="IO8" s="112"/>
      <c r="IP8" s="112"/>
      <c r="IQ8" s="112"/>
      <c r="IR8" s="112"/>
      <c r="IS8" s="112"/>
      <c r="IT8" s="112"/>
      <c r="IU8" s="112"/>
    </row>
    <row r="9" spans="1:255" x14ac:dyDescent="0.2">
      <c r="A9" s="112"/>
      <c r="B9" s="112"/>
      <c r="C9" s="120">
        <v>7</v>
      </c>
      <c r="D9" s="121"/>
      <c r="E9" s="120">
        <f t="shared" si="0"/>
        <v>14</v>
      </c>
      <c r="F9" s="120"/>
      <c r="G9" s="122">
        <f>2*(4+3.5)</f>
        <v>15</v>
      </c>
      <c r="H9" s="122"/>
      <c r="I9" s="122">
        <f>2*(2+7)</f>
        <v>18</v>
      </c>
      <c r="J9" s="122"/>
      <c r="K9" s="122">
        <f t="shared" si="1"/>
        <v>33</v>
      </c>
      <c r="L9" s="122"/>
      <c r="M9" s="122"/>
      <c r="N9" s="122"/>
      <c r="O9" s="122"/>
      <c r="P9" s="122"/>
      <c r="Q9" s="123">
        <v>4</v>
      </c>
      <c r="R9" s="123"/>
      <c r="S9" s="123">
        <v>3.5</v>
      </c>
      <c r="T9" s="123"/>
      <c r="U9" s="123">
        <v>2</v>
      </c>
      <c r="V9" s="123"/>
      <c r="W9" s="123">
        <v>7</v>
      </c>
      <c r="X9" s="123"/>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12"/>
      <c r="AX9" s="112"/>
      <c r="AY9" s="112"/>
      <c r="AZ9" s="112"/>
      <c r="BA9" s="112"/>
      <c r="BB9" s="112"/>
      <c r="BC9" s="112"/>
      <c r="BD9" s="112"/>
      <c r="BE9" s="112"/>
      <c r="BF9" s="112"/>
      <c r="BG9" s="112"/>
      <c r="BH9" s="112"/>
      <c r="BI9" s="112"/>
      <c r="BJ9" s="112"/>
      <c r="BK9" s="112"/>
      <c r="BL9" s="112"/>
      <c r="BM9" s="112"/>
      <c r="BN9" s="112"/>
      <c r="BO9" s="112"/>
      <c r="BP9" s="112"/>
      <c r="BQ9" s="112"/>
      <c r="BR9" s="112"/>
      <c r="BS9" s="112"/>
      <c r="BT9" s="112"/>
      <c r="BU9" s="112"/>
      <c r="BV9" s="112"/>
      <c r="BW9" s="112"/>
      <c r="BX9" s="112"/>
      <c r="BY9" s="112"/>
      <c r="BZ9" s="112"/>
      <c r="CA9" s="112"/>
      <c r="CB9" s="112"/>
      <c r="CC9" s="112"/>
      <c r="CD9" s="112"/>
      <c r="CE9" s="112"/>
      <c r="CF9" s="112"/>
      <c r="CG9" s="112"/>
      <c r="CH9" s="112"/>
      <c r="CI9" s="112"/>
      <c r="CJ9" s="112"/>
      <c r="CK9" s="112"/>
      <c r="CL9" s="112"/>
      <c r="CM9" s="112"/>
      <c r="CN9" s="112"/>
      <c r="CO9" s="112"/>
      <c r="CP9" s="112"/>
      <c r="CQ9" s="112"/>
      <c r="CR9" s="112"/>
      <c r="CS9" s="112"/>
      <c r="CT9" s="112"/>
      <c r="CU9" s="112"/>
      <c r="CV9" s="112"/>
      <c r="CW9" s="112"/>
      <c r="CX9" s="112"/>
      <c r="CY9" s="112"/>
      <c r="CZ9" s="112"/>
      <c r="DA9" s="112"/>
      <c r="DB9" s="112"/>
      <c r="DC9" s="112"/>
      <c r="DD9" s="112"/>
      <c r="DE9" s="112"/>
      <c r="DF9" s="112"/>
      <c r="DG9" s="112"/>
      <c r="DH9" s="112"/>
      <c r="DI9" s="112"/>
      <c r="DJ9" s="112"/>
      <c r="DK9" s="112"/>
      <c r="DL9" s="112"/>
      <c r="DM9" s="112"/>
      <c r="DN9" s="112"/>
      <c r="DO9" s="112"/>
      <c r="DP9" s="112"/>
      <c r="DQ9" s="112"/>
      <c r="DR9" s="112"/>
      <c r="DS9" s="112"/>
      <c r="DT9" s="112"/>
      <c r="DU9" s="112"/>
      <c r="DV9" s="112"/>
      <c r="DW9" s="112"/>
      <c r="DX9" s="112"/>
      <c r="DY9" s="112"/>
      <c r="DZ9" s="112"/>
      <c r="EA9" s="112"/>
      <c r="EB9" s="112"/>
      <c r="EC9" s="112"/>
      <c r="ED9" s="112"/>
      <c r="EE9" s="112"/>
      <c r="EF9" s="112"/>
      <c r="EG9" s="112"/>
      <c r="EH9" s="112"/>
      <c r="EI9" s="112"/>
      <c r="EJ9" s="112"/>
      <c r="EK9" s="112"/>
      <c r="EL9" s="112"/>
      <c r="EM9" s="112"/>
      <c r="EN9" s="112"/>
      <c r="EO9" s="112"/>
      <c r="EP9" s="112"/>
      <c r="EQ9" s="112"/>
      <c r="ER9" s="112"/>
      <c r="ES9" s="112"/>
      <c r="ET9" s="112"/>
      <c r="EU9" s="112"/>
      <c r="EV9" s="112"/>
      <c r="EW9" s="112"/>
      <c r="EX9" s="112"/>
      <c r="EY9" s="112"/>
      <c r="EZ9" s="112"/>
      <c r="FA9" s="112"/>
      <c r="FB9" s="112"/>
      <c r="FC9" s="112"/>
      <c r="FD9" s="112"/>
      <c r="FE9" s="112"/>
      <c r="FF9" s="112"/>
      <c r="FG9" s="112"/>
      <c r="FH9" s="112"/>
      <c r="FI9" s="112"/>
      <c r="FJ9" s="112"/>
      <c r="FK9" s="112"/>
      <c r="FL9" s="112"/>
      <c r="FM9" s="112"/>
      <c r="FN9" s="112"/>
      <c r="FO9" s="112"/>
      <c r="FP9" s="112"/>
      <c r="FQ9" s="112"/>
      <c r="FR9" s="112"/>
      <c r="FS9" s="112"/>
      <c r="FT9" s="112"/>
      <c r="FU9" s="112"/>
      <c r="FV9" s="112"/>
      <c r="FW9" s="112"/>
      <c r="FX9" s="112"/>
      <c r="FY9" s="112"/>
      <c r="FZ9" s="112"/>
      <c r="GA9" s="112"/>
      <c r="GB9" s="112"/>
      <c r="GC9" s="112"/>
      <c r="GD9" s="112"/>
      <c r="GE9" s="112"/>
      <c r="GF9" s="112"/>
      <c r="GG9" s="112"/>
      <c r="GH9" s="112"/>
      <c r="GI9" s="112"/>
      <c r="GJ9" s="112"/>
      <c r="GK9" s="112"/>
      <c r="GL9" s="112"/>
      <c r="GM9" s="112"/>
      <c r="GN9" s="112"/>
      <c r="GO9" s="112"/>
      <c r="GP9" s="112"/>
      <c r="GQ9" s="112"/>
      <c r="GR9" s="112"/>
      <c r="GS9" s="112"/>
      <c r="GT9" s="112"/>
      <c r="GU9" s="112"/>
      <c r="GV9" s="112"/>
      <c r="GW9" s="112"/>
      <c r="GX9" s="112"/>
      <c r="GY9" s="112"/>
      <c r="GZ9" s="112"/>
      <c r="HA9" s="112"/>
      <c r="HB9" s="112"/>
      <c r="HC9" s="112"/>
      <c r="HD9" s="112"/>
      <c r="HE9" s="112"/>
      <c r="HF9" s="112"/>
      <c r="HG9" s="112"/>
      <c r="HH9" s="112"/>
      <c r="HI9" s="112"/>
      <c r="HJ9" s="112"/>
      <c r="HK9" s="112"/>
      <c r="HL9" s="112"/>
      <c r="HM9" s="112"/>
      <c r="HN9" s="112"/>
      <c r="HO9" s="112"/>
      <c r="HP9" s="112"/>
      <c r="HQ9" s="112"/>
      <c r="HR9" s="112"/>
      <c r="HS9" s="112"/>
      <c r="HT9" s="112"/>
      <c r="HU9" s="112"/>
      <c r="HV9" s="112"/>
      <c r="HW9" s="112"/>
      <c r="HX9" s="112"/>
      <c r="HY9" s="112"/>
      <c r="HZ9" s="112"/>
      <c r="IA9" s="112"/>
      <c r="IB9" s="112"/>
      <c r="IC9" s="112"/>
      <c r="ID9" s="112"/>
      <c r="IE9" s="112"/>
      <c r="IF9" s="112"/>
      <c r="IG9" s="112"/>
      <c r="IH9" s="112"/>
      <c r="II9" s="112"/>
      <c r="IJ9" s="112"/>
      <c r="IK9" s="112"/>
      <c r="IL9" s="112"/>
      <c r="IM9" s="112"/>
      <c r="IN9" s="112"/>
      <c r="IO9" s="112"/>
      <c r="IP9" s="112"/>
      <c r="IQ9" s="112"/>
      <c r="IR9" s="112"/>
      <c r="IS9" s="112"/>
      <c r="IT9" s="112"/>
      <c r="IU9" s="112"/>
    </row>
    <row r="10" spans="1:255" x14ac:dyDescent="0.2">
      <c r="A10" s="112"/>
      <c r="B10" s="112"/>
      <c r="C10" s="120">
        <v>8</v>
      </c>
      <c r="D10" s="121"/>
      <c r="E10" s="120">
        <f t="shared" si="0"/>
        <v>16</v>
      </c>
      <c r="F10" s="120"/>
      <c r="G10" s="122">
        <f>2*(4+4)</f>
        <v>16</v>
      </c>
      <c r="H10" s="122"/>
      <c r="I10" s="122">
        <f>2*(2+8)</f>
        <v>20</v>
      </c>
      <c r="J10" s="122"/>
      <c r="K10" s="122">
        <f t="shared" si="1"/>
        <v>36</v>
      </c>
      <c r="L10" s="122"/>
      <c r="M10" s="122"/>
      <c r="N10" s="122"/>
      <c r="O10" s="122"/>
      <c r="P10" s="122"/>
      <c r="Q10" s="123">
        <v>4</v>
      </c>
      <c r="R10" s="123"/>
      <c r="S10" s="123">
        <v>4</v>
      </c>
      <c r="T10" s="123"/>
      <c r="U10" s="123">
        <v>2</v>
      </c>
      <c r="V10" s="123"/>
      <c r="W10" s="123">
        <v>8</v>
      </c>
      <c r="X10" s="123"/>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12"/>
      <c r="AX10" s="112"/>
      <c r="AY10" s="112"/>
      <c r="AZ10" s="112"/>
      <c r="BA10" s="112"/>
      <c r="BB10" s="112"/>
      <c r="BC10" s="112"/>
      <c r="BD10" s="112"/>
      <c r="BE10" s="112"/>
      <c r="BF10" s="112"/>
      <c r="BG10" s="112"/>
      <c r="BH10" s="112"/>
      <c r="BI10" s="112"/>
      <c r="BJ10" s="112"/>
      <c r="BK10" s="112"/>
      <c r="BL10" s="112"/>
      <c r="BM10" s="112"/>
      <c r="BN10" s="112"/>
      <c r="BO10" s="112"/>
      <c r="BP10" s="112"/>
      <c r="BQ10" s="112"/>
      <c r="BR10" s="112"/>
      <c r="BS10" s="112"/>
      <c r="BT10" s="112"/>
      <c r="BU10" s="112"/>
      <c r="BV10" s="112"/>
      <c r="BW10" s="112"/>
      <c r="BX10" s="112"/>
      <c r="BY10" s="112"/>
      <c r="BZ10" s="112"/>
      <c r="CA10" s="112"/>
      <c r="CB10" s="112"/>
      <c r="CC10" s="112"/>
      <c r="CD10" s="112"/>
      <c r="CE10" s="112"/>
      <c r="CF10" s="112"/>
      <c r="CG10" s="112"/>
      <c r="CH10" s="112"/>
      <c r="CI10" s="112"/>
      <c r="CJ10" s="112"/>
      <c r="CK10" s="112"/>
      <c r="CL10" s="112"/>
      <c r="CM10" s="112"/>
      <c r="CN10" s="112"/>
      <c r="CO10" s="112"/>
      <c r="CP10" s="112"/>
      <c r="CQ10" s="112"/>
      <c r="CR10" s="112"/>
      <c r="CS10" s="112"/>
      <c r="CT10" s="112"/>
      <c r="CU10" s="112"/>
      <c r="CV10" s="112"/>
      <c r="CW10" s="112"/>
      <c r="CX10" s="112"/>
      <c r="CY10" s="112"/>
      <c r="CZ10" s="112"/>
      <c r="DA10" s="112"/>
      <c r="DB10" s="112"/>
      <c r="DC10" s="112"/>
      <c r="DD10" s="112"/>
      <c r="DE10" s="112"/>
      <c r="DF10" s="112"/>
      <c r="DG10" s="112"/>
      <c r="DH10" s="112"/>
      <c r="DI10" s="112"/>
      <c r="DJ10" s="112"/>
      <c r="DK10" s="112"/>
      <c r="DL10" s="112"/>
      <c r="DM10" s="112"/>
      <c r="DN10" s="112"/>
      <c r="DO10" s="112"/>
      <c r="DP10" s="112"/>
      <c r="DQ10" s="112"/>
      <c r="DR10" s="112"/>
      <c r="DS10" s="112"/>
      <c r="DT10" s="112"/>
      <c r="DU10" s="112"/>
      <c r="DV10" s="112"/>
      <c r="DW10" s="112"/>
      <c r="DX10" s="112"/>
      <c r="DY10" s="112"/>
      <c r="DZ10" s="112"/>
      <c r="EA10" s="112"/>
      <c r="EB10" s="112"/>
      <c r="EC10" s="112"/>
      <c r="ED10" s="112"/>
      <c r="EE10" s="112"/>
      <c r="EF10" s="112"/>
      <c r="EG10" s="112"/>
      <c r="EH10" s="112"/>
      <c r="EI10" s="112"/>
      <c r="EJ10" s="112"/>
      <c r="EK10" s="112"/>
      <c r="EL10" s="112"/>
      <c r="EM10" s="112"/>
      <c r="EN10" s="112"/>
      <c r="EO10" s="112"/>
      <c r="EP10" s="112"/>
      <c r="EQ10" s="112"/>
      <c r="ER10" s="112"/>
      <c r="ES10" s="112"/>
      <c r="ET10" s="112"/>
      <c r="EU10" s="112"/>
      <c r="EV10" s="112"/>
      <c r="EW10" s="112"/>
      <c r="EX10" s="112"/>
      <c r="EY10" s="112"/>
      <c r="EZ10" s="112"/>
      <c r="FA10" s="112"/>
      <c r="FB10" s="112"/>
      <c r="FC10" s="112"/>
      <c r="FD10" s="112"/>
      <c r="FE10" s="112"/>
      <c r="FF10" s="112"/>
      <c r="FG10" s="112"/>
      <c r="FH10" s="112"/>
      <c r="FI10" s="112"/>
      <c r="FJ10" s="112"/>
      <c r="FK10" s="112"/>
      <c r="FL10" s="112"/>
      <c r="FM10" s="112"/>
      <c r="FN10" s="112"/>
      <c r="FO10" s="112"/>
      <c r="FP10" s="112"/>
      <c r="FQ10" s="112"/>
      <c r="FR10" s="112"/>
      <c r="FS10" s="112"/>
      <c r="FT10" s="112"/>
      <c r="FU10" s="112"/>
      <c r="FV10" s="112"/>
      <c r="FW10" s="112"/>
      <c r="FX10" s="112"/>
      <c r="FY10" s="112"/>
      <c r="FZ10" s="112"/>
      <c r="GA10" s="112"/>
      <c r="GB10" s="112"/>
      <c r="GC10" s="112"/>
      <c r="GD10" s="112"/>
      <c r="GE10" s="112"/>
      <c r="GF10" s="112"/>
      <c r="GG10" s="112"/>
      <c r="GH10" s="112"/>
      <c r="GI10" s="112"/>
      <c r="GJ10" s="112"/>
      <c r="GK10" s="112"/>
      <c r="GL10" s="112"/>
      <c r="GM10" s="112"/>
      <c r="GN10" s="112"/>
      <c r="GO10" s="112"/>
      <c r="GP10" s="112"/>
      <c r="GQ10" s="112"/>
      <c r="GR10" s="112"/>
      <c r="GS10" s="112"/>
      <c r="GT10" s="112"/>
      <c r="GU10" s="112"/>
      <c r="GV10" s="112"/>
      <c r="GW10" s="112"/>
      <c r="GX10" s="112"/>
      <c r="GY10" s="112"/>
      <c r="GZ10" s="112"/>
      <c r="HA10" s="112"/>
      <c r="HB10" s="112"/>
      <c r="HC10" s="112"/>
      <c r="HD10" s="112"/>
      <c r="HE10" s="112"/>
      <c r="HF10" s="112"/>
      <c r="HG10" s="112"/>
      <c r="HH10" s="112"/>
      <c r="HI10" s="112"/>
      <c r="HJ10" s="112"/>
      <c r="HK10" s="112"/>
      <c r="HL10" s="112"/>
      <c r="HM10" s="112"/>
      <c r="HN10" s="112"/>
      <c r="HO10" s="112"/>
      <c r="HP10" s="112"/>
      <c r="HQ10" s="112"/>
      <c r="HR10" s="112"/>
      <c r="HS10" s="112"/>
      <c r="HT10" s="112"/>
      <c r="HU10" s="112"/>
      <c r="HV10" s="112"/>
      <c r="HW10" s="112"/>
      <c r="HX10" s="112"/>
      <c r="HY10" s="112"/>
      <c r="HZ10" s="112"/>
      <c r="IA10" s="112"/>
      <c r="IB10" s="112"/>
      <c r="IC10" s="112"/>
      <c r="ID10" s="112"/>
      <c r="IE10" s="112"/>
      <c r="IF10" s="112"/>
      <c r="IG10" s="112"/>
      <c r="IH10" s="112"/>
      <c r="II10" s="112"/>
      <c r="IJ10" s="112"/>
      <c r="IK10" s="112"/>
      <c r="IL10" s="112"/>
      <c r="IM10" s="112"/>
      <c r="IN10" s="112"/>
      <c r="IO10" s="112"/>
      <c r="IP10" s="112"/>
      <c r="IQ10" s="112"/>
      <c r="IR10" s="112"/>
      <c r="IS10" s="112"/>
      <c r="IT10" s="112"/>
      <c r="IU10" s="112"/>
    </row>
    <row r="11" spans="1:255" x14ac:dyDescent="0.2">
      <c r="A11" s="112"/>
      <c r="B11" s="112"/>
      <c r="C11" s="120">
        <v>9</v>
      </c>
      <c r="D11" s="121"/>
      <c r="E11" s="120">
        <f t="shared" si="0"/>
        <v>18</v>
      </c>
      <c r="F11" s="120"/>
      <c r="G11" s="122">
        <f>2*(4+4.5)</f>
        <v>17</v>
      </c>
      <c r="H11" s="122"/>
      <c r="I11" s="122">
        <f>2*(2.5+7.2)</f>
        <v>19.399999999999999</v>
      </c>
      <c r="J11" s="122"/>
      <c r="K11" s="122">
        <f t="shared" si="1"/>
        <v>36.4</v>
      </c>
      <c r="L11" s="122"/>
      <c r="M11" s="122"/>
      <c r="N11" s="122"/>
      <c r="O11" s="122"/>
      <c r="P11" s="122"/>
      <c r="Q11" s="123">
        <v>4</v>
      </c>
      <c r="R11" s="123"/>
      <c r="S11" s="123">
        <v>4.5</v>
      </c>
      <c r="T11" s="123"/>
      <c r="U11" s="123">
        <v>2.5</v>
      </c>
      <c r="V11" s="123"/>
      <c r="W11" s="123">
        <v>7.2</v>
      </c>
      <c r="X11" s="123"/>
      <c r="Y11" s="124"/>
      <c r="Z11" s="124"/>
      <c r="AA11" s="124"/>
      <c r="AB11" s="124"/>
      <c r="AC11" s="124"/>
      <c r="AD11" s="124"/>
      <c r="AE11" s="124"/>
      <c r="AF11" s="124"/>
      <c r="AG11" s="124"/>
      <c r="AH11" s="124"/>
      <c r="AI11" s="124"/>
      <c r="AJ11" s="124"/>
      <c r="AK11" s="124"/>
      <c r="AL11" s="124"/>
      <c r="AM11" s="124"/>
      <c r="AN11" s="124"/>
      <c r="AO11" s="124"/>
      <c r="AP11" s="124"/>
      <c r="AQ11" s="124"/>
      <c r="AR11" s="124"/>
      <c r="AS11" s="124"/>
      <c r="AT11" s="124"/>
      <c r="AU11" s="124"/>
      <c r="AV11" s="124"/>
      <c r="AW11" s="112"/>
      <c r="AX11" s="112"/>
      <c r="AY11" s="112"/>
      <c r="AZ11" s="112"/>
      <c r="BA11" s="112"/>
      <c r="BB11" s="112"/>
      <c r="BC11" s="112"/>
      <c r="BD11" s="112"/>
      <c r="BE11" s="112"/>
      <c r="BF11" s="112"/>
      <c r="BG11" s="112"/>
      <c r="BH11" s="112"/>
      <c r="BI11" s="112"/>
      <c r="BJ11" s="112"/>
      <c r="BK11" s="112"/>
      <c r="BL11" s="112"/>
      <c r="BM11" s="112"/>
      <c r="BN11" s="112"/>
      <c r="BO11" s="112"/>
      <c r="BP11" s="112"/>
      <c r="BQ11" s="112"/>
      <c r="BR11" s="112"/>
      <c r="BS11" s="112"/>
      <c r="BT11" s="112"/>
      <c r="BU11" s="112"/>
      <c r="BV11" s="112"/>
      <c r="BW11" s="112"/>
      <c r="BX11" s="112"/>
      <c r="BY11" s="112"/>
      <c r="BZ11" s="112"/>
      <c r="CA11" s="112"/>
      <c r="CB11" s="112"/>
      <c r="CC11" s="112"/>
      <c r="CD11" s="112"/>
      <c r="CE11" s="112"/>
      <c r="CF11" s="112"/>
      <c r="CG11" s="112"/>
      <c r="CH11" s="112"/>
      <c r="CI11" s="112"/>
      <c r="CJ11" s="112"/>
      <c r="CK11" s="112"/>
      <c r="CL11" s="112"/>
      <c r="CM11" s="112"/>
      <c r="CN11" s="112"/>
      <c r="CO11" s="112"/>
      <c r="CP11" s="112"/>
      <c r="CQ11" s="112"/>
      <c r="CR11" s="112"/>
      <c r="CS11" s="112"/>
      <c r="CT11" s="112"/>
      <c r="CU11" s="112"/>
      <c r="CV11" s="112"/>
      <c r="CW11" s="112"/>
      <c r="CX11" s="112"/>
      <c r="CY11" s="112"/>
      <c r="CZ11" s="112"/>
      <c r="DA11" s="112"/>
      <c r="DB11" s="112"/>
      <c r="DC11" s="112"/>
      <c r="DD11" s="112"/>
      <c r="DE11" s="112"/>
      <c r="DF11" s="112"/>
      <c r="DG11" s="112"/>
      <c r="DH11" s="112"/>
      <c r="DI11" s="112"/>
      <c r="DJ11" s="112"/>
      <c r="DK11" s="112"/>
      <c r="DL11" s="112"/>
      <c r="DM11" s="112"/>
      <c r="DN11" s="112"/>
      <c r="DO11" s="112"/>
      <c r="DP11" s="112"/>
      <c r="DQ11" s="112"/>
      <c r="DR11" s="112"/>
      <c r="DS11" s="112"/>
      <c r="DT11" s="112"/>
      <c r="DU11" s="112"/>
      <c r="DV11" s="112"/>
      <c r="DW11" s="112"/>
      <c r="DX11" s="112"/>
      <c r="DY11" s="112"/>
      <c r="DZ11" s="112"/>
      <c r="EA11" s="112"/>
      <c r="EB11" s="112"/>
      <c r="EC11" s="112"/>
      <c r="ED11" s="112"/>
      <c r="EE11" s="112"/>
      <c r="EF11" s="112"/>
      <c r="EG11" s="112"/>
      <c r="EH11" s="112"/>
      <c r="EI11" s="112"/>
      <c r="EJ11" s="112"/>
      <c r="EK11" s="112"/>
      <c r="EL11" s="112"/>
      <c r="EM11" s="112"/>
      <c r="EN11" s="112"/>
      <c r="EO11" s="112"/>
      <c r="EP11" s="112"/>
      <c r="EQ11" s="112"/>
      <c r="ER11" s="112"/>
      <c r="ES11" s="112"/>
      <c r="ET11" s="112"/>
      <c r="EU11" s="112"/>
      <c r="EV11" s="112"/>
      <c r="EW11" s="112"/>
      <c r="EX11" s="112"/>
      <c r="EY11" s="112"/>
      <c r="EZ11" s="112"/>
      <c r="FA11" s="112"/>
      <c r="FB11" s="112"/>
      <c r="FC11" s="112"/>
      <c r="FD11" s="112"/>
      <c r="FE11" s="112"/>
      <c r="FF11" s="112"/>
      <c r="FG11" s="112"/>
      <c r="FH11" s="112"/>
      <c r="FI11" s="112"/>
      <c r="FJ11" s="112"/>
      <c r="FK11" s="112"/>
      <c r="FL11" s="112"/>
      <c r="FM11" s="112"/>
      <c r="FN11" s="112"/>
      <c r="FO11" s="112"/>
      <c r="FP11" s="112"/>
      <c r="FQ11" s="112"/>
      <c r="FR11" s="112"/>
      <c r="FS11" s="112"/>
      <c r="FT11" s="112"/>
      <c r="FU11" s="112"/>
      <c r="FV11" s="112"/>
      <c r="FW11" s="112"/>
      <c r="FX11" s="112"/>
      <c r="FY11" s="112"/>
      <c r="FZ11" s="112"/>
      <c r="GA11" s="112"/>
      <c r="GB11" s="112"/>
      <c r="GC11" s="112"/>
      <c r="GD11" s="112"/>
      <c r="GE11" s="112"/>
      <c r="GF11" s="112"/>
      <c r="GG11" s="112"/>
      <c r="GH11" s="112"/>
      <c r="GI11" s="112"/>
      <c r="GJ11" s="112"/>
      <c r="GK11" s="112"/>
      <c r="GL11" s="112"/>
      <c r="GM11" s="112"/>
      <c r="GN11" s="112"/>
      <c r="GO11" s="112"/>
      <c r="GP11" s="112"/>
      <c r="GQ11" s="112"/>
      <c r="GR11" s="112"/>
      <c r="GS11" s="112"/>
      <c r="GT11" s="112"/>
      <c r="GU11" s="112"/>
      <c r="GV11" s="112"/>
      <c r="GW11" s="112"/>
      <c r="GX11" s="112"/>
      <c r="GY11" s="112"/>
      <c r="GZ11" s="112"/>
      <c r="HA11" s="112"/>
      <c r="HB11" s="112"/>
      <c r="HC11" s="112"/>
      <c r="HD11" s="112"/>
      <c r="HE11" s="112"/>
      <c r="HF11" s="112"/>
      <c r="HG11" s="112"/>
      <c r="HH11" s="112"/>
      <c r="HI11" s="112"/>
      <c r="HJ11" s="112"/>
      <c r="HK11" s="112"/>
      <c r="HL11" s="112"/>
      <c r="HM11" s="112"/>
      <c r="HN11" s="112"/>
      <c r="HO11" s="112"/>
      <c r="HP11" s="112"/>
      <c r="HQ11" s="112"/>
      <c r="HR11" s="112"/>
      <c r="HS11" s="112"/>
      <c r="HT11" s="112"/>
      <c r="HU11" s="112"/>
      <c r="HV11" s="112"/>
      <c r="HW11" s="112"/>
      <c r="HX11" s="112"/>
      <c r="HY11" s="112"/>
      <c r="HZ11" s="112"/>
      <c r="IA11" s="112"/>
      <c r="IB11" s="112"/>
      <c r="IC11" s="112"/>
      <c r="ID11" s="112"/>
      <c r="IE11" s="112"/>
      <c r="IF11" s="112"/>
      <c r="IG11" s="112"/>
      <c r="IH11" s="112"/>
      <c r="II11" s="112"/>
      <c r="IJ11" s="112"/>
      <c r="IK11" s="112"/>
      <c r="IL11" s="112"/>
      <c r="IM11" s="112"/>
      <c r="IN11" s="112"/>
      <c r="IO11" s="112"/>
      <c r="IP11" s="112"/>
      <c r="IQ11" s="112"/>
      <c r="IR11" s="112"/>
      <c r="IS11" s="112"/>
      <c r="IT11" s="112"/>
      <c r="IU11" s="112"/>
    </row>
    <row r="12" spans="1:255" x14ac:dyDescent="0.2">
      <c r="A12" s="112"/>
      <c r="B12" s="112"/>
      <c r="C12" s="120">
        <v>10</v>
      </c>
      <c r="D12" s="121"/>
      <c r="E12" s="120">
        <f t="shared" si="0"/>
        <v>20</v>
      </c>
      <c r="F12" s="120"/>
      <c r="G12" s="122">
        <f>2*(4+5)</f>
        <v>18</v>
      </c>
      <c r="H12" s="122"/>
      <c r="I12" s="122">
        <f>2*(2.5+8)</f>
        <v>21</v>
      </c>
      <c r="J12" s="122"/>
      <c r="K12" s="122">
        <f t="shared" si="1"/>
        <v>39</v>
      </c>
      <c r="L12" s="122"/>
      <c r="M12" s="122">
        <v>22</v>
      </c>
      <c r="N12" s="122"/>
      <c r="O12" s="122">
        <f>2*O7</f>
        <v>39.200000000000003</v>
      </c>
      <c r="P12" s="122"/>
      <c r="Q12" s="123">
        <v>4</v>
      </c>
      <c r="R12" s="123"/>
      <c r="S12" s="123">
        <v>5</v>
      </c>
      <c r="T12" s="123"/>
      <c r="U12" s="123">
        <v>2.5</v>
      </c>
      <c r="V12" s="123"/>
      <c r="W12" s="123">
        <v>8</v>
      </c>
      <c r="X12" s="123"/>
      <c r="Y12" s="124"/>
      <c r="Z12" s="124"/>
      <c r="AA12" s="124"/>
      <c r="AB12" s="124"/>
      <c r="AC12" s="124"/>
      <c r="AD12" s="124"/>
      <c r="AE12" s="124"/>
      <c r="AF12" s="124"/>
      <c r="AG12" s="124"/>
      <c r="AH12" s="124"/>
      <c r="AI12" s="124"/>
      <c r="AJ12" s="124"/>
      <c r="AK12" s="124"/>
      <c r="AL12" s="124"/>
      <c r="AM12" s="124"/>
      <c r="AN12" s="124"/>
      <c r="AO12" s="124"/>
      <c r="AP12" s="124"/>
      <c r="AQ12" s="124"/>
      <c r="AR12" s="124"/>
      <c r="AS12" s="124"/>
      <c r="AT12" s="124"/>
      <c r="AU12" s="124"/>
      <c r="AV12" s="124"/>
      <c r="AW12" s="112"/>
      <c r="AX12" s="112"/>
      <c r="AY12" s="112"/>
      <c r="AZ12" s="112"/>
      <c r="BA12" s="112"/>
      <c r="BB12" s="112"/>
      <c r="BC12" s="112"/>
      <c r="BD12" s="112"/>
      <c r="BE12" s="112"/>
      <c r="BF12" s="112"/>
      <c r="BG12" s="112"/>
      <c r="BH12" s="112"/>
      <c r="BI12" s="112"/>
      <c r="BJ12" s="112"/>
      <c r="BK12" s="112"/>
      <c r="BL12" s="112"/>
      <c r="BM12" s="112"/>
      <c r="BN12" s="112"/>
      <c r="BO12" s="112"/>
      <c r="BP12" s="112"/>
      <c r="BQ12" s="112"/>
      <c r="BR12" s="112"/>
      <c r="BS12" s="112"/>
      <c r="BT12" s="112"/>
      <c r="BU12" s="112"/>
      <c r="BV12" s="112"/>
      <c r="BW12" s="112"/>
      <c r="BX12" s="112"/>
      <c r="BY12" s="112"/>
      <c r="BZ12" s="112"/>
      <c r="CA12" s="112"/>
      <c r="CB12" s="112"/>
      <c r="CC12" s="112"/>
      <c r="CD12" s="112"/>
      <c r="CE12" s="112"/>
      <c r="CF12" s="112"/>
      <c r="CG12" s="112"/>
      <c r="CH12" s="112"/>
      <c r="CI12" s="112"/>
      <c r="CJ12" s="112"/>
      <c r="CK12" s="112"/>
      <c r="CL12" s="112"/>
      <c r="CM12" s="112"/>
      <c r="CN12" s="112"/>
      <c r="CO12" s="112"/>
      <c r="CP12" s="112"/>
      <c r="CQ12" s="112"/>
      <c r="CR12" s="112"/>
      <c r="CS12" s="112"/>
      <c r="CT12" s="112"/>
      <c r="CU12" s="112"/>
      <c r="CV12" s="112"/>
      <c r="CW12" s="112"/>
      <c r="CX12" s="112"/>
      <c r="CY12" s="112"/>
      <c r="CZ12" s="112"/>
      <c r="DA12" s="112"/>
      <c r="DB12" s="112"/>
      <c r="DC12" s="112"/>
      <c r="DD12" s="112"/>
      <c r="DE12" s="112"/>
      <c r="DF12" s="112"/>
      <c r="DG12" s="112"/>
      <c r="DH12" s="112"/>
      <c r="DI12" s="112"/>
      <c r="DJ12" s="112"/>
      <c r="DK12" s="112"/>
      <c r="DL12" s="112"/>
      <c r="DM12" s="112"/>
      <c r="DN12" s="112"/>
      <c r="DO12" s="112"/>
      <c r="DP12" s="112"/>
      <c r="DQ12" s="112"/>
      <c r="DR12" s="112"/>
      <c r="DS12" s="112"/>
      <c r="DT12" s="112"/>
      <c r="DU12" s="112"/>
      <c r="DV12" s="112"/>
      <c r="DW12" s="112"/>
      <c r="DX12" s="112"/>
      <c r="DY12" s="112"/>
      <c r="DZ12" s="112"/>
      <c r="EA12" s="112"/>
      <c r="EB12" s="112"/>
      <c r="EC12" s="112"/>
      <c r="ED12" s="112"/>
      <c r="EE12" s="112"/>
      <c r="EF12" s="112"/>
      <c r="EG12" s="112"/>
      <c r="EH12" s="112"/>
      <c r="EI12" s="112"/>
      <c r="EJ12" s="112"/>
      <c r="EK12" s="112"/>
      <c r="EL12" s="112"/>
      <c r="EM12" s="112"/>
      <c r="EN12" s="112"/>
      <c r="EO12" s="112"/>
      <c r="EP12" s="112"/>
      <c r="EQ12" s="112"/>
      <c r="ER12" s="112"/>
      <c r="ES12" s="112"/>
      <c r="ET12" s="112"/>
      <c r="EU12" s="112"/>
      <c r="EV12" s="112"/>
      <c r="EW12" s="112"/>
      <c r="EX12" s="112"/>
      <c r="EY12" s="112"/>
      <c r="EZ12" s="112"/>
      <c r="FA12" s="112"/>
      <c r="FB12" s="112"/>
      <c r="FC12" s="112"/>
      <c r="FD12" s="112"/>
      <c r="FE12" s="112"/>
      <c r="FF12" s="112"/>
      <c r="FG12" s="112"/>
      <c r="FH12" s="112"/>
      <c r="FI12" s="112"/>
      <c r="FJ12" s="112"/>
      <c r="FK12" s="112"/>
      <c r="FL12" s="112"/>
      <c r="FM12" s="112"/>
      <c r="FN12" s="112"/>
      <c r="FO12" s="112"/>
      <c r="FP12" s="112"/>
      <c r="FQ12" s="112"/>
      <c r="FR12" s="112"/>
      <c r="FS12" s="112"/>
      <c r="FT12" s="112"/>
      <c r="FU12" s="112"/>
      <c r="FV12" s="112"/>
      <c r="FW12" s="112"/>
      <c r="FX12" s="112"/>
      <c r="FY12" s="112"/>
      <c r="FZ12" s="112"/>
      <c r="GA12" s="112"/>
      <c r="GB12" s="112"/>
      <c r="GC12" s="112"/>
      <c r="GD12" s="112"/>
      <c r="GE12" s="112"/>
      <c r="GF12" s="112"/>
      <c r="GG12" s="112"/>
      <c r="GH12" s="112"/>
      <c r="GI12" s="112"/>
      <c r="GJ12" s="112"/>
      <c r="GK12" s="112"/>
      <c r="GL12" s="112"/>
      <c r="GM12" s="112"/>
      <c r="GN12" s="112"/>
      <c r="GO12" s="112"/>
      <c r="GP12" s="112"/>
      <c r="GQ12" s="112"/>
      <c r="GR12" s="112"/>
      <c r="GS12" s="112"/>
      <c r="GT12" s="112"/>
      <c r="GU12" s="112"/>
      <c r="GV12" s="112"/>
      <c r="GW12" s="112"/>
      <c r="GX12" s="112"/>
      <c r="GY12" s="112"/>
      <c r="GZ12" s="112"/>
      <c r="HA12" s="112"/>
      <c r="HB12" s="112"/>
      <c r="HC12" s="112"/>
      <c r="HD12" s="112"/>
      <c r="HE12" s="112"/>
      <c r="HF12" s="112"/>
      <c r="HG12" s="112"/>
      <c r="HH12" s="112"/>
      <c r="HI12" s="112"/>
      <c r="HJ12" s="112"/>
      <c r="HK12" s="112"/>
      <c r="HL12" s="112"/>
      <c r="HM12" s="112"/>
      <c r="HN12" s="112"/>
      <c r="HO12" s="112"/>
      <c r="HP12" s="112"/>
      <c r="HQ12" s="112"/>
      <c r="HR12" s="112"/>
      <c r="HS12" s="112"/>
      <c r="HT12" s="112"/>
      <c r="HU12" s="112"/>
      <c r="HV12" s="112"/>
      <c r="HW12" s="112"/>
      <c r="HX12" s="112"/>
      <c r="HY12" s="112"/>
      <c r="HZ12" s="112"/>
      <c r="IA12" s="112"/>
      <c r="IB12" s="112"/>
      <c r="IC12" s="112"/>
      <c r="ID12" s="112"/>
      <c r="IE12" s="112"/>
      <c r="IF12" s="112"/>
      <c r="IG12" s="112"/>
      <c r="IH12" s="112"/>
      <c r="II12" s="112"/>
      <c r="IJ12" s="112"/>
      <c r="IK12" s="112"/>
      <c r="IL12" s="112"/>
      <c r="IM12" s="112"/>
      <c r="IN12" s="112"/>
      <c r="IO12" s="112"/>
      <c r="IP12" s="112"/>
      <c r="IQ12" s="112"/>
      <c r="IR12" s="112"/>
      <c r="IS12" s="112"/>
      <c r="IT12" s="112"/>
      <c r="IU12" s="112"/>
    </row>
    <row r="13" spans="1:255" x14ac:dyDescent="0.2">
      <c r="A13" s="112"/>
      <c r="B13" s="112"/>
      <c r="C13" s="120" t="s">
        <v>214</v>
      </c>
      <c r="D13" s="121"/>
      <c r="E13" s="120">
        <v>24</v>
      </c>
      <c r="F13" s="120"/>
      <c r="G13" s="122">
        <f>2*(6+4)</f>
        <v>20</v>
      </c>
      <c r="H13" s="122"/>
      <c r="I13" s="122">
        <f>2*(2.5+9.6)</f>
        <v>24.2</v>
      </c>
      <c r="J13" s="122"/>
      <c r="K13" s="122">
        <f t="shared" si="1"/>
        <v>44.2</v>
      </c>
      <c r="L13" s="122"/>
      <c r="M13" s="122">
        <v>24</v>
      </c>
      <c r="N13" s="122"/>
      <c r="O13" s="122">
        <f>2*O8</f>
        <v>44</v>
      </c>
      <c r="P13" s="122"/>
      <c r="Q13" s="123">
        <v>4</v>
      </c>
      <c r="R13" s="123"/>
      <c r="S13" s="123">
        <v>6</v>
      </c>
      <c r="T13" s="123"/>
      <c r="U13" s="123">
        <v>2.5</v>
      </c>
      <c r="V13" s="123"/>
      <c r="W13" s="123">
        <v>9.6</v>
      </c>
      <c r="X13" s="123"/>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12"/>
      <c r="AX13" s="112"/>
      <c r="AY13" s="112"/>
      <c r="AZ13" s="112"/>
      <c r="BA13" s="112"/>
      <c r="BB13" s="112"/>
      <c r="BC13" s="112"/>
      <c r="BD13" s="112"/>
      <c r="BE13" s="112"/>
      <c r="BF13" s="112"/>
      <c r="BG13" s="112"/>
      <c r="BH13" s="112"/>
      <c r="BI13" s="112"/>
      <c r="BJ13" s="112"/>
      <c r="BK13" s="112"/>
      <c r="BL13" s="112"/>
      <c r="BM13" s="112"/>
      <c r="BN13" s="112"/>
      <c r="BO13" s="112"/>
      <c r="BP13" s="112"/>
      <c r="BQ13" s="112"/>
      <c r="BR13" s="112"/>
      <c r="BS13" s="112"/>
      <c r="BT13" s="112"/>
      <c r="BU13" s="112"/>
      <c r="BV13" s="112"/>
      <c r="BW13" s="112"/>
      <c r="BX13" s="112"/>
      <c r="BY13" s="112"/>
      <c r="BZ13" s="112"/>
      <c r="CA13" s="112"/>
      <c r="CB13" s="112"/>
      <c r="CC13" s="112"/>
      <c r="CD13" s="112"/>
      <c r="CE13" s="112"/>
      <c r="CF13" s="112"/>
      <c r="CG13" s="112"/>
      <c r="CH13" s="112"/>
      <c r="CI13" s="112"/>
      <c r="CJ13" s="112"/>
      <c r="CK13" s="112"/>
      <c r="CL13" s="112"/>
      <c r="CM13" s="112"/>
      <c r="CN13" s="112"/>
      <c r="CO13" s="112"/>
      <c r="CP13" s="112"/>
      <c r="CQ13" s="112"/>
      <c r="CR13" s="112"/>
      <c r="CS13" s="112"/>
      <c r="CT13" s="112"/>
      <c r="CU13" s="112"/>
      <c r="CV13" s="112"/>
      <c r="CW13" s="112"/>
      <c r="CX13" s="112"/>
      <c r="CY13" s="112"/>
      <c r="CZ13" s="112"/>
      <c r="DA13" s="112"/>
      <c r="DB13" s="112"/>
      <c r="DC13" s="112"/>
      <c r="DD13" s="112"/>
      <c r="DE13" s="112"/>
      <c r="DF13" s="112"/>
      <c r="DG13" s="112"/>
      <c r="DH13" s="112"/>
      <c r="DI13" s="112"/>
      <c r="DJ13" s="112"/>
      <c r="DK13" s="112"/>
      <c r="DL13" s="112"/>
      <c r="DM13" s="112"/>
      <c r="DN13" s="112"/>
      <c r="DO13" s="112"/>
      <c r="DP13" s="112"/>
      <c r="DQ13" s="112"/>
      <c r="DR13" s="112"/>
      <c r="DS13" s="112"/>
      <c r="DT13" s="112"/>
      <c r="DU13" s="112"/>
      <c r="DV13" s="112"/>
      <c r="DW13" s="112"/>
      <c r="DX13" s="112"/>
      <c r="DY13" s="112"/>
      <c r="DZ13" s="112"/>
      <c r="EA13" s="112"/>
      <c r="EB13" s="112"/>
      <c r="EC13" s="112"/>
      <c r="ED13" s="112"/>
      <c r="EE13" s="112"/>
      <c r="EF13" s="112"/>
      <c r="EG13" s="112"/>
      <c r="EH13" s="112"/>
      <c r="EI13" s="112"/>
      <c r="EJ13" s="112"/>
      <c r="EK13" s="112"/>
      <c r="EL13" s="112"/>
      <c r="EM13" s="112"/>
      <c r="EN13" s="112"/>
      <c r="EO13" s="112"/>
      <c r="EP13" s="112"/>
      <c r="EQ13" s="112"/>
      <c r="ER13" s="112"/>
      <c r="ES13" s="112"/>
      <c r="ET13" s="112"/>
      <c r="EU13" s="112"/>
      <c r="EV13" s="112"/>
      <c r="EW13" s="112"/>
      <c r="EX13" s="112"/>
      <c r="EY13" s="112"/>
      <c r="EZ13" s="112"/>
      <c r="FA13" s="112"/>
      <c r="FB13" s="112"/>
      <c r="FC13" s="112"/>
      <c r="FD13" s="112"/>
      <c r="FE13" s="112"/>
      <c r="FF13" s="112"/>
      <c r="FG13" s="112"/>
      <c r="FH13" s="112"/>
      <c r="FI13" s="112"/>
      <c r="FJ13" s="112"/>
      <c r="FK13" s="112"/>
      <c r="FL13" s="112"/>
      <c r="FM13" s="112"/>
      <c r="FN13" s="112"/>
      <c r="FO13" s="112"/>
      <c r="FP13" s="112"/>
      <c r="FQ13" s="112"/>
      <c r="FR13" s="112"/>
      <c r="FS13" s="112"/>
      <c r="FT13" s="112"/>
      <c r="FU13" s="112"/>
      <c r="FV13" s="112"/>
      <c r="FW13" s="112"/>
      <c r="FX13" s="112"/>
      <c r="FY13" s="112"/>
      <c r="FZ13" s="112"/>
      <c r="GA13" s="112"/>
      <c r="GB13" s="112"/>
      <c r="GC13" s="112"/>
      <c r="GD13" s="112"/>
      <c r="GE13" s="112"/>
      <c r="GF13" s="112"/>
      <c r="GG13" s="112"/>
      <c r="GH13" s="112"/>
      <c r="GI13" s="112"/>
      <c r="GJ13" s="112"/>
      <c r="GK13" s="112"/>
      <c r="GL13" s="112"/>
      <c r="GM13" s="112"/>
      <c r="GN13" s="112"/>
      <c r="GO13" s="112"/>
      <c r="GP13" s="112"/>
      <c r="GQ13" s="112"/>
      <c r="GR13" s="112"/>
      <c r="GS13" s="112"/>
      <c r="GT13" s="112"/>
      <c r="GU13" s="112"/>
      <c r="GV13" s="112"/>
      <c r="GW13" s="112"/>
      <c r="GX13" s="112"/>
      <c r="GY13" s="112"/>
      <c r="GZ13" s="112"/>
      <c r="HA13" s="112"/>
      <c r="HB13" s="112"/>
      <c r="HC13" s="112"/>
      <c r="HD13" s="112"/>
      <c r="HE13" s="112"/>
      <c r="HF13" s="112"/>
      <c r="HG13" s="112"/>
      <c r="HH13" s="112"/>
      <c r="HI13" s="112"/>
      <c r="HJ13" s="112"/>
      <c r="HK13" s="112"/>
      <c r="HL13" s="112"/>
      <c r="HM13" s="112"/>
      <c r="HN13" s="112"/>
      <c r="HO13" s="112"/>
      <c r="HP13" s="112"/>
      <c r="HQ13" s="112"/>
      <c r="HR13" s="112"/>
      <c r="HS13" s="112"/>
      <c r="HT13" s="112"/>
      <c r="HU13" s="112"/>
      <c r="HV13" s="112"/>
      <c r="HW13" s="112"/>
      <c r="HX13" s="112"/>
      <c r="HY13" s="112"/>
      <c r="HZ13" s="112"/>
      <c r="IA13" s="112"/>
      <c r="IB13" s="112"/>
      <c r="IC13" s="112"/>
      <c r="ID13" s="112"/>
      <c r="IE13" s="112"/>
      <c r="IF13" s="112"/>
      <c r="IG13" s="112"/>
      <c r="IH13" s="112"/>
      <c r="II13" s="112"/>
      <c r="IJ13" s="112"/>
      <c r="IK13" s="112"/>
      <c r="IL13" s="112"/>
      <c r="IM13" s="112"/>
      <c r="IN13" s="112"/>
      <c r="IO13" s="112"/>
      <c r="IP13" s="112"/>
      <c r="IQ13" s="112"/>
      <c r="IR13" s="112"/>
      <c r="IS13" s="112"/>
      <c r="IT13" s="112"/>
      <c r="IU13" s="112"/>
    </row>
    <row r="14" spans="1:255" x14ac:dyDescent="0.2">
      <c r="A14" s="112"/>
      <c r="B14" s="112"/>
      <c r="C14" s="120" t="s">
        <v>215</v>
      </c>
      <c r="D14" s="121"/>
      <c r="E14" s="120">
        <v>24</v>
      </c>
      <c r="F14" s="120"/>
      <c r="G14" s="122">
        <f>2*(8+3)</f>
        <v>22</v>
      </c>
      <c r="H14" s="122"/>
      <c r="I14" s="122">
        <f>2*(2.5+9.6)</f>
        <v>24.2</v>
      </c>
      <c r="J14" s="122"/>
      <c r="K14" s="122">
        <f t="shared" si="1"/>
        <v>46.2</v>
      </c>
      <c r="L14" s="122"/>
      <c r="M14" s="122">
        <v>24</v>
      </c>
      <c r="N14" s="122"/>
      <c r="O14" s="122">
        <v>44</v>
      </c>
      <c r="P14" s="122"/>
      <c r="Q14" s="123">
        <v>3</v>
      </c>
      <c r="R14" s="123"/>
      <c r="S14" s="123">
        <v>8</v>
      </c>
      <c r="T14" s="123"/>
      <c r="U14" s="123">
        <v>2.5</v>
      </c>
      <c r="V14" s="123"/>
      <c r="W14" s="123">
        <v>9.6</v>
      </c>
      <c r="X14" s="123"/>
      <c r="Y14" s="124"/>
      <c r="Z14" s="124"/>
      <c r="AA14" s="124"/>
      <c r="AB14" s="124"/>
      <c r="AC14" s="124"/>
      <c r="AD14" s="124"/>
      <c r="AE14" s="124"/>
      <c r="AF14" s="124"/>
      <c r="AG14" s="124"/>
      <c r="AH14" s="124"/>
      <c r="AI14" s="124"/>
      <c r="AJ14" s="124"/>
      <c r="AK14" s="124"/>
      <c r="AL14" s="124"/>
      <c r="AM14" s="124"/>
      <c r="AN14" s="124"/>
      <c r="AO14" s="124"/>
      <c r="AP14" s="124"/>
      <c r="AQ14" s="124"/>
      <c r="AR14" s="124"/>
      <c r="AS14" s="124"/>
      <c r="AT14" s="124"/>
      <c r="AU14" s="124"/>
      <c r="AV14" s="124"/>
      <c r="AW14" s="112"/>
      <c r="AX14" s="112"/>
      <c r="AY14" s="112"/>
      <c r="AZ14" s="112"/>
      <c r="BA14" s="112"/>
      <c r="BB14" s="112"/>
      <c r="BC14" s="112"/>
      <c r="BD14" s="112"/>
      <c r="BE14" s="112"/>
      <c r="BF14" s="112"/>
      <c r="BG14" s="112"/>
      <c r="BH14" s="112"/>
      <c r="BI14" s="112"/>
      <c r="BJ14" s="112"/>
      <c r="BK14" s="112"/>
      <c r="BL14" s="112"/>
      <c r="BM14" s="112"/>
      <c r="BN14" s="112"/>
      <c r="BO14" s="112"/>
      <c r="BP14" s="112"/>
      <c r="BQ14" s="112"/>
      <c r="BR14" s="112"/>
      <c r="BS14" s="112"/>
      <c r="BT14" s="112"/>
      <c r="BU14" s="112"/>
      <c r="BV14" s="112"/>
      <c r="BW14" s="112"/>
      <c r="BX14" s="112"/>
      <c r="BY14" s="112"/>
      <c r="BZ14" s="112"/>
      <c r="CA14" s="112"/>
      <c r="CB14" s="112"/>
      <c r="CC14" s="112"/>
      <c r="CD14" s="112"/>
      <c r="CE14" s="112"/>
      <c r="CF14" s="112"/>
      <c r="CG14" s="112"/>
      <c r="CH14" s="112"/>
      <c r="CI14" s="112"/>
      <c r="CJ14" s="112"/>
      <c r="CK14" s="112"/>
      <c r="CL14" s="112"/>
      <c r="CM14" s="112"/>
      <c r="CN14" s="112"/>
      <c r="CO14" s="112"/>
      <c r="CP14" s="112"/>
      <c r="CQ14" s="112"/>
      <c r="CR14" s="112"/>
      <c r="CS14" s="112"/>
      <c r="CT14" s="112"/>
      <c r="CU14" s="112"/>
      <c r="CV14" s="112"/>
      <c r="CW14" s="112"/>
      <c r="CX14" s="112"/>
      <c r="CY14" s="112"/>
      <c r="CZ14" s="112"/>
      <c r="DA14" s="112"/>
      <c r="DB14" s="112"/>
      <c r="DC14" s="112"/>
      <c r="DD14" s="112"/>
      <c r="DE14" s="112"/>
      <c r="DF14" s="112"/>
      <c r="DG14" s="112"/>
      <c r="DH14" s="112"/>
      <c r="DI14" s="112"/>
      <c r="DJ14" s="112"/>
      <c r="DK14" s="112"/>
      <c r="DL14" s="112"/>
      <c r="DM14" s="112"/>
      <c r="DN14" s="112"/>
      <c r="DO14" s="112"/>
      <c r="DP14" s="112"/>
      <c r="DQ14" s="112"/>
      <c r="DR14" s="112"/>
      <c r="DS14" s="112"/>
      <c r="DT14" s="112"/>
      <c r="DU14" s="112"/>
      <c r="DV14" s="112"/>
      <c r="DW14" s="112"/>
      <c r="DX14" s="112"/>
      <c r="DY14" s="112"/>
      <c r="DZ14" s="112"/>
      <c r="EA14" s="112"/>
      <c r="EB14" s="112"/>
      <c r="EC14" s="112"/>
      <c r="ED14" s="112"/>
      <c r="EE14" s="112"/>
      <c r="EF14" s="112"/>
      <c r="EG14" s="112"/>
      <c r="EH14" s="112"/>
      <c r="EI14" s="112"/>
      <c r="EJ14" s="112"/>
      <c r="EK14" s="112"/>
      <c r="EL14" s="112"/>
      <c r="EM14" s="112"/>
      <c r="EN14" s="112"/>
      <c r="EO14" s="112"/>
      <c r="EP14" s="112"/>
      <c r="EQ14" s="112"/>
      <c r="ER14" s="112"/>
      <c r="ES14" s="112"/>
      <c r="ET14" s="112"/>
      <c r="EU14" s="112"/>
      <c r="EV14" s="112"/>
      <c r="EW14" s="112"/>
      <c r="EX14" s="112"/>
      <c r="EY14" s="112"/>
      <c r="EZ14" s="112"/>
      <c r="FA14" s="112"/>
      <c r="FB14" s="112"/>
      <c r="FC14" s="112"/>
      <c r="FD14" s="112"/>
      <c r="FE14" s="112"/>
      <c r="FF14" s="112"/>
      <c r="FG14" s="112"/>
      <c r="FH14" s="112"/>
      <c r="FI14" s="112"/>
      <c r="FJ14" s="112"/>
      <c r="FK14" s="112"/>
      <c r="FL14" s="112"/>
      <c r="FM14" s="112"/>
      <c r="FN14" s="112"/>
      <c r="FO14" s="112"/>
      <c r="FP14" s="112"/>
      <c r="FQ14" s="112"/>
      <c r="FR14" s="112"/>
      <c r="FS14" s="112"/>
      <c r="FT14" s="112"/>
      <c r="FU14" s="112"/>
      <c r="FV14" s="112"/>
      <c r="FW14" s="112"/>
      <c r="FX14" s="112"/>
      <c r="FY14" s="112"/>
      <c r="FZ14" s="112"/>
      <c r="GA14" s="112"/>
      <c r="GB14" s="112"/>
      <c r="GC14" s="112"/>
      <c r="GD14" s="112"/>
      <c r="GE14" s="112"/>
      <c r="GF14" s="112"/>
      <c r="GG14" s="112"/>
      <c r="GH14" s="112"/>
      <c r="GI14" s="112"/>
      <c r="GJ14" s="112"/>
      <c r="GK14" s="112"/>
      <c r="GL14" s="112"/>
      <c r="GM14" s="112"/>
      <c r="GN14" s="112"/>
      <c r="GO14" s="112"/>
      <c r="GP14" s="112"/>
      <c r="GQ14" s="112"/>
      <c r="GR14" s="112"/>
      <c r="GS14" s="112"/>
      <c r="GT14" s="112"/>
      <c r="GU14" s="112"/>
      <c r="GV14" s="112"/>
      <c r="GW14" s="112"/>
      <c r="GX14" s="112"/>
      <c r="GY14" s="112"/>
      <c r="GZ14" s="112"/>
      <c r="HA14" s="112"/>
      <c r="HB14" s="112"/>
      <c r="HC14" s="112"/>
      <c r="HD14" s="112"/>
      <c r="HE14" s="112"/>
      <c r="HF14" s="112"/>
      <c r="HG14" s="112"/>
      <c r="HH14" s="112"/>
      <c r="HI14" s="112"/>
      <c r="HJ14" s="112"/>
      <c r="HK14" s="112"/>
      <c r="HL14" s="112"/>
      <c r="HM14" s="112"/>
      <c r="HN14" s="112"/>
      <c r="HO14" s="112"/>
      <c r="HP14" s="112"/>
      <c r="HQ14" s="112"/>
      <c r="HR14" s="112"/>
      <c r="HS14" s="112"/>
      <c r="HT14" s="112"/>
      <c r="HU14" s="112"/>
      <c r="HV14" s="112"/>
      <c r="HW14" s="112"/>
      <c r="HX14" s="112"/>
      <c r="HY14" s="112"/>
      <c r="HZ14" s="112"/>
      <c r="IA14" s="112"/>
      <c r="IB14" s="112"/>
      <c r="IC14" s="112"/>
      <c r="ID14" s="112"/>
      <c r="IE14" s="112"/>
      <c r="IF14" s="112"/>
      <c r="IG14" s="112"/>
      <c r="IH14" s="112"/>
      <c r="II14" s="112"/>
      <c r="IJ14" s="112"/>
      <c r="IK14" s="112"/>
      <c r="IL14" s="112"/>
      <c r="IM14" s="112"/>
      <c r="IN14" s="112"/>
      <c r="IO14" s="112"/>
      <c r="IP14" s="112"/>
      <c r="IQ14" s="112"/>
      <c r="IR14" s="112"/>
      <c r="IS14" s="112"/>
      <c r="IT14" s="112"/>
      <c r="IU14" s="112"/>
    </row>
    <row r="15" spans="1:255" x14ac:dyDescent="0.2">
      <c r="A15" s="112"/>
      <c r="B15" s="112"/>
      <c r="C15" s="120" t="s">
        <v>216</v>
      </c>
      <c r="D15" s="121"/>
      <c r="E15" s="120">
        <v>28</v>
      </c>
      <c r="F15" s="120"/>
      <c r="G15" s="122">
        <f>2*(8+3.5)</f>
        <v>23</v>
      </c>
      <c r="H15" s="122"/>
      <c r="I15" s="122">
        <f>2*(2.8+10)</f>
        <v>25.6</v>
      </c>
      <c r="J15" s="122"/>
      <c r="K15" s="122">
        <f t="shared" si="1"/>
        <v>48.6</v>
      </c>
      <c r="L15" s="122"/>
      <c r="M15" s="122"/>
      <c r="N15" s="122"/>
      <c r="O15" s="122"/>
      <c r="P15" s="122"/>
      <c r="Q15" s="123">
        <v>3.5</v>
      </c>
      <c r="R15" s="123"/>
      <c r="S15" s="123">
        <v>8</v>
      </c>
      <c r="T15" s="123"/>
      <c r="U15" s="123">
        <v>2.8</v>
      </c>
      <c r="V15" s="123"/>
      <c r="W15" s="123">
        <v>10</v>
      </c>
      <c r="X15" s="123"/>
      <c r="Y15" s="124"/>
      <c r="Z15" s="124"/>
      <c r="AA15" s="124"/>
      <c r="AB15" s="124"/>
      <c r="AC15" s="124"/>
      <c r="AD15" s="124"/>
      <c r="AE15" s="124"/>
      <c r="AF15" s="124"/>
      <c r="AG15" s="124"/>
      <c r="AH15" s="124"/>
      <c r="AI15" s="124"/>
      <c r="AJ15" s="124"/>
      <c r="AK15" s="124"/>
      <c r="AL15" s="124"/>
      <c r="AM15" s="124"/>
      <c r="AN15" s="124"/>
      <c r="AO15" s="124"/>
      <c r="AP15" s="124"/>
      <c r="AQ15" s="124"/>
      <c r="AR15" s="124"/>
      <c r="AS15" s="124"/>
      <c r="AT15" s="124"/>
      <c r="AU15" s="124"/>
      <c r="AV15" s="124"/>
      <c r="AW15" s="112"/>
      <c r="AX15" s="112"/>
      <c r="AY15" s="112"/>
      <c r="AZ15" s="112"/>
      <c r="BA15" s="112"/>
      <c r="BB15" s="112"/>
      <c r="BC15" s="112"/>
      <c r="BD15" s="112"/>
      <c r="BE15" s="112"/>
      <c r="BF15" s="112"/>
      <c r="BG15" s="112"/>
      <c r="BH15" s="112"/>
      <c r="BI15" s="112"/>
      <c r="BJ15" s="112"/>
      <c r="BK15" s="112"/>
      <c r="BL15" s="112"/>
      <c r="BM15" s="112"/>
      <c r="BN15" s="112"/>
      <c r="BO15" s="112"/>
      <c r="BP15" s="112"/>
      <c r="BQ15" s="112"/>
      <c r="BR15" s="112"/>
      <c r="BS15" s="112"/>
      <c r="BT15" s="112"/>
      <c r="BU15" s="112"/>
      <c r="BV15" s="112"/>
      <c r="BW15" s="112"/>
      <c r="BX15" s="112"/>
      <c r="BY15" s="112"/>
      <c r="BZ15" s="112"/>
      <c r="CA15" s="112"/>
      <c r="CB15" s="112"/>
      <c r="CC15" s="112"/>
      <c r="CD15" s="112"/>
      <c r="CE15" s="112"/>
      <c r="CF15" s="112"/>
      <c r="CG15" s="112"/>
      <c r="CH15" s="112"/>
      <c r="CI15" s="112"/>
      <c r="CJ15" s="112"/>
      <c r="CK15" s="112"/>
      <c r="CL15" s="112"/>
      <c r="CM15" s="112"/>
      <c r="CN15" s="112"/>
      <c r="CO15" s="112"/>
      <c r="CP15" s="112"/>
      <c r="CQ15" s="112"/>
      <c r="CR15" s="112"/>
      <c r="CS15" s="112"/>
      <c r="CT15" s="112"/>
      <c r="CU15" s="112"/>
      <c r="CV15" s="112"/>
      <c r="CW15" s="112"/>
      <c r="CX15" s="112"/>
      <c r="CY15" s="112"/>
      <c r="CZ15" s="112"/>
      <c r="DA15" s="112"/>
      <c r="DB15" s="112"/>
      <c r="DC15" s="112"/>
      <c r="DD15" s="112"/>
      <c r="DE15" s="112"/>
      <c r="DF15" s="112"/>
      <c r="DG15" s="112"/>
      <c r="DH15" s="112"/>
      <c r="DI15" s="112"/>
      <c r="DJ15" s="112"/>
      <c r="DK15" s="112"/>
      <c r="DL15" s="112"/>
      <c r="DM15" s="112"/>
      <c r="DN15" s="112"/>
      <c r="DO15" s="112"/>
      <c r="DP15" s="112"/>
      <c r="DQ15" s="112"/>
      <c r="DR15" s="112"/>
      <c r="DS15" s="112"/>
      <c r="DT15" s="112"/>
      <c r="DU15" s="112"/>
      <c r="DV15" s="112"/>
      <c r="DW15" s="112"/>
      <c r="DX15" s="112"/>
      <c r="DY15" s="112"/>
      <c r="DZ15" s="112"/>
      <c r="EA15" s="112"/>
      <c r="EB15" s="112"/>
      <c r="EC15" s="112"/>
      <c r="ED15" s="112"/>
      <c r="EE15" s="112"/>
      <c r="EF15" s="112"/>
      <c r="EG15" s="112"/>
      <c r="EH15" s="112"/>
      <c r="EI15" s="112"/>
      <c r="EJ15" s="112"/>
      <c r="EK15" s="112"/>
      <c r="EL15" s="112"/>
      <c r="EM15" s="112"/>
      <c r="EN15" s="112"/>
      <c r="EO15" s="112"/>
      <c r="EP15" s="112"/>
      <c r="EQ15" s="112"/>
      <c r="ER15" s="112"/>
      <c r="ES15" s="112"/>
      <c r="ET15" s="112"/>
      <c r="EU15" s="112"/>
      <c r="EV15" s="112"/>
      <c r="EW15" s="112"/>
      <c r="EX15" s="112"/>
      <c r="EY15" s="112"/>
      <c r="EZ15" s="112"/>
      <c r="FA15" s="112"/>
      <c r="FB15" s="112"/>
      <c r="FC15" s="112"/>
      <c r="FD15" s="112"/>
      <c r="FE15" s="112"/>
      <c r="FF15" s="112"/>
      <c r="FG15" s="112"/>
      <c r="FH15" s="112"/>
      <c r="FI15" s="112"/>
      <c r="FJ15" s="112"/>
      <c r="FK15" s="112"/>
      <c r="FL15" s="112"/>
      <c r="FM15" s="112"/>
      <c r="FN15" s="112"/>
      <c r="FO15" s="112"/>
      <c r="FP15" s="112"/>
      <c r="FQ15" s="112"/>
      <c r="FR15" s="112"/>
      <c r="FS15" s="112"/>
      <c r="FT15" s="112"/>
      <c r="FU15" s="112"/>
      <c r="FV15" s="112"/>
      <c r="FW15" s="112"/>
      <c r="FX15" s="112"/>
      <c r="FY15" s="112"/>
      <c r="FZ15" s="112"/>
      <c r="GA15" s="112"/>
      <c r="GB15" s="112"/>
      <c r="GC15" s="112"/>
      <c r="GD15" s="112"/>
      <c r="GE15" s="112"/>
      <c r="GF15" s="112"/>
      <c r="GG15" s="112"/>
      <c r="GH15" s="112"/>
      <c r="GI15" s="112"/>
      <c r="GJ15" s="112"/>
      <c r="GK15" s="112"/>
      <c r="GL15" s="112"/>
      <c r="GM15" s="112"/>
      <c r="GN15" s="112"/>
      <c r="GO15" s="112"/>
      <c r="GP15" s="112"/>
      <c r="GQ15" s="112"/>
      <c r="GR15" s="112"/>
      <c r="GS15" s="112"/>
      <c r="GT15" s="112"/>
      <c r="GU15" s="112"/>
      <c r="GV15" s="112"/>
      <c r="GW15" s="112"/>
      <c r="GX15" s="112"/>
      <c r="GY15" s="112"/>
      <c r="GZ15" s="112"/>
      <c r="HA15" s="112"/>
      <c r="HB15" s="112"/>
      <c r="HC15" s="112"/>
      <c r="HD15" s="112"/>
      <c r="HE15" s="112"/>
      <c r="HF15" s="112"/>
      <c r="HG15" s="112"/>
      <c r="HH15" s="112"/>
      <c r="HI15" s="112"/>
      <c r="HJ15" s="112"/>
      <c r="HK15" s="112"/>
      <c r="HL15" s="112"/>
      <c r="HM15" s="112"/>
      <c r="HN15" s="112"/>
      <c r="HO15" s="112"/>
      <c r="HP15" s="112"/>
      <c r="HQ15" s="112"/>
      <c r="HR15" s="112"/>
      <c r="HS15" s="112"/>
      <c r="HT15" s="112"/>
      <c r="HU15" s="112"/>
      <c r="HV15" s="112"/>
      <c r="HW15" s="112"/>
      <c r="HX15" s="112"/>
      <c r="HY15" s="112"/>
      <c r="HZ15" s="112"/>
      <c r="IA15" s="112"/>
      <c r="IB15" s="112"/>
      <c r="IC15" s="112"/>
      <c r="ID15" s="112"/>
      <c r="IE15" s="112"/>
      <c r="IF15" s="112"/>
      <c r="IG15" s="112"/>
      <c r="IH15" s="112"/>
      <c r="II15" s="112"/>
      <c r="IJ15" s="112"/>
      <c r="IK15" s="112"/>
      <c r="IL15" s="112"/>
      <c r="IM15" s="112"/>
      <c r="IN15" s="112"/>
      <c r="IO15" s="112"/>
      <c r="IP15" s="112"/>
      <c r="IQ15" s="112"/>
      <c r="IR15" s="112"/>
      <c r="IS15" s="112"/>
      <c r="IT15" s="112"/>
      <c r="IU15" s="112"/>
    </row>
    <row r="16" spans="1:255" x14ac:dyDescent="0.2">
      <c r="A16" s="112"/>
      <c r="B16" s="112"/>
      <c r="C16" s="120" t="s">
        <v>217</v>
      </c>
      <c r="D16" s="121"/>
      <c r="E16" s="120">
        <v>28</v>
      </c>
      <c r="F16" s="120"/>
      <c r="G16" s="122">
        <f>2*(7+4)</f>
        <v>22</v>
      </c>
      <c r="H16" s="122"/>
      <c r="I16" s="122">
        <f>2*(2.8+10)</f>
        <v>25.6</v>
      </c>
      <c r="J16" s="122"/>
      <c r="K16" s="122">
        <f t="shared" si="1"/>
        <v>47.6</v>
      </c>
      <c r="L16" s="122"/>
      <c r="M16" s="122"/>
      <c r="N16" s="122"/>
      <c r="O16" s="122"/>
      <c r="P16" s="122"/>
      <c r="Q16" s="123">
        <v>4</v>
      </c>
      <c r="R16" s="123"/>
      <c r="S16" s="123">
        <v>7</v>
      </c>
      <c r="T16" s="123"/>
      <c r="U16" s="123">
        <v>2.8</v>
      </c>
      <c r="V16" s="123"/>
      <c r="W16" s="123">
        <v>10</v>
      </c>
      <c r="X16" s="123"/>
      <c r="Y16" s="124"/>
      <c r="Z16" s="124"/>
      <c r="AA16" s="124"/>
      <c r="AB16" s="124"/>
      <c r="AC16" s="124"/>
      <c r="AD16" s="124"/>
      <c r="AE16" s="124"/>
      <c r="AF16" s="124"/>
      <c r="AG16" s="124"/>
      <c r="AH16" s="124"/>
      <c r="AI16" s="124"/>
      <c r="AJ16" s="124"/>
      <c r="AK16" s="124"/>
      <c r="AL16" s="124"/>
      <c r="AM16" s="124"/>
      <c r="AN16" s="124"/>
      <c r="AO16" s="124"/>
      <c r="AP16" s="124"/>
      <c r="AQ16" s="124"/>
      <c r="AR16" s="124"/>
      <c r="AS16" s="124"/>
      <c r="AT16" s="124"/>
      <c r="AU16" s="124"/>
      <c r="AV16" s="124"/>
      <c r="AW16" s="112"/>
      <c r="AX16" s="112"/>
      <c r="AY16" s="112"/>
      <c r="AZ16" s="112"/>
      <c r="BA16" s="112"/>
      <c r="BB16" s="112"/>
      <c r="BC16" s="112"/>
      <c r="BD16" s="112"/>
      <c r="BE16" s="112"/>
      <c r="BF16" s="112"/>
      <c r="BG16" s="112"/>
      <c r="BH16" s="112"/>
      <c r="BI16" s="112"/>
      <c r="BJ16" s="112"/>
      <c r="BK16" s="112"/>
      <c r="BL16" s="112"/>
      <c r="BM16" s="112"/>
      <c r="BN16" s="112"/>
      <c r="BO16" s="112"/>
      <c r="BP16" s="112"/>
      <c r="BQ16" s="112"/>
      <c r="BR16" s="112"/>
      <c r="BS16" s="112"/>
      <c r="BT16" s="112"/>
      <c r="BU16" s="112"/>
      <c r="BV16" s="112"/>
      <c r="BW16" s="112"/>
      <c r="BX16" s="112"/>
      <c r="BY16" s="112"/>
      <c r="BZ16" s="112"/>
      <c r="CA16" s="112"/>
      <c r="CB16" s="112"/>
      <c r="CC16" s="112"/>
      <c r="CD16" s="112"/>
      <c r="CE16" s="112"/>
      <c r="CF16" s="112"/>
      <c r="CG16" s="112"/>
      <c r="CH16" s="112"/>
      <c r="CI16" s="112"/>
      <c r="CJ16" s="112"/>
      <c r="CK16" s="112"/>
      <c r="CL16" s="112"/>
      <c r="CM16" s="112"/>
      <c r="CN16" s="112"/>
      <c r="CO16" s="112"/>
      <c r="CP16" s="112"/>
      <c r="CQ16" s="112"/>
      <c r="CR16" s="112"/>
      <c r="CS16" s="112"/>
      <c r="CT16" s="112"/>
      <c r="CU16" s="112"/>
      <c r="CV16" s="112"/>
      <c r="CW16" s="112"/>
      <c r="CX16" s="112"/>
      <c r="CY16" s="112"/>
      <c r="CZ16" s="112"/>
      <c r="DA16" s="112"/>
      <c r="DB16" s="112"/>
      <c r="DC16" s="112"/>
      <c r="DD16" s="112"/>
      <c r="DE16" s="112"/>
      <c r="DF16" s="112"/>
      <c r="DG16" s="112"/>
      <c r="DH16" s="112"/>
      <c r="DI16" s="112"/>
      <c r="DJ16" s="112"/>
      <c r="DK16" s="112"/>
      <c r="DL16" s="112"/>
      <c r="DM16" s="112"/>
      <c r="DN16" s="112"/>
      <c r="DO16" s="112"/>
      <c r="DP16" s="112"/>
      <c r="DQ16" s="112"/>
      <c r="DR16" s="112"/>
      <c r="DS16" s="112"/>
      <c r="DT16" s="112"/>
      <c r="DU16" s="112"/>
      <c r="DV16" s="112"/>
      <c r="DW16" s="112"/>
      <c r="DX16" s="112"/>
      <c r="DY16" s="112"/>
      <c r="DZ16" s="112"/>
      <c r="EA16" s="112"/>
      <c r="EB16" s="112"/>
      <c r="EC16" s="112"/>
      <c r="ED16" s="112"/>
      <c r="EE16" s="112"/>
      <c r="EF16" s="112"/>
      <c r="EG16" s="112"/>
      <c r="EH16" s="112"/>
      <c r="EI16" s="112"/>
      <c r="EJ16" s="112"/>
      <c r="EK16" s="112"/>
      <c r="EL16" s="112"/>
      <c r="EM16" s="112"/>
      <c r="EN16" s="112"/>
      <c r="EO16" s="112"/>
      <c r="EP16" s="112"/>
      <c r="EQ16" s="112"/>
      <c r="ER16" s="112"/>
      <c r="ES16" s="112"/>
      <c r="ET16" s="112"/>
      <c r="EU16" s="112"/>
      <c r="EV16" s="112"/>
      <c r="EW16" s="112"/>
      <c r="EX16" s="112"/>
      <c r="EY16" s="112"/>
      <c r="EZ16" s="112"/>
      <c r="FA16" s="112"/>
      <c r="FB16" s="112"/>
      <c r="FC16" s="112"/>
      <c r="FD16" s="112"/>
      <c r="FE16" s="112"/>
      <c r="FF16" s="112"/>
      <c r="FG16" s="112"/>
      <c r="FH16" s="112"/>
      <c r="FI16" s="112"/>
      <c r="FJ16" s="112"/>
      <c r="FK16" s="112"/>
      <c r="FL16" s="112"/>
      <c r="FM16" s="112"/>
      <c r="FN16" s="112"/>
      <c r="FO16" s="112"/>
      <c r="FP16" s="112"/>
      <c r="FQ16" s="112"/>
      <c r="FR16" s="112"/>
      <c r="FS16" s="112"/>
      <c r="FT16" s="112"/>
      <c r="FU16" s="112"/>
      <c r="FV16" s="112"/>
      <c r="FW16" s="112"/>
      <c r="FX16" s="112"/>
      <c r="FY16" s="112"/>
      <c r="FZ16" s="112"/>
      <c r="GA16" s="112"/>
      <c r="GB16" s="112"/>
      <c r="GC16" s="112"/>
      <c r="GD16" s="112"/>
      <c r="GE16" s="112"/>
      <c r="GF16" s="112"/>
      <c r="GG16" s="112"/>
      <c r="GH16" s="112"/>
      <c r="GI16" s="112"/>
      <c r="GJ16" s="112"/>
      <c r="GK16" s="112"/>
      <c r="GL16" s="112"/>
      <c r="GM16" s="112"/>
      <c r="GN16" s="112"/>
      <c r="GO16" s="112"/>
      <c r="GP16" s="112"/>
      <c r="GQ16" s="112"/>
      <c r="GR16" s="112"/>
      <c r="GS16" s="112"/>
      <c r="GT16" s="112"/>
      <c r="GU16" s="112"/>
      <c r="GV16" s="112"/>
      <c r="GW16" s="112"/>
      <c r="GX16" s="112"/>
      <c r="GY16" s="112"/>
      <c r="GZ16" s="112"/>
      <c r="HA16" s="112"/>
      <c r="HB16" s="112"/>
      <c r="HC16" s="112"/>
      <c r="HD16" s="112"/>
      <c r="HE16" s="112"/>
      <c r="HF16" s="112"/>
      <c r="HG16" s="112"/>
      <c r="HH16" s="112"/>
      <c r="HI16" s="112"/>
      <c r="HJ16" s="112"/>
      <c r="HK16" s="112"/>
      <c r="HL16" s="112"/>
      <c r="HM16" s="112"/>
      <c r="HN16" s="112"/>
      <c r="HO16" s="112"/>
      <c r="HP16" s="112"/>
      <c r="HQ16" s="112"/>
      <c r="HR16" s="112"/>
      <c r="HS16" s="112"/>
      <c r="HT16" s="112"/>
      <c r="HU16" s="112"/>
      <c r="HV16" s="112"/>
      <c r="HW16" s="112"/>
      <c r="HX16" s="112"/>
      <c r="HY16" s="112"/>
      <c r="HZ16" s="112"/>
      <c r="IA16" s="112"/>
      <c r="IB16" s="112"/>
      <c r="IC16" s="112"/>
      <c r="ID16" s="112"/>
      <c r="IE16" s="112"/>
      <c r="IF16" s="112"/>
      <c r="IG16" s="112"/>
      <c r="IH16" s="112"/>
      <c r="II16" s="112"/>
      <c r="IJ16" s="112"/>
      <c r="IK16" s="112"/>
      <c r="IL16" s="112"/>
      <c r="IM16" s="112"/>
      <c r="IN16" s="112"/>
      <c r="IO16" s="112"/>
      <c r="IP16" s="112"/>
      <c r="IQ16" s="112"/>
      <c r="IR16" s="112"/>
      <c r="IS16" s="112"/>
      <c r="IT16" s="112"/>
      <c r="IU16" s="112"/>
    </row>
    <row r="17" spans="1:255" x14ac:dyDescent="0.2">
      <c r="A17" s="112"/>
      <c r="B17" s="112"/>
      <c r="C17" s="120">
        <v>16</v>
      </c>
      <c r="D17" s="121"/>
      <c r="E17" s="120">
        <f>2*C17</f>
        <v>32</v>
      </c>
      <c r="F17" s="120"/>
      <c r="G17" s="122">
        <f>2*(8+4)</f>
        <v>24</v>
      </c>
      <c r="H17" s="122"/>
      <c r="I17" s="122">
        <f>2*(3+10.7)</f>
        <v>27.4</v>
      </c>
      <c r="J17" s="122"/>
      <c r="K17" s="122">
        <f t="shared" si="1"/>
        <v>51.4</v>
      </c>
      <c r="L17" s="122"/>
      <c r="M17" s="122"/>
      <c r="N17" s="122"/>
      <c r="O17" s="122"/>
      <c r="P17" s="122"/>
      <c r="Q17" s="123">
        <v>4</v>
      </c>
      <c r="R17" s="123"/>
      <c r="S17" s="123">
        <v>8</v>
      </c>
      <c r="T17" s="123"/>
      <c r="U17" s="123">
        <v>3</v>
      </c>
      <c r="V17" s="123"/>
      <c r="W17" s="123">
        <v>10.7</v>
      </c>
      <c r="X17" s="123"/>
      <c r="Y17" s="124"/>
      <c r="Z17" s="124"/>
      <c r="AA17" s="124"/>
      <c r="AB17" s="124"/>
      <c r="AC17" s="124"/>
      <c r="AD17" s="124"/>
      <c r="AE17" s="124"/>
      <c r="AF17" s="124"/>
      <c r="AG17" s="124"/>
      <c r="AH17" s="124"/>
      <c r="AI17" s="124"/>
      <c r="AJ17" s="124"/>
      <c r="AK17" s="124"/>
      <c r="AL17" s="124"/>
      <c r="AM17" s="124"/>
      <c r="AN17" s="124"/>
      <c r="AO17" s="124"/>
      <c r="AP17" s="124"/>
      <c r="AQ17" s="124"/>
      <c r="AR17" s="124"/>
      <c r="AS17" s="124"/>
      <c r="AT17" s="124"/>
      <c r="AU17" s="124"/>
      <c r="AV17" s="124"/>
      <c r="AW17" s="112"/>
      <c r="AX17" s="112"/>
      <c r="AY17" s="112"/>
      <c r="AZ17" s="112"/>
      <c r="BA17" s="112"/>
      <c r="BB17" s="112"/>
      <c r="BC17" s="112"/>
      <c r="BD17" s="112"/>
      <c r="BE17" s="112"/>
      <c r="BF17" s="112"/>
      <c r="BG17" s="112"/>
      <c r="BH17" s="112"/>
      <c r="BI17" s="112"/>
      <c r="BJ17" s="112"/>
      <c r="BK17" s="112"/>
      <c r="BL17" s="112"/>
      <c r="BM17" s="112"/>
      <c r="BN17" s="112"/>
      <c r="BO17" s="112"/>
      <c r="BP17" s="112"/>
      <c r="BQ17" s="112"/>
      <c r="BR17" s="112"/>
      <c r="BS17" s="112"/>
      <c r="BT17" s="112"/>
      <c r="BU17" s="112"/>
      <c r="BV17" s="112"/>
      <c r="BW17" s="112"/>
      <c r="BX17" s="112"/>
      <c r="BY17" s="112"/>
      <c r="BZ17" s="112"/>
      <c r="CA17" s="112"/>
      <c r="CB17" s="112"/>
      <c r="CC17" s="112"/>
      <c r="CD17" s="112"/>
      <c r="CE17" s="112"/>
      <c r="CF17" s="112"/>
      <c r="CG17" s="112"/>
      <c r="CH17" s="112"/>
      <c r="CI17" s="112"/>
      <c r="CJ17" s="112"/>
      <c r="CK17" s="112"/>
      <c r="CL17" s="112"/>
      <c r="CM17" s="112"/>
      <c r="CN17" s="112"/>
      <c r="CO17" s="112"/>
      <c r="CP17" s="112"/>
      <c r="CQ17" s="112"/>
      <c r="CR17" s="112"/>
      <c r="CS17" s="112"/>
      <c r="CT17" s="112"/>
      <c r="CU17" s="112"/>
      <c r="CV17" s="112"/>
      <c r="CW17" s="112"/>
      <c r="CX17" s="112"/>
      <c r="CY17" s="112"/>
      <c r="CZ17" s="112"/>
      <c r="DA17" s="112"/>
      <c r="DB17" s="112"/>
      <c r="DC17" s="112"/>
      <c r="DD17" s="112"/>
      <c r="DE17" s="112"/>
      <c r="DF17" s="112"/>
      <c r="DG17" s="112"/>
      <c r="DH17" s="112"/>
      <c r="DI17" s="112"/>
      <c r="DJ17" s="112"/>
      <c r="DK17" s="112"/>
      <c r="DL17" s="112"/>
      <c r="DM17" s="112"/>
      <c r="DN17" s="112"/>
      <c r="DO17" s="112"/>
      <c r="DP17" s="112"/>
      <c r="DQ17" s="112"/>
      <c r="DR17" s="112"/>
      <c r="DS17" s="112"/>
      <c r="DT17" s="112"/>
      <c r="DU17" s="112"/>
      <c r="DV17" s="112"/>
      <c r="DW17" s="112"/>
      <c r="DX17" s="112"/>
      <c r="DY17" s="112"/>
      <c r="DZ17" s="112"/>
      <c r="EA17" s="112"/>
      <c r="EB17" s="112"/>
      <c r="EC17" s="112"/>
      <c r="ED17" s="112"/>
      <c r="EE17" s="112"/>
      <c r="EF17" s="112"/>
      <c r="EG17" s="112"/>
      <c r="EH17" s="112"/>
      <c r="EI17" s="112"/>
      <c r="EJ17" s="112"/>
      <c r="EK17" s="112"/>
      <c r="EL17" s="112"/>
      <c r="EM17" s="112"/>
      <c r="EN17" s="112"/>
      <c r="EO17" s="112"/>
      <c r="EP17" s="112"/>
      <c r="EQ17" s="112"/>
      <c r="ER17" s="112"/>
      <c r="ES17" s="112"/>
      <c r="ET17" s="112"/>
      <c r="EU17" s="112"/>
      <c r="EV17" s="112"/>
      <c r="EW17" s="112"/>
      <c r="EX17" s="112"/>
      <c r="EY17" s="112"/>
      <c r="EZ17" s="112"/>
      <c r="FA17" s="112"/>
      <c r="FB17" s="112"/>
      <c r="FC17" s="112"/>
      <c r="FD17" s="112"/>
      <c r="FE17" s="112"/>
      <c r="FF17" s="112"/>
      <c r="FG17" s="112"/>
      <c r="FH17" s="112"/>
      <c r="FI17" s="112"/>
      <c r="FJ17" s="112"/>
      <c r="FK17" s="112"/>
      <c r="FL17" s="112"/>
      <c r="FM17" s="112"/>
      <c r="FN17" s="112"/>
      <c r="FO17" s="112"/>
      <c r="FP17" s="112"/>
      <c r="FQ17" s="112"/>
      <c r="FR17" s="112"/>
      <c r="FS17" s="112"/>
      <c r="FT17" s="112"/>
      <c r="FU17" s="112"/>
      <c r="FV17" s="112"/>
      <c r="FW17" s="112"/>
      <c r="FX17" s="112"/>
      <c r="FY17" s="112"/>
      <c r="FZ17" s="112"/>
      <c r="GA17" s="112"/>
      <c r="GB17" s="112"/>
      <c r="GC17" s="112"/>
      <c r="GD17" s="112"/>
      <c r="GE17" s="112"/>
      <c r="GF17" s="112"/>
      <c r="GG17" s="112"/>
      <c r="GH17" s="112"/>
      <c r="GI17" s="112"/>
      <c r="GJ17" s="112"/>
      <c r="GK17" s="112"/>
      <c r="GL17" s="112"/>
      <c r="GM17" s="112"/>
      <c r="GN17" s="112"/>
      <c r="GO17" s="112"/>
      <c r="GP17" s="112"/>
      <c r="GQ17" s="112"/>
      <c r="GR17" s="112"/>
      <c r="GS17" s="112"/>
      <c r="GT17" s="112"/>
      <c r="GU17" s="112"/>
      <c r="GV17" s="112"/>
      <c r="GW17" s="112"/>
      <c r="GX17" s="112"/>
      <c r="GY17" s="112"/>
      <c r="GZ17" s="112"/>
      <c r="HA17" s="112"/>
      <c r="HB17" s="112"/>
      <c r="HC17" s="112"/>
      <c r="HD17" s="112"/>
      <c r="HE17" s="112"/>
      <c r="HF17" s="112"/>
      <c r="HG17" s="112"/>
      <c r="HH17" s="112"/>
      <c r="HI17" s="112"/>
      <c r="HJ17" s="112"/>
      <c r="HK17" s="112"/>
      <c r="HL17" s="112"/>
      <c r="HM17" s="112"/>
      <c r="HN17" s="112"/>
      <c r="HO17" s="112"/>
      <c r="HP17" s="112"/>
      <c r="HQ17" s="112"/>
      <c r="HR17" s="112"/>
      <c r="HS17" s="112"/>
      <c r="HT17" s="112"/>
      <c r="HU17" s="112"/>
      <c r="HV17" s="112"/>
      <c r="HW17" s="112"/>
      <c r="HX17" s="112"/>
      <c r="HY17" s="112"/>
      <c r="HZ17" s="112"/>
      <c r="IA17" s="112"/>
      <c r="IB17" s="112"/>
      <c r="IC17" s="112"/>
      <c r="ID17" s="112"/>
      <c r="IE17" s="112"/>
      <c r="IF17" s="112"/>
      <c r="IG17" s="112"/>
      <c r="IH17" s="112"/>
      <c r="II17" s="112"/>
      <c r="IJ17" s="112"/>
      <c r="IK17" s="112"/>
      <c r="IL17" s="112"/>
      <c r="IM17" s="112"/>
      <c r="IN17" s="112"/>
      <c r="IO17" s="112"/>
      <c r="IP17" s="112"/>
      <c r="IQ17" s="112"/>
      <c r="IR17" s="112"/>
      <c r="IS17" s="112"/>
      <c r="IT17" s="112"/>
      <c r="IU17" s="112"/>
    </row>
    <row r="18" spans="1:255" x14ac:dyDescent="0.2">
      <c r="A18" s="112"/>
      <c r="B18" s="112"/>
      <c r="C18" s="120" t="s">
        <v>218</v>
      </c>
      <c r="D18" s="121"/>
      <c r="E18" s="120">
        <v>36</v>
      </c>
      <c r="F18" s="120"/>
      <c r="G18" s="122">
        <f>2*(8+4.5)</f>
        <v>25</v>
      </c>
      <c r="H18" s="122"/>
      <c r="I18" s="122">
        <f>2*(3+12)</f>
        <v>30</v>
      </c>
      <c r="J18" s="122"/>
      <c r="K18" s="122">
        <f t="shared" si="1"/>
        <v>55</v>
      </c>
      <c r="L18" s="122"/>
      <c r="M18" s="122"/>
      <c r="N18" s="122"/>
      <c r="O18" s="122"/>
      <c r="P18" s="122"/>
      <c r="Q18" s="123">
        <v>4.5</v>
      </c>
      <c r="R18" s="123"/>
      <c r="S18" s="123">
        <v>8</v>
      </c>
      <c r="T18" s="123"/>
      <c r="U18" s="123">
        <v>3</v>
      </c>
      <c r="V18" s="123"/>
      <c r="W18" s="123">
        <v>12</v>
      </c>
      <c r="X18" s="123"/>
      <c r="Y18" s="124"/>
      <c r="Z18" s="124"/>
      <c r="AA18" s="124"/>
      <c r="AB18" s="124"/>
      <c r="AC18" s="124"/>
      <c r="AD18" s="124"/>
      <c r="AE18" s="124"/>
      <c r="AF18" s="124"/>
      <c r="AG18" s="124"/>
      <c r="AH18" s="124"/>
      <c r="AI18" s="124"/>
      <c r="AJ18" s="124"/>
      <c r="AK18" s="124"/>
      <c r="AL18" s="124"/>
      <c r="AM18" s="124"/>
      <c r="AN18" s="124"/>
      <c r="AO18" s="124"/>
      <c r="AP18" s="124"/>
      <c r="AQ18" s="124"/>
      <c r="AR18" s="124"/>
      <c r="AS18" s="124"/>
      <c r="AT18" s="124"/>
      <c r="AU18" s="124"/>
      <c r="AV18" s="124"/>
      <c r="AW18" s="112"/>
      <c r="AX18" s="112"/>
      <c r="AY18" s="112"/>
      <c r="AZ18" s="112"/>
      <c r="BA18" s="112"/>
      <c r="BB18" s="112"/>
      <c r="BC18" s="112"/>
      <c r="BD18" s="112"/>
      <c r="BE18" s="112"/>
      <c r="BF18" s="112"/>
      <c r="BG18" s="112"/>
      <c r="BH18" s="112"/>
      <c r="BI18" s="112"/>
      <c r="BJ18" s="112"/>
      <c r="BK18" s="112"/>
      <c r="BL18" s="112"/>
      <c r="BM18" s="112"/>
      <c r="BN18" s="112"/>
      <c r="BO18" s="112"/>
      <c r="BP18" s="112"/>
      <c r="BQ18" s="112"/>
      <c r="BR18" s="112"/>
      <c r="BS18" s="112"/>
      <c r="BT18" s="112"/>
      <c r="BU18" s="112"/>
      <c r="BV18" s="112"/>
      <c r="BW18" s="112"/>
      <c r="BX18" s="112"/>
      <c r="BY18" s="112"/>
      <c r="BZ18" s="112"/>
      <c r="CA18" s="112"/>
      <c r="CB18" s="112"/>
      <c r="CC18" s="112"/>
      <c r="CD18" s="112"/>
      <c r="CE18" s="112"/>
      <c r="CF18" s="112"/>
      <c r="CG18" s="112"/>
      <c r="CH18" s="112"/>
      <c r="CI18" s="112"/>
      <c r="CJ18" s="112"/>
      <c r="CK18" s="112"/>
      <c r="CL18" s="112"/>
      <c r="CM18" s="112"/>
      <c r="CN18" s="112"/>
      <c r="CO18" s="112"/>
      <c r="CP18" s="112"/>
      <c r="CQ18" s="112"/>
      <c r="CR18" s="112"/>
      <c r="CS18" s="112"/>
      <c r="CT18" s="112"/>
      <c r="CU18" s="112"/>
      <c r="CV18" s="112"/>
      <c r="CW18" s="112"/>
      <c r="CX18" s="112"/>
      <c r="CY18" s="112"/>
      <c r="CZ18" s="112"/>
      <c r="DA18" s="112"/>
      <c r="DB18" s="112"/>
      <c r="DC18" s="112"/>
      <c r="DD18" s="112"/>
      <c r="DE18" s="112"/>
      <c r="DF18" s="112"/>
      <c r="DG18" s="112"/>
      <c r="DH18" s="112"/>
      <c r="DI18" s="112"/>
      <c r="DJ18" s="112"/>
      <c r="DK18" s="112"/>
      <c r="DL18" s="112"/>
      <c r="DM18" s="112"/>
      <c r="DN18" s="112"/>
      <c r="DO18" s="112"/>
      <c r="DP18" s="112"/>
      <c r="DQ18" s="112"/>
      <c r="DR18" s="112"/>
      <c r="DS18" s="112"/>
      <c r="DT18" s="112"/>
      <c r="DU18" s="112"/>
      <c r="DV18" s="112"/>
      <c r="DW18" s="112"/>
      <c r="DX18" s="112"/>
      <c r="DY18" s="112"/>
      <c r="DZ18" s="112"/>
      <c r="EA18" s="112"/>
      <c r="EB18" s="112"/>
      <c r="EC18" s="112"/>
      <c r="ED18" s="112"/>
      <c r="EE18" s="112"/>
      <c r="EF18" s="112"/>
      <c r="EG18" s="112"/>
      <c r="EH18" s="112"/>
      <c r="EI18" s="112"/>
      <c r="EJ18" s="112"/>
      <c r="EK18" s="112"/>
      <c r="EL18" s="112"/>
      <c r="EM18" s="112"/>
      <c r="EN18" s="112"/>
      <c r="EO18" s="112"/>
      <c r="EP18" s="112"/>
      <c r="EQ18" s="112"/>
      <c r="ER18" s="112"/>
      <c r="ES18" s="112"/>
      <c r="ET18" s="112"/>
      <c r="EU18" s="112"/>
      <c r="EV18" s="112"/>
      <c r="EW18" s="112"/>
      <c r="EX18" s="112"/>
      <c r="EY18" s="112"/>
      <c r="EZ18" s="112"/>
      <c r="FA18" s="112"/>
      <c r="FB18" s="112"/>
      <c r="FC18" s="112"/>
      <c r="FD18" s="112"/>
      <c r="FE18" s="112"/>
      <c r="FF18" s="112"/>
      <c r="FG18" s="112"/>
      <c r="FH18" s="112"/>
      <c r="FI18" s="112"/>
      <c r="FJ18" s="112"/>
      <c r="FK18" s="112"/>
      <c r="FL18" s="112"/>
      <c r="FM18" s="112"/>
      <c r="FN18" s="112"/>
      <c r="FO18" s="112"/>
      <c r="FP18" s="112"/>
      <c r="FQ18" s="112"/>
      <c r="FR18" s="112"/>
      <c r="FS18" s="112"/>
      <c r="FT18" s="112"/>
      <c r="FU18" s="112"/>
      <c r="FV18" s="112"/>
      <c r="FW18" s="112"/>
      <c r="FX18" s="112"/>
      <c r="FY18" s="112"/>
      <c r="FZ18" s="112"/>
      <c r="GA18" s="112"/>
      <c r="GB18" s="112"/>
      <c r="GC18" s="112"/>
      <c r="GD18" s="112"/>
      <c r="GE18" s="112"/>
      <c r="GF18" s="112"/>
      <c r="GG18" s="112"/>
      <c r="GH18" s="112"/>
      <c r="GI18" s="112"/>
      <c r="GJ18" s="112"/>
      <c r="GK18" s="112"/>
      <c r="GL18" s="112"/>
      <c r="GM18" s="112"/>
      <c r="GN18" s="112"/>
      <c r="GO18" s="112"/>
      <c r="GP18" s="112"/>
      <c r="GQ18" s="112"/>
      <c r="GR18" s="112"/>
      <c r="GS18" s="112"/>
      <c r="GT18" s="112"/>
      <c r="GU18" s="112"/>
      <c r="GV18" s="112"/>
      <c r="GW18" s="112"/>
      <c r="GX18" s="112"/>
      <c r="GY18" s="112"/>
      <c r="GZ18" s="112"/>
      <c r="HA18" s="112"/>
      <c r="HB18" s="112"/>
      <c r="HC18" s="112"/>
      <c r="HD18" s="112"/>
      <c r="HE18" s="112"/>
      <c r="HF18" s="112"/>
      <c r="HG18" s="112"/>
      <c r="HH18" s="112"/>
      <c r="HI18" s="112"/>
      <c r="HJ18" s="112"/>
      <c r="HK18" s="112"/>
      <c r="HL18" s="112"/>
      <c r="HM18" s="112"/>
      <c r="HN18" s="112"/>
      <c r="HO18" s="112"/>
      <c r="HP18" s="112"/>
      <c r="HQ18" s="112"/>
      <c r="HR18" s="112"/>
      <c r="HS18" s="112"/>
      <c r="HT18" s="112"/>
      <c r="HU18" s="112"/>
      <c r="HV18" s="112"/>
      <c r="HW18" s="112"/>
      <c r="HX18" s="112"/>
      <c r="HY18" s="112"/>
      <c r="HZ18" s="112"/>
      <c r="IA18" s="112"/>
      <c r="IB18" s="112"/>
      <c r="IC18" s="112"/>
      <c r="ID18" s="112"/>
      <c r="IE18" s="112"/>
      <c r="IF18" s="112"/>
      <c r="IG18" s="112"/>
      <c r="IH18" s="112"/>
      <c r="II18" s="112"/>
      <c r="IJ18" s="112"/>
      <c r="IK18" s="112"/>
      <c r="IL18" s="112"/>
      <c r="IM18" s="112"/>
      <c r="IN18" s="112"/>
      <c r="IO18" s="112"/>
      <c r="IP18" s="112"/>
      <c r="IQ18" s="112"/>
      <c r="IR18" s="112"/>
      <c r="IS18" s="112"/>
      <c r="IT18" s="112"/>
      <c r="IU18" s="112"/>
    </row>
    <row r="19" spans="1:255" x14ac:dyDescent="0.2">
      <c r="A19" s="112"/>
      <c r="B19" s="112"/>
      <c r="C19" s="120" t="s">
        <v>219</v>
      </c>
      <c r="D19" s="121"/>
      <c r="E19" s="120">
        <v>36</v>
      </c>
      <c r="F19" s="120"/>
      <c r="G19" s="122">
        <f>2*(9+4)</f>
        <v>26</v>
      </c>
      <c r="H19" s="122"/>
      <c r="I19" s="122">
        <f>2*(3+12)</f>
        <v>30</v>
      </c>
      <c r="J19" s="122"/>
      <c r="K19" s="122">
        <f t="shared" si="1"/>
        <v>56</v>
      </c>
      <c r="L19" s="122"/>
      <c r="M19" s="122"/>
      <c r="N19" s="122"/>
      <c r="O19" s="122"/>
      <c r="P19" s="122"/>
      <c r="Q19" s="123">
        <v>4</v>
      </c>
      <c r="R19" s="123"/>
      <c r="S19" s="123">
        <v>9</v>
      </c>
      <c r="T19" s="123"/>
      <c r="U19" s="123">
        <v>3</v>
      </c>
      <c r="V19" s="123"/>
      <c r="W19" s="123">
        <v>12</v>
      </c>
      <c r="X19" s="123"/>
      <c r="Y19" s="124"/>
      <c r="Z19" s="124"/>
      <c r="AA19" s="124"/>
      <c r="AB19" s="124"/>
      <c r="AC19" s="124"/>
      <c r="AD19" s="124"/>
      <c r="AE19" s="124"/>
      <c r="AF19" s="124"/>
      <c r="AG19" s="124"/>
      <c r="AH19" s="124"/>
      <c r="AI19" s="124"/>
      <c r="AJ19" s="124"/>
      <c r="AK19" s="124"/>
      <c r="AL19" s="124"/>
      <c r="AM19" s="124"/>
      <c r="AN19" s="124"/>
      <c r="AO19" s="124"/>
      <c r="AP19" s="124"/>
      <c r="AQ19" s="124"/>
      <c r="AR19" s="124"/>
      <c r="AS19" s="124"/>
      <c r="AT19" s="124"/>
      <c r="AU19" s="124"/>
      <c r="AV19" s="124"/>
      <c r="AW19" s="112"/>
      <c r="AX19" s="112"/>
      <c r="AY19" s="112"/>
      <c r="AZ19" s="112"/>
      <c r="BA19" s="112"/>
      <c r="BB19" s="112"/>
      <c r="BC19" s="112"/>
      <c r="BD19" s="112"/>
      <c r="BE19" s="112"/>
      <c r="BF19" s="112"/>
      <c r="BG19" s="112"/>
      <c r="BH19" s="112"/>
      <c r="BI19" s="112"/>
      <c r="BJ19" s="112"/>
      <c r="BK19" s="112"/>
      <c r="BL19" s="112"/>
      <c r="BM19" s="112"/>
      <c r="BN19" s="112"/>
      <c r="BO19" s="112"/>
      <c r="BP19" s="112"/>
      <c r="BQ19" s="112"/>
      <c r="BR19" s="112"/>
      <c r="BS19" s="112"/>
      <c r="BT19" s="112"/>
      <c r="BU19" s="112"/>
      <c r="BV19" s="112"/>
      <c r="BW19" s="112"/>
      <c r="BX19" s="112"/>
      <c r="BY19" s="112"/>
      <c r="BZ19" s="112"/>
      <c r="CA19" s="112"/>
      <c r="CB19" s="112"/>
      <c r="CC19" s="112"/>
      <c r="CD19" s="112"/>
      <c r="CE19" s="112"/>
      <c r="CF19" s="112"/>
      <c r="CG19" s="112"/>
      <c r="CH19" s="112"/>
      <c r="CI19" s="112"/>
      <c r="CJ19" s="112"/>
      <c r="CK19" s="112"/>
      <c r="CL19" s="112"/>
      <c r="CM19" s="112"/>
      <c r="CN19" s="112"/>
      <c r="CO19" s="112"/>
      <c r="CP19" s="112"/>
      <c r="CQ19" s="112"/>
      <c r="CR19" s="112"/>
      <c r="CS19" s="112"/>
      <c r="CT19" s="112"/>
      <c r="CU19" s="112"/>
      <c r="CV19" s="112"/>
      <c r="CW19" s="112"/>
      <c r="CX19" s="112"/>
      <c r="CY19" s="112"/>
      <c r="CZ19" s="112"/>
      <c r="DA19" s="112"/>
      <c r="DB19" s="112"/>
      <c r="DC19" s="112"/>
      <c r="DD19" s="112"/>
      <c r="DE19" s="112"/>
      <c r="DF19" s="112"/>
      <c r="DG19" s="112"/>
      <c r="DH19" s="112"/>
      <c r="DI19" s="112"/>
      <c r="DJ19" s="112"/>
      <c r="DK19" s="112"/>
      <c r="DL19" s="112"/>
      <c r="DM19" s="112"/>
      <c r="DN19" s="112"/>
      <c r="DO19" s="112"/>
      <c r="DP19" s="112"/>
      <c r="DQ19" s="112"/>
      <c r="DR19" s="112"/>
      <c r="DS19" s="112"/>
      <c r="DT19" s="112"/>
      <c r="DU19" s="112"/>
      <c r="DV19" s="112"/>
      <c r="DW19" s="112"/>
      <c r="DX19" s="112"/>
      <c r="DY19" s="112"/>
      <c r="DZ19" s="112"/>
      <c r="EA19" s="112"/>
      <c r="EB19" s="112"/>
      <c r="EC19" s="112"/>
      <c r="ED19" s="112"/>
      <c r="EE19" s="112"/>
      <c r="EF19" s="112"/>
      <c r="EG19" s="112"/>
      <c r="EH19" s="112"/>
      <c r="EI19" s="112"/>
      <c r="EJ19" s="112"/>
      <c r="EK19" s="112"/>
      <c r="EL19" s="112"/>
      <c r="EM19" s="112"/>
      <c r="EN19" s="112"/>
      <c r="EO19" s="112"/>
      <c r="EP19" s="112"/>
      <c r="EQ19" s="112"/>
      <c r="ER19" s="112"/>
      <c r="ES19" s="112"/>
      <c r="ET19" s="112"/>
      <c r="EU19" s="112"/>
      <c r="EV19" s="112"/>
      <c r="EW19" s="112"/>
      <c r="EX19" s="112"/>
      <c r="EY19" s="112"/>
      <c r="EZ19" s="112"/>
      <c r="FA19" s="112"/>
      <c r="FB19" s="112"/>
      <c r="FC19" s="112"/>
      <c r="FD19" s="112"/>
      <c r="FE19" s="112"/>
      <c r="FF19" s="112"/>
      <c r="FG19" s="112"/>
      <c r="FH19" s="112"/>
      <c r="FI19" s="112"/>
      <c r="FJ19" s="112"/>
      <c r="FK19" s="112"/>
      <c r="FL19" s="112"/>
      <c r="FM19" s="112"/>
      <c r="FN19" s="112"/>
      <c r="FO19" s="112"/>
      <c r="FP19" s="112"/>
      <c r="FQ19" s="112"/>
      <c r="FR19" s="112"/>
      <c r="FS19" s="112"/>
      <c r="FT19" s="112"/>
      <c r="FU19" s="112"/>
      <c r="FV19" s="112"/>
      <c r="FW19" s="112"/>
      <c r="FX19" s="112"/>
      <c r="FY19" s="112"/>
      <c r="FZ19" s="112"/>
      <c r="GA19" s="112"/>
      <c r="GB19" s="112"/>
      <c r="GC19" s="112"/>
      <c r="GD19" s="112"/>
      <c r="GE19" s="112"/>
      <c r="GF19" s="112"/>
      <c r="GG19" s="112"/>
      <c r="GH19" s="112"/>
      <c r="GI19" s="112"/>
      <c r="GJ19" s="112"/>
      <c r="GK19" s="112"/>
      <c r="GL19" s="112"/>
      <c r="GM19" s="112"/>
      <c r="GN19" s="112"/>
      <c r="GO19" s="112"/>
      <c r="GP19" s="112"/>
      <c r="GQ19" s="112"/>
      <c r="GR19" s="112"/>
      <c r="GS19" s="112"/>
      <c r="GT19" s="112"/>
      <c r="GU19" s="112"/>
      <c r="GV19" s="112"/>
      <c r="GW19" s="112"/>
      <c r="GX19" s="112"/>
      <c r="GY19" s="112"/>
      <c r="GZ19" s="112"/>
      <c r="HA19" s="112"/>
      <c r="HB19" s="112"/>
      <c r="HC19" s="112"/>
      <c r="HD19" s="112"/>
      <c r="HE19" s="112"/>
      <c r="HF19" s="112"/>
      <c r="HG19" s="112"/>
      <c r="HH19" s="112"/>
      <c r="HI19" s="112"/>
      <c r="HJ19" s="112"/>
      <c r="HK19" s="112"/>
      <c r="HL19" s="112"/>
      <c r="HM19" s="112"/>
      <c r="HN19" s="112"/>
      <c r="HO19" s="112"/>
      <c r="HP19" s="112"/>
      <c r="HQ19" s="112"/>
      <c r="HR19" s="112"/>
      <c r="HS19" s="112"/>
      <c r="HT19" s="112"/>
      <c r="HU19" s="112"/>
      <c r="HV19" s="112"/>
      <c r="HW19" s="112"/>
      <c r="HX19" s="112"/>
      <c r="HY19" s="112"/>
      <c r="HZ19" s="112"/>
      <c r="IA19" s="112"/>
      <c r="IB19" s="112"/>
      <c r="IC19" s="112"/>
      <c r="ID19" s="112"/>
      <c r="IE19" s="112"/>
      <c r="IF19" s="112"/>
      <c r="IG19" s="112"/>
      <c r="IH19" s="112"/>
      <c r="II19" s="112"/>
      <c r="IJ19" s="112"/>
      <c r="IK19" s="112"/>
      <c r="IL19" s="112"/>
      <c r="IM19" s="112"/>
      <c r="IN19" s="112"/>
      <c r="IO19" s="112"/>
      <c r="IP19" s="112"/>
      <c r="IQ19" s="112"/>
      <c r="IR19" s="112"/>
      <c r="IS19" s="112"/>
      <c r="IT19" s="112"/>
      <c r="IU19" s="112"/>
    </row>
    <row r="20" spans="1:255" x14ac:dyDescent="0.2">
      <c r="A20" s="112"/>
      <c r="B20" s="112"/>
      <c r="C20" s="120" t="s">
        <v>220</v>
      </c>
      <c r="D20" s="121"/>
      <c r="E20" s="120">
        <v>40</v>
      </c>
      <c r="F20" s="120"/>
      <c r="G20" s="122">
        <f>2*(10+4)</f>
        <v>28</v>
      </c>
      <c r="H20" s="122"/>
      <c r="I20" s="122">
        <f>2*(3.2+12.5)</f>
        <v>31.4</v>
      </c>
      <c r="J20" s="122"/>
      <c r="K20" s="122">
        <f t="shared" si="1"/>
        <v>59.4</v>
      </c>
      <c r="L20" s="122"/>
      <c r="M20" s="122">
        <v>35</v>
      </c>
      <c r="N20" s="122"/>
      <c r="O20" s="122">
        <f>4*O7</f>
        <v>78.400000000000006</v>
      </c>
      <c r="P20" s="122"/>
      <c r="Q20" s="123">
        <v>4</v>
      </c>
      <c r="R20" s="123"/>
      <c r="S20" s="123">
        <v>10</v>
      </c>
      <c r="T20" s="123"/>
      <c r="U20" s="123">
        <v>3.2</v>
      </c>
      <c r="V20" s="123"/>
      <c r="W20" s="123">
        <v>12.5</v>
      </c>
      <c r="X20" s="123"/>
      <c r="Y20" s="124"/>
      <c r="Z20" s="124"/>
      <c r="AA20" s="124"/>
      <c r="AB20" s="124"/>
      <c r="AC20" s="124"/>
      <c r="AD20" s="124"/>
      <c r="AE20" s="124"/>
      <c r="AF20" s="124"/>
      <c r="AG20" s="124"/>
      <c r="AH20" s="124"/>
      <c r="AI20" s="124"/>
      <c r="AJ20" s="124"/>
      <c r="AK20" s="124"/>
      <c r="AL20" s="124"/>
      <c r="AM20" s="124"/>
      <c r="AN20" s="124"/>
      <c r="AO20" s="124"/>
      <c r="AP20" s="124"/>
      <c r="AQ20" s="124"/>
      <c r="AR20" s="124"/>
      <c r="AS20" s="124"/>
      <c r="AT20" s="124"/>
      <c r="AU20" s="124"/>
      <c r="AV20" s="124"/>
      <c r="AW20" s="112"/>
      <c r="AX20" s="112"/>
      <c r="AY20" s="112"/>
      <c r="AZ20" s="112"/>
      <c r="BA20" s="112"/>
      <c r="BB20" s="112"/>
      <c r="BC20" s="112"/>
      <c r="BD20" s="112"/>
      <c r="BE20" s="112"/>
      <c r="BF20" s="112"/>
      <c r="BG20" s="112"/>
      <c r="BH20" s="112"/>
      <c r="BI20" s="112"/>
      <c r="BJ20" s="112"/>
      <c r="BK20" s="112"/>
      <c r="BL20" s="112"/>
      <c r="BM20" s="112"/>
      <c r="BN20" s="112"/>
      <c r="BO20" s="112"/>
      <c r="BP20" s="112"/>
      <c r="BQ20" s="112"/>
      <c r="BR20" s="112"/>
      <c r="BS20" s="112"/>
      <c r="BT20" s="112"/>
      <c r="BU20" s="112"/>
      <c r="BV20" s="112"/>
      <c r="BW20" s="112"/>
      <c r="BX20" s="112"/>
      <c r="BY20" s="112"/>
      <c r="BZ20" s="112"/>
      <c r="CA20" s="112"/>
      <c r="CB20" s="112"/>
      <c r="CC20" s="112"/>
      <c r="CD20" s="112"/>
      <c r="CE20" s="112"/>
      <c r="CF20" s="112"/>
      <c r="CG20" s="112"/>
      <c r="CH20" s="112"/>
      <c r="CI20" s="112"/>
      <c r="CJ20" s="112"/>
      <c r="CK20" s="112"/>
      <c r="CL20" s="112"/>
      <c r="CM20" s="112"/>
      <c r="CN20" s="112"/>
      <c r="CO20" s="112"/>
      <c r="CP20" s="112"/>
      <c r="CQ20" s="112"/>
      <c r="CR20" s="112"/>
      <c r="CS20" s="112"/>
      <c r="CT20" s="112"/>
      <c r="CU20" s="112"/>
      <c r="CV20" s="112"/>
      <c r="CW20" s="112"/>
      <c r="CX20" s="112"/>
      <c r="CY20" s="112"/>
      <c r="CZ20" s="112"/>
      <c r="DA20" s="112"/>
      <c r="DB20" s="112"/>
      <c r="DC20" s="112"/>
      <c r="DD20" s="112"/>
      <c r="DE20" s="112"/>
      <c r="DF20" s="112"/>
      <c r="DG20" s="112"/>
      <c r="DH20" s="112"/>
      <c r="DI20" s="112"/>
      <c r="DJ20" s="112"/>
      <c r="DK20" s="112"/>
      <c r="DL20" s="112"/>
      <c r="DM20" s="112"/>
      <c r="DN20" s="112"/>
      <c r="DO20" s="112"/>
      <c r="DP20" s="112"/>
      <c r="DQ20" s="112"/>
      <c r="DR20" s="112"/>
      <c r="DS20" s="112"/>
      <c r="DT20" s="112"/>
      <c r="DU20" s="112"/>
      <c r="DV20" s="112"/>
      <c r="DW20" s="112"/>
      <c r="DX20" s="112"/>
      <c r="DY20" s="112"/>
      <c r="DZ20" s="112"/>
      <c r="EA20" s="112"/>
      <c r="EB20" s="112"/>
      <c r="EC20" s="112"/>
      <c r="ED20" s="112"/>
      <c r="EE20" s="112"/>
      <c r="EF20" s="112"/>
      <c r="EG20" s="112"/>
      <c r="EH20" s="112"/>
      <c r="EI20" s="112"/>
      <c r="EJ20" s="112"/>
      <c r="EK20" s="112"/>
      <c r="EL20" s="112"/>
      <c r="EM20" s="112"/>
      <c r="EN20" s="112"/>
      <c r="EO20" s="112"/>
      <c r="EP20" s="112"/>
      <c r="EQ20" s="112"/>
      <c r="ER20" s="112"/>
      <c r="ES20" s="112"/>
      <c r="ET20" s="112"/>
      <c r="EU20" s="112"/>
      <c r="EV20" s="112"/>
      <c r="EW20" s="112"/>
      <c r="EX20" s="112"/>
      <c r="EY20" s="112"/>
      <c r="EZ20" s="112"/>
      <c r="FA20" s="112"/>
      <c r="FB20" s="112"/>
      <c r="FC20" s="112"/>
      <c r="FD20" s="112"/>
      <c r="FE20" s="112"/>
      <c r="FF20" s="112"/>
      <c r="FG20" s="112"/>
      <c r="FH20" s="112"/>
      <c r="FI20" s="112"/>
      <c r="FJ20" s="112"/>
      <c r="FK20" s="112"/>
      <c r="FL20" s="112"/>
      <c r="FM20" s="112"/>
      <c r="FN20" s="112"/>
      <c r="FO20" s="112"/>
      <c r="FP20" s="112"/>
      <c r="FQ20" s="112"/>
      <c r="FR20" s="112"/>
      <c r="FS20" s="112"/>
      <c r="FT20" s="112"/>
      <c r="FU20" s="112"/>
      <c r="FV20" s="112"/>
      <c r="FW20" s="112"/>
      <c r="FX20" s="112"/>
      <c r="FY20" s="112"/>
      <c r="FZ20" s="112"/>
      <c r="GA20" s="112"/>
      <c r="GB20" s="112"/>
      <c r="GC20" s="112"/>
      <c r="GD20" s="112"/>
      <c r="GE20" s="112"/>
      <c r="GF20" s="112"/>
      <c r="GG20" s="112"/>
      <c r="GH20" s="112"/>
      <c r="GI20" s="112"/>
      <c r="GJ20" s="112"/>
      <c r="GK20" s="112"/>
      <c r="GL20" s="112"/>
      <c r="GM20" s="112"/>
      <c r="GN20" s="112"/>
      <c r="GO20" s="112"/>
      <c r="GP20" s="112"/>
      <c r="GQ20" s="112"/>
      <c r="GR20" s="112"/>
      <c r="GS20" s="112"/>
      <c r="GT20" s="112"/>
      <c r="GU20" s="112"/>
      <c r="GV20" s="112"/>
      <c r="GW20" s="112"/>
      <c r="GX20" s="112"/>
      <c r="GY20" s="112"/>
      <c r="GZ20" s="112"/>
      <c r="HA20" s="112"/>
      <c r="HB20" s="112"/>
      <c r="HC20" s="112"/>
      <c r="HD20" s="112"/>
      <c r="HE20" s="112"/>
      <c r="HF20" s="112"/>
      <c r="HG20" s="112"/>
      <c r="HH20" s="112"/>
      <c r="HI20" s="112"/>
      <c r="HJ20" s="112"/>
      <c r="HK20" s="112"/>
      <c r="HL20" s="112"/>
      <c r="HM20" s="112"/>
      <c r="HN20" s="112"/>
      <c r="HO20" s="112"/>
      <c r="HP20" s="112"/>
      <c r="HQ20" s="112"/>
      <c r="HR20" s="112"/>
      <c r="HS20" s="112"/>
      <c r="HT20" s="112"/>
      <c r="HU20" s="112"/>
      <c r="HV20" s="112"/>
      <c r="HW20" s="112"/>
      <c r="HX20" s="112"/>
      <c r="HY20" s="112"/>
      <c r="HZ20" s="112"/>
      <c r="IA20" s="112"/>
      <c r="IB20" s="112"/>
      <c r="IC20" s="112"/>
      <c r="ID20" s="112"/>
      <c r="IE20" s="112"/>
      <c r="IF20" s="112"/>
      <c r="IG20" s="112"/>
      <c r="IH20" s="112"/>
      <c r="II20" s="112"/>
      <c r="IJ20" s="112"/>
      <c r="IK20" s="112"/>
      <c r="IL20" s="112"/>
      <c r="IM20" s="112"/>
      <c r="IN20" s="112"/>
      <c r="IO20" s="112"/>
      <c r="IP20" s="112"/>
      <c r="IQ20" s="112"/>
      <c r="IR20" s="112"/>
      <c r="IS20" s="112"/>
      <c r="IT20" s="112"/>
      <c r="IU20" s="112"/>
    </row>
    <row r="21" spans="1:255" x14ac:dyDescent="0.2">
      <c r="A21" s="112"/>
      <c r="B21" s="112"/>
      <c r="C21" s="120" t="s">
        <v>221</v>
      </c>
      <c r="D21" s="121"/>
      <c r="E21" s="120">
        <v>40</v>
      </c>
      <c r="F21" s="120"/>
      <c r="G21" s="122">
        <f>2*(8+5)</f>
        <v>26</v>
      </c>
      <c r="H21" s="122"/>
      <c r="I21" s="122">
        <f>2*(3.2+12.5)</f>
        <v>31.4</v>
      </c>
      <c r="J21" s="122"/>
      <c r="K21" s="122">
        <f t="shared" si="1"/>
        <v>57.4</v>
      </c>
      <c r="L21" s="122"/>
      <c r="M21" s="122">
        <v>35</v>
      </c>
      <c r="N21" s="122"/>
      <c r="O21" s="122">
        <v>78.400000000000006</v>
      </c>
      <c r="P21" s="122"/>
      <c r="Q21" s="123">
        <v>5</v>
      </c>
      <c r="R21" s="123"/>
      <c r="S21" s="123">
        <v>8</v>
      </c>
      <c r="T21" s="123"/>
      <c r="U21" s="123">
        <v>3.2</v>
      </c>
      <c r="V21" s="123"/>
      <c r="W21" s="123">
        <v>12.5</v>
      </c>
      <c r="X21" s="123"/>
      <c r="Y21" s="124"/>
      <c r="Z21" s="125"/>
      <c r="AA21" s="112"/>
      <c r="AB21" s="112"/>
      <c r="AC21" s="112"/>
      <c r="AD21" s="112"/>
      <c r="AE21" s="112"/>
      <c r="AF21" s="112"/>
      <c r="AG21" s="112"/>
      <c r="AH21" s="112"/>
      <c r="AI21" s="112"/>
      <c r="AJ21" s="112"/>
      <c r="AK21" s="112"/>
      <c r="AL21" s="112"/>
      <c r="AM21" s="112"/>
      <c r="AN21" s="112"/>
      <c r="AO21" s="112"/>
      <c r="AP21" s="112"/>
      <c r="AQ21" s="112"/>
      <c r="AR21" s="112"/>
      <c r="AS21" s="112"/>
      <c r="AT21" s="112"/>
      <c r="AU21" s="112"/>
      <c r="AV21" s="112"/>
      <c r="AW21" s="112"/>
      <c r="AX21" s="112"/>
      <c r="AY21" s="112"/>
      <c r="AZ21" s="112"/>
      <c r="BA21" s="112"/>
      <c r="BB21" s="112"/>
      <c r="BC21" s="112"/>
      <c r="BD21" s="112"/>
      <c r="BE21" s="112"/>
      <c r="BF21" s="112"/>
      <c r="BG21" s="112"/>
      <c r="BH21" s="112"/>
      <c r="BI21" s="112"/>
      <c r="BJ21" s="112"/>
      <c r="BK21" s="112"/>
      <c r="BL21" s="112"/>
      <c r="BM21" s="112"/>
      <c r="BN21" s="112"/>
      <c r="BO21" s="112"/>
      <c r="BP21" s="112"/>
      <c r="BQ21" s="112"/>
      <c r="BR21" s="112"/>
      <c r="BS21" s="112"/>
      <c r="BT21" s="112"/>
      <c r="BU21" s="112"/>
      <c r="BV21" s="112"/>
      <c r="BW21" s="112"/>
      <c r="BX21" s="112"/>
      <c r="BY21" s="112"/>
      <c r="BZ21" s="112"/>
      <c r="CA21" s="112"/>
      <c r="CB21" s="112"/>
      <c r="CC21" s="112"/>
      <c r="CD21" s="112"/>
      <c r="CE21" s="112"/>
      <c r="CF21" s="112"/>
      <c r="CG21" s="112"/>
      <c r="CH21" s="112"/>
      <c r="CI21" s="112"/>
      <c r="CJ21" s="112"/>
      <c r="CK21" s="112"/>
      <c r="CL21" s="112"/>
      <c r="CM21" s="112"/>
      <c r="CN21" s="112"/>
      <c r="CO21" s="112"/>
      <c r="CP21" s="112"/>
      <c r="CQ21" s="112"/>
      <c r="CR21" s="112"/>
      <c r="CS21" s="112"/>
      <c r="CT21" s="112"/>
      <c r="CU21" s="112"/>
      <c r="CV21" s="112"/>
      <c r="CW21" s="112"/>
      <c r="CX21" s="112"/>
      <c r="CY21" s="112"/>
      <c r="CZ21" s="112"/>
      <c r="DA21" s="112"/>
      <c r="DB21" s="112"/>
      <c r="DC21" s="112"/>
      <c r="DD21" s="112"/>
      <c r="DE21" s="112"/>
      <c r="DF21" s="112"/>
      <c r="DG21" s="112"/>
      <c r="DH21" s="112"/>
      <c r="DI21" s="112"/>
      <c r="DJ21" s="112"/>
      <c r="DK21" s="112"/>
      <c r="DL21" s="112"/>
      <c r="DM21" s="112"/>
      <c r="DN21" s="112"/>
      <c r="DO21" s="112"/>
      <c r="DP21" s="112"/>
      <c r="DQ21" s="112"/>
      <c r="DR21" s="112"/>
      <c r="DS21" s="112"/>
      <c r="DT21" s="112"/>
      <c r="DU21" s="112"/>
      <c r="DV21" s="112"/>
      <c r="DW21" s="112"/>
      <c r="DX21" s="112"/>
      <c r="DY21" s="112"/>
      <c r="DZ21" s="112"/>
      <c r="EA21" s="112"/>
      <c r="EB21" s="112"/>
      <c r="EC21" s="112"/>
      <c r="ED21" s="112"/>
      <c r="EE21" s="112"/>
      <c r="EF21" s="112"/>
      <c r="EG21" s="112"/>
      <c r="EH21" s="112"/>
      <c r="EI21" s="112"/>
      <c r="EJ21" s="112"/>
      <c r="EK21" s="112"/>
      <c r="EL21" s="112"/>
      <c r="EM21" s="112"/>
      <c r="EN21" s="112"/>
      <c r="EO21" s="112"/>
      <c r="EP21" s="112"/>
      <c r="EQ21" s="112"/>
      <c r="ER21" s="112"/>
      <c r="ES21" s="112"/>
      <c r="ET21" s="112"/>
      <c r="EU21" s="112"/>
      <c r="EV21" s="112"/>
      <c r="EW21" s="112"/>
      <c r="EX21" s="112"/>
      <c r="EY21" s="112"/>
      <c r="EZ21" s="112"/>
      <c r="FA21" s="112"/>
      <c r="FB21" s="112"/>
      <c r="FC21" s="112"/>
      <c r="FD21" s="112"/>
      <c r="FE21" s="112"/>
      <c r="FF21" s="112"/>
      <c r="FG21" s="112"/>
      <c r="FH21" s="112"/>
      <c r="FI21" s="112"/>
      <c r="FJ21" s="112"/>
      <c r="FK21" s="112"/>
      <c r="FL21" s="112"/>
      <c r="FM21" s="112"/>
      <c r="FN21" s="112"/>
      <c r="FO21" s="112"/>
      <c r="FP21" s="112"/>
      <c r="FQ21" s="112"/>
      <c r="FR21" s="112"/>
      <c r="FS21" s="112"/>
      <c r="FT21" s="112"/>
      <c r="FU21" s="112"/>
      <c r="FV21" s="112"/>
      <c r="FW21" s="112"/>
      <c r="FX21" s="112"/>
      <c r="FY21" s="112"/>
      <c r="FZ21" s="112"/>
      <c r="GA21" s="112"/>
      <c r="GB21" s="112"/>
      <c r="GC21" s="112"/>
      <c r="GD21" s="112"/>
      <c r="GE21" s="112"/>
      <c r="GF21" s="112"/>
      <c r="GG21" s="112"/>
      <c r="GH21" s="112"/>
      <c r="GI21" s="112"/>
      <c r="GJ21" s="112"/>
      <c r="GK21" s="112"/>
      <c r="GL21" s="112"/>
      <c r="GM21" s="112"/>
      <c r="GN21" s="112"/>
      <c r="GO21" s="112"/>
      <c r="GP21" s="112"/>
      <c r="GQ21" s="112"/>
      <c r="GR21" s="112"/>
      <c r="GS21" s="112"/>
      <c r="GT21" s="112"/>
      <c r="GU21" s="112"/>
      <c r="GV21" s="112"/>
      <c r="GW21" s="112"/>
      <c r="GX21" s="112"/>
      <c r="GY21" s="112"/>
      <c r="GZ21" s="112"/>
      <c r="HA21" s="112"/>
      <c r="HB21" s="112"/>
      <c r="HC21" s="112"/>
      <c r="HD21" s="112"/>
      <c r="HE21" s="112"/>
      <c r="HF21" s="112"/>
      <c r="HG21" s="112"/>
      <c r="HH21" s="112"/>
      <c r="HI21" s="112"/>
      <c r="HJ21" s="112"/>
      <c r="HK21" s="112"/>
      <c r="HL21" s="112"/>
      <c r="HM21" s="112"/>
      <c r="HN21" s="112"/>
      <c r="HO21" s="112"/>
      <c r="HP21" s="112"/>
      <c r="HQ21" s="112"/>
      <c r="HR21" s="112"/>
      <c r="HS21" s="112"/>
      <c r="HT21" s="112"/>
      <c r="HU21" s="112"/>
      <c r="HV21" s="112"/>
      <c r="HW21" s="112"/>
      <c r="HX21" s="112"/>
      <c r="HY21" s="112"/>
      <c r="HZ21" s="112"/>
      <c r="IA21" s="112"/>
      <c r="IB21" s="112"/>
      <c r="IC21" s="112"/>
      <c r="ID21" s="112"/>
      <c r="IE21" s="112"/>
      <c r="IF21" s="112"/>
      <c r="IG21" s="112"/>
      <c r="IH21" s="112"/>
      <c r="II21" s="112"/>
      <c r="IJ21" s="112"/>
      <c r="IK21" s="112"/>
      <c r="IL21" s="112"/>
      <c r="IM21" s="112"/>
      <c r="IN21" s="112"/>
      <c r="IO21" s="112"/>
      <c r="IP21" s="112"/>
      <c r="IQ21" s="112"/>
      <c r="IR21" s="112"/>
      <c r="IS21" s="112"/>
      <c r="IT21" s="112"/>
      <c r="IU21" s="112"/>
    </row>
    <row r="22" spans="1:255" s="126" customFormat="1" x14ac:dyDescent="0.2">
      <c r="D22" s="127"/>
    </row>
    <row r="23" spans="1:255" s="126" customFormat="1" x14ac:dyDescent="0.2">
      <c r="D23" s="127" t="s">
        <v>222</v>
      </c>
      <c r="W23" s="120" t="s">
        <v>214</v>
      </c>
      <c r="X23" s="120"/>
      <c r="Y23" s="120" t="s">
        <v>215</v>
      </c>
      <c r="Z23" s="120"/>
      <c r="AA23" s="120" t="s">
        <v>216</v>
      </c>
      <c r="AB23" s="120"/>
      <c r="AC23" s="120" t="s">
        <v>217</v>
      </c>
      <c r="AD23" s="120"/>
      <c r="AE23" s="120">
        <v>16</v>
      </c>
      <c r="AF23" s="120"/>
      <c r="AG23" s="120" t="s">
        <v>218</v>
      </c>
      <c r="AH23" s="120"/>
      <c r="AI23" s="120" t="s">
        <v>219</v>
      </c>
      <c r="AJ23" s="120"/>
      <c r="AK23" s="120" t="s">
        <v>220</v>
      </c>
      <c r="AL23" s="120"/>
      <c r="AM23" s="120" t="s">
        <v>221</v>
      </c>
    </row>
    <row r="24" spans="1:255" ht="14.1" customHeight="1" x14ac:dyDescent="0.2">
      <c r="A24" s="112"/>
      <c r="B24" s="112">
        <v>1</v>
      </c>
      <c r="C24" s="128" t="s">
        <v>203</v>
      </c>
      <c r="D24" s="116" t="s">
        <v>223</v>
      </c>
      <c r="E24" s="120">
        <v>2</v>
      </c>
      <c r="F24" s="120"/>
      <c r="G24" s="120">
        <v>3</v>
      </c>
      <c r="H24" s="120"/>
      <c r="I24" s="120">
        <v>4</v>
      </c>
      <c r="J24" s="120"/>
      <c r="K24" s="120">
        <v>5</v>
      </c>
      <c r="L24" s="120"/>
      <c r="M24" s="120">
        <v>6</v>
      </c>
      <c r="N24" s="120"/>
      <c r="O24" s="120">
        <v>7</v>
      </c>
      <c r="P24" s="120"/>
      <c r="Q24" s="120">
        <v>8</v>
      </c>
      <c r="R24" s="120"/>
      <c r="S24" s="120">
        <v>9</v>
      </c>
      <c r="T24" s="120"/>
      <c r="U24" s="120">
        <v>10</v>
      </c>
      <c r="V24" s="120"/>
      <c r="W24" s="120" t="s">
        <v>460</v>
      </c>
      <c r="X24" s="120"/>
      <c r="Y24" s="120" t="s">
        <v>461</v>
      </c>
      <c r="Z24" s="120"/>
      <c r="AA24" s="120" t="s">
        <v>462</v>
      </c>
      <c r="AB24" s="120"/>
      <c r="AC24" s="120" t="s">
        <v>463</v>
      </c>
      <c r="AD24" s="120"/>
      <c r="AE24" s="120">
        <v>16</v>
      </c>
      <c r="AF24" s="120"/>
      <c r="AG24" s="120" t="s">
        <v>464</v>
      </c>
      <c r="AH24" s="120"/>
      <c r="AI24" s="120" t="s">
        <v>465</v>
      </c>
      <c r="AJ24" s="120"/>
      <c r="AK24" s="120" t="s">
        <v>466</v>
      </c>
      <c r="AL24" s="120"/>
      <c r="AM24" s="120" t="s">
        <v>467</v>
      </c>
      <c r="AN24" s="112"/>
      <c r="AO24" s="112"/>
      <c r="AP24" s="112"/>
      <c r="AQ24" s="112"/>
      <c r="AR24" s="112"/>
      <c r="AS24" s="112"/>
      <c r="AT24" s="112"/>
      <c r="AU24" s="112"/>
      <c r="AV24" s="112"/>
      <c r="AW24" s="112"/>
      <c r="AX24" s="112"/>
      <c r="AY24" s="112"/>
      <c r="AZ24" s="112"/>
      <c r="BA24" s="112"/>
      <c r="BB24" s="112"/>
      <c r="BC24" s="112"/>
      <c r="BD24" s="112"/>
      <c r="BE24" s="112"/>
      <c r="BF24" s="112"/>
      <c r="BG24" s="112"/>
      <c r="BH24" s="112"/>
      <c r="BI24" s="112"/>
      <c r="BJ24" s="112"/>
      <c r="BK24" s="112"/>
      <c r="BL24" s="112"/>
      <c r="BM24" s="112"/>
      <c r="BN24" s="112"/>
      <c r="BO24" s="112"/>
      <c r="BP24" s="112"/>
      <c r="BQ24" s="112"/>
      <c r="BR24" s="112"/>
      <c r="BS24" s="112"/>
      <c r="BT24" s="112"/>
      <c r="BU24" s="112"/>
      <c r="BV24" s="112"/>
      <c r="BW24" s="112"/>
      <c r="BX24" s="112"/>
      <c r="BY24" s="112"/>
      <c r="BZ24" s="112"/>
      <c r="CA24" s="112"/>
      <c r="CB24" s="112"/>
      <c r="CC24" s="112"/>
      <c r="CD24" s="112"/>
      <c r="CE24" s="112"/>
      <c r="CF24" s="112"/>
      <c r="CG24" s="112"/>
      <c r="CH24" s="112"/>
      <c r="CI24" s="112"/>
      <c r="CJ24" s="112"/>
      <c r="CK24" s="112"/>
      <c r="CL24" s="112"/>
      <c r="CM24" s="112"/>
      <c r="CN24" s="112"/>
      <c r="CO24" s="112"/>
      <c r="CP24" s="112"/>
      <c r="CQ24" s="112"/>
      <c r="CR24" s="112"/>
      <c r="CS24" s="112"/>
      <c r="CT24" s="112"/>
      <c r="CU24" s="112"/>
      <c r="CV24" s="112"/>
      <c r="CW24" s="112"/>
      <c r="CX24" s="112"/>
      <c r="CY24" s="112"/>
      <c r="CZ24" s="112"/>
      <c r="DA24" s="112"/>
      <c r="DB24" s="112"/>
      <c r="DC24" s="112"/>
      <c r="DD24" s="112"/>
      <c r="DE24" s="112"/>
      <c r="DF24" s="112"/>
      <c r="DG24" s="112"/>
      <c r="DH24" s="112"/>
      <c r="DI24" s="112"/>
      <c r="DJ24" s="112"/>
      <c r="DK24" s="112"/>
      <c r="DL24" s="112"/>
      <c r="DM24" s="112"/>
      <c r="DN24" s="112"/>
      <c r="DO24" s="112"/>
      <c r="DP24" s="112"/>
      <c r="DQ24" s="112"/>
      <c r="DR24" s="112"/>
      <c r="DS24" s="112"/>
      <c r="DT24" s="112"/>
      <c r="DU24" s="112"/>
      <c r="DV24" s="112"/>
      <c r="DW24" s="112"/>
      <c r="DX24" s="112"/>
      <c r="DY24" s="112"/>
      <c r="DZ24" s="112"/>
      <c r="EA24" s="112"/>
      <c r="EB24" s="112"/>
      <c r="EC24" s="112"/>
      <c r="ED24" s="112"/>
      <c r="EE24" s="112"/>
      <c r="EF24" s="112"/>
      <c r="EG24" s="112"/>
      <c r="EH24" s="112"/>
      <c r="EI24" s="112"/>
      <c r="EJ24" s="112"/>
      <c r="EK24" s="112"/>
      <c r="EL24" s="112"/>
      <c r="EM24" s="112"/>
      <c r="EN24" s="112"/>
      <c r="EO24" s="112"/>
      <c r="EP24" s="112"/>
      <c r="EQ24" s="112"/>
      <c r="ER24" s="112"/>
      <c r="ES24" s="112"/>
      <c r="ET24" s="112"/>
      <c r="EU24" s="112"/>
      <c r="EV24" s="112"/>
      <c r="EW24" s="112"/>
      <c r="EX24" s="112"/>
      <c r="EY24" s="112"/>
      <c r="EZ24" s="112"/>
      <c r="FA24" s="112"/>
      <c r="FB24" s="112"/>
      <c r="FC24" s="112"/>
      <c r="FD24" s="112"/>
      <c r="FE24" s="112"/>
      <c r="FF24" s="112"/>
      <c r="FG24" s="112"/>
      <c r="FH24" s="112"/>
      <c r="FI24" s="112"/>
      <c r="FJ24" s="112"/>
      <c r="FK24" s="112"/>
      <c r="FL24" s="112"/>
      <c r="FM24" s="112"/>
      <c r="FN24" s="112"/>
      <c r="FO24" s="112"/>
      <c r="FP24" s="112"/>
      <c r="FQ24" s="112"/>
      <c r="FR24" s="112"/>
      <c r="FS24" s="112"/>
      <c r="FT24" s="112"/>
      <c r="FU24" s="112"/>
      <c r="FV24" s="112"/>
      <c r="FW24" s="112"/>
      <c r="FX24" s="112"/>
      <c r="FY24" s="112"/>
      <c r="FZ24" s="112"/>
      <c r="GA24" s="112"/>
      <c r="GB24" s="112"/>
      <c r="GC24" s="112"/>
      <c r="GD24" s="112"/>
      <c r="GE24" s="112"/>
      <c r="GF24" s="112"/>
      <c r="GG24" s="112"/>
      <c r="GH24" s="112"/>
      <c r="GI24" s="112"/>
      <c r="GJ24" s="112"/>
      <c r="GK24" s="112"/>
      <c r="GL24" s="112"/>
      <c r="GM24" s="112"/>
      <c r="GN24" s="112"/>
      <c r="GO24" s="112"/>
      <c r="GP24" s="112"/>
      <c r="GQ24" s="112"/>
      <c r="GR24" s="112"/>
      <c r="GS24" s="112"/>
      <c r="GT24" s="112"/>
      <c r="GU24" s="112"/>
      <c r="GV24" s="112"/>
      <c r="GW24" s="112"/>
      <c r="GX24" s="112"/>
      <c r="GY24" s="112"/>
      <c r="GZ24" s="112"/>
      <c r="HA24" s="112"/>
      <c r="HB24" s="112"/>
      <c r="HC24" s="112"/>
      <c r="HD24" s="112"/>
      <c r="HE24" s="112"/>
      <c r="HF24" s="112"/>
      <c r="HG24" s="112"/>
      <c r="HH24" s="112"/>
      <c r="HI24" s="112"/>
      <c r="HJ24" s="112"/>
      <c r="HK24" s="112"/>
      <c r="HL24" s="112"/>
      <c r="HM24" s="112"/>
      <c r="HN24" s="112"/>
      <c r="HO24" s="112"/>
      <c r="HP24" s="112"/>
      <c r="HQ24" s="112"/>
      <c r="HR24" s="112"/>
      <c r="HS24" s="112"/>
      <c r="HT24" s="112"/>
      <c r="HU24" s="112"/>
      <c r="HV24" s="112"/>
      <c r="HW24" s="112"/>
      <c r="HX24" s="112"/>
      <c r="HY24" s="112"/>
      <c r="HZ24" s="112"/>
      <c r="IA24" s="112"/>
      <c r="IB24" s="112"/>
      <c r="IC24" s="112"/>
      <c r="ID24" s="112"/>
      <c r="IE24" s="112"/>
      <c r="IF24" s="112"/>
      <c r="IG24" s="112"/>
      <c r="IH24" s="112"/>
      <c r="II24" s="112"/>
      <c r="IJ24" s="112"/>
      <c r="IK24" s="112"/>
      <c r="IL24" s="112"/>
      <c r="IM24" s="112"/>
      <c r="IN24" s="112"/>
      <c r="IO24" s="112"/>
      <c r="IP24" s="112"/>
      <c r="IQ24" s="112"/>
      <c r="IR24" s="112"/>
      <c r="IS24" s="112"/>
      <c r="IT24" s="112"/>
      <c r="IU24" s="112"/>
    </row>
    <row r="25" spans="1:255" x14ac:dyDescent="0.2">
      <c r="A25" s="112"/>
      <c r="B25" s="112">
        <v>2</v>
      </c>
      <c r="C25" s="128" t="s">
        <v>224</v>
      </c>
      <c r="D25" s="116" t="s">
        <v>74</v>
      </c>
      <c r="E25" s="120">
        <f>2*E24</f>
        <v>4</v>
      </c>
      <c r="F25" s="120"/>
      <c r="G25" s="120">
        <f>2*G24</f>
        <v>6</v>
      </c>
      <c r="H25" s="120"/>
      <c r="I25" s="120">
        <f>2*I24</f>
        <v>8</v>
      </c>
      <c r="J25" s="120"/>
      <c r="K25" s="120">
        <f>2*K24</f>
        <v>10</v>
      </c>
      <c r="L25" s="120"/>
      <c r="M25" s="120">
        <f>2*M24</f>
        <v>12</v>
      </c>
      <c r="N25" s="120"/>
      <c r="O25" s="120">
        <f>2*O24</f>
        <v>14</v>
      </c>
      <c r="P25" s="120"/>
      <c r="Q25" s="120">
        <f>2*Q24</f>
        <v>16</v>
      </c>
      <c r="R25" s="120"/>
      <c r="S25" s="120">
        <f>2*S24</f>
        <v>18</v>
      </c>
      <c r="T25" s="120"/>
      <c r="U25" s="120">
        <f>2*U24</f>
        <v>20</v>
      </c>
      <c r="V25" s="120"/>
      <c r="W25" s="120">
        <v>24</v>
      </c>
      <c r="X25" s="120"/>
      <c r="Y25" s="120">
        <v>24</v>
      </c>
      <c r="Z25" s="120"/>
      <c r="AA25" s="120">
        <v>28</v>
      </c>
      <c r="AB25" s="120"/>
      <c r="AC25" s="120">
        <v>28</v>
      </c>
      <c r="AD25" s="120"/>
      <c r="AE25" s="120">
        <f>2*AE24</f>
        <v>32</v>
      </c>
      <c r="AF25" s="120"/>
      <c r="AG25" s="120">
        <v>36</v>
      </c>
      <c r="AH25" s="120"/>
      <c r="AI25" s="120">
        <v>36</v>
      </c>
      <c r="AJ25" s="120"/>
      <c r="AK25" s="120">
        <v>40</v>
      </c>
      <c r="AL25" s="120"/>
      <c r="AM25" s="120">
        <v>40</v>
      </c>
      <c r="AN25" s="112"/>
      <c r="AO25" s="112"/>
      <c r="AP25" s="112"/>
      <c r="AQ25" s="112"/>
      <c r="AR25" s="112"/>
      <c r="AS25" s="112"/>
      <c r="AT25" s="112"/>
      <c r="AU25" s="112"/>
      <c r="AV25" s="112"/>
      <c r="AW25" s="112"/>
      <c r="AX25" s="112"/>
      <c r="AY25" s="112"/>
      <c r="AZ25" s="112"/>
      <c r="BA25" s="112"/>
      <c r="BB25" s="112"/>
      <c r="BC25" s="112"/>
      <c r="BD25" s="112"/>
      <c r="BE25" s="112"/>
      <c r="BF25" s="112"/>
      <c r="BG25" s="112"/>
      <c r="BH25" s="112"/>
      <c r="BI25" s="112"/>
      <c r="BJ25" s="112"/>
      <c r="BK25" s="112"/>
      <c r="BL25" s="112"/>
      <c r="BM25" s="112"/>
      <c r="BN25" s="112"/>
      <c r="BO25" s="112"/>
      <c r="BP25" s="112"/>
      <c r="BQ25" s="112"/>
      <c r="BR25" s="112"/>
      <c r="BS25" s="112"/>
      <c r="BT25" s="112"/>
      <c r="BU25" s="112"/>
      <c r="BV25" s="112"/>
      <c r="BW25" s="112"/>
      <c r="BX25" s="112"/>
      <c r="BY25" s="112"/>
      <c r="BZ25" s="112"/>
      <c r="CA25" s="112"/>
      <c r="CB25" s="112"/>
      <c r="CC25" s="112"/>
      <c r="CD25" s="112"/>
      <c r="CE25" s="112"/>
      <c r="CF25" s="112"/>
      <c r="CG25" s="112"/>
      <c r="CH25" s="112"/>
      <c r="CI25" s="112"/>
      <c r="CJ25" s="112"/>
      <c r="CK25" s="112"/>
      <c r="CL25" s="112"/>
      <c r="CM25" s="112"/>
      <c r="CN25" s="112"/>
      <c r="CO25" s="112"/>
      <c r="CP25" s="112"/>
      <c r="CQ25" s="112"/>
      <c r="CR25" s="112"/>
      <c r="CS25" s="112"/>
      <c r="CT25" s="112"/>
      <c r="CU25" s="112"/>
      <c r="CV25" s="112"/>
      <c r="CW25" s="112"/>
      <c r="CX25" s="112"/>
      <c r="CY25" s="112"/>
      <c r="CZ25" s="112"/>
      <c r="DA25" s="112"/>
      <c r="DB25" s="112"/>
      <c r="DC25" s="112"/>
      <c r="DD25" s="112"/>
      <c r="DE25" s="112"/>
      <c r="DF25" s="112"/>
      <c r="DG25" s="112"/>
      <c r="DH25" s="112"/>
      <c r="DI25" s="112"/>
      <c r="DJ25" s="112"/>
      <c r="DK25" s="112"/>
      <c r="DL25" s="112"/>
      <c r="DM25" s="112"/>
      <c r="DN25" s="112"/>
      <c r="DO25" s="112"/>
      <c r="DP25" s="112"/>
      <c r="DQ25" s="112"/>
      <c r="DR25" s="112"/>
      <c r="DS25" s="112"/>
      <c r="DT25" s="112"/>
      <c r="DU25" s="112"/>
      <c r="DV25" s="112"/>
      <c r="DW25" s="112"/>
      <c r="DX25" s="112"/>
      <c r="DY25" s="112"/>
      <c r="DZ25" s="112"/>
      <c r="EA25" s="112"/>
      <c r="EB25" s="112"/>
      <c r="EC25" s="112"/>
      <c r="ED25" s="112"/>
      <c r="EE25" s="112"/>
      <c r="EF25" s="112"/>
      <c r="EG25" s="112"/>
      <c r="EH25" s="112"/>
      <c r="EI25" s="112"/>
      <c r="EJ25" s="112"/>
      <c r="EK25" s="112"/>
      <c r="EL25" s="112"/>
      <c r="EM25" s="112"/>
      <c r="EN25" s="112"/>
      <c r="EO25" s="112"/>
      <c r="EP25" s="112"/>
      <c r="EQ25" s="112"/>
      <c r="ER25" s="112"/>
      <c r="ES25" s="112"/>
      <c r="ET25" s="112"/>
      <c r="EU25" s="112"/>
      <c r="EV25" s="112"/>
      <c r="EW25" s="112"/>
      <c r="EX25" s="112"/>
      <c r="EY25" s="112"/>
      <c r="EZ25" s="112"/>
      <c r="FA25" s="112"/>
      <c r="FB25" s="112"/>
      <c r="FC25" s="112"/>
      <c r="FD25" s="112"/>
      <c r="FE25" s="112"/>
      <c r="FF25" s="112"/>
      <c r="FG25" s="112"/>
      <c r="FH25" s="112"/>
      <c r="FI25" s="112"/>
      <c r="FJ25" s="112"/>
      <c r="FK25" s="112"/>
      <c r="FL25" s="112"/>
      <c r="FM25" s="112"/>
      <c r="FN25" s="112"/>
      <c r="FO25" s="112"/>
      <c r="FP25" s="112"/>
      <c r="FQ25" s="112"/>
      <c r="FR25" s="112"/>
      <c r="FS25" s="112"/>
      <c r="FT25" s="112"/>
      <c r="FU25" s="112"/>
      <c r="FV25" s="112"/>
      <c r="FW25" s="112"/>
      <c r="FX25" s="112"/>
      <c r="FY25" s="112"/>
      <c r="FZ25" s="112"/>
      <c r="GA25" s="112"/>
      <c r="GB25" s="112"/>
      <c r="GC25" s="112"/>
      <c r="GD25" s="112"/>
      <c r="GE25" s="112"/>
      <c r="GF25" s="112"/>
      <c r="GG25" s="112"/>
      <c r="GH25" s="112"/>
      <c r="GI25" s="112"/>
      <c r="GJ25" s="112"/>
      <c r="GK25" s="112"/>
      <c r="GL25" s="112"/>
      <c r="GM25" s="112"/>
      <c r="GN25" s="112"/>
      <c r="GO25" s="112"/>
      <c r="GP25" s="112"/>
      <c r="GQ25" s="112"/>
      <c r="GR25" s="112"/>
      <c r="GS25" s="112"/>
      <c r="GT25" s="112"/>
      <c r="GU25" s="112"/>
      <c r="GV25" s="112"/>
      <c r="GW25" s="112"/>
      <c r="GX25" s="112"/>
      <c r="GY25" s="112"/>
      <c r="GZ25" s="112"/>
      <c r="HA25" s="112"/>
      <c r="HB25" s="112"/>
      <c r="HC25" s="112"/>
      <c r="HD25" s="112"/>
      <c r="HE25" s="112"/>
      <c r="HF25" s="112"/>
      <c r="HG25" s="112"/>
      <c r="HH25" s="112"/>
      <c r="HI25" s="112"/>
      <c r="HJ25" s="112"/>
      <c r="HK25" s="112"/>
      <c r="HL25" s="112"/>
      <c r="HM25" s="112"/>
      <c r="HN25" s="112"/>
      <c r="HO25" s="112"/>
      <c r="HP25" s="112"/>
      <c r="HQ25" s="112"/>
      <c r="HR25" s="112"/>
      <c r="HS25" s="112"/>
      <c r="HT25" s="112"/>
      <c r="HU25" s="112"/>
      <c r="HV25" s="112"/>
      <c r="HW25" s="112"/>
      <c r="HX25" s="112"/>
      <c r="HY25" s="112"/>
      <c r="HZ25" s="112"/>
      <c r="IA25" s="112"/>
      <c r="IB25" s="112"/>
      <c r="IC25" s="112"/>
      <c r="ID25" s="112"/>
      <c r="IE25" s="112"/>
      <c r="IF25" s="112"/>
      <c r="IG25" s="112"/>
      <c r="IH25" s="112"/>
      <c r="II25" s="112"/>
      <c r="IJ25" s="112"/>
      <c r="IK25" s="112"/>
      <c r="IL25" s="112"/>
      <c r="IM25" s="112"/>
      <c r="IN25" s="112"/>
      <c r="IO25" s="112"/>
      <c r="IP25" s="112"/>
      <c r="IQ25" s="112"/>
      <c r="IR25" s="112"/>
      <c r="IS25" s="112"/>
      <c r="IT25" s="112"/>
      <c r="IU25" s="112"/>
    </row>
    <row r="26" spans="1:255" x14ac:dyDescent="0.2">
      <c r="A26" s="112"/>
      <c r="B26" s="112">
        <v>3</v>
      </c>
      <c r="C26" s="129" t="s">
        <v>205</v>
      </c>
      <c r="D26" s="130" t="s">
        <v>225</v>
      </c>
      <c r="E26" s="122">
        <f>2*(2.5+1.6)</f>
        <v>8.1999999999999993</v>
      </c>
      <c r="F26" s="122"/>
      <c r="G26" s="122">
        <f>2*(3+2)</f>
        <v>10</v>
      </c>
      <c r="H26" s="122"/>
      <c r="I26" s="122">
        <f>2*(4+2)</f>
        <v>12</v>
      </c>
      <c r="J26" s="122"/>
      <c r="K26" s="122">
        <f>2*(4+2.5)</f>
        <v>13</v>
      </c>
      <c r="L26" s="122"/>
      <c r="M26" s="122">
        <f>2*(4+3)</f>
        <v>14</v>
      </c>
      <c r="N26" s="122"/>
      <c r="O26" s="122">
        <f>2*(4+3.5)</f>
        <v>15</v>
      </c>
      <c r="P26" s="122"/>
      <c r="Q26" s="122">
        <f>2*(4+4)</f>
        <v>16</v>
      </c>
      <c r="R26" s="122"/>
      <c r="S26" s="122">
        <f>2*(4+4.5)</f>
        <v>17</v>
      </c>
      <c r="T26" s="122"/>
      <c r="U26" s="122">
        <f>2*(4+5)</f>
        <v>18</v>
      </c>
      <c r="V26" s="122"/>
      <c r="W26" s="122">
        <f>2*(6+4)</f>
        <v>20</v>
      </c>
      <c r="X26" s="122"/>
      <c r="Y26" s="122">
        <f>2*(8+3)</f>
        <v>22</v>
      </c>
      <c r="Z26" s="122"/>
      <c r="AA26" s="122">
        <f>2*(8+3.5)</f>
        <v>23</v>
      </c>
      <c r="AB26" s="122"/>
      <c r="AC26" s="122">
        <f>2*(7+4)</f>
        <v>22</v>
      </c>
      <c r="AD26" s="122"/>
      <c r="AE26" s="122">
        <f>2*(8+4)</f>
        <v>24</v>
      </c>
      <c r="AF26" s="122"/>
      <c r="AG26" s="122">
        <f>2*(8+4.5)</f>
        <v>25</v>
      </c>
      <c r="AH26" s="122"/>
      <c r="AI26" s="122">
        <f>2*(9+4)</f>
        <v>26</v>
      </c>
      <c r="AJ26" s="122"/>
      <c r="AK26" s="122">
        <f>2*(10+4)</f>
        <v>28</v>
      </c>
      <c r="AL26" s="122"/>
      <c r="AM26" s="122">
        <f>2*(8+5)</f>
        <v>26</v>
      </c>
      <c r="AN26" s="112"/>
      <c r="AO26" s="112"/>
      <c r="AP26" s="112"/>
      <c r="AQ26" s="112"/>
      <c r="AR26" s="112"/>
      <c r="AS26" s="112"/>
      <c r="AT26" s="112"/>
      <c r="AU26" s="112"/>
      <c r="AV26" s="112"/>
      <c r="AW26" s="112"/>
      <c r="AX26" s="112"/>
      <c r="AY26" s="112"/>
      <c r="AZ26" s="112"/>
      <c r="BA26" s="112"/>
      <c r="BB26" s="112"/>
      <c r="BC26" s="112"/>
      <c r="BD26" s="112"/>
      <c r="BE26" s="112"/>
      <c r="BF26" s="112"/>
      <c r="BG26" s="112"/>
      <c r="BH26" s="112"/>
      <c r="BI26" s="112"/>
      <c r="BJ26" s="112"/>
      <c r="BK26" s="112"/>
      <c r="BL26" s="112"/>
      <c r="BM26" s="112"/>
      <c r="BN26" s="112"/>
      <c r="BO26" s="112"/>
      <c r="BP26" s="112"/>
      <c r="BQ26" s="112"/>
      <c r="BR26" s="112"/>
      <c r="BS26" s="112"/>
      <c r="BT26" s="112"/>
      <c r="BU26" s="112"/>
      <c r="BV26" s="112"/>
      <c r="BW26" s="112"/>
      <c r="BX26" s="112"/>
      <c r="BY26" s="112"/>
      <c r="BZ26" s="112"/>
      <c r="CA26" s="112"/>
      <c r="CB26" s="112"/>
      <c r="CC26" s="112"/>
      <c r="CD26" s="112"/>
      <c r="CE26" s="112"/>
      <c r="CF26" s="112"/>
      <c r="CG26" s="112"/>
      <c r="CH26" s="112"/>
      <c r="CI26" s="112"/>
      <c r="CJ26" s="112"/>
      <c r="CK26" s="112"/>
      <c r="CL26" s="112"/>
      <c r="CM26" s="112"/>
      <c r="CN26" s="112"/>
      <c r="CO26" s="112"/>
      <c r="CP26" s="112"/>
      <c r="CQ26" s="112"/>
      <c r="CR26" s="112"/>
      <c r="CS26" s="112"/>
      <c r="CT26" s="112"/>
      <c r="CU26" s="112"/>
      <c r="CV26" s="112"/>
      <c r="CW26" s="112"/>
      <c r="CX26" s="112"/>
      <c r="CY26" s="112"/>
      <c r="CZ26" s="112"/>
      <c r="DA26" s="112"/>
      <c r="DB26" s="112"/>
      <c r="DC26" s="112"/>
      <c r="DD26" s="112"/>
      <c r="DE26" s="112"/>
      <c r="DF26" s="112"/>
      <c r="DG26" s="112"/>
      <c r="DH26" s="112"/>
      <c r="DI26" s="112"/>
      <c r="DJ26" s="112"/>
      <c r="DK26" s="112"/>
      <c r="DL26" s="112"/>
      <c r="DM26" s="112"/>
      <c r="DN26" s="112"/>
      <c r="DO26" s="112"/>
      <c r="DP26" s="112"/>
      <c r="DQ26" s="112"/>
      <c r="DR26" s="112"/>
      <c r="DS26" s="112"/>
      <c r="DT26" s="112"/>
      <c r="DU26" s="112"/>
      <c r="DV26" s="112"/>
      <c r="DW26" s="112"/>
      <c r="DX26" s="112"/>
      <c r="DY26" s="112"/>
      <c r="DZ26" s="112"/>
      <c r="EA26" s="112"/>
      <c r="EB26" s="112"/>
      <c r="EC26" s="112"/>
      <c r="ED26" s="112"/>
      <c r="EE26" s="112"/>
      <c r="EF26" s="112"/>
      <c r="EG26" s="112"/>
      <c r="EH26" s="112"/>
      <c r="EI26" s="112"/>
      <c r="EJ26" s="112"/>
      <c r="EK26" s="112"/>
      <c r="EL26" s="112"/>
      <c r="EM26" s="112"/>
      <c r="EN26" s="112"/>
      <c r="EO26" s="112"/>
      <c r="EP26" s="112"/>
      <c r="EQ26" s="112"/>
      <c r="ER26" s="112"/>
      <c r="ES26" s="112"/>
      <c r="ET26" s="112"/>
      <c r="EU26" s="112"/>
      <c r="EV26" s="112"/>
      <c r="EW26" s="112"/>
      <c r="EX26" s="112"/>
      <c r="EY26" s="112"/>
      <c r="EZ26" s="112"/>
      <c r="FA26" s="112"/>
      <c r="FB26" s="112"/>
      <c r="FC26" s="112"/>
      <c r="FD26" s="112"/>
      <c r="FE26" s="112"/>
      <c r="FF26" s="112"/>
      <c r="FG26" s="112"/>
      <c r="FH26" s="112"/>
      <c r="FI26" s="112"/>
      <c r="FJ26" s="112"/>
      <c r="FK26" s="112"/>
      <c r="FL26" s="112"/>
      <c r="FM26" s="112"/>
      <c r="FN26" s="112"/>
      <c r="FO26" s="112"/>
      <c r="FP26" s="112"/>
      <c r="FQ26" s="112"/>
      <c r="FR26" s="112"/>
      <c r="FS26" s="112"/>
      <c r="FT26" s="112"/>
      <c r="FU26" s="112"/>
      <c r="FV26" s="112"/>
      <c r="FW26" s="112"/>
      <c r="FX26" s="112"/>
      <c r="FY26" s="112"/>
      <c r="FZ26" s="112"/>
      <c r="GA26" s="112"/>
      <c r="GB26" s="112"/>
      <c r="GC26" s="112"/>
      <c r="GD26" s="112"/>
      <c r="GE26" s="112"/>
      <c r="GF26" s="112"/>
      <c r="GG26" s="112"/>
      <c r="GH26" s="112"/>
      <c r="GI26" s="112"/>
      <c r="GJ26" s="112"/>
      <c r="GK26" s="112"/>
      <c r="GL26" s="112"/>
      <c r="GM26" s="112"/>
      <c r="GN26" s="112"/>
      <c r="GO26" s="112"/>
      <c r="GP26" s="112"/>
      <c r="GQ26" s="112"/>
      <c r="GR26" s="112"/>
      <c r="GS26" s="112"/>
      <c r="GT26" s="112"/>
      <c r="GU26" s="112"/>
      <c r="GV26" s="112"/>
      <c r="GW26" s="112"/>
      <c r="GX26" s="112"/>
      <c r="GY26" s="112"/>
      <c r="GZ26" s="112"/>
      <c r="HA26" s="112"/>
      <c r="HB26" s="112"/>
      <c r="HC26" s="112"/>
      <c r="HD26" s="112"/>
      <c r="HE26" s="112"/>
      <c r="HF26" s="112"/>
      <c r="HG26" s="112"/>
      <c r="HH26" s="112"/>
      <c r="HI26" s="112"/>
      <c r="HJ26" s="112"/>
      <c r="HK26" s="112"/>
      <c r="HL26" s="112"/>
      <c r="HM26" s="112"/>
      <c r="HN26" s="112"/>
      <c r="HO26" s="112"/>
      <c r="HP26" s="112"/>
      <c r="HQ26" s="112"/>
      <c r="HR26" s="112"/>
      <c r="HS26" s="112"/>
      <c r="HT26" s="112"/>
      <c r="HU26" s="112"/>
      <c r="HV26" s="112"/>
      <c r="HW26" s="112"/>
      <c r="HX26" s="112"/>
      <c r="HY26" s="112"/>
      <c r="HZ26" s="112"/>
      <c r="IA26" s="112"/>
      <c r="IB26" s="112"/>
      <c r="IC26" s="112"/>
      <c r="ID26" s="112"/>
      <c r="IE26" s="112"/>
      <c r="IF26" s="112"/>
      <c r="IG26" s="112"/>
      <c r="IH26" s="112"/>
      <c r="II26" s="112"/>
      <c r="IJ26" s="112"/>
      <c r="IK26" s="112"/>
      <c r="IL26" s="112"/>
      <c r="IM26" s="112"/>
      <c r="IN26" s="112"/>
      <c r="IO26" s="112"/>
      <c r="IP26" s="112"/>
      <c r="IQ26" s="112"/>
      <c r="IR26" s="112"/>
      <c r="IS26" s="112"/>
      <c r="IT26" s="112"/>
      <c r="IU26" s="112"/>
    </row>
    <row r="27" spans="1:255" x14ac:dyDescent="0.2">
      <c r="A27" s="112"/>
      <c r="B27" s="112">
        <v>4</v>
      </c>
      <c r="C27" s="129" t="s">
        <v>206</v>
      </c>
      <c r="D27" s="130" t="s">
        <v>225</v>
      </c>
      <c r="E27" s="122">
        <f>2*(1.25*3.2)</f>
        <v>8</v>
      </c>
      <c r="F27" s="122"/>
      <c r="G27" s="122">
        <f>2*(1.5+4)</f>
        <v>11</v>
      </c>
      <c r="H27" s="122"/>
      <c r="I27" s="122">
        <f>2*(2+4)</f>
        <v>12</v>
      </c>
      <c r="J27" s="122"/>
      <c r="K27" s="122">
        <f>2*(2+5)</f>
        <v>14</v>
      </c>
      <c r="L27" s="122"/>
      <c r="M27" s="122">
        <f>2*(2+6)</f>
        <v>16</v>
      </c>
      <c r="N27" s="122"/>
      <c r="O27" s="122">
        <f>2*(2+7)</f>
        <v>18</v>
      </c>
      <c r="P27" s="122"/>
      <c r="Q27" s="122">
        <f>2*(2+8)</f>
        <v>20</v>
      </c>
      <c r="R27" s="122"/>
      <c r="S27" s="122">
        <f>2*(2.5+7.2)</f>
        <v>19.399999999999999</v>
      </c>
      <c r="T27" s="122"/>
      <c r="U27" s="122">
        <f>2*(2.5+8)</f>
        <v>21</v>
      </c>
      <c r="V27" s="122"/>
      <c r="W27" s="122">
        <f>2*(2.5+9.6)</f>
        <v>24.2</v>
      </c>
      <c r="X27" s="122"/>
      <c r="Y27" s="122">
        <f>2*(2.5+9.6)</f>
        <v>24.2</v>
      </c>
      <c r="Z27" s="122"/>
      <c r="AA27" s="122">
        <f>2*(2.8+10)</f>
        <v>25.6</v>
      </c>
      <c r="AB27" s="122"/>
      <c r="AC27" s="122">
        <f>2*(2.8+10)</f>
        <v>25.6</v>
      </c>
      <c r="AD27" s="122"/>
      <c r="AE27" s="122">
        <f>2*(3+10.7)</f>
        <v>27.4</v>
      </c>
      <c r="AF27" s="122"/>
      <c r="AG27" s="122">
        <f>2*(3+12)</f>
        <v>30</v>
      </c>
      <c r="AH27" s="122"/>
      <c r="AI27" s="122">
        <f>2*(3+12)</f>
        <v>30</v>
      </c>
      <c r="AJ27" s="122"/>
      <c r="AK27" s="122">
        <f>2*(3.2+12.5)</f>
        <v>31.4</v>
      </c>
      <c r="AL27" s="122"/>
      <c r="AM27" s="122">
        <f>2*(3.2+12.5)</f>
        <v>31.4</v>
      </c>
      <c r="AN27" s="112"/>
      <c r="AO27" s="112"/>
      <c r="AP27" s="112"/>
      <c r="AQ27" s="112"/>
      <c r="AR27" s="112"/>
      <c r="AS27" s="112"/>
      <c r="AT27" s="112"/>
      <c r="AU27" s="112"/>
      <c r="AV27" s="112"/>
      <c r="AW27" s="112"/>
      <c r="AX27" s="112"/>
      <c r="AY27" s="112"/>
      <c r="AZ27" s="112"/>
      <c r="BA27" s="112"/>
      <c r="BB27" s="112"/>
      <c r="BC27" s="112"/>
      <c r="BD27" s="112"/>
      <c r="BE27" s="112"/>
      <c r="BF27" s="112"/>
      <c r="BG27" s="112"/>
      <c r="BH27" s="112"/>
      <c r="BI27" s="112"/>
      <c r="BJ27" s="112"/>
      <c r="BK27" s="112"/>
      <c r="BL27" s="112"/>
      <c r="BM27" s="112"/>
      <c r="BN27" s="112"/>
      <c r="BO27" s="112"/>
      <c r="BP27" s="112"/>
      <c r="BQ27" s="112"/>
      <c r="BR27" s="112"/>
      <c r="BS27" s="112"/>
      <c r="BT27" s="112"/>
      <c r="BU27" s="112"/>
      <c r="BV27" s="112"/>
      <c r="BW27" s="112"/>
      <c r="BX27" s="112"/>
      <c r="BY27" s="112"/>
      <c r="BZ27" s="112"/>
      <c r="CA27" s="112"/>
      <c r="CB27" s="112"/>
      <c r="CC27" s="112"/>
      <c r="CD27" s="112"/>
      <c r="CE27" s="112"/>
      <c r="CF27" s="112"/>
      <c r="CG27" s="112"/>
      <c r="CH27" s="112"/>
      <c r="CI27" s="112"/>
      <c r="CJ27" s="112"/>
      <c r="CK27" s="112"/>
      <c r="CL27" s="112"/>
      <c r="CM27" s="112"/>
      <c r="CN27" s="112"/>
      <c r="CO27" s="112"/>
      <c r="CP27" s="112"/>
      <c r="CQ27" s="112"/>
      <c r="CR27" s="112"/>
      <c r="CS27" s="112"/>
      <c r="CT27" s="112"/>
      <c r="CU27" s="112"/>
      <c r="CV27" s="112"/>
      <c r="CW27" s="112"/>
      <c r="CX27" s="112"/>
      <c r="CY27" s="112"/>
      <c r="CZ27" s="112"/>
      <c r="DA27" s="112"/>
      <c r="DB27" s="112"/>
      <c r="DC27" s="112"/>
      <c r="DD27" s="112"/>
      <c r="DE27" s="112"/>
      <c r="DF27" s="112"/>
      <c r="DG27" s="112"/>
      <c r="DH27" s="112"/>
      <c r="DI27" s="112"/>
      <c r="DJ27" s="112"/>
      <c r="DK27" s="112"/>
      <c r="DL27" s="112"/>
      <c r="DM27" s="112"/>
      <c r="DN27" s="112"/>
      <c r="DO27" s="112"/>
      <c r="DP27" s="112"/>
      <c r="DQ27" s="112"/>
      <c r="DR27" s="112"/>
      <c r="DS27" s="112"/>
      <c r="DT27" s="112"/>
      <c r="DU27" s="112"/>
      <c r="DV27" s="112"/>
      <c r="DW27" s="112"/>
      <c r="DX27" s="112"/>
      <c r="DY27" s="112"/>
      <c r="DZ27" s="112"/>
      <c r="EA27" s="112"/>
      <c r="EB27" s="112"/>
      <c r="EC27" s="112"/>
      <c r="ED27" s="112"/>
      <c r="EE27" s="112"/>
      <c r="EF27" s="112"/>
      <c r="EG27" s="112"/>
      <c r="EH27" s="112"/>
      <c r="EI27" s="112"/>
      <c r="EJ27" s="112"/>
      <c r="EK27" s="112"/>
      <c r="EL27" s="112"/>
      <c r="EM27" s="112"/>
      <c r="EN27" s="112"/>
      <c r="EO27" s="112"/>
      <c r="EP27" s="112"/>
      <c r="EQ27" s="112"/>
      <c r="ER27" s="112"/>
      <c r="ES27" s="112"/>
      <c r="ET27" s="112"/>
      <c r="EU27" s="112"/>
      <c r="EV27" s="112"/>
      <c r="EW27" s="112"/>
      <c r="EX27" s="112"/>
      <c r="EY27" s="112"/>
      <c r="EZ27" s="112"/>
      <c r="FA27" s="112"/>
      <c r="FB27" s="112"/>
      <c r="FC27" s="112"/>
      <c r="FD27" s="112"/>
      <c r="FE27" s="112"/>
      <c r="FF27" s="112"/>
      <c r="FG27" s="112"/>
      <c r="FH27" s="112"/>
      <c r="FI27" s="112"/>
      <c r="FJ27" s="112"/>
      <c r="FK27" s="112"/>
      <c r="FL27" s="112"/>
      <c r="FM27" s="112"/>
      <c r="FN27" s="112"/>
      <c r="FO27" s="112"/>
      <c r="FP27" s="112"/>
      <c r="FQ27" s="112"/>
      <c r="FR27" s="112"/>
      <c r="FS27" s="112"/>
      <c r="FT27" s="112"/>
      <c r="FU27" s="112"/>
      <c r="FV27" s="112"/>
      <c r="FW27" s="112"/>
      <c r="FX27" s="112"/>
      <c r="FY27" s="112"/>
      <c r="FZ27" s="112"/>
      <c r="GA27" s="112"/>
      <c r="GB27" s="112"/>
      <c r="GC27" s="112"/>
      <c r="GD27" s="112"/>
      <c r="GE27" s="112"/>
      <c r="GF27" s="112"/>
      <c r="GG27" s="112"/>
      <c r="GH27" s="112"/>
      <c r="GI27" s="112"/>
      <c r="GJ27" s="112"/>
      <c r="GK27" s="112"/>
      <c r="GL27" s="112"/>
      <c r="GM27" s="112"/>
      <c r="GN27" s="112"/>
      <c r="GO27" s="112"/>
      <c r="GP27" s="112"/>
      <c r="GQ27" s="112"/>
      <c r="GR27" s="112"/>
      <c r="GS27" s="112"/>
      <c r="GT27" s="112"/>
      <c r="GU27" s="112"/>
      <c r="GV27" s="112"/>
      <c r="GW27" s="112"/>
      <c r="GX27" s="112"/>
      <c r="GY27" s="112"/>
      <c r="GZ27" s="112"/>
      <c r="HA27" s="112"/>
      <c r="HB27" s="112"/>
      <c r="HC27" s="112"/>
      <c r="HD27" s="112"/>
      <c r="HE27" s="112"/>
      <c r="HF27" s="112"/>
      <c r="HG27" s="112"/>
      <c r="HH27" s="112"/>
      <c r="HI27" s="112"/>
      <c r="HJ27" s="112"/>
      <c r="HK27" s="112"/>
      <c r="HL27" s="112"/>
      <c r="HM27" s="112"/>
      <c r="HN27" s="112"/>
      <c r="HO27" s="112"/>
      <c r="HP27" s="112"/>
      <c r="HQ27" s="112"/>
      <c r="HR27" s="112"/>
      <c r="HS27" s="112"/>
      <c r="HT27" s="112"/>
      <c r="HU27" s="112"/>
      <c r="HV27" s="112"/>
      <c r="HW27" s="112"/>
      <c r="HX27" s="112"/>
      <c r="HY27" s="112"/>
      <c r="HZ27" s="112"/>
      <c r="IA27" s="112"/>
      <c r="IB27" s="112"/>
      <c r="IC27" s="112"/>
      <c r="ID27" s="112"/>
      <c r="IE27" s="112"/>
      <c r="IF27" s="112"/>
      <c r="IG27" s="112"/>
      <c r="IH27" s="112"/>
      <c r="II27" s="112"/>
      <c r="IJ27" s="112"/>
      <c r="IK27" s="112"/>
      <c r="IL27" s="112"/>
      <c r="IM27" s="112"/>
      <c r="IN27" s="112"/>
      <c r="IO27" s="112"/>
      <c r="IP27" s="112"/>
      <c r="IQ27" s="112"/>
      <c r="IR27" s="112"/>
      <c r="IS27" s="112"/>
      <c r="IT27" s="112"/>
      <c r="IU27" s="112"/>
    </row>
    <row r="28" spans="1:255" x14ac:dyDescent="0.2">
      <c r="A28" s="112"/>
      <c r="B28" s="112">
        <v>5</v>
      </c>
      <c r="C28" s="129" t="s">
        <v>207</v>
      </c>
      <c r="D28" s="130" t="s">
        <v>225</v>
      </c>
      <c r="E28" s="122">
        <f>E26+E27</f>
        <v>16.2</v>
      </c>
      <c r="F28" s="122"/>
      <c r="G28" s="122">
        <f>G26+G27</f>
        <v>21</v>
      </c>
      <c r="H28" s="122"/>
      <c r="I28" s="122">
        <f>I26+I27</f>
        <v>24</v>
      </c>
      <c r="J28" s="122"/>
      <c r="K28" s="122">
        <f>K26+K27</f>
        <v>27</v>
      </c>
      <c r="L28" s="122"/>
      <c r="M28" s="122">
        <f>M26+M27</f>
        <v>30</v>
      </c>
      <c r="N28" s="122"/>
      <c r="O28" s="122">
        <f>O26+O27</f>
        <v>33</v>
      </c>
      <c r="P28" s="122"/>
      <c r="Q28" s="122">
        <f>Q26+Q27</f>
        <v>36</v>
      </c>
      <c r="R28" s="122"/>
      <c r="S28" s="122">
        <f>S26+S27</f>
        <v>36.4</v>
      </c>
      <c r="T28" s="122"/>
      <c r="U28" s="122">
        <f>U26+U27</f>
        <v>39</v>
      </c>
      <c r="V28" s="122"/>
      <c r="W28" s="122">
        <f>W26+W27</f>
        <v>44.2</v>
      </c>
      <c r="X28" s="122"/>
      <c r="Y28" s="122">
        <f>Y26+Y27</f>
        <v>46.2</v>
      </c>
      <c r="Z28" s="122"/>
      <c r="AA28" s="122">
        <f>AA26+AA27</f>
        <v>48.6</v>
      </c>
      <c r="AB28" s="122"/>
      <c r="AC28" s="122">
        <f>AC26+AC27</f>
        <v>47.6</v>
      </c>
      <c r="AD28" s="122"/>
      <c r="AE28" s="122">
        <f>AE26+AE27</f>
        <v>51.4</v>
      </c>
      <c r="AF28" s="122"/>
      <c r="AG28" s="122">
        <f>AG26+AG27</f>
        <v>55</v>
      </c>
      <c r="AH28" s="122"/>
      <c r="AI28" s="122">
        <f>AI26+AI27</f>
        <v>56</v>
      </c>
      <c r="AJ28" s="122"/>
      <c r="AK28" s="122">
        <f>AK26+AK27</f>
        <v>59.4</v>
      </c>
      <c r="AL28" s="122"/>
      <c r="AM28" s="122">
        <f>AM26+AM27</f>
        <v>57.4</v>
      </c>
      <c r="AN28" s="112"/>
      <c r="AO28" s="112"/>
      <c r="AP28" s="112"/>
      <c r="AQ28" s="112"/>
      <c r="AR28" s="112"/>
      <c r="AS28" s="112"/>
      <c r="AT28" s="112"/>
      <c r="AU28" s="112"/>
      <c r="AV28" s="112"/>
      <c r="AW28" s="112"/>
      <c r="AX28" s="112"/>
      <c r="AY28" s="112"/>
      <c r="AZ28" s="112"/>
      <c r="BA28" s="112"/>
      <c r="BB28" s="112"/>
      <c r="BC28" s="112"/>
      <c r="BD28" s="112"/>
      <c r="BE28" s="112"/>
      <c r="BF28" s="112"/>
      <c r="BG28" s="112"/>
      <c r="BH28" s="112"/>
      <c r="BI28" s="112"/>
      <c r="BJ28" s="112"/>
      <c r="BK28" s="112"/>
      <c r="BL28" s="112"/>
      <c r="BM28" s="112"/>
      <c r="BN28" s="112"/>
      <c r="BO28" s="112"/>
      <c r="BP28" s="112"/>
      <c r="BQ28" s="112"/>
      <c r="BR28" s="112"/>
      <c r="BS28" s="112"/>
      <c r="BT28" s="112"/>
      <c r="BU28" s="112"/>
      <c r="BV28" s="112"/>
      <c r="BW28" s="112"/>
      <c r="BX28" s="112"/>
      <c r="BY28" s="112"/>
      <c r="BZ28" s="112"/>
      <c r="CA28" s="112"/>
      <c r="CB28" s="112"/>
      <c r="CC28" s="112"/>
      <c r="CD28" s="112"/>
      <c r="CE28" s="112"/>
      <c r="CF28" s="112"/>
      <c r="CG28" s="112"/>
      <c r="CH28" s="112"/>
      <c r="CI28" s="112"/>
      <c r="CJ28" s="112"/>
      <c r="CK28" s="112"/>
      <c r="CL28" s="112"/>
      <c r="CM28" s="112"/>
      <c r="CN28" s="112"/>
      <c r="CO28" s="112"/>
      <c r="CP28" s="112"/>
      <c r="CQ28" s="112"/>
      <c r="CR28" s="112"/>
      <c r="CS28" s="112"/>
      <c r="CT28" s="112"/>
      <c r="CU28" s="112"/>
      <c r="CV28" s="112"/>
      <c r="CW28" s="112"/>
      <c r="CX28" s="112"/>
      <c r="CY28" s="112"/>
      <c r="CZ28" s="112"/>
      <c r="DA28" s="112"/>
      <c r="DB28" s="112"/>
      <c r="DC28" s="112"/>
      <c r="DD28" s="112"/>
      <c r="DE28" s="112"/>
      <c r="DF28" s="112"/>
      <c r="DG28" s="112"/>
      <c r="DH28" s="112"/>
      <c r="DI28" s="112"/>
      <c r="DJ28" s="112"/>
      <c r="DK28" s="112"/>
      <c r="DL28" s="112"/>
      <c r="DM28" s="112"/>
      <c r="DN28" s="112"/>
      <c r="DO28" s="112"/>
      <c r="DP28" s="112"/>
      <c r="DQ28" s="112"/>
      <c r="DR28" s="112"/>
      <c r="DS28" s="112"/>
      <c r="DT28" s="112"/>
      <c r="DU28" s="112"/>
      <c r="DV28" s="112"/>
      <c r="DW28" s="112"/>
      <c r="DX28" s="112"/>
      <c r="DY28" s="112"/>
      <c r="DZ28" s="112"/>
      <c r="EA28" s="112"/>
      <c r="EB28" s="112"/>
      <c r="EC28" s="112"/>
      <c r="ED28" s="112"/>
      <c r="EE28" s="112"/>
      <c r="EF28" s="112"/>
      <c r="EG28" s="112"/>
      <c r="EH28" s="112"/>
      <c r="EI28" s="112"/>
      <c r="EJ28" s="112"/>
      <c r="EK28" s="112"/>
      <c r="EL28" s="112"/>
      <c r="EM28" s="112"/>
      <c r="EN28" s="112"/>
      <c r="EO28" s="112"/>
      <c r="EP28" s="112"/>
      <c r="EQ28" s="112"/>
      <c r="ER28" s="112"/>
      <c r="ES28" s="112"/>
      <c r="ET28" s="112"/>
      <c r="EU28" s="112"/>
      <c r="EV28" s="112"/>
      <c r="EW28" s="112"/>
      <c r="EX28" s="112"/>
      <c r="EY28" s="112"/>
      <c r="EZ28" s="112"/>
      <c r="FA28" s="112"/>
      <c r="FB28" s="112"/>
      <c r="FC28" s="112"/>
      <c r="FD28" s="112"/>
      <c r="FE28" s="112"/>
      <c r="FF28" s="112"/>
      <c r="FG28" s="112"/>
      <c r="FH28" s="112"/>
      <c r="FI28" s="112"/>
      <c r="FJ28" s="112"/>
      <c r="FK28" s="112"/>
      <c r="FL28" s="112"/>
      <c r="FM28" s="112"/>
      <c r="FN28" s="112"/>
      <c r="FO28" s="112"/>
      <c r="FP28" s="112"/>
      <c r="FQ28" s="112"/>
      <c r="FR28" s="112"/>
      <c r="FS28" s="112"/>
      <c r="FT28" s="112"/>
      <c r="FU28" s="112"/>
      <c r="FV28" s="112"/>
      <c r="FW28" s="112"/>
      <c r="FX28" s="112"/>
      <c r="FY28" s="112"/>
      <c r="FZ28" s="112"/>
      <c r="GA28" s="112"/>
      <c r="GB28" s="112"/>
      <c r="GC28" s="112"/>
      <c r="GD28" s="112"/>
      <c r="GE28" s="112"/>
      <c r="GF28" s="112"/>
      <c r="GG28" s="112"/>
      <c r="GH28" s="112"/>
      <c r="GI28" s="112"/>
      <c r="GJ28" s="112"/>
      <c r="GK28" s="112"/>
      <c r="GL28" s="112"/>
      <c r="GM28" s="112"/>
      <c r="GN28" s="112"/>
      <c r="GO28" s="112"/>
      <c r="GP28" s="112"/>
      <c r="GQ28" s="112"/>
      <c r="GR28" s="112"/>
      <c r="GS28" s="112"/>
      <c r="GT28" s="112"/>
      <c r="GU28" s="112"/>
      <c r="GV28" s="112"/>
      <c r="GW28" s="112"/>
      <c r="GX28" s="112"/>
      <c r="GY28" s="112"/>
      <c r="GZ28" s="112"/>
      <c r="HA28" s="112"/>
      <c r="HB28" s="112"/>
      <c r="HC28" s="112"/>
      <c r="HD28" s="112"/>
      <c r="HE28" s="112"/>
      <c r="HF28" s="112"/>
      <c r="HG28" s="112"/>
      <c r="HH28" s="112"/>
      <c r="HI28" s="112"/>
      <c r="HJ28" s="112"/>
      <c r="HK28" s="112"/>
      <c r="HL28" s="112"/>
      <c r="HM28" s="112"/>
      <c r="HN28" s="112"/>
      <c r="HO28" s="112"/>
      <c r="HP28" s="112"/>
      <c r="HQ28" s="112"/>
      <c r="HR28" s="112"/>
      <c r="HS28" s="112"/>
      <c r="HT28" s="112"/>
      <c r="HU28" s="112"/>
      <c r="HV28" s="112"/>
      <c r="HW28" s="112"/>
      <c r="HX28" s="112"/>
      <c r="HY28" s="112"/>
      <c r="HZ28" s="112"/>
      <c r="IA28" s="112"/>
      <c r="IB28" s="112"/>
      <c r="IC28" s="112"/>
      <c r="ID28" s="112"/>
      <c r="IE28" s="112"/>
      <c r="IF28" s="112"/>
      <c r="IG28" s="112"/>
      <c r="IH28" s="112"/>
      <c r="II28" s="112"/>
      <c r="IJ28" s="112"/>
      <c r="IK28" s="112"/>
      <c r="IL28" s="112"/>
      <c r="IM28" s="112"/>
      <c r="IN28" s="112"/>
      <c r="IO28" s="112"/>
      <c r="IP28" s="112"/>
      <c r="IQ28" s="112"/>
      <c r="IR28" s="112"/>
      <c r="IS28" s="112"/>
      <c r="IT28" s="112"/>
      <c r="IU28" s="112"/>
    </row>
    <row r="29" spans="1:255" x14ac:dyDescent="0.2">
      <c r="A29" s="112"/>
      <c r="B29" s="112">
        <v>6</v>
      </c>
      <c r="C29" s="129" t="s">
        <v>208</v>
      </c>
      <c r="D29" s="130" t="s">
        <v>225</v>
      </c>
      <c r="E29" s="122"/>
      <c r="F29" s="122"/>
      <c r="G29" s="122">
        <v>11</v>
      </c>
      <c r="H29" s="122"/>
      <c r="I29" s="122"/>
      <c r="J29" s="122"/>
      <c r="K29" s="122">
        <v>16</v>
      </c>
      <c r="L29" s="122"/>
      <c r="M29" s="122">
        <v>17</v>
      </c>
      <c r="N29" s="122"/>
      <c r="O29" s="122"/>
      <c r="P29" s="122"/>
      <c r="Q29" s="122"/>
      <c r="R29" s="122"/>
      <c r="S29" s="122"/>
      <c r="T29" s="122"/>
      <c r="U29" s="122">
        <v>22</v>
      </c>
      <c r="V29" s="122"/>
      <c r="W29" s="122">
        <v>24</v>
      </c>
      <c r="X29" s="122"/>
      <c r="Y29" s="122">
        <v>24</v>
      </c>
      <c r="Z29" s="122"/>
      <c r="AA29" s="122"/>
      <c r="AB29" s="122"/>
      <c r="AC29" s="122"/>
      <c r="AD29" s="122"/>
      <c r="AE29" s="122"/>
      <c r="AF29" s="122"/>
      <c r="AG29" s="122"/>
      <c r="AH29" s="122"/>
      <c r="AI29" s="122"/>
      <c r="AJ29" s="122"/>
      <c r="AK29" s="122">
        <v>35</v>
      </c>
      <c r="AL29" s="122"/>
      <c r="AM29" s="122">
        <v>35</v>
      </c>
      <c r="AN29" s="112"/>
      <c r="AO29" s="112"/>
      <c r="AP29" s="112"/>
      <c r="AQ29" s="112"/>
      <c r="AR29" s="112"/>
      <c r="AS29" s="112"/>
      <c r="AT29" s="112"/>
      <c r="AU29" s="112"/>
      <c r="AV29" s="112"/>
      <c r="AW29" s="112"/>
      <c r="AX29" s="112"/>
      <c r="AY29" s="112"/>
      <c r="AZ29" s="112"/>
      <c r="BA29" s="112"/>
      <c r="BB29" s="112"/>
      <c r="BC29" s="112"/>
      <c r="BD29" s="112"/>
      <c r="BE29" s="112"/>
      <c r="BF29" s="112"/>
      <c r="BG29" s="112"/>
      <c r="BH29" s="112"/>
      <c r="BI29" s="112"/>
      <c r="BJ29" s="112"/>
      <c r="BK29" s="112"/>
      <c r="BL29" s="112"/>
      <c r="BM29" s="112"/>
      <c r="BN29" s="112"/>
      <c r="BO29" s="112"/>
      <c r="BP29" s="112"/>
      <c r="BQ29" s="112"/>
      <c r="BR29" s="112"/>
      <c r="BS29" s="112"/>
      <c r="BT29" s="112"/>
      <c r="BU29" s="112"/>
      <c r="BV29" s="112"/>
      <c r="BW29" s="112"/>
      <c r="BX29" s="112"/>
      <c r="BY29" s="112"/>
      <c r="BZ29" s="112"/>
      <c r="CA29" s="112"/>
      <c r="CB29" s="112"/>
      <c r="CC29" s="112"/>
      <c r="CD29" s="112"/>
      <c r="CE29" s="112"/>
      <c r="CF29" s="112"/>
      <c r="CG29" s="112"/>
      <c r="CH29" s="112"/>
      <c r="CI29" s="112"/>
      <c r="CJ29" s="112"/>
      <c r="CK29" s="112"/>
      <c r="CL29" s="112"/>
      <c r="CM29" s="112"/>
      <c r="CN29" s="112"/>
      <c r="CO29" s="112"/>
      <c r="CP29" s="112"/>
      <c r="CQ29" s="112"/>
      <c r="CR29" s="112"/>
      <c r="CS29" s="112"/>
      <c r="CT29" s="112"/>
      <c r="CU29" s="112"/>
      <c r="CV29" s="112"/>
      <c r="CW29" s="112"/>
      <c r="CX29" s="112"/>
      <c r="CY29" s="112"/>
      <c r="CZ29" s="112"/>
      <c r="DA29" s="112"/>
      <c r="DB29" s="112"/>
      <c r="DC29" s="112"/>
      <c r="DD29" s="112"/>
      <c r="DE29" s="112"/>
      <c r="DF29" s="112"/>
      <c r="DG29" s="112"/>
      <c r="DH29" s="112"/>
      <c r="DI29" s="112"/>
      <c r="DJ29" s="112"/>
      <c r="DK29" s="112"/>
      <c r="DL29" s="112"/>
      <c r="DM29" s="112"/>
      <c r="DN29" s="112"/>
      <c r="DO29" s="112"/>
      <c r="DP29" s="112"/>
      <c r="DQ29" s="112"/>
      <c r="DR29" s="112"/>
      <c r="DS29" s="112"/>
      <c r="DT29" s="112"/>
      <c r="DU29" s="112"/>
      <c r="DV29" s="112"/>
      <c r="DW29" s="112"/>
      <c r="DX29" s="112"/>
      <c r="DY29" s="112"/>
      <c r="DZ29" s="112"/>
      <c r="EA29" s="112"/>
      <c r="EB29" s="112"/>
      <c r="EC29" s="112"/>
      <c r="ED29" s="112"/>
      <c r="EE29" s="112"/>
      <c r="EF29" s="112"/>
      <c r="EG29" s="112"/>
      <c r="EH29" s="112"/>
      <c r="EI29" s="112"/>
      <c r="EJ29" s="112"/>
      <c r="EK29" s="112"/>
      <c r="EL29" s="112"/>
      <c r="EM29" s="112"/>
      <c r="EN29" s="112"/>
      <c r="EO29" s="112"/>
      <c r="EP29" s="112"/>
      <c r="EQ29" s="112"/>
      <c r="ER29" s="112"/>
      <c r="ES29" s="112"/>
      <c r="ET29" s="112"/>
      <c r="EU29" s="112"/>
      <c r="EV29" s="112"/>
      <c r="EW29" s="112"/>
      <c r="EX29" s="112"/>
      <c r="EY29" s="112"/>
      <c r="EZ29" s="112"/>
      <c r="FA29" s="112"/>
      <c r="FB29" s="112"/>
      <c r="FC29" s="112"/>
      <c r="FD29" s="112"/>
      <c r="FE29" s="112"/>
      <c r="FF29" s="112"/>
      <c r="FG29" s="112"/>
      <c r="FH29" s="112"/>
      <c r="FI29" s="112"/>
      <c r="FJ29" s="112"/>
      <c r="FK29" s="112"/>
      <c r="FL29" s="112"/>
      <c r="FM29" s="112"/>
      <c r="FN29" s="112"/>
      <c r="FO29" s="112"/>
      <c r="FP29" s="112"/>
      <c r="FQ29" s="112"/>
      <c r="FR29" s="112"/>
      <c r="FS29" s="112"/>
      <c r="FT29" s="112"/>
      <c r="FU29" s="112"/>
      <c r="FV29" s="112"/>
      <c r="FW29" s="112"/>
      <c r="FX29" s="112"/>
      <c r="FY29" s="112"/>
      <c r="FZ29" s="112"/>
      <c r="GA29" s="112"/>
      <c r="GB29" s="112"/>
      <c r="GC29" s="112"/>
      <c r="GD29" s="112"/>
      <c r="GE29" s="112"/>
      <c r="GF29" s="112"/>
      <c r="GG29" s="112"/>
      <c r="GH29" s="112"/>
      <c r="GI29" s="112"/>
      <c r="GJ29" s="112"/>
      <c r="GK29" s="112"/>
      <c r="GL29" s="112"/>
      <c r="GM29" s="112"/>
      <c r="GN29" s="112"/>
      <c r="GO29" s="112"/>
      <c r="GP29" s="112"/>
      <c r="GQ29" s="112"/>
      <c r="GR29" s="112"/>
      <c r="GS29" s="112"/>
      <c r="GT29" s="112"/>
      <c r="GU29" s="112"/>
      <c r="GV29" s="112"/>
      <c r="GW29" s="112"/>
      <c r="GX29" s="112"/>
      <c r="GY29" s="112"/>
      <c r="GZ29" s="112"/>
      <c r="HA29" s="112"/>
      <c r="HB29" s="112"/>
      <c r="HC29" s="112"/>
      <c r="HD29" s="112"/>
      <c r="HE29" s="112"/>
      <c r="HF29" s="112"/>
      <c r="HG29" s="112"/>
      <c r="HH29" s="112"/>
      <c r="HI29" s="112"/>
      <c r="HJ29" s="112"/>
      <c r="HK29" s="112"/>
      <c r="HL29" s="112"/>
      <c r="HM29" s="112"/>
      <c r="HN29" s="112"/>
      <c r="HO29" s="112"/>
      <c r="HP29" s="112"/>
      <c r="HQ29" s="112"/>
      <c r="HR29" s="112"/>
      <c r="HS29" s="112"/>
      <c r="HT29" s="112"/>
      <c r="HU29" s="112"/>
      <c r="HV29" s="112"/>
      <c r="HW29" s="112"/>
      <c r="HX29" s="112"/>
      <c r="HY29" s="112"/>
      <c r="HZ29" s="112"/>
      <c r="IA29" s="112"/>
      <c r="IB29" s="112"/>
      <c r="IC29" s="112"/>
      <c r="ID29" s="112"/>
      <c r="IE29" s="112"/>
      <c r="IF29" s="112"/>
      <c r="IG29" s="112"/>
      <c r="IH29" s="112"/>
      <c r="II29" s="112"/>
      <c r="IJ29" s="112"/>
      <c r="IK29" s="112"/>
      <c r="IL29" s="112"/>
      <c r="IM29" s="112"/>
      <c r="IN29" s="112"/>
      <c r="IO29" s="112"/>
      <c r="IP29" s="112"/>
      <c r="IQ29" s="112"/>
      <c r="IR29" s="112"/>
      <c r="IS29" s="112"/>
      <c r="IT29" s="112"/>
      <c r="IU29" s="112"/>
    </row>
    <row r="30" spans="1:255" x14ac:dyDescent="0.2">
      <c r="A30" s="112"/>
      <c r="B30" s="112">
        <v>7</v>
      </c>
      <c r="C30" s="129" t="s">
        <v>209</v>
      </c>
      <c r="D30" s="130" t="s">
        <v>225</v>
      </c>
      <c r="E30" s="122"/>
      <c r="F30" s="122"/>
      <c r="G30" s="122">
        <f>G27+G29</f>
        <v>22</v>
      </c>
      <c r="H30" s="122"/>
      <c r="I30" s="122"/>
      <c r="J30" s="122"/>
      <c r="K30" s="122">
        <f>K27+K29</f>
        <v>30</v>
      </c>
      <c r="L30" s="122">
        <f t="shared" ref="L30:AL30" si="2">L27+L29</f>
        <v>0</v>
      </c>
      <c r="M30" s="122">
        <f>M27+M29</f>
        <v>33</v>
      </c>
      <c r="N30" s="122">
        <f t="shared" si="2"/>
        <v>0</v>
      </c>
      <c r="O30" s="122"/>
      <c r="P30" s="122">
        <f t="shared" si="2"/>
        <v>0</v>
      </c>
      <c r="Q30" s="122"/>
      <c r="R30" s="122">
        <f t="shared" si="2"/>
        <v>0</v>
      </c>
      <c r="S30" s="122"/>
      <c r="T30" s="122">
        <f t="shared" si="2"/>
        <v>0</v>
      </c>
      <c r="U30" s="122">
        <f>U27+U29</f>
        <v>43</v>
      </c>
      <c r="V30" s="122">
        <f t="shared" si="2"/>
        <v>0</v>
      </c>
      <c r="W30" s="122">
        <f>W27+W29</f>
        <v>48.2</v>
      </c>
      <c r="X30" s="122">
        <f t="shared" si="2"/>
        <v>0</v>
      </c>
      <c r="Y30" s="122">
        <f>Y27+Y29</f>
        <v>48.2</v>
      </c>
      <c r="Z30" s="122">
        <f t="shared" si="2"/>
        <v>0</v>
      </c>
      <c r="AA30" s="122"/>
      <c r="AB30" s="122">
        <f t="shared" si="2"/>
        <v>0</v>
      </c>
      <c r="AC30" s="122"/>
      <c r="AD30" s="122">
        <f t="shared" si="2"/>
        <v>0</v>
      </c>
      <c r="AE30" s="122"/>
      <c r="AF30" s="122">
        <f t="shared" si="2"/>
        <v>0</v>
      </c>
      <c r="AG30" s="122"/>
      <c r="AH30" s="122">
        <f t="shared" si="2"/>
        <v>0</v>
      </c>
      <c r="AI30" s="122"/>
      <c r="AJ30" s="122">
        <f t="shared" si="2"/>
        <v>0</v>
      </c>
      <c r="AK30" s="122">
        <f>AK27+AK29</f>
        <v>66.400000000000006</v>
      </c>
      <c r="AL30" s="122">
        <f t="shared" si="2"/>
        <v>0</v>
      </c>
      <c r="AM30" s="122">
        <f>AM27+AM29</f>
        <v>66.400000000000006</v>
      </c>
      <c r="AN30" s="112"/>
      <c r="AO30" s="112"/>
      <c r="AP30" s="112"/>
      <c r="AQ30" s="112"/>
      <c r="AR30" s="112"/>
      <c r="AS30" s="112"/>
      <c r="AT30" s="112"/>
      <c r="AU30" s="112"/>
      <c r="AV30" s="112"/>
      <c r="AW30" s="112"/>
      <c r="AX30" s="112"/>
      <c r="AY30" s="112"/>
      <c r="AZ30" s="112"/>
      <c r="BA30" s="112"/>
      <c r="BB30" s="112"/>
      <c r="BC30" s="112"/>
      <c r="BD30" s="112"/>
      <c r="BE30" s="112"/>
      <c r="BF30" s="112"/>
      <c r="BG30" s="112"/>
      <c r="BH30" s="112"/>
      <c r="BI30" s="112"/>
      <c r="BJ30" s="112"/>
      <c r="BK30" s="112"/>
      <c r="BL30" s="112"/>
      <c r="BM30" s="112"/>
      <c r="BN30" s="112"/>
      <c r="BO30" s="112"/>
      <c r="BP30" s="112"/>
      <c r="BQ30" s="112"/>
      <c r="BR30" s="112"/>
      <c r="BS30" s="112"/>
      <c r="BT30" s="112"/>
      <c r="BU30" s="112"/>
      <c r="BV30" s="112"/>
      <c r="BW30" s="112"/>
      <c r="BX30" s="112"/>
      <c r="BY30" s="112"/>
      <c r="BZ30" s="112"/>
      <c r="CA30" s="112"/>
      <c r="CB30" s="112"/>
      <c r="CC30" s="112"/>
      <c r="CD30" s="112"/>
      <c r="CE30" s="112"/>
      <c r="CF30" s="112"/>
      <c r="CG30" s="112"/>
      <c r="CH30" s="112"/>
      <c r="CI30" s="112"/>
      <c r="CJ30" s="112"/>
      <c r="CK30" s="112"/>
      <c r="CL30" s="112"/>
      <c r="CM30" s="112"/>
      <c r="CN30" s="112"/>
      <c r="CO30" s="112"/>
      <c r="CP30" s="112"/>
      <c r="CQ30" s="112"/>
      <c r="CR30" s="112"/>
      <c r="CS30" s="112"/>
      <c r="CT30" s="112"/>
      <c r="CU30" s="112"/>
      <c r="CV30" s="112"/>
      <c r="CW30" s="112"/>
      <c r="CX30" s="112"/>
      <c r="CY30" s="112"/>
      <c r="CZ30" s="112"/>
      <c r="DA30" s="112"/>
      <c r="DB30" s="112"/>
      <c r="DC30" s="112"/>
      <c r="DD30" s="112"/>
      <c r="DE30" s="112"/>
      <c r="DF30" s="112"/>
      <c r="DG30" s="112"/>
      <c r="DH30" s="112"/>
      <c r="DI30" s="112"/>
      <c r="DJ30" s="112"/>
      <c r="DK30" s="112"/>
      <c r="DL30" s="112"/>
      <c r="DM30" s="112"/>
      <c r="DN30" s="112"/>
      <c r="DO30" s="112"/>
      <c r="DP30" s="112"/>
      <c r="DQ30" s="112"/>
      <c r="DR30" s="112"/>
      <c r="DS30" s="112"/>
      <c r="DT30" s="112"/>
      <c r="DU30" s="112"/>
      <c r="DV30" s="112"/>
      <c r="DW30" s="112"/>
      <c r="DX30" s="112"/>
      <c r="DY30" s="112"/>
      <c r="DZ30" s="112"/>
      <c r="EA30" s="112"/>
      <c r="EB30" s="112"/>
      <c r="EC30" s="112"/>
      <c r="ED30" s="112"/>
      <c r="EE30" s="112"/>
      <c r="EF30" s="112"/>
      <c r="EG30" s="112"/>
      <c r="EH30" s="112"/>
      <c r="EI30" s="112"/>
      <c r="EJ30" s="112"/>
      <c r="EK30" s="112"/>
      <c r="EL30" s="112"/>
      <c r="EM30" s="112"/>
      <c r="EN30" s="112"/>
      <c r="EO30" s="112"/>
      <c r="EP30" s="112"/>
      <c r="EQ30" s="112"/>
      <c r="ER30" s="112"/>
      <c r="ES30" s="112"/>
      <c r="ET30" s="112"/>
      <c r="EU30" s="112"/>
      <c r="EV30" s="112"/>
      <c r="EW30" s="112"/>
      <c r="EX30" s="112"/>
      <c r="EY30" s="112"/>
      <c r="EZ30" s="112"/>
      <c r="FA30" s="112"/>
      <c r="FB30" s="112"/>
      <c r="FC30" s="112"/>
      <c r="FD30" s="112"/>
      <c r="FE30" s="112"/>
      <c r="FF30" s="112"/>
      <c r="FG30" s="112"/>
      <c r="FH30" s="112"/>
      <c r="FI30" s="112"/>
      <c r="FJ30" s="112"/>
      <c r="FK30" s="112"/>
      <c r="FL30" s="112"/>
      <c r="FM30" s="112"/>
      <c r="FN30" s="112"/>
      <c r="FO30" s="112"/>
      <c r="FP30" s="112"/>
      <c r="FQ30" s="112"/>
      <c r="FR30" s="112"/>
      <c r="FS30" s="112"/>
      <c r="FT30" s="112"/>
      <c r="FU30" s="112"/>
      <c r="FV30" s="112"/>
      <c r="FW30" s="112"/>
      <c r="FX30" s="112"/>
      <c r="FY30" s="112"/>
      <c r="FZ30" s="112"/>
      <c r="GA30" s="112"/>
      <c r="GB30" s="112"/>
      <c r="GC30" s="112"/>
      <c r="GD30" s="112"/>
      <c r="GE30" s="112"/>
      <c r="GF30" s="112"/>
      <c r="GG30" s="112"/>
      <c r="GH30" s="112"/>
      <c r="GI30" s="112"/>
      <c r="GJ30" s="112"/>
      <c r="GK30" s="112"/>
      <c r="GL30" s="112"/>
      <c r="GM30" s="112"/>
      <c r="GN30" s="112"/>
      <c r="GO30" s="112"/>
      <c r="GP30" s="112"/>
      <c r="GQ30" s="112"/>
      <c r="GR30" s="112"/>
      <c r="GS30" s="112"/>
      <c r="GT30" s="112"/>
      <c r="GU30" s="112"/>
      <c r="GV30" s="112"/>
      <c r="GW30" s="112"/>
      <c r="GX30" s="112"/>
      <c r="GY30" s="112"/>
      <c r="GZ30" s="112"/>
      <c r="HA30" s="112"/>
      <c r="HB30" s="112"/>
      <c r="HC30" s="112"/>
      <c r="HD30" s="112"/>
      <c r="HE30" s="112"/>
      <c r="HF30" s="112"/>
      <c r="HG30" s="112"/>
      <c r="HH30" s="112"/>
      <c r="HI30" s="112"/>
      <c r="HJ30" s="112"/>
      <c r="HK30" s="112"/>
      <c r="HL30" s="112"/>
      <c r="HM30" s="112"/>
      <c r="HN30" s="112"/>
      <c r="HO30" s="112"/>
      <c r="HP30" s="112"/>
      <c r="HQ30" s="112"/>
      <c r="HR30" s="112"/>
      <c r="HS30" s="112"/>
      <c r="HT30" s="112"/>
      <c r="HU30" s="112"/>
      <c r="HV30" s="112"/>
      <c r="HW30" s="112"/>
      <c r="HX30" s="112"/>
      <c r="HY30" s="112"/>
      <c r="HZ30" s="112"/>
      <c r="IA30" s="112"/>
      <c r="IB30" s="112"/>
      <c r="IC30" s="112"/>
      <c r="ID30" s="112"/>
      <c r="IE30" s="112"/>
      <c r="IF30" s="112"/>
      <c r="IG30" s="112"/>
      <c r="IH30" s="112"/>
      <c r="II30" s="112"/>
      <c r="IJ30" s="112"/>
      <c r="IK30" s="112"/>
      <c r="IL30" s="112"/>
      <c r="IM30" s="112"/>
      <c r="IN30" s="112"/>
      <c r="IO30" s="112"/>
      <c r="IP30" s="112"/>
      <c r="IQ30" s="112"/>
      <c r="IR30" s="112"/>
      <c r="IS30" s="112"/>
      <c r="IT30" s="112"/>
      <c r="IU30" s="112"/>
    </row>
    <row r="31" spans="1:255" x14ac:dyDescent="0.2">
      <c r="A31" s="112"/>
      <c r="B31" s="112">
        <v>8</v>
      </c>
      <c r="C31" s="131" t="s">
        <v>210</v>
      </c>
      <c r="D31" s="132" t="s">
        <v>225</v>
      </c>
      <c r="E31" s="123">
        <v>1.6</v>
      </c>
      <c r="F31" s="123"/>
      <c r="G31" s="123">
        <v>2</v>
      </c>
      <c r="H31" s="123"/>
      <c r="I31" s="123">
        <v>2</v>
      </c>
      <c r="J31" s="123"/>
      <c r="K31" s="123">
        <v>2.5</v>
      </c>
      <c r="L31" s="123"/>
      <c r="M31" s="123">
        <v>3</v>
      </c>
      <c r="N31" s="123"/>
      <c r="O31" s="123">
        <v>3.5</v>
      </c>
      <c r="P31" s="123"/>
      <c r="Q31" s="123">
        <v>4</v>
      </c>
      <c r="R31" s="123"/>
      <c r="S31" s="123">
        <v>4</v>
      </c>
      <c r="T31" s="123"/>
      <c r="U31" s="123">
        <v>4</v>
      </c>
      <c r="V31" s="123"/>
      <c r="W31" s="123">
        <v>4</v>
      </c>
      <c r="X31" s="123"/>
      <c r="Y31" s="123">
        <v>3</v>
      </c>
      <c r="Z31" s="123"/>
      <c r="AA31" s="123">
        <v>3.5</v>
      </c>
      <c r="AB31" s="123"/>
      <c r="AC31" s="123">
        <v>4</v>
      </c>
      <c r="AD31" s="123"/>
      <c r="AE31" s="123">
        <v>4</v>
      </c>
      <c r="AF31" s="123"/>
      <c r="AG31" s="123">
        <v>4.5</v>
      </c>
      <c r="AH31" s="123"/>
      <c r="AI31" s="123">
        <v>4</v>
      </c>
      <c r="AJ31" s="123"/>
      <c r="AK31" s="123">
        <v>4</v>
      </c>
      <c r="AL31" s="123"/>
      <c r="AM31" s="123">
        <v>5</v>
      </c>
      <c r="AN31" s="112"/>
      <c r="AO31" s="112"/>
      <c r="AP31" s="112"/>
      <c r="AQ31" s="112"/>
      <c r="AR31" s="112"/>
      <c r="AS31" s="112"/>
      <c r="AT31" s="112"/>
      <c r="AU31" s="112"/>
      <c r="AV31" s="112"/>
      <c r="AW31" s="112"/>
      <c r="AX31" s="112"/>
      <c r="AY31" s="112"/>
      <c r="AZ31" s="112"/>
      <c r="BA31" s="112"/>
      <c r="BB31" s="112"/>
      <c r="BC31" s="112"/>
      <c r="BD31" s="112"/>
      <c r="BE31" s="112"/>
      <c r="BF31" s="112"/>
      <c r="BG31" s="112"/>
      <c r="BH31" s="112"/>
      <c r="BI31" s="112"/>
      <c r="BJ31" s="112"/>
      <c r="BK31" s="112"/>
      <c r="BL31" s="112"/>
      <c r="BM31" s="112"/>
      <c r="BN31" s="112"/>
      <c r="BO31" s="112"/>
      <c r="BP31" s="112"/>
      <c r="BQ31" s="112"/>
      <c r="BR31" s="112"/>
      <c r="BS31" s="112"/>
      <c r="BT31" s="112"/>
      <c r="BU31" s="112"/>
      <c r="BV31" s="112"/>
      <c r="BW31" s="112"/>
      <c r="BX31" s="112"/>
      <c r="BY31" s="112"/>
      <c r="BZ31" s="112"/>
      <c r="CA31" s="112"/>
      <c r="CB31" s="112"/>
      <c r="CC31" s="112"/>
      <c r="CD31" s="112"/>
      <c r="CE31" s="112"/>
      <c r="CF31" s="112"/>
      <c r="CG31" s="112"/>
      <c r="CH31" s="112"/>
      <c r="CI31" s="112"/>
      <c r="CJ31" s="112"/>
      <c r="CK31" s="112"/>
      <c r="CL31" s="112"/>
      <c r="CM31" s="112"/>
      <c r="CN31" s="112"/>
      <c r="CO31" s="112"/>
      <c r="CP31" s="112"/>
      <c r="CQ31" s="112"/>
      <c r="CR31" s="112"/>
      <c r="CS31" s="112"/>
      <c r="CT31" s="112"/>
      <c r="CU31" s="112"/>
      <c r="CV31" s="112"/>
      <c r="CW31" s="112"/>
      <c r="CX31" s="112"/>
      <c r="CY31" s="112"/>
      <c r="CZ31" s="112"/>
      <c r="DA31" s="112"/>
      <c r="DB31" s="112"/>
      <c r="DC31" s="112"/>
      <c r="DD31" s="112"/>
      <c r="DE31" s="112"/>
      <c r="DF31" s="112"/>
      <c r="DG31" s="112"/>
      <c r="DH31" s="112"/>
      <c r="DI31" s="112"/>
      <c r="DJ31" s="112"/>
      <c r="DK31" s="112"/>
      <c r="DL31" s="112"/>
      <c r="DM31" s="112"/>
      <c r="DN31" s="112"/>
      <c r="DO31" s="112"/>
      <c r="DP31" s="112"/>
      <c r="DQ31" s="112"/>
      <c r="DR31" s="112"/>
      <c r="DS31" s="112"/>
      <c r="DT31" s="112"/>
      <c r="DU31" s="112"/>
      <c r="DV31" s="112"/>
      <c r="DW31" s="112"/>
      <c r="DX31" s="112"/>
      <c r="DY31" s="112"/>
      <c r="DZ31" s="112"/>
      <c r="EA31" s="112"/>
      <c r="EB31" s="112"/>
      <c r="EC31" s="112"/>
      <c r="ED31" s="112"/>
      <c r="EE31" s="112"/>
      <c r="EF31" s="112"/>
      <c r="EG31" s="112"/>
      <c r="EH31" s="112"/>
      <c r="EI31" s="112"/>
      <c r="EJ31" s="112"/>
      <c r="EK31" s="112"/>
      <c r="EL31" s="112"/>
      <c r="EM31" s="112"/>
      <c r="EN31" s="112"/>
      <c r="EO31" s="112"/>
      <c r="EP31" s="112"/>
      <c r="EQ31" s="112"/>
      <c r="ER31" s="112"/>
      <c r="ES31" s="112"/>
      <c r="ET31" s="112"/>
      <c r="EU31" s="112"/>
      <c r="EV31" s="112"/>
      <c r="EW31" s="112"/>
      <c r="EX31" s="112"/>
      <c r="EY31" s="112"/>
      <c r="EZ31" s="112"/>
      <c r="FA31" s="112"/>
      <c r="FB31" s="112"/>
      <c r="FC31" s="112"/>
      <c r="FD31" s="112"/>
      <c r="FE31" s="112"/>
      <c r="FF31" s="112"/>
      <c r="FG31" s="112"/>
      <c r="FH31" s="112"/>
      <c r="FI31" s="112"/>
      <c r="FJ31" s="112"/>
      <c r="FK31" s="112"/>
      <c r="FL31" s="112"/>
      <c r="FM31" s="112"/>
      <c r="FN31" s="112"/>
      <c r="FO31" s="112"/>
      <c r="FP31" s="112"/>
      <c r="FQ31" s="112"/>
      <c r="FR31" s="112"/>
      <c r="FS31" s="112"/>
      <c r="FT31" s="112"/>
      <c r="FU31" s="112"/>
      <c r="FV31" s="112"/>
      <c r="FW31" s="112"/>
      <c r="FX31" s="112"/>
      <c r="FY31" s="112"/>
      <c r="FZ31" s="112"/>
      <c r="GA31" s="112"/>
      <c r="GB31" s="112"/>
      <c r="GC31" s="112"/>
      <c r="GD31" s="112"/>
      <c r="GE31" s="112"/>
      <c r="GF31" s="112"/>
      <c r="GG31" s="112"/>
      <c r="GH31" s="112"/>
      <c r="GI31" s="112"/>
      <c r="GJ31" s="112"/>
      <c r="GK31" s="112"/>
      <c r="GL31" s="112"/>
      <c r="GM31" s="112"/>
      <c r="GN31" s="112"/>
      <c r="GO31" s="112"/>
      <c r="GP31" s="112"/>
      <c r="GQ31" s="112"/>
      <c r="GR31" s="112"/>
      <c r="GS31" s="112"/>
      <c r="GT31" s="112"/>
      <c r="GU31" s="112"/>
      <c r="GV31" s="112"/>
      <c r="GW31" s="112"/>
      <c r="GX31" s="112"/>
      <c r="GY31" s="112"/>
      <c r="GZ31" s="112"/>
      <c r="HA31" s="112"/>
      <c r="HB31" s="112"/>
      <c r="HC31" s="112"/>
      <c r="HD31" s="112"/>
      <c r="HE31" s="112"/>
      <c r="HF31" s="112"/>
      <c r="HG31" s="112"/>
      <c r="HH31" s="112"/>
      <c r="HI31" s="112"/>
      <c r="HJ31" s="112"/>
      <c r="HK31" s="112"/>
      <c r="HL31" s="112"/>
      <c r="HM31" s="112"/>
      <c r="HN31" s="112"/>
      <c r="HO31" s="112"/>
      <c r="HP31" s="112"/>
      <c r="HQ31" s="112"/>
      <c r="HR31" s="112"/>
      <c r="HS31" s="112"/>
      <c r="HT31" s="112"/>
      <c r="HU31" s="112"/>
      <c r="HV31" s="112"/>
      <c r="HW31" s="112"/>
      <c r="HX31" s="112"/>
      <c r="HY31" s="112"/>
      <c r="HZ31" s="112"/>
      <c r="IA31" s="112"/>
      <c r="IB31" s="112"/>
      <c r="IC31" s="112"/>
      <c r="ID31" s="112"/>
      <c r="IE31" s="112"/>
      <c r="IF31" s="112"/>
      <c r="IG31" s="112"/>
      <c r="IH31" s="112"/>
      <c r="II31" s="112"/>
      <c r="IJ31" s="112"/>
      <c r="IK31" s="112"/>
      <c r="IL31" s="112"/>
      <c r="IM31" s="112"/>
      <c r="IN31" s="112"/>
      <c r="IO31" s="112"/>
      <c r="IP31" s="112"/>
      <c r="IQ31" s="112"/>
      <c r="IR31" s="112"/>
      <c r="IS31" s="112"/>
      <c r="IT31" s="112"/>
      <c r="IU31" s="112"/>
    </row>
    <row r="32" spans="1:255" x14ac:dyDescent="0.2">
      <c r="A32" s="112"/>
      <c r="B32" s="112">
        <v>9</v>
      </c>
      <c r="C32" s="131" t="s">
        <v>211</v>
      </c>
      <c r="D32" s="132" t="s">
        <v>225</v>
      </c>
      <c r="E32" s="123">
        <v>2.5</v>
      </c>
      <c r="F32" s="123"/>
      <c r="G32" s="123">
        <v>3</v>
      </c>
      <c r="H32" s="123"/>
      <c r="I32" s="123">
        <v>4</v>
      </c>
      <c r="J32" s="123"/>
      <c r="K32" s="123">
        <v>4</v>
      </c>
      <c r="L32" s="123"/>
      <c r="M32" s="123">
        <v>4</v>
      </c>
      <c r="N32" s="123"/>
      <c r="O32" s="123">
        <v>4</v>
      </c>
      <c r="P32" s="123"/>
      <c r="Q32" s="123">
        <v>4</v>
      </c>
      <c r="R32" s="123"/>
      <c r="S32" s="123">
        <v>4.5</v>
      </c>
      <c r="T32" s="123"/>
      <c r="U32" s="123">
        <v>5</v>
      </c>
      <c r="V32" s="123"/>
      <c r="W32" s="123">
        <v>6</v>
      </c>
      <c r="X32" s="123"/>
      <c r="Y32" s="123">
        <v>8</v>
      </c>
      <c r="Z32" s="123"/>
      <c r="AA32" s="123">
        <v>8</v>
      </c>
      <c r="AB32" s="123"/>
      <c r="AC32" s="123">
        <v>7</v>
      </c>
      <c r="AD32" s="123"/>
      <c r="AE32" s="123">
        <v>8</v>
      </c>
      <c r="AF32" s="123"/>
      <c r="AG32" s="123">
        <v>8</v>
      </c>
      <c r="AH32" s="123"/>
      <c r="AI32" s="123">
        <v>9</v>
      </c>
      <c r="AJ32" s="123"/>
      <c r="AK32" s="123">
        <v>10</v>
      </c>
      <c r="AL32" s="123"/>
      <c r="AM32" s="123">
        <v>8</v>
      </c>
      <c r="AN32" s="112"/>
      <c r="AO32" s="112"/>
      <c r="AP32" s="112"/>
      <c r="AQ32" s="112"/>
      <c r="AR32" s="112"/>
      <c r="AS32" s="112"/>
      <c r="AT32" s="112"/>
      <c r="AU32" s="112"/>
      <c r="AV32" s="112"/>
      <c r="AW32" s="112"/>
      <c r="AX32" s="112"/>
      <c r="AY32" s="112"/>
      <c r="AZ32" s="112"/>
      <c r="BA32" s="112"/>
      <c r="BB32" s="112"/>
      <c r="BC32" s="112"/>
      <c r="BD32" s="112"/>
      <c r="BE32" s="112"/>
      <c r="BF32" s="112"/>
      <c r="BG32" s="112"/>
      <c r="BH32" s="112"/>
      <c r="BI32" s="112"/>
      <c r="BJ32" s="112"/>
      <c r="BK32" s="112"/>
      <c r="BL32" s="112"/>
      <c r="BM32" s="112"/>
      <c r="BN32" s="112"/>
      <c r="BO32" s="112"/>
      <c r="BP32" s="112"/>
      <c r="BQ32" s="112"/>
      <c r="BR32" s="112"/>
      <c r="BS32" s="112"/>
      <c r="BT32" s="112"/>
      <c r="BU32" s="112"/>
      <c r="BV32" s="112"/>
      <c r="BW32" s="112"/>
      <c r="BX32" s="112"/>
      <c r="BY32" s="112"/>
      <c r="BZ32" s="112"/>
      <c r="CA32" s="112"/>
      <c r="CB32" s="112"/>
      <c r="CC32" s="112"/>
      <c r="CD32" s="112"/>
      <c r="CE32" s="112"/>
      <c r="CF32" s="112"/>
      <c r="CG32" s="112"/>
      <c r="CH32" s="112"/>
      <c r="CI32" s="112"/>
      <c r="CJ32" s="112"/>
      <c r="CK32" s="112"/>
      <c r="CL32" s="112"/>
      <c r="CM32" s="112"/>
      <c r="CN32" s="112"/>
      <c r="CO32" s="112"/>
      <c r="CP32" s="112"/>
      <c r="CQ32" s="112"/>
      <c r="CR32" s="112"/>
      <c r="CS32" s="112"/>
      <c r="CT32" s="112"/>
      <c r="CU32" s="112"/>
      <c r="CV32" s="112"/>
      <c r="CW32" s="112"/>
      <c r="CX32" s="112"/>
      <c r="CY32" s="112"/>
      <c r="CZ32" s="112"/>
      <c r="DA32" s="112"/>
      <c r="DB32" s="112"/>
      <c r="DC32" s="112"/>
      <c r="DD32" s="112"/>
      <c r="DE32" s="112"/>
      <c r="DF32" s="112"/>
      <c r="DG32" s="112"/>
      <c r="DH32" s="112"/>
      <c r="DI32" s="112"/>
      <c r="DJ32" s="112"/>
      <c r="DK32" s="112"/>
      <c r="DL32" s="112"/>
      <c r="DM32" s="112"/>
      <c r="DN32" s="112"/>
      <c r="DO32" s="112"/>
      <c r="DP32" s="112"/>
      <c r="DQ32" s="112"/>
      <c r="DR32" s="112"/>
      <c r="DS32" s="112"/>
      <c r="DT32" s="112"/>
      <c r="DU32" s="112"/>
      <c r="DV32" s="112"/>
      <c r="DW32" s="112"/>
      <c r="DX32" s="112"/>
      <c r="DY32" s="112"/>
      <c r="DZ32" s="112"/>
      <c r="EA32" s="112"/>
      <c r="EB32" s="112"/>
      <c r="EC32" s="112"/>
      <c r="ED32" s="112"/>
      <c r="EE32" s="112"/>
      <c r="EF32" s="112"/>
      <c r="EG32" s="112"/>
      <c r="EH32" s="112"/>
      <c r="EI32" s="112"/>
      <c r="EJ32" s="112"/>
      <c r="EK32" s="112"/>
      <c r="EL32" s="112"/>
      <c r="EM32" s="112"/>
      <c r="EN32" s="112"/>
      <c r="EO32" s="112"/>
      <c r="EP32" s="112"/>
      <c r="EQ32" s="112"/>
      <c r="ER32" s="112"/>
      <c r="ES32" s="112"/>
      <c r="ET32" s="112"/>
      <c r="EU32" s="112"/>
      <c r="EV32" s="112"/>
      <c r="EW32" s="112"/>
      <c r="EX32" s="112"/>
      <c r="EY32" s="112"/>
      <c r="EZ32" s="112"/>
      <c r="FA32" s="112"/>
      <c r="FB32" s="112"/>
      <c r="FC32" s="112"/>
      <c r="FD32" s="112"/>
      <c r="FE32" s="112"/>
      <c r="FF32" s="112"/>
      <c r="FG32" s="112"/>
      <c r="FH32" s="112"/>
      <c r="FI32" s="112"/>
      <c r="FJ32" s="112"/>
      <c r="FK32" s="112"/>
      <c r="FL32" s="112"/>
      <c r="FM32" s="112"/>
      <c r="FN32" s="112"/>
      <c r="FO32" s="112"/>
      <c r="FP32" s="112"/>
      <c r="FQ32" s="112"/>
      <c r="FR32" s="112"/>
      <c r="FS32" s="112"/>
      <c r="FT32" s="112"/>
      <c r="FU32" s="112"/>
      <c r="FV32" s="112"/>
      <c r="FW32" s="112"/>
      <c r="FX32" s="112"/>
      <c r="FY32" s="112"/>
      <c r="FZ32" s="112"/>
      <c r="GA32" s="112"/>
      <c r="GB32" s="112"/>
      <c r="GC32" s="112"/>
      <c r="GD32" s="112"/>
      <c r="GE32" s="112"/>
      <c r="GF32" s="112"/>
      <c r="GG32" s="112"/>
      <c r="GH32" s="112"/>
      <c r="GI32" s="112"/>
      <c r="GJ32" s="112"/>
      <c r="GK32" s="112"/>
      <c r="GL32" s="112"/>
      <c r="GM32" s="112"/>
      <c r="GN32" s="112"/>
      <c r="GO32" s="112"/>
      <c r="GP32" s="112"/>
      <c r="GQ32" s="112"/>
      <c r="GR32" s="112"/>
      <c r="GS32" s="112"/>
      <c r="GT32" s="112"/>
      <c r="GU32" s="112"/>
      <c r="GV32" s="112"/>
      <c r="GW32" s="112"/>
      <c r="GX32" s="112"/>
      <c r="GY32" s="112"/>
      <c r="GZ32" s="112"/>
      <c r="HA32" s="112"/>
      <c r="HB32" s="112"/>
      <c r="HC32" s="112"/>
      <c r="HD32" s="112"/>
      <c r="HE32" s="112"/>
      <c r="HF32" s="112"/>
      <c r="HG32" s="112"/>
      <c r="HH32" s="112"/>
      <c r="HI32" s="112"/>
      <c r="HJ32" s="112"/>
      <c r="HK32" s="112"/>
      <c r="HL32" s="112"/>
      <c r="HM32" s="112"/>
      <c r="HN32" s="112"/>
      <c r="HO32" s="112"/>
      <c r="HP32" s="112"/>
      <c r="HQ32" s="112"/>
      <c r="HR32" s="112"/>
      <c r="HS32" s="112"/>
      <c r="HT32" s="112"/>
      <c r="HU32" s="112"/>
      <c r="HV32" s="112"/>
      <c r="HW32" s="112"/>
      <c r="HX32" s="112"/>
      <c r="HY32" s="112"/>
      <c r="HZ32" s="112"/>
      <c r="IA32" s="112"/>
      <c r="IB32" s="112"/>
      <c r="IC32" s="112"/>
      <c r="ID32" s="112"/>
      <c r="IE32" s="112"/>
      <c r="IF32" s="112"/>
      <c r="IG32" s="112"/>
      <c r="IH32" s="112"/>
      <c r="II32" s="112"/>
      <c r="IJ32" s="112"/>
      <c r="IK32" s="112"/>
      <c r="IL32" s="112"/>
      <c r="IM32" s="112"/>
      <c r="IN32" s="112"/>
      <c r="IO32" s="112"/>
      <c r="IP32" s="112"/>
      <c r="IQ32" s="112"/>
      <c r="IR32" s="112"/>
      <c r="IS32" s="112"/>
      <c r="IT32" s="112"/>
      <c r="IU32" s="112"/>
    </row>
    <row r="33" spans="1:255" x14ac:dyDescent="0.2">
      <c r="A33" s="112"/>
      <c r="B33" s="112">
        <v>10</v>
      </c>
      <c r="C33" s="131" t="s">
        <v>213</v>
      </c>
      <c r="D33" s="132" t="s">
        <v>225</v>
      </c>
      <c r="E33" s="123">
        <v>1.25</v>
      </c>
      <c r="F33" s="123"/>
      <c r="G33" s="123">
        <v>1.5</v>
      </c>
      <c r="H33" s="123"/>
      <c r="I33" s="123">
        <v>2</v>
      </c>
      <c r="J33" s="123"/>
      <c r="K33" s="123">
        <v>2</v>
      </c>
      <c r="L33" s="123"/>
      <c r="M33" s="123">
        <v>2</v>
      </c>
      <c r="N33" s="123"/>
      <c r="O33" s="123">
        <v>2</v>
      </c>
      <c r="P33" s="123"/>
      <c r="Q33" s="123">
        <v>2</v>
      </c>
      <c r="R33" s="123"/>
      <c r="S33" s="123">
        <v>2.5</v>
      </c>
      <c r="T33" s="123"/>
      <c r="U33" s="123">
        <v>2.5</v>
      </c>
      <c r="V33" s="123"/>
      <c r="W33" s="123">
        <v>2.5</v>
      </c>
      <c r="X33" s="123"/>
      <c r="Y33" s="123">
        <v>2.5</v>
      </c>
      <c r="Z33" s="123"/>
      <c r="AA33" s="123">
        <v>2.8</v>
      </c>
      <c r="AB33" s="123"/>
      <c r="AC33" s="123">
        <v>2.8</v>
      </c>
      <c r="AD33" s="123"/>
      <c r="AE33" s="123">
        <v>3</v>
      </c>
      <c r="AF33" s="123"/>
      <c r="AG33" s="123">
        <v>3</v>
      </c>
      <c r="AH33" s="123"/>
      <c r="AI33" s="123">
        <v>3</v>
      </c>
      <c r="AJ33" s="123"/>
      <c r="AK33" s="123">
        <v>3.2</v>
      </c>
      <c r="AL33" s="123"/>
      <c r="AM33" s="123">
        <v>3.2</v>
      </c>
      <c r="AN33" s="112"/>
      <c r="AO33" s="112"/>
      <c r="AP33" s="112"/>
      <c r="AQ33" s="112"/>
      <c r="AR33" s="112"/>
      <c r="AS33" s="112"/>
      <c r="AT33" s="112"/>
      <c r="AU33" s="112"/>
      <c r="AV33" s="112"/>
      <c r="AW33" s="112"/>
      <c r="AX33" s="112"/>
      <c r="AY33" s="112"/>
      <c r="AZ33" s="112"/>
      <c r="BA33" s="112"/>
      <c r="BB33" s="112"/>
      <c r="BC33" s="112"/>
      <c r="BD33" s="112"/>
      <c r="BE33" s="112"/>
      <c r="BF33" s="112"/>
      <c r="BG33" s="112"/>
      <c r="BH33" s="112"/>
      <c r="BI33" s="112"/>
      <c r="BJ33" s="112"/>
      <c r="BK33" s="112"/>
      <c r="BL33" s="112"/>
      <c r="BM33" s="112"/>
      <c r="BN33" s="112"/>
      <c r="BO33" s="112"/>
      <c r="BP33" s="112"/>
      <c r="BQ33" s="112"/>
      <c r="BR33" s="112"/>
      <c r="BS33" s="112"/>
      <c r="BT33" s="112"/>
      <c r="BU33" s="112"/>
      <c r="BV33" s="112"/>
      <c r="BW33" s="112"/>
      <c r="BX33" s="112"/>
      <c r="BY33" s="112"/>
      <c r="BZ33" s="112"/>
      <c r="CA33" s="112"/>
      <c r="CB33" s="112"/>
      <c r="CC33" s="112"/>
      <c r="CD33" s="112"/>
      <c r="CE33" s="112"/>
      <c r="CF33" s="112"/>
      <c r="CG33" s="112"/>
      <c r="CH33" s="112"/>
      <c r="CI33" s="112"/>
      <c r="CJ33" s="112"/>
      <c r="CK33" s="112"/>
      <c r="CL33" s="112"/>
      <c r="CM33" s="112"/>
      <c r="CN33" s="112"/>
      <c r="CO33" s="112"/>
      <c r="CP33" s="112"/>
      <c r="CQ33" s="112"/>
      <c r="CR33" s="112"/>
      <c r="CS33" s="112"/>
      <c r="CT33" s="112"/>
      <c r="CU33" s="112"/>
      <c r="CV33" s="112"/>
      <c r="CW33" s="112"/>
      <c r="CX33" s="112"/>
      <c r="CY33" s="112"/>
      <c r="CZ33" s="112"/>
      <c r="DA33" s="112"/>
      <c r="DB33" s="112"/>
      <c r="DC33" s="112"/>
      <c r="DD33" s="112"/>
      <c r="DE33" s="112"/>
      <c r="DF33" s="112"/>
      <c r="DG33" s="112"/>
      <c r="DH33" s="112"/>
      <c r="DI33" s="112"/>
      <c r="DJ33" s="112"/>
      <c r="DK33" s="112"/>
      <c r="DL33" s="112"/>
      <c r="DM33" s="112"/>
      <c r="DN33" s="112"/>
      <c r="DO33" s="112"/>
      <c r="DP33" s="112"/>
      <c r="DQ33" s="112"/>
      <c r="DR33" s="112"/>
      <c r="DS33" s="112"/>
      <c r="DT33" s="112"/>
      <c r="DU33" s="112"/>
      <c r="DV33" s="112"/>
      <c r="DW33" s="112"/>
      <c r="DX33" s="112"/>
      <c r="DY33" s="112"/>
      <c r="DZ33" s="112"/>
      <c r="EA33" s="112"/>
      <c r="EB33" s="112"/>
      <c r="EC33" s="112"/>
      <c r="ED33" s="112"/>
      <c r="EE33" s="112"/>
      <c r="EF33" s="112"/>
      <c r="EG33" s="112"/>
      <c r="EH33" s="112"/>
      <c r="EI33" s="112"/>
      <c r="EJ33" s="112"/>
      <c r="EK33" s="112"/>
      <c r="EL33" s="112"/>
      <c r="EM33" s="112"/>
      <c r="EN33" s="112"/>
      <c r="EO33" s="112"/>
      <c r="EP33" s="112"/>
      <c r="EQ33" s="112"/>
      <c r="ER33" s="112"/>
      <c r="ES33" s="112"/>
      <c r="ET33" s="112"/>
      <c r="EU33" s="112"/>
      <c r="EV33" s="112"/>
      <c r="EW33" s="112"/>
      <c r="EX33" s="112"/>
      <c r="EY33" s="112"/>
      <c r="EZ33" s="112"/>
      <c r="FA33" s="112"/>
      <c r="FB33" s="112"/>
      <c r="FC33" s="112"/>
      <c r="FD33" s="112"/>
      <c r="FE33" s="112"/>
      <c r="FF33" s="112"/>
      <c r="FG33" s="112"/>
      <c r="FH33" s="112"/>
      <c r="FI33" s="112"/>
      <c r="FJ33" s="112"/>
      <c r="FK33" s="112"/>
      <c r="FL33" s="112"/>
      <c r="FM33" s="112"/>
      <c r="FN33" s="112"/>
      <c r="FO33" s="112"/>
      <c r="FP33" s="112"/>
      <c r="FQ33" s="112"/>
      <c r="FR33" s="112"/>
      <c r="FS33" s="112"/>
      <c r="FT33" s="112"/>
      <c r="FU33" s="112"/>
      <c r="FV33" s="112"/>
      <c r="FW33" s="112"/>
      <c r="FX33" s="112"/>
      <c r="FY33" s="112"/>
      <c r="FZ33" s="112"/>
      <c r="GA33" s="112"/>
      <c r="GB33" s="112"/>
      <c r="GC33" s="112"/>
      <c r="GD33" s="112"/>
      <c r="GE33" s="112"/>
      <c r="GF33" s="112"/>
      <c r="GG33" s="112"/>
      <c r="GH33" s="112"/>
      <c r="GI33" s="112"/>
      <c r="GJ33" s="112"/>
      <c r="GK33" s="112"/>
      <c r="GL33" s="112"/>
      <c r="GM33" s="112"/>
      <c r="GN33" s="112"/>
      <c r="GO33" s="112"/>
      <c r="GP33" s="112"/>
      <c r="GQ33" s="112"/>
      <c r="GR33" s="112"/>
      <c r="GS33" s="112"/>
      <c r="GT33" s="112"/>
      <c r="GU33" s="112"/>
      <c r="GV33" s="112"/>
      <c r="GW33" s="112"/>
      <c r="GX33" s="112"/>
      <c r="GY33" s="112"/>
      <c r="GZ33" s="112"/>
      <c r="HA33" s="112"/>
      <c r="HB33" s="112"/>
      <c r="HC33" s="112"/>
      <c r="HD33" s="112"/>
      <c r="HE33" s="112"/>
      <c r="HF33" s="112"/>
      <c r="HG33" s="112"/>
      <c r="HH33" s="112"/>
      <c r="HI33" s="112"/>
      <c r="HJ33" s="112"/>
      <c r="HK33" s="112"/>
      <c r="HL33" s="112"/>
      <c r="HM33" s="112"/>
      <c r="HN33" s="112"/>
      <c r="HO33" s="112"/>
      <c r="HP33" s="112"/>
      <c r="HQ33" s="112"/>
      <c r="HR33" s="112"/>
      <c r="HS33" s="112"/>
      <c r="HT33" s="112"/>
      <c r="HU33" s="112"/>
      <c r="HV33" s="112"/>
      <c r="HW33" s="112"/>
      <c r="HX33" s="112"/>
      <c r="HY33" s="112"/>
      <c r="HZ33" s="112"/>
      <c r="IA33" s="112"/>
      <c r="IB33" s="112"/>
      <c r="IC33" s="112"/>
      <c r="ID33" s="112"/>
      <c r="IE33" s="112"/>
      <c r="IF33" s="112"/>
      <c r="IG33" s="112"/>
      <c r="IH33" s="112"/>
      <c r="II33" s="112"/>
      <c r="IJ33" s="112"/>
      <c r="IK33" s="112"/>
      <c r="IL33" s="112"/>
      <c r="IM33" s="112"/>
      <c r="IN33" s="112"/>
      <c r="IO33" s="112"/>
      <c r="IP33" s="112"/>
      <c r="IQ33" s="112"/>
      <c r="IR33" s="112"/>
      <c r="IS33" s="112"/>
      <c r="IT33" s="112"/>
      <c r="IU33" s="112"/>
    </row>
    <row r="34" spans="1:255" x14ac:dyDescent="0.2">
      <c r="A34" s="112"/>
      <c r="B34" s="112">
        <v>11</v>
      </c>
      <c r="C34" s="131" t="s">
        <v>226</v>
      </c>
      <c r="D34" s="132" t="s">
        <v>225</v>
      </c>
      <c r="E34" s="123">
        <v>3.2</v>
      </c>
      <c r="F34" s="123"/>
      <c r="G34" s="123">
        <v>4</v>
      </c>
      <c r="H34" s="123"/>
      <c r="I34" s="123">
        <v>4</v>
      </c>
      <c r="J34" s="123"/>
      <c r="K34" s="123">
        <v>5</v>
      </c>
      <c r="L34" s="123"/>
      <c r="M34" s="123">
        <v>6</v>
      </c>
      <c r="N34" s="123"/>
      <c r="O34" s="123">
        <v>7</v>
      </c>
      <c r="P34" s="123"/>
      <c r="Q34" s="123">
        <v>8</v>
      </c>
      <c r="R34" s="123"/>
      <c r="S34" s="123">
        <v>7.2</v>
      </c>
      <c r="T34" s="123"/>
      <c r="U34" s="123">
        <v>8</v>
      </c>
      <c r="V34" s="123"/>
      <c r="W34" s="123">
        <v>9.6</v>
      </c>
      <c r="X34" s="123"/>
      <c r="Y34" s="123">
        <v>9.6</v>
      </c>
      <c r="Z34" s="123"/>
      <c r="AA34" s="123">
        <v>10</v>
      </c>
      <c r="AB34" s="123"/>
      <c r="AC34" s="123">
        <v>10</v>
      </c>
      <c r="AD34" s="123"/>
      <c r="AE34" s="123">
        <v>10.7</v>
      </c>
      <c r="AF34" s="123"/>
      <c r="AG34" s="123">
        <v>12</v>
      </c>
      <c r="AH34" s="123"/>
      <c r="AI34" s="123">
        <v>12</v>
      </c>
      <c r="AJ34" s="123"/>
      <c r="AK34" s="123">
        <v>12.5</v>
      </c>
      <c r="AL34" s="123"/>
      <c r="AM34" s="123">
        <v>12.5</v>
      </c>
      <c r="AN34" s="112"/>
      <c r="AO34" s="112"/>
      <c r="AP34" s="112"/>
      <c r="AQ34" s="112"/>
      <c r="AR34" s="112"/>
      <c r="AS34" s="112"/>
      <c r="AT34" s="112"/>
      <c r="AU34" s="112"/>
      <c r="AV34" s="112"/>
      <c r="AW34" s="112"/>
      <c r="AX34" s="112"/>
      <c r="AY34" s="112"/>
      <c r="AZ34" s="112"/>
      <c r="BA34" s="112"/>
      <c r="BB34" s="112"/>
      <c r="BC34" s="112"/>
      <c r="BD34" s="112"/>
      <c r="BE34" s="112"/>
      <c r="BF34" s="112"/>
      <c r="BG34" s="112"/>
      <c r="BH34" s="112"/>
      <c r="BI34" s="112"/>
      <c r="BJ34" s="112"/>
      <c r="BK34" s="112"/>
      <c r="BL34" s="112"/>
      <c r="BM34" s="112"/>
      <c r="BN34" s="112"/>
      <c r="BO34" s="112"/>
      <c r="BP34" s="112"/>
      <c r="BQ34" s="112"/>
      <c r="BR34" s="112"/>
      <c r="BS34" s="112"/>
      <c r="BT34" s="112"/>
      <c r="BU34" s="112"/>
      <c r="BV34" s="112"/>
      <c r="BW34" s="112"/>
      <c r="BX34" s="112"/>
      <c r="BY34" s="112"/>
      <c r="BZ34" s="112"/>
      <c r="CA34" s="112"/>
      <c r="CB34" s="112"/>
      <c r="CC34" s="112"/>
      <c r="CD34" s="112"/>
      <c r="CE34" s="112"/>
      <c r="CF34" s="112"/>
      <c r="CG34" s="112"/>
      <c r="CH34" s="112"/>
      <c r="CI34" s="112"/>
      <c r="CJ34" s="112"/>
      <c r="CK34" s="112"/>
      <c r="CL34" s="112"/>
      <c r="CM34" s="112"/>
      <c r="CN34" s="112"/>
      <c r="CO34" s="112"/>
      <c r="CP34" s="112"/>
      <c r="CQ34" s="112"/>
      <c r="CR34" s="112"/>
      <c r="CS34" s="112"/>
      <c r="CT34" s="112"/>
      <c r="CU34" s="112"/>
      <c r="CV34" s="112"/>
      <c r="CW34" s="112"/>
      <c r="CX34" s="112"/>
      <c r="CY34" s="112"/>
      <c r="CZ34" s="112"/>
      <c r="DA34" s="112"/>
      <c r="DB34" s="112"/>
      <c r="DC34" s="112"/>
      <c r="DD34" s="112"/>
      <c r="DE34" s="112"/>
      <c r="DF34" s="112"/>
      <c r="DG34" s="112"/>
      <c r="DH34" s="112"/>
      <c r="DI34" s="112"/>
      <c r="DJ34" s="112"/>
      <c r="DK34" s="112"/>
      <c r="DL34" s="112"/>
      <c r="DM34" s="112"/>
      <c r="DN34" s="112"/>
      <c r="DO34" s="112"/>
      <c r="DP34" s="112"/>
      <c r="DQ34" s="112"/>
      <c r="DR34" s="112"/>
      <c r="DS34" s="112"/>
      <c r="DT34" s="112"/>
      <c r="DU34" s="112"/>
      <c r="DV34" s="112"/>
      <c r="DW34" s="112"/>
      <c r="DX34" s="112"/>
      <c r="DY34" s="112"/>
      <c r="DZ34" s="112"/>
      <c r="EA34" s="112"/>
      <c r="EB34" s="112"/>
      <c r="EC34" s="112"/>
      <c r="ED34" s="112"/>
      <c r="EE34" s="112"/>
      <c r="EF34" s="112"/>
      <c r="EG34" s="112"/>
      <c r="EH34" s="112"/>
      <c r="EI34" s="112"/>
      <c r="EJ34" s="112"/>
      <c r="EK34" s="112"/>
      <c r="EL34" s="112"/>
      <c r="EM34" s="112"/>
      <c r="EN34" s="112"/>
      <c r="EO34" s="112"/>
      <c r="EP34" s="112"/>
      <c r="EQ34" s="112"/>
      <c r="ER34" s="112"/>
      <c r="ES34" s="112"/>
      <c r="ET34" s="112"/>
      <c r="EU34" s="112"/>
      <c r="EV34" s="112"/>
      <c r="EW34" s="112"/>
      <c r="EX34" s="112"/>
      <c r="EY34" s="112"/>
      <c r="EZ34" s="112"/>
      <c r="FA34" s="112"/>
      <c r="FB34" s="112"/>
      <c r="FC34" s="112"/>
      <c r="FD34" s="112"/>
      <c r="FE34" s="112"/>
      <c r="FF34" s="112"/>
      <c r="FG34" s="112"/>
      <c r="FH34" s="112"/>
      <c r="FI34" s="112"/>
      <c r="FJ34" s="112"/>
      <c r="FK34" s="112"/>
      <c r="FL34" s="112"/>
      <c r="FM34" s="112"/>
      <c r="FN34" s="112"/>
      <c r="FO34" s="112"/>
      <c r="FP34" s="112"/>
      <c r="FQ34" s="112"/>
      <c r="FR34" s="112"/>
      <c r="FS34" s="112"/>
      <c r="FT34" s="112"/>
      <c r="FU34" s="112"/>
      <c r="FV34" s="112"/>
      <c r="FW34" s="112"/>
      <c r="FX34" s="112"/>
      <c r="FY34" s="112"/>
      <c r="FZ34" s="112"/>
      <c r="GA34" s="112"/>
      <c r="GB34" s="112"/>
      <c r="GC34" s="112"/>
      <c r="GD34" s="112"/>
      <c r="GE34" s="112"/>
      <c r="GF34" s="112"/>
      <c r="GG34" s="112"/>
      <c r="GH34" s="112"/>
      <c r="GI34" s="112"/>
      <c r="GJ34" s="112"/>
      <c r="GK34" s="112"/>
      <c r="GL34" s="112"/>
      <c r="GM34" s="112"/>
      <c r="GN34" s="112"/>
      <c r="GO34" s="112"/>
      <c r="GP34" s="112"/>
      <c r="GQ34" s="112"/>
      <c r="GR34" s="112"/>
      <c r="GS34" s="112"/>
      <c r="GT34" s="112"/>
      <c r="GU34" s="112"/>
      <c r="GV34" s="112"/>
      <c r="GW34" s="112"/>
      <c r="GX34" s="112"/>
      <c r="GY34" s="112"/>
      <c r="GZ34" s="112"/>
      <c r="HA34" s="112"/>
      <c r="HB34" s="112"/>
      <c r="HC34" s="112"/>
      <c r="HD34" s="112"/>
      <c r="HE34" s="112"/>
      <c r="HF34" s="112"/>
      <c r="HG34" s="112"/>
      <c r="HH34" s="112"/>
      <c r="HI34" s="112"/>
      <c r="HJ34" s="112"/>
      <c r="HK34" s="112"/>
      <c r="HL34" s="112"/>
      <c r="HM34" s="112"/>
      <c r="HN34" s="112"/>
      <c r="HO34" s="112"/>
      <c r="HP34" s="112"/>
      <c r="HQ34" s="112"/>
      <c r="HR34" s="112"/>
      <c r="HS34" s="112"/>
      <c r="HT34" s="112"/>
      <c r="HU34" s="112"/>
      <c r="HV34" s="112"/>
      <c r="HW34" s="112"/>
      <c r="HX34" s="112"/>
      <c r="HY34" s="112"/>
      <c r="HZ34" s="112"/>
      <c r="IA34" s="112"/>
      <c r="IB34" s="112"/>
      <c r="IC34" s="112"/>
      <c r="ID34" s="112"/>
      <c r="IE34" s="112"/>
      <c r="IF34" s="112"/>
      <c r="IG34" s="112"/>
      <c r="IH34" s="112"/>
      <c r="II34" s="112"/>
      <c r="IJ34" s="112"/>
      <c r="IK34" s="112"/>
      <c r="IL34" s="112"/>
      <c r="IM34" s="112"/>
      <c r="IN34" s="112"/>
      <c r="IO34" s="112"/>
      <c r="IP34" s="112"/>
      <c r="IQ34" s="112"/>
      <c r="IR34" s="112"/>
      <c r="IS34" s="112"/>
      <c r="IT34" s="112"/>
      <c r="IU34" s="112"/>
    </row>
    <row r="35" spans="1:255" s="126" customFormat="1" x14ac:dyDescent="0.2">
      <c r="B35" s="112">
        <v>12</v>
      </c>
      <c r="C35" s="131" t="s">
        <v>1150</v>
      </c>
      <c r="D35" s="132" t="s">
        <v>225</v>
      </c>
      <c r="E35" s="123">
        <v>0.5</v>
      </c>
      <c r="F35" s="123">
        <v>0.5</v>
      </c>
      <c r="G35" s="123">
        <v>0.5</v>
      </c>
      <c r="H35" s="123">
        <v>0.5</v>
      </c>
      <c r="I35" s="123">
        <v>0.5</v>
      </c>
      <c r="J35" s="123">
        <v>0.5</v>
      </c>
      <c r="K35" s="123">
        <v>0.5</v>
      </c>
      <c r="L35" s="123">
        <v>0.5</v>
      </c>
      <c r="M35" s="123">
        <v>0.5</v>
      </c>
      <c r="N35" s="123">
        <v>0.5</v>
      </c>
      <c r="O35" s="123">
        <v>0.5</v>
      </c>
      <c r="P35" s="123">
        <v>0.5</v>
      </c>
      <c r="Q35" s="123">
        <v>0.5</v>
      </c>
      <c r="R35" s="123">
        <v>0.5</v>
      </c>
      <c r="S35" s="123">
        <v>0.5</v>
      </c>
      <c r="T35" s="123">
        <v>0.5</v>
      </c>
      <c r="U35" s="123">
        <v>0.5</v>
      </c>
      <c r="V35" s="123">
        <v>0.5</v>
      </c>
      <c r="W35" s="123">
        <v>0.5</v>
      </c>
      <c r="X35" s="123">
        <v>0.5</v>
      </c>
      <c r="Y35" s="123">
        <v>0.5</v>
      </c>
      <c r="Z35" s="123">
        <v>0.5</v>
      </c>
      <c r="AA35" s="123">
        <v>0.5</v>
      </c>
      <c r="AB35" s="123">
        <v>0.5</v>
      </c>
      <c r="AC35" s="123">
        <v>0.5</v>
      </c>
      <c r="AD35" s="123"/>
      <c r="AE35" s="123">
        <v>0.8</v>
      </c>
      <c r="AF35" s="123"/>
      <c r="AG35" s="123">
        <v>0.8</v>
      </c>
      <c r="AH35" s="123">
        <v>0.8</v>
      </c>
      <c r="AI35" s="123">
        <v>0.8</v>
      </c>
      <c r="AJ35" s="123">
        <v>0.8</v>
      </c>
      <c r="AK35" s="123">
        <v>0.8</v>
      </c>
      <c r="AL35" s="123"/>
      <c r="AM35" s="123">
        <v>0.8</v>
      </c>
    </row>
    <row r="36" spans="1:255" s="345" customFormat="1" ht="12" customHeight="1" x14ac:dyDescent="0.2">
      <c r="A36" s="112"/>
      <c r="B36" s="112">
        <v>13</v>
      </c>
      <c r="C36" s="135" t="s">
        <v>1294</v>
      </c>
      <c r="D36" s="136"/>
      <c r="E36" s="112">
        <v>1</v>
      </c>
      <c r="F36" s="112"/>
      <c r="G36" s="112">
        <v>1</v>
      </c>
      <c r="H36" s="112"/>
      <c r="I36" s="112">
        <v>1</v>
      </c>
      <c r="J36" s="112"/>
      <c r="K36" s="134">
        <v>1</v>
      </c>
      <c r="L36" s="112"/>
      <c r="M36" s="112">
        <v>3</v>
      </c>
      <c r="N36" s="112"/>
      <c r="O36" s="134">
        <v>2</v>
      </c>
      <c r="P36" s="112"/>
      <c r="Q36" s="112">
        <v>3</v>
      </c>
      <c r="R36" s="112"/>
      <c r="S36" s="112">
        <v>3</v>
      </c>
      <c r="T36" s="112"/>
      <c r="U36" s="112">
        <v>4</v>
      </c>
      <c r="V36" s="112"/>
      <c r="W36" s="112"/>
      <c r="X36" s="112"/>
      <c r="Y36" s="112"/>
      <c r="Z36" s="112"/>
      <c r="AA36" s="134"/>
      <c r="AB36" s="112"/>
      <c r="AC36" s="112"/>
      <c r="AD36" s="112"/>
      <c r="AE36" s="112"/>
      <c r="AF36" s="112"/>
      <c r="AG36" s="134"/>
      <c r="AH36" s="112"/>
      <c r="AI36" s="112"/>
      <c r="AJ36" s="112"/>
      <c r="AK36" s="112"/>
      <c r="AL36" s="112"/>
      <c r="AM36" s="134"/>
      <c r="AN36" s="112"/>
      <c r="AO36" s="112"/>
      <c r="AP36" s="112"/>
      <c r="AQ36" s="112"/>
      <c r="AR36" s="112"/>
      <c r="AS36" s="112"/>
      <c r="AT36" s="112"/>
      <c r="AU36" s="112"/>
      <c r="AV36" s="112"/>
      <c r="AW36" s="112"/>
      <c r="AX36" s="112"/>
      <c r="AY36" s="112"/>
      <c r="AZ36" s="112"/>
      <c r="BA36" s="112"/>
      <c r="BB36" s="112"/>
      <c r="BC36" s="112"/>
      <c r="BD36" s="112"/>
      <c r="BE36" s="112"/>
      <c r="BF36" s="112"/>
      <c r="BG36" s="112"/>
      <c r="BH36" s="112"/>
      <c r="BI36" s="112"/>
      <c r="BJ36" s="112"/>
      <c r="BK36" s="112"/>
      <c r="BL36" s="112"/>
      <c r="BM36" s="112"/>
      <c r="BN36" s="112"/>
      <c r="BO36" s="112"/>
      <c r="BP36" s="112"/>
      <c r="BQ36" s="112"/>
      <c r="BR36" s="112"/>
      <c r="BS36" s="112"/>
      <c r="BT36" s="112"/>
      <c r="BU36" s="112"/>
      <c r="BV36" s="112"/>
      <c r="BW36" s="112"/>
      <c r="BX36" s="112"/>
      <c r="BY36" s="112"/>
      <c r="BZ36" s="112"/>
      <c r="CA36" s="112"/>
      <c r="CB36" s="112"/>
      <c r="CC36" s="112"/>
      <c r="CD36" s="112"/>
      <c r="CE36" s="112"/>
      <c r="CF36" s="112"/>
      <c r="CG36" s="112"/>
      <c r="CH36" s="112"/>
      <c r="CI36" s="112"/>
      <c r="CJ36" s="112"/>
      <c r="CK36" s="112"/>
      <c r="CL36" s="112"/>
      <c r="CM36" s="112"/>
      <c r="CN36" s="112"/>
      <c r="CO36" s="112"/>
      <c r="CP36" s="112"/>
      <c r="CQ36" s="112"/>
      <c r="CR36" s="112"/>
      <c r="CS36" s="112"/>
      <c r="CT36" s="112"/>
      <c r="CU36" s="112"/>
      <c r="CV36" s="112"/>
      <c r="CW36" s="112"/>
      <c r="CX36" s="112"/>
      <c r="CY36" s="112"/>
      <c r="CZ36" s="112"/>
      <c r="DA36" s="112"/>
      <c r="DB36" s="112"/>
      <c r="DC36" s="112"/>
      <c r="DD36" s="112"/>
      <c r="DE36" s="112"/>
      <c r="DF36" s="112"/>
      <c r="DG36" s="112"/>
      <c r="DH36" s="112"/>
      <c r="DI36" s="112"/>
      <c r="DJ36" s="112"/>
      <c r="DK36" s="112"/>
      <c r="DL36" s="112"/>
      <c r="DM36" s="112"/>
      <c r="DN36" s="112"/>
      <c r="DO36" s="112"/>
      <c r="DP36" s="112"/>
      <c r="DQ36" s="112"/>
      <c r="DR36" s="112"/>
      <c r="DS36" s="112"/>
      <c r="DT36" s="112"/>
      <c r="DU36" s="112"/>
      <c r="DV36" s="112"/>
      <c r="DW36" s="112"/>
      <c r="DX36" s="112"/>
      <c r="DY36" s="112"/>
      <c r="DZ36" s="112"/>
      <c r="EA36" s="112"/>
      <c r="EB36" s="112"/>
      <c r="EC36" s="112"/>
      <c r="ED36" s="112"/>
      <c r="EE36" s="112"/>
      <c r="EF36" s="112"/>
      <c r="EG36" s="112"/>
      <c r="EH36" s="112"/>
      <c r="EI36" s="112"/>
      <c r="EJ36" s="112"/>
      <c r="EK36" s="112"/>
      <c r="EL36" s="112"/>
      <c r="EM36" s="112"/>
      <c r="EN36" s="112"/>
      <c r="EO36" s="112"/>
      <c r="EP36" s="112"/>
      <c r="EQ36" s="112"/>
      <c r="ER36" s="112"/>
      <c r="ES36" s="112"/>
      <c r="ET36" s="112"/>
      <c r="EU36" s="112"/>
      <c r="EV36" s="112"/>
      <c r="EW36" s="112"/>
      <c r="EX36" s="112"/>
      <c r="EY36" s="112"/>
      <c r="EZ36" s="112"/>
      <c r="FA36" s="112"/>
      <c r="FB36" s="112"/>
      <c r="FC36" s="112"/>
      <c r="FD36" s="112"/>
      <c r="FE36" s="112"/>
      <c r="FF36" s="112"/>
      <c r="FG36" s="112"/>
      <c r="FH36" s="112"/>
      <c r="FI36" s="112"/>
      <c r="FJ36" s="112"/>
      <c r="FK36" s="112"/>
      <c r="FL36" s="112"/>
      <c r="FM36" s="112"/>
      <c r="FN36" s="112"/>
      <c r="FO36" s="112"/>
      <c r="FP36" s="112"/>
      <c r="FQ36" s="112"/>
      <c r="FR36" s="112"/>
      <c r="FS36" s="112"/>
      <c r="FT36" s="112"/>
      <c r="FU36" s="112"/>
      <c r="FV36" s="112"/>
      <c r="FW36" s="112"/>
      <c r="FX36" s="112"/>
      <c r="FY36" s="112"/>
      <c r="FZ36" s="112"/>
      <c r="GA36" s="112"/>
      <c r="GB36" s="112"/>
      <c r="GC36" s="112"/>
      <c r="GD36" s="112"/>
      <c r="GE36" s="112"/>
      <c r="GF36" s="112"/>
      <c r="GG36" s="112"/>
      <c r="GH36" s="112"/>
      <c r="GI36" s="112"/>
      <c r="GJ36" s="112"/>
      <c r="GK36" s="112"/>
      <c r="GL36" s="112"/>
      <c r="GM36" s="112"/>
      <c r="GN36" s="112"/>
      <c r="GO36" s="112"/>
      <c r="GP36" s="112"/>
      <c r="GQ36" s="112"/>
      <c r="GR36" s="112"/>
      <c r="GS36" s="112"/>
      <c r="GT36" s="112"/>
      <c r="GU36" s="112"/>
      <c r="GV36" s="112"/>
      <c r="GW36" s="112"/>
      <c r="GX36" s="112"/>
      <c r="GY36" s="112"/>
      <c r="GZ36" s="112"/>
      <c r="HA36" s="112"/>
      <c r="HB36" s="112"/>
      <c r="HC36" s="112"/>
      <c r="HD36" s="112"/>
      <c r="HE36" s="112"/>
      <c r="HF36" s="112"/>
      <c r="HG36" s="112"/>
      <c r="HH36" s="112"/>
      <c r="HI36" s="112"/>
      <c r="HJ36" s="112"/>
      <c r="HK36" s="112"/>
      <c r="HL36" s="112"/>
      <c r="HM36" s="112"/>
      <c r="HN36" s="112"/>
      <c r="HO36" s="112"/>
      <c r="HP36" s="112"/>
      <c r="HQ36" s="112"/>
      <c r="HR36" s="112"/>
      <c r="HS36" s="112"/>
      <c r="HT36" s="112"/>
      <c r="HU36" s="112"/>
      <c r="HV36" s="112"/>
      <c r="HW36" s="112"/>
      <c r="HX36" s="112"/>
      <c r="HY36" s="112"/>
      <c r="HZ36" s="112"/>
      <c r="IA36" s="112"/>
      <c r="IB36" s="112"/>
      <c r="IC36" s="112"/>
      <c r="ID36" s="112"/>
      <c r="IE36" s="112"/>
      <c r="IF36" s="112"/>
      <c r="IG36" s="112"/>
      <c r="IH36" s="112"/>
      <c r="II36" s="112"/>
      <c r="IJ36" s="112"/>
      <c r="IK36" s="112"/>
      <c r="IL36" s="112"/>
      <c r="IM36" s="112"/>
      <c r="IN36" s="112"/>
      <c r="IO36" s="112"/>
      <c r="IP36" s="112"/>
      <c r="IQ36" s="112"/>
      <c r="IR36" s="112"/>
      <c r="IS36" s="112"/>
      <c r="IT36" s="112"/>
      <c r="IU36" s="112"/>
    </row>
    <row r="37" spans="1:255" s="345" customFormat="1" ht="12" customHeight="1" x14ac:dyDescent="0.2">
      <c r="A37" s="112"/>
      <c r="B37" s="112">
        <v>14</v>
      </c>
      <c r="C37" s="126" t="s">
        <v>1295</v>
      </c>
      <c r="D37" s="136"/>
      <c r="E37" s="112"/>
      <c r="F37" s="112"/>
      <c r="G37" s="112"/>
      <c r="H37" s="112"/>
      <c r="I37" s="112"/>
      <c r="J37" s="112"/>
      <c r="K37" s="134"/>
      <c r="L37" s="112"/>
      <c r="M37" s="112"/>
      <c r="N37" s="112"/>
      <c r="O37" s="134"/>
      <c r="P37" s="112"/>
      <c r="Q37" s="112"/>
      <c r="R37" s="112"/>
      <c r="S37" s="112"/>
      <c r="T37" s="112"/>
      <c r="U37" s="112"/>
      <c r="V37" s="112"/>
      <c r="W37" s="112">
        <v>6</v>
      </c>
      <c r="X37" s="112"/>
      <c r="Y37" s="112">
        <v>7</v>
      </c>
      <c r="Z37" s="112"/>
      <c r="AA37" s="134"/>
      <c r="AB37" s="112"/>
      <c r="AC37" s="112">
        <v>6</v>
      </c>
      <c r="AD37" s="112"/>
      <c r="AE37" s="112"/>
      <c r="AF37" s="112"/>
      <c r="AG37" s="134"/>
      <c r="AH37" s="112"/>
      <c r="AI37" s="112"/>
      <c r="AJ37" s="112"/>
      <c r="AK37" s="112"/>
      <c r="AL37" s="112"/>
      <c r="AM37" s="134"/>
      <c r="AN37" s="112"/>
      <c r="AO37" s="112"/>
      <c r="AP37" s="112"/>
      <c r="AQ37" s="112"/>
      <c r="AR37" s="112"/>
      <c r="AS37" s="112"/>
      <c r="AT37" s="112"/>
      <c r="AU37" s="112"/>
      <c r="AV37" s="112"/>
      <c r="AW37" s="112"/>
      <c r="AX37" s="112"/>
      <c r="AY37" s="112"/>
      <c r="AZ37" s="112"/>
      <c r="BA37" s="112"/>
      <c r="BB37" s="112"/>
      <c r="BC37" s="112"/>
      <c r="BD37" s="112"/>
      <c r="BE37" s="112"/>
      <c r="BF37" s="112"/>
      <c r="BG37" s="112"/>
      <c r="BH37" s="112"/>
      <c r="BI37" s="112"/>
      <c r="BJ37" s="112"/>
      <c r="BK37" s="112"/>
      <c r="BL37" s="112"/>
      <c r="BM37" s="112"/>
      <c r="BN37" s="112"/>
      <c r="BO37" s="112"/>
      <c r="BP37" s="112"/>
      <c r="BQ37" s="112"/>
      <c r="BR37" s="112"/>
      <c r="BS37" s="112"/>
      <c r="BT37" s="112"/>
      <c r="BU37" s="112"/>
      <c r="BV37" s="112"/>
      <c r="BW37" s="112"/>
      <c r="BX37" s="112"/>
      <c r="BY37" s="112"/>
      <c r="BZ37" s="112"/>
      <c r="CA37" s="112"/>
      <c r="CB37" s="112"/>
      <c r="CC37" s="112"/>
      <c r="CD37" s="112"/>
      <c r="CE37" s="112"/>
      <c r="CF37" s="112"/>
      <c r="CG37" s="112"/>
      <c r="CH37" s="112"/>
      <c r="CI37" s="112"/>
      <c r="CJ37" s="112"/>
      <c r="CK37" s="112"/>
      <c r="CL37" s="112"/>
      <c r="CM37" s="112"/>
      <c r="CN37" s="112"/>
      <c r="CO37" s="112"/>
      <c r="CP37" s="112"/>
      <c r="CQ37" s="112"/>
      <c r="CR37" s="112"/>
      <c r="CS37" s="112"/>
      <c r="CT37" s="112"/>
      <c r="CU37" s="112"/>
      <c r="CV37" s="112"/>
      <c r="CW37" s="112"/>
      <c r="CX37" s="112"/>
      <c r="CY37" s="112"/>
      <c r="CZ37" s="112"/>
      <c r="DA37" s="112"/>
      <c r="DB37" s="112"/>
      <c r="DC37" s="112"/>
      <c r="DD37" s="112"/>
      <c r="DE37" s="112"/>
      <c r="DF37" s="112"/>
      <c r="DG37" s="112"/>
      <c r="DH37" s="112"/>
      <c r="DI37" s="112"/>
      <c r="DJ37" s="112"/>
      <c r="DK37" s="112"/>
      <c r="DL37" s="112"/>
      <c r="DM37" s="112"/>
      <c r="DN37" s="112"/>
      <c r="DO37" s="112"/>
      <c r="DP37" s="112"/>
      <c r="DQ37" s="112"/>
      <c r="DR37" s="112"/>
      <c r="DS37" s="112"/>
      <c r="DT37" s="112"/>
      <c r="DU37" s="112"/>
      <c r="DV37" s="112"/>
      <c r="DW37" s="112"/>
      <c r="DX37" s="112"/>
      <c r="DY37" s="112"/>
      <c r="DZ37" s="112"/>
      <c r="EA37" s="112"/>
      <c r="EB37" s="112"/>
      <c r="EC37" s="112"/>
      <c r="ED37" s="112"/>
      <c r="EE37" s="112"/>
      <c r="EF37" s="112"/>
      <c r="EG37" s="112"/>
      <c r="EH37" s="112"/>
      <c r="EI37" s="112"/>
      <c r="EJ37" s="112"/>
      <c r="EK37" s="112"/>
      <c r="EL37" s="112"/>
      <c r="EM37" s="112"/>
      <c r="EN37" s="112"/>
      <c r="EO37" s="112"/>
      <c r="EP37" s="112"/>
      <c r="EQ37" s="112"/>
      <c r="ER37" s="112"/>
      <c r="ES37" s="112"/>
      <c r="ET37" s="112"/>
      <c r="EU37" s="112"/>
      <c r="EV37" s="112"/>
      <c r="EW37" s="112"/>
      <c r="EX37" s="112"/>
      <c r="EY37" s="112"/>
      <c r="EZ37" s="112"/>
      <c r="FA37" s="112"/>
      <c r="FB37" s="112"/>
      <c r="FC37" s="112"/>
      <c r="FD37" s="112"/>
      <c r="FE37" s="112"/>
      <c r="FF37" s="112"/>
      <c r="FG37" s="112"/>
      <c r="FH37" s="112"/>
      <c r="FI37" s="112"/>
      <c r="FJ37" s="112"/>
      <c r="FK37" s="112"/>
      <c r="FL37" s="112"/>
      <c r="FM37" s="112"/>
      <c r="FN37" s="112"/>
      <c r="FO37" s="112"/>
      <c r="FP37" s="112"/>
      <c r="FQ37" s="112"/>
      <c r="FR37" s="112"/>
      <c r="FS37" s="112"/>
      <c r="FT37" s="112"/>
      <c r="FU37" s="112"/>
      <c r="FV37" s="112"/>
      <c r="FW37" s="112"/>
      <c r="FX37" s="112"/>
      <c r="FY37" s="112"/>
      <c r="FZ37" s="112"/>
      <c r="GA37" s="112"/>
      <c r="GB37" s="112"/>
      <c r="GC37" s="112"/>
      <c r="GD37" s="112"/>
      <c r="GE37" s="112"/>
      <c r="GF37" s="112"/>
      <c r="GG37" s="112"/>
      <c r="GH37" s="112"/>
      <c r="GI37" s="112"/>
      <c r="GJ37" s="112"/>
      <c r="GK37" s="112"/>
      <c r="GL37" s="112"/>
      <c r="GM37" s="112"/>
      <c r="GN37" s="112"/>
      <c r="GO37" s="112"/>
      <c r="GP37" s="112"/>
      <c r="GQ37" s="112"/>
      <c r="GR37" s="112"/>
      <c r="GS37" s="112"/>
      <c r="GT37" s="112"/>
      <c r="GU37" s="112"/>
      <c r="GV37" s="112"/>
      <c r="GW37" s="112"/>
      <c r="GX37" s="112"/>
      <c r="GY37" s="112"/>
      <c r="GZ37" s="112"/>
      <c r="HA37" s="112"/>
      <c r="HB37" s="112"/>
      <c r="HC37" s="112"/>
      <c r="HD37" s="112"/>
      <c r="HE37" s="112"/>
      <c r="HF37" s="112"/>
      <c r="HG37" s="112"/>
      <c r="HH37" s="112"/>
      <c r="HI37" s="112"/>
      <c r="HJ37" s="112"/>
      <c r="HK37" s="112"/>
      <c r="HL37" s="112"/>
      <c r="HM37" s="112"/>
      <c r="HN37" s="112"/>
      <c r="HO37" s="112"/>
      <c r="HP37" s="112"/>
      <c r="HQ37" s="112"/>
      <c r="HR37" s="112"/>
      <c r="HS37" s="112"/>
      <c r="HT37" s="112"/>
      <c r="HU37" s="112"/>
      <c r="HV37" s="112"/>
      <c r="HW37" s="112"/>
      <c r="HX37" s="112"/>
      <c r="HY37" s="112"/>
      <c r="HZ37" s="112"/>
      <c r="IA37" s="112"/>
      <c r="IB37" s="112"/>
      <c r="IC37" s="112"/>
      <c r="ID37" s="112"/>
      <c r="IE37" s="112"/>
      <c r="IF37" s="112"/>
      <c r="IG37" s="112"/>
      <c r="IH37" s="112"/>
      <c r="II37" s="112"/>
      <c r="IJ37" s="112"/>
      <c r="IK37" s="112"/>
      <c r="IL37" s="112"/>
      <c r="IM37" s="112"/>
      <c r="IN37" s="112"/>
      <c r="IO37" s="112"/>
      <c r="IP37" s="112"/>
      <c r="IQ37" s="112"/>
      <c r="IR37" s="112"/>
      <c r="IS37" s="112"/>
      <c r="IT37" s="112"/>
      <c r="IU37" s="112"/>
    </row>
    <row r="38" spans="1:255" x14ac:dyDescent="0.2">
      <c r="A38" s="112"/>
      <c r="B38" s="112">
        <v>15</v>
      </c>
      <c r="C38" s="135" t="s">
        <v>1296</v>
      </c>
      <c r="D38" s="136" t="s">
        <v>50</v>
      </c>
      <c r="E38" s="112"/>
      <c r="F38" s="112"/>
      <c r="G38" s="112"/>
      <c r="H38" s="112"/>
      <c r="I38" s="112"/>
      <c r="J38" s="112"/>
      <c r="K38" s="112"/>
      <c r="L38" s="112"/>
      <c r="M38" s="112"/>
      <c r="N38" s="112"/>
      <c r="O38" s="112"/>
      <c r="P38" s="112"/>
      <c r="Q38" s="112"/>
      <c r="R38" s="112"/>
      <c r="S38" s="112"/>
      <c r="T38" s="112"/>
      <c r="U38" s="112"/>
      <c r="V38" s="112"/>
      <c r="W38" s="112"/>
      <c r="X38" s="112"/>
      <c r="Y38" s="112"/>
      <c r="Z38" s="112"/>
      <c r="AA38" s="112">
        <v>4</v>
      </c>
      <c r="AB38" s="112"/>
      <c r="AC38" s="112"/>
      <c r="AD38" s="112"/>
      <c r="AE38" s="112">
        <v>6</v>
      </c>
      <c r="AF38" s="112"/>
      <c r="AG38" s="112">
        <v>6</v>
      </c>
      <c r="AH38" s="112"/>
      <c r="AI38" s="112">
        <v>8</v>
      </c>
      <c r="AJ38" s="112"/>
      <c r="AK38" s="112">
        <v>9</v>
      </c>
      <c r="AL38" s="112"/>
      <c r="AM38" s="112">
        <v>8</v>
      </c>
      <c r="AN38" s="112"/>
      <c r="AO38" s="112"/>
      <c r="AP38" s="112"/>
      <c r="AQ38" s="112"/>
      <c r="AR38" s="112"/>
      <c r="AS38" s="112"/>
      <c r="AT38" s="112"/>
      <c r="AU38" s="112"/>
      <c r="AV38" s="112"/>
      <c r="AW38" s="112"/>
      <c r="AX38" s="112"/>
      <c r="AY38" s="112"/>
      <c r="AZ38" s="112"/>
      <c r="BA38" s="112"/>
      <c r="BB38" s="112"/>
      <c r="BC38" s="112"/>
      <c r="BD38" s="112"/>
      <c r="BE38" s="112"/>
      <c r="BF38" s="112"/>
      <c r="BG38" s="112"/>
      <c r="BH38" s="112"/>
      <c r="BI38" s="112"/>
      <c r="BJ38" s="112"/>
      <c r="BK38" s="112"/>
      <c r="BL38" s="112"/>
      <c r="BM38" s="112"/>
      <c r="BN38" s="112"/>
      <c r="BO38" s="112"/>
      <c r="BP38" s="112"/>
      <c r="BQ38" s="112"/>
      <c r="BR38" s="112"/>
      <c r="BS38" s="112"/>
      <c r="BT38" s="112"/>
      <c r="BU38" s="112"/>
      <c r="BV38" s="112"/>
      <c r="BW38" s="112"/>
      <c r="BX38" s="112"/>
      <c r="BY38" s="112"/>
      <c r="BZ38" s="112"/>
      <c r="CA38" s="112"/>
      <c r="CB38" s="112"/>
      <c r="CC38" s="112"/>
      <c r="CD38" s="112"/>
      <c r="CE38" s="112"/>
      <c r="CF38" s="112"/>
      <c r="CG38" s="112"/>
      <c r="CH38" s="112"/>
      <c r="CI38" s="112"/>
      <c r="CJ38" s="112"/>
      <c r="CK38" s="112"/>
      <c r="CL38" s="112"/>
      <c r="CM38" s="112"/>
      <c r="CN38" s="112"/>
      <c r="CO38" s="112"/>
      <c r="CP38" s="112"/>
      <c r="CQ38" s="112"/>
      <c r="CR38" s="112"/>
      <c r="CS38" s="112"/>
      <c r="CT38" s="112"/>
      <c r="CU38" s="112"/>
      <c r="CV38" s="112"/>
      <c r="CW38" s="112"/>
      <c r="CX38" s="112"/>
      <c r="CY38" s="112"/>
      <c r="CZ38" s="112"/>
      <c r="DA38" s="112"/>
      <c r="DB38" s="112"/>
      <c r="DC38" s="112"/>
      <c r="DD38" s="112"/>
      <c r="DE38" s="112"/>
      <c r="DF38" s="112"/>
      <c r="DG38" s="112"/>
      <c r="DH38" s="112"/>
      <c r="DI38" s="112"/>
      <c r="DJ38" s="112"/>
      <c r="DK38" s="112"/>
      <c r="DL38" s="112"/>
      <c r="DM38" s="112"/>
      <c r="DN38" s="112"/>
      <c r="DO38" s="112"/>
      <c r="DP38" s="112"/>
      <c r="DQ38" s="112"/>
      <c r="DR38" s="112"/>
      <c r="DS38" s="112"/>
      <c r="DT38" s="112"/>
      <c r="DU38" s="112"/>
      <c r="DV38" s="112"/>
      <c r="DW38" s="112"/>
      <c r="DX38" s="112"/>
      <c r="DY38" s="112"/>
      <c r="DZ38" s="112"/>
      <c r="EA38" s="112"/>
      <c r="EB38" s="112"/>
      <c r="EC38" s="112"/>
      <c r="ED38" s="112"/>
      <c r="EE38" s="112"/>
      <c r="EF38" s="112"/>
      <c r="EG38" s="112"/>
      <c r="EH38" s="112"/>
      <c r="EI38" s="112"/>
      <c r="EJ38" s="112"/>
      <c r="EK38" s="112"/>
      <c r="EL38" s="112"/>
      <c r="EM38" s="112"/>
      <c r="EN38" s="112"/>
      <c r="EO38" s="112"/>
      <c r="EP38" s="112"/>
      <c r="EQ38" s="112"/>
      <c r="ER38" s="112"/>
      <c r="ES38" s="112"/>
      <c r="ET38" s="112"/>
      <c r="EU38" s="112"/>
      <c r="EV38" s="112"/>
      <c r="EW38" s="112"/>
      <c r="EX38" s="112"/>
      <c r="EY38" s="112"/>
      <c r="EZ38" s="112"/>
      <c r="FA38" s="112"/>
      <c r="FB38" s="112"/>
      <c r="FC38" s="112"/>
      <c r="FD38" s="112"/>
      <c r="FE38" s="112"/>
      <c r="FF38" s="112"/>
      <c r="FG38" s="112"/>
      <c r="FH38" s="112"/>
      <c r="FI38" s="112"/>
      <c r="FJ38" s="112"/>
      <c r="FK38" s="112"/>
      <c r="FL38" s="112"/>
      <c r="FM38" s="112"/>
      <c r="FN38" s="112"/>
      <c r="FO38" s="112"/>
      <c r="FP38" s="112"/>
      <c r="FQ38" s="112"/>
      <c r="FR38" s="112"/>
      <c r="FS38" s="112"/>
      <c r="FT38" s="112"/>
      <c r="FU38" s="112"/>
      <c r="FV38" s="112"/>
      <c r="FW38" s="112"/>
      <c r="FX38" s="112"/>
      <c r="FY38" s="112"/>
      <c r="FZ38" s="112"/>
      <c r="GA38" s="112"/>
      <c r="GB38" s="112"/>
      <c r="GC38" s="112"/>
      <c r="GD38" s="112"/>
      <c r="GE38" s="112"/>
      <c r="GF38" s="112"/>
      <c r="GG38" s="112"/>
      <c r="GH38" s="112"/>
      <c r="GI38" s="112"/>
      <c r="GJ38" s="112"/>
      <c r="GK38" s="112"/>
      <c r="GL38" s="112"/>
      <c r="GM38" s="112"/>
      <c r="GN38" s="112"/>
      <c r="GO38" s="112"/>
      <c r="GP38" s="112"/>
      <c r="GQ38" s="112"/>
      <c r="GR38" s="112"/>
      <c r="GS38" s="112"/>
      <c r="GT38" s="112"/>
      <c r="GU38" s="112"/>
      <c r="GV38" s="112"/>
      <c r="GW38" s="112"/>
      <c r="GX38" s="112"/>
      <c r="GY38" s="112"/>
      <c r="GZ38" s="112"/>
      <c r="HA38" s="112"/>
      <c r="HB38" s="112"/>
      <c r="HC38" s="112"/>
      <c r="HD38" s="112"/>
      <c r="HE38" s="112"/>
      <c r="HF38" s="112"/>
      <c r="HG38" s="112"/>
      <c r="HH38" s="112"/>
      <c r="HI38" s="112"/>
      <c r="HJ38" s="112"/>
      <c r="HK38" s="112"/>
      <c r="HL38" s="112"/>
      <c r="HM38" s="112"/>
      <c r="HN38" s="112"/>
      <c r="HO38" s="112"/>
      <c r="HP38" s="112"/>
      <c r="HQ38" s="112"/>
      <c r="HR38" s="112"/>
      <c r="HS38" s="112"/>
      <c r="HT38" s="112"/>
      <c r="HU38" s="112"/>
      <c r="HV38" s="112"/>
      <c r="HW38" s="112"/>
      <c r="HX38" s="112"/>
      <c r="HY38" s="112"/>
      <c r="HZ38" s="112"/>
      <c r="IA38" s="112"/>
      <c r="IB38" s="112"/>
      <c r="IC38" s="112"/>
      <c r="ID38" s="112"/>
      <c r="IE38" s="112"/>
      <c r="IF38" s="112"/>
      <c r="IG38" s="112"/>
      <c r="IH38" s="112"/>
      <c r="II38" s="112"/>
      <c r="IJ38" s="112"/>
      <c r="IK38" s="112"/>
      <c r="IL38" s="112"/>
      <c r="IM38" s="112"/>
      <c r="IN38" s="112"/>
      <c r="IO38" s="112"/>
      <c r="IP38" s="112"/>
      <c r="IQ38" s="112"/>
      <c r="IR38" s="112"/>
      <c r="IS38" s="112"/>
      <c r="IT38" s="112"/>
      <c r="IU38" s="112"/>
    </row>
    <row r="39" spans="1:255" s="126" customFormat="1" x14ac:dyDescent="0.2">
      <c r="B39" s="112">
        <v>16</v>
      </c>
      <c r="C39" s="126" t="s">
        <v>1297</v>
      </c>
      <c r="D39" s="127"/>
      <c r="G39" s="126">
        <v>3.06</v>
      </c>
      <c r="I39" s="126">
        <v>4.0599999999999996</v>
      </c>
      <c r="K39" s="126">
        <v>4.0599999999999996</v>
      </c>
      <c r="M39" s="126">
        <v>3.06</v>
      </c>
      <c r="O39" s="126">
        <v>4.0599999999999996</v>
      </c>
      <c r="Q39" s="126">
        <v>4.0599999999999996</v>
      </c>
      <c r="S39" s="126">
        <v>4.0599999999999996</v>
      </c>
      <c r="U39" s="126">
        <v>4.0599999999999996</v>
      </c>
      <c r="W39" s="126">
        <v>3.03</v>
      </c>
      <c r="AA39" s="126">
        <v>4.03</v>
      </c>
      <c r="AC39" s="126">
        <v>3.53</v>
      </c>
      <c r="AE39" s="126">
        <v>4.03</v>
      </c>
      <c r="AG39" s="126">
        <v>4.03</v>
      </c>
      <c r="AI39" s="126">
        <v>4.03</v>
      </c>
      <c r="AK39" s="126">
        <v>4.03</v>
      </c>
      <c r="AM39" s="126">
        <v>4.03</v>
      </c>
    </row>
    <row r="40" spans="1:255" ht="15" x14ac:dyDescent="0.2">
      <c r="A40" s="112"/>
      <c r="B40" s="112">
        <v>17</v>
      </c>
      <c r="C40" s="137" t="s">
        <v>227</v>
      </c>
      <c r="D40" s="138" t="s">
        <v>50</v>
      </c>
      <c r="E40" s="139">
        <v>4</v>
      </c>
      <c r="F40" s="139"/>
      <c r="G40" s="139">
        <v>6</v>
      </c>
      <c r="H40" s="139"/>
      <c r="I40" s="139">
        <v>8</v>
      </c>
      <c r="J40" s="139"/>
      <c r="K40" s="139"/>
      <c r="L40" s="139"/>
      <c r="M40" s="139">
        <v>12</v>
      </c>
      <c r="N40" s="139"/>
      <c r="O40" s="139">
        <v>4</v>
      </c>
      <c r="P40" s="139"/>
      <c r="Q40" s="139">
        <v>16</v>
      </c>
      <c r="R40" s="139"/>
      <c r="S40" s="139">
        <v>8</v>
      </c>
      <c r="T40" s="139"/>
      <c r="U40" s="139">
        <v>20</v>
      </c>
      <c r="V40" s="139"/>
      <c r="W40" s="139">
        <v>24</v>
      </c>
      <c r="X40" s="139"/>
      <c r="Y40" s="139"/>
      <c r="Z40" s="139"/>
      <c r="AA40" s="139">
        <v>8</v>
      </c>
      <c r="AB40" s="139"/>
      <c r="AC40" s="139">
        <v>28</v>
      </c>
      <c r="AD40" s="139"/>
      <c r="AE40" s="139">
        <v>32</v>
      </c>
      <c r="AF40" s="139"/>
      <c r="AG40" s="139">
        <v>16</v>
      </c>
      <c r="AH40" s="139"/>
      <c r="AI40" s="139"/>
      <c r="AJ40" s="139"/>
      <c r="AK40" s="139"/>
      <c r="AL40" s="139"/>
      <c r="AM40" s="139">
        <v>40</v>
      </c>
      <c r="AN40" s="112"/>
      <c r="AO40" s="112"/>
      <c r="AP40" s="112"/>
      <c r="AQ40" s="112"/>
      <c r="AR40" s="112"/>
      <c r="AS40" s="112"/>
      <c r="AT40" s="112"/>
      <c r="AU40" s="112"/>
      <c r="AV40" s="112"/>
      <c r="AW40" s="112"/>
      <c r="AX40" s="112"/>
      <c r="AY40" s="112"/>
      <c r="AZ40" s="112"/>
      <c r="BA40" s="112"/>
      <c r="BB40" s="112"/>
      <c r="BC40" s="112"/>
      <c r="BD40" s="112"/>
      <c r="BE40" s="112"/>
      <c r="BF40" s="112"/>
      <c r="BG40" s="112"/>
      <c r="BH40" s="112"/>
      <c r="BI40" s="112"/>
      <c r="BJ40" s="112"/>
      <c r="BK40" s="112"/>
      <c r="BL40" s="112"/>
      <c r="BM40" s="112"/>
      <c r="BN40" s="112"/>
      <c r="BO40" s="112"/>
      <c r="BP40" s="112"/>
      <c r="BQ40" s="112"/>
      <c r="BR40" s="112"/>
      <c r="BS40" s="112"/>
      <c r="BT40" s="112"/>
      <c r="BU40" s="112"/>
      <c r="BV40" s="112"/>
      <c r="BW40" s="112"/>
      <c r="BX40" s="112"/>
      <c r="BY40" s="112"/>
      <c r="BZ40" s="112"/>
      <c r="CA40" s="112"/>
      <c r="CB40" s="112"/>
      <c r="CC40" s="112"/>
      <c r="CD40" s="112"/>
      <c r="CE40" s="112"/>
      <c r="CF40" s="112"/>
      <c r="CG40" s="112"/>
      <c r="CH40" s="112"/>
      <c r="CI40" s="112"/>
      <c r="CJ40" s="112"/>
      <c r="CK40" s="112"/>
      <c r="CL40" s="112"/>
      <c r="CM40" s="112"/>
      <c r="CN40" s="112"/>
      <c r="CO40" s="112"/>
      <c r="CP40" s="112"/>
      <c r="CQ40" s="112"/>
      <c r="CR40" s="112"/>
      <c r="CS40" s="112"/>
      <c r="CT40" s="112"/>
      <c r="CU40" s="112"/>
      <c r="CV40" s="112"/>
      <c r="CW40" s="112"/>
      <c r="CX40" s="112"/>
      <c r="CY40" s="112"/>
      <c r="CZ40" s="112"/>
      <c r="DA40" s="112"/>
      <c r="DB40" s="112"/>
      <c r="DC40" s="112"/>
      <c r="DD40" s="112"/>
      <c r="DE40" s="112"/>
      <c r="DF40" s="112"/>
      <c r="DG40" s="112"/>
      <c r="DH40" s="112"/>
      <c r="DI40" s="112"/>
      <c r="DJ40" s="112"/>
      <c r="DK40" s="112"/>
      <c r="DL40" s="112"/>
      <c r="DM40" s="112"/>
      <c r="DN40" s="112"/>
      <c r="DO40" s="112"/>
      <c r="DP40" s="112"/>
      <c r="DQ40" s="112"/>
      <c r="DR40" s="112"/>
      <c r="DS40" s="112"/>
      <c r="DT40" s="112"/>
      <c r="DU40" s="112"/>
      <c r="DV40" s="112"/>
      <c r="DW40" s="112"/>
      <c r="DX40" s="112"/>
      <c r="DY40" s="112"/>
      <c r="DZ40" s="112"/>
      <c r="EA40" s="112"/>
      <c r="EB40" s="112"/>
      <c r="EC40" s="112"/>
      <c r="ED40" s="112"/>
      <c r="EE40" s="112"/>
      <c r="EF40" s="112"/>
      <c r="EG40" s="112"/>
      <c r="EH40" s="112"/>
      <c r="EI40" s="112"/>
      <c r="EJ40" s="112"/>
      <c r="EK40" s="112"/>
      <c r="EL40" s="112"/>
      <c r="EM40" s="112"/>
      <c r="EN40" s="112"/>
      <c r="EO40" s="112"/>
      <c r="EP40" s="112"/>
      <c r="EQ40" s="112"/>
      <c r="ER40" s="112"/>
      <c r="ES40" s="112"/>
      <c r="ET40" s="112"/>
      <c r="EU40" s="112"/>
      <c r="EV40" s="112"/>
      <c r="EW40" s="112"/>
      <c r="EX40" s="112"/>
      <c r="EY40" s="112"/>
      <c r="EZ40" s="112"/>
      <c r="FA40" s="112"/>
      <c r="FB40" s="112"/>
      <c r="FC40" s="112"/>
      <c r="FD40" s="112"/>
      <c r="FE40" s="112"/>
      <c r="FF40" s="112"/>
      <c r="FG40" s="112"/>
      <c r="FH40" s="112"/>
      <c r="FI40" s="112"/>
      <c r="FJ40" s="112"/>
      <c r="FK40" s="112"/>
      <c r="FL40" s="112"/>
      <c r="FM40" s="112"/>
      <c r="FN40" s="112"/>
      <c r="FO40" s="112"/>
      <c r="FP40" s="112"/>
      <c r="FQ40" s="112"/>
      <c r="FR40" s="112"/>
      <c r="FS40" s="112"/>
      <c r="FT40" s="112"/>
      <c r="FU40" s="112"/>
      <c r="FV40" s="112"/>
      <c r="FW40" s="112"/>
      <c r="FX40" s="112"/>
      <c r="FY40" s="112"/>
      <c r="FZ40" s="112"/>
      <c r="GA40" s="112"/>
      <c r="GB40" s="112"/>
      <c r="GC40" s="112"/>
      <c r="GD40" s="112"/>
      <c r="GE40" s="112"/>
      <c r="GF40" s="112"/>
      <c r="GG40" s="112"/>
      <c r="GH40" s="112"/>
      <c r="GI40" s="112"/>
      <c r="GJ40" s="112"/>
      <c r="GK40" s="112"/>
      <c r="GL40" s="112"/>
      <c r="GM40" s="112"/>
      <c r="GN40" s="112"/>
      <c r="GO40" s="112"/>
      <c r="GP40" s="112"/>
      <c r="GQ40" s="112"/>
      <c r="GR40" s="112"/>
      <c r="GS40" s="112"/>
      <c r="GT40" s="112"/>
      <c r="GU40" s="112"/>
      <c r="GV40" s="112"/>
      <c r="GW40" s="112"/>
      <c r="GX40" s="112"/>
      <c r="GY40" s="112"/>
      <c r="GZ40" s="112"/>
      <c r="HA40" s="112"/>
      <c r="HB40" s="112"/>
      <c r="HC40" s="112"/>
      <c r="HD40" s="112"/>
      <c r="HE40" s="112"/>
      <c r="HF40" s="112"/>
      <c r="HG40" s="112"/>
      <c r="HH40" s="112"/>
      <c r="HI40" s="112"/>
      <c r="HJ40" s="112"/>
      <c r="HK40" s="112"/>
      <c r="HL40" s="112"/>
      <c r="HM40" s="112"/>
      <c r="HN40" s="112"/>
      <c r="HO40" s="112"/>
      <c r="HP40" s="112"/>
      <c r="HQ40" s="112"/>
      <c r="HR40" s="112"/>
      <c r="HS40" s="112"/>
      <c r="HT40" s="112"/>
      <c r="HU40" s="112"/>
      <c r="HV40" s="112"/>
      <c r="HW40" s="112"/>
      <c r="HX40" s="112"/>
      <c r="HY40" s="112"/>
      <c r="HZ40" s="112"/>
      <c r="IA40" s="112"/>
      <c r="IB40" s="112"/>
      <c r="IC40" s="112"/>
      <c r="ID40" s="112"/>
      <c r="IE40" s="112"/>
      <c r="IF40" s="112"/>
      <c r="IG40" s="112"/>
      <c r="IH40" s="112"/>
      <c r="II40" s="112"/>
      <c r="IJ40" s="112"/>
      <c r="IK40" s="112"/>
      <c r="IL40" s="112"/>
      <c r="IM40" s="112"/>
      <c r="IN40" s="112"/>
      <c r="IO40" s="112"/>
      <c r="IP40" s="112"/>
      <c r="IQ40" s="112"/>
      <c r="IR40" s="112"/>
      <c r="IS40" s="112"/>
      <c r="IT40" s="112"/>
      <c r="IU40" s="112"/>
    </row>
    <row r="41" spans="1:255" ht="15" x14ac:dyDescent="0.2">
      <c r="A41" s="112"/>
      <c r="B41" s="112">
        <v>18</v>
      </c>
      <c r="C41" s="137" t="s">
        <v>228</v>
      </c>
      <c r="D41" s="138" t="s">
        <v>50</v>
      </c>
      <c r="E41" s="139"/>
      <c r="F41" s="139"/>
      <c r="G41" s="139"/>
      <c r="H41" s="139"/>
      <c r="I41" s="139"/>
      <c r="J41" s="139"/>
      <c r="K41" s="139">
        <v>8</v>
      </c>
      <c r="L41" s="139"/>
      <c r="M41" s="139"/>
      <c r="N41" s="139"/>
      <c r="O41" s="139">
        <v>8</v>
      </c>
      <c r="P41" s="139"/>
      <c r="Q41" s="139"/>
      <c r="R41" s="139"/>
      <c r="S41" s="139">
        <v>8</v>
      </c>
      <c r="T41" s="139"/>
      <c r="U41" s="139"/>
      <c r="V41" s="139"/>
      <c r="W41" s="139"/>
      <c r="X41" s="139"/>
      <c r="Y41" s="139"/>
      <c r="Z41" s="139"/>
      <c r="AA41" s="139">
        <v>16</v>
      </c>
      <c r="AB41" s="139"/>
      <c r="AC41" s="139"/>
      <c r="AD41" s="139"/>
      <c r="AE41" s="139"/>
      <c r="AF41" s="139"/>
      <c r="AG41" s="139">
        <v>16</v>
      </c>
      <c r="AH41" s="139"/>
      <c r="AI41" s="139"/>
      <c r="AJ41" s="139"/>
      <c r="AK41" s="139"/>
      <c r="AL41" s="139"/>
      <c r="AM41" s="139"/>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2"/>
      <c r="CP41" s="112"/>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2"/>
      <c r="DZ41" s="112"/>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2"/>
      <c r="GB41" s="112"/>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2"/>
    </row>
    <row r="42" spans="1:255" s="126" customFormat="1" ht="14.1" customHeight="1" x14ac:dyDescent="0.2">
      <c r="B42" s="112">
        <v>19</v>
      </c>
      <c r="C42" s="126" t="s">
        <v>1318</v>
      </c>
      <c r="D42" s="127"/>
      <c r="E42" s="482" t="s">
        <v>229</v>
      </c>
      <c r="G42" s="126">
        <f>G36+G37+G38</f>
        <v>1</v>
      </c>
      <c r="H42" s="126">
        <f>H36+H37+H38</f>
        <v>0</v>
      </c>
      <c r="I42" s="126">
        <f>I36+I37+I38</f>
        <v>1</v>
      </c>
      <c r="J42" s="126">
        <f>J36+J37+J38</f>
        <v>0</v>
      </c>
      <c r="K42" s="126">
        <f>K36+K37+K38</f>
        <v>1</v>
      </c>
      <c r="L42" s="126">
        <f t="shared" ref="L42:AM42" si="3">L36+L37+L38</f>
        <v>0</v>
      </c>
      <c r="M42" s="126">
        <f t="shared" si="3"/>
        <v>3</v>
      </c>
      <c r="N42" s="126">
        <f t="shared" si="3"/>
        <v>0</v>
      </c>
      <c r="O42" s="126">
        <f t="shared" si="3"/>
        <v>2</v>
      </c>
      <c r="P42" s="126">
        <f t="shared" si="3"/>
        <v>0</v>
      </c>
      <c r="Q42" s="126">
        <f t="shared" si="3"/>
        <v>3</v>
      </c>
      <c r="R42" s="126">
        <f t="shared" si="3"/>
        <v>0</v>
      </c>
      <c r="S42" s="126">
        <f t="shared" si="3"/>
        <v>3</v>
      </c>
      <c r="T42" s="126">
        <f t="shared" si="3"/>
        <v>0</v>
      </c>
      <c r="U42" s="126">
        <f t="shared" si="3"/>
        <v>4</v>
      </c>
      <c r="V42" s="126">
        <f t="shared" si="3"/>
        <v>0</v>
      </c>
      <c r="W42" s="126">
        <f t="shared" si="3"/>
        <v>6</v>
      </c>
      <c r="X42" s="126">
        <f t="shared" si="3"/>
        <v>0</v>
      </c>
      <c r="Y42" s="126">
        <f t="shared" si="3"/>
        <v>7</v>
      </c>
      <c r="Z42" s="126">
        <f t="shared" si="3"/>
        <v>0</v>
      </c>
      <c r="AA42" s="126">
        <f t="shared" si="3"/>
        <v>4</v>
      </c>
      <c r="AB42" s="126">
        <f t="shared" si="3"/>
        <v>0</v>
      </c>
      <c r="AC42" s="126">
        <f t="shared" si="3"/>
        <v>6</v>
      </c>
      <c r="AD42" s="126">
        <f t="shared" si="3"/>
        <v>0</v>
      </c>
      <c r="AE42" s="126">
        <f t="shared" si="3"/>
        <v>6</v>
      </c>
      <c r="AF42" s="126">
        <f t="shared" si="3"/>
        <v>0</v>
      </c>
      <c r="AG42" s="126">
        <f t="shared" si="3"/>
        <v>6</v>
      </c>
      <c r="AH42" s="126">
        <f t="shared" si="3"/>
        <v>0</v>
      </c>
      <c r="AI42" s="126">
        <f t="shared" si="3"/>
        <v>8</v>
      </c>
      <c r="AJ42" s="126">
        <f t="shared" si="3"/>
        <v>0</v>
      </c>
      <c r="AK42" s="126">
        <f t="shared" si="3"/>
        <v>9</v>
      </c>
      <c r="AL42" s="126">
        <f t="shared" si="3"/>
        <v>0</v>
      </c>
      <c r="AM42" s="126">
        <f t="shared" si="3"/>
        <v>8</v>
      </c>
    </row>
    <row r="43" spans="1:255" s="126" customFormat="1" ht="15" x14ac:dyDescent="0.2">
      <c r="C43" s="126" t="s">
        <v>1823</v>
      </c>
      <c r="D43" s="127"/>
      <c r="E43" s="482"/>
      <c r="G43" s="126">
        <v>1</v>
      </c>
      <c r="K43" s="126">
        <v>2</v>
      </c>
      <c r="M43" s="126">
        <v>2</v>
      </c>
      <c r="U43" s="126">
        <v>4</v>
      </c>
      <c r="W43" s="126">
        <v>4</v>
      </c>
      <c r="Y43" s="126">
        <v>4</v>
      </c>
      <c r="AK43" s="126">
        <v>8</v>
      </c>
      <c r="AM43" s="126">
        <v>8</v>
      </c>
    </row>
    <row r="44" spans="1:255" s="126" customFormat="1" x14ac:dyDescent="0.2">
      <c r="B44" s="409"/>
      <c r="D44" s="127"/>
    </row>
    <row r="45" spans="1:255" s="126" customFormat="1" ht="25.35" customHeight="1" x14ac:dyDescent="0.2">
      <c r="A45" s="1593" t="s">
        <v>1183</v>
      </c>
      <c r="B45" s="409"/>
      <c r="C45" s="128" t="s">
        <v>203</v>
      </c>
      <c r="D45" s="116" t="s">
        <v>223</v>
      </c>
      <c r="E45" s="120">
        <v>2</v>
      </c>
      <c r="F45" s="120"/>
      <c r="G45" s="120">
        <v>3</v>
      </c>
      <c r="H45" s="120"/>
      <c r="I45" s="120">
        <v>4</v>
      </c>
      <c r="J45" s="120"/>
      <c r="K45" s="120">
        <v>5</v>
      </c>
      <c r="L45" s="120"/>
      <c r="M45" s="120">
        <v>6</v>
      </c>
      <c r="N45" s="120"/>
      <c r="O45" s="120">
        <v>7</v>
      </c>
      <c r="P45" s="120"/>
      <c r="Q45" s="120">
        <v>8</v>
      </c>
      <c r="R45" s="120"/>
      <c r="S45" s="120">
        <v>9</v>
      </c>
      <c r="T45" s="120"/>
      <c r="U45" s="120">
        <v>10</v>
      </c>
      <c r="V45" s="120"/>
      <c r="W45" s="120" t="s">
        <v>214</v>
      </c>
      <c r="X45" s="120"/>
      <c r="Y45" s="120" t="s">
        <v>215</v>
      </c>
      <c r="Z45" s="120"/>
      <c r="AA45" s="120" t="s">
        <v>216</v>
      </c>
      <c r="AB45" s="120"/>
      <c r="AC45" s="120" t="s">
        <v>217</v>
      </c>
      <c r="AD45" s="120"/>
      <c r="AE45" s="120">
        <v>16</v>
      </c>
      <c r="AF45" s="120"/>
      <c r="AG45" s="120" t="s">
        <v>218</v>
      </c>
      <c r="AH45" s="120"/>
      <c r="AI45" s="120" t="s">
        <v>219</v>
      </c>
      <c r="AJ45" s="120"/>
      <c r="AK45" s="120" t="s">
        <v>220</v>
      </c>
      <c r="AL45" s="120"/>
      <c r="AM45" s="120" t="s">
        <v>221</v>
      </c>
    </row>
    <row r="46" spans="1:255" ht="25.35" customHeight="1" x14ac:dyDescent="0.2">
      <c r="A46" s="1593"/>
      <c r="B46" s="1595" t="s">
        <v>16</v>
      </c>
      <c r="C46" s="141" t="s">
        <v>230</v>
      </c>
      <c r="D46" s="142" t="s">
        <v>52</v>
      </c>
      <c r="E46" s="143">
        <f>E32/2+1.5</f>
        <v>2.75</v>
      </c>
      <c r="F46" s="143">
        <f t="shared" ref="F46:AM46" si="4">F32/2+1.5</f>
        <v>1.5</v>
      </c>
      <c r="G46" s="143">
        <f t="shared" si="4"/>
        <v>3</v>
      </c>
      <c r="H46" s="143">
        <f t="shared" si="4"/>
        <v>1.5</v>
      </c>
      <c r="I46" s="143">
        <f t="shared" si="4"/>
        <v>3.5</v>
      </c>
      <c r="J46" s="143">
        <f t="shared" si="4"/>
        <v>1.5</v>
      </c>
      <c r="K46" s="143">
        <f t="shared" si="4"/>
        <v>3.5</v>
      </c>
      <c r="L46" s="143">
        <f t="shared" si="4"/>
        <v>1.5</v>
      </c>
      <c r="M46" s="143">
        <f t="shared" si="4"/>
        <v>3.5</v>
      </c>
      <c r="N46" s="143">
        <f t="shared" si="4"/>
        <v>1.5</v>
      </c>
      <c r="O46" s="143">
        <f t="shared" si="4"/>
        <v>3.5</v>
      </c>
      <c r="P46" s="143">
        <f t="shared" si="4"/>
        <v>1.5</v>
      </c>
      <c r="Q46" s="143">
        <f t="shared" si="4"/>
        <v>3.5</v>
      </c>
      <c r="R46" s="143">
        <f t="shared" si="4"/>
        <v>1.5</v>
      </c>
      <c r="S46" s="143">
        <f t="shared" si="4"/>
        <v>3.75</v>
      </c>
      <c r="T46" s="143">
        <f t="shared" si="4"/>
        <v>1.5</v>
      </c>
      <c r="U46" s="143">
        <f t="shared" si="4"/>
        <v>4</v>
      </c>
      <c r="V46" s="143">
        <f t="shared" si="4"/>
        <v>1.5</v>
      </c>
      <c r="W46" s="143">
        <f t="shared" si="4"/>
        <v>4.5</v>
      </c>
      <c r="X46" s="143">
        <f t="shared" si="4"/>
        <v>1.5</v>
      </c>
      <c r="Y46" s="143">
        <f t="shared" si="4"/>
        <v>5.5</v>
      </c>
      <c r="Z46" s="143">
        <f t="shared" si="4"/>
        <v>1.5</v>
      </c>
      <c r="AA46" s="143">
        <f t="shared" si="4"/>
        <v>5.5</v>
      </c>
      <c r="AB46" s="143">
        <f t="shared" si="4"/>
        <v>1.5</v>
      </c>
      <c r="AC46" s="143">
        <f t="shared" si="4"/>
        <v>5</v>
      </c>
      <c r="AD46" s="143">
        <f t="shared" si="4"/>
        <v>1.5</v>
      </c>
      <c r="AE46" s="143">
        <f t="shared" si="4"/>
        <v>5.5</v>
      </c>
      <c r="AF46" s="143">
        <f t="shared" si="4"/>
        <v>1.5</v>
      </c>
      <c r="AG46" s="143">
        <f t="shared" si="4"/>
        <v>5.5</v>
      </c>
      <c r="AH46" s="143">
        <f t="shared" si="4"/>
        <v>1.5</v>
      </c>
      <c r="AI46" s="143">
        <f t="shared" si="4"/>
        <v>6</v>
      </c>
      <c r="AJ46" s="143">
        <f t="shared" si="4"/>
        <v>1.5</v>
      </c>
      <c r="AK46" s="143">
        <f t="shared" si="4"/>
        <v>6.5</v>
      </c>
      <c r="AL46" s="143">
        <f t="shared" si="4"/>
        <v>1.5</v>
      </c>
      <c r="AM46" s="143">
        <f t="shared" si="4"/>
        <v>5.5</v>
      </c>
      <c r="AN46" s="112"/>
      <c r="AO46" s="112"/>
      <c r="AP46" s="112"/>
      <c r="AQ46" s="112"/>
      <c r="AR46" s="112"/>
      <c r="AS46" s="112"/>
      <c r="AT46" s="112"/>
      <c r="AU46" s="112"/>
      <c r="AV46" s="112"/>
      <c r="AW46" s="112"/>
      <c r="AX46" s="112"/>
      <c r="AY46" s="112"/>
      <c r="AZ46" s="112"/>
      <c r="BA46" s="112"/>
      <c r="BB46" s="112"/>
      <c r="BC46" s="112"/>
      <c r="BD46" s="112"/>
      <c r="BE46" s="112"/>
      <c r="BF46" s="112"/>
      <c r="BG46" s="112"/>
      <c r="BH46" s="112"/>
      <c r="BI46" s="112"/>
      <c r="BJ46" s="112"/>
      <c r="BK46" s="112"/>
      <c r="BL46" s="112"/>
      <c r="BM46" s="112"/>
      <c r="BN46" s="112"/>
      <c r="BO46" s="112"/>
      <c r="BP46" s="112"/>
      <c r="BQ46" s="112"/>
      <c r="BR46" s="112"/>
      <c r="BS46" s="112"/>
      <c r="BT46" s="112"/>
      <c r="BU46" s="112"/>
      <c r="BV46" s="112"/>
      <c r="BW46" s="112"/>
      <c r="BX46" s="112"/>
      <c r="BY46" s="112"/>
      <c r="BZ46" s="112"/>
      <c r="CA46" s="112"/>
      <c r="CB46" s="112"/>
      <c r="CC46" s="112"/>
      <c r="CD46" s="112"/>
      <c r="CE46" s="112"/>
      <c r="CF46" s="112"/>
      <c r="CG46" s="112"/>
      <c r="CH46" s="112"/>
      <c r="CI46" s="112"/>
      <c r="CJ46" s="112"/>
      <c r="CK46" s="112"/>
      <c r="CL46" s="112"/>
      <c r="CM46" s="112"/>
      <c r="CN46" s="112"/>
      <c r="CO46" s="112"/>
      <c r="CP46" s="112"/>
      <c r="CQ46" s="112"/>
      <c r="CR46" s="112"/>
      <c r="CS46" s="112"/>
      <c r="CT46" s="112"/>
      <c r="CU46" s="112"/>
      <c r="CV46" s="112"/>
      <c r="CW46" s="112"/>
      <c r="CX46" s="112"/>
      <c r="CY46" s="112"/>
      <c r="CZ46" s="112"/>
      <c r="DA46" s="112"/>
      <c r="DB46" s="112"/>
      <c r="DC46" s="112"/>
      <c r="DD46" s="112"/>
      <c r="DE46" s="112"/>
      <c r="DF46" s="112"/>
      <c r="DG46" s="112"/>
      <c r="DH46" s="112"/>
      <c r="DI46" s="112"/>
      <c r="DJ46" s="112"/>
      <c r="DK46" s="112"/>
      <c r="DL46" s="112"/>
      <c r="DM46" s="112"/>
      <c r="DN46" s="112"/>
      <c r="DO46" s="112"/>
      <c r="DP46" s="112"/>
      <c r="DQ46" s="112"/>
      <c r="DR46" s="112"/>
      <c r="DS46" s="112"/>
      <c r="DT46" s="112"/>
      <c r="DU46" s="112"/>
      <c r="DV46" s="112"/>
      <c r="DW46" s="112"/>
      <c r="DX46" s="112"/>
      <c r="DY46" s="112"/>
      <c r="DZ46" s="112"/>
      <c r="EA46" s="112"/>
      <c r="EB46" s="112"/>
      <c r="EC46" s="112"/>
      <c r="ED46" s="112"/>
      <c r="EE46" s="112"/>
      <c r="EF46" s="112"/>
      <c r="EG46" s="112"/>
      <c r="EH46" s="112"/>
      <c r="EI46" s="112"/>
      <c r="EJ46" s="112"/>
      <c r="EK46" s="112"/>
      <c r="EL46" s="112"/>
      <c r="EM46" s="112"/>
      <c r="EN46" s="112"/>
      <c r="EO46" s="112"/>
      <c r="EP46" s="112"/>
      <c r="EQ46" s="112"/>
      <c r="ER46" s="112"/>
      <c r="ES46" s="112"/>
      <c r="ET46" s="112"/>
      <c r="EU46" s="112"/>
      <c r="EV46" s="112"/>
      <c r="EW46" s="112"/>
      <c r="EX46" s="112"/>
      <c r="EY46" s="112"/>
      <c r="EZ46" s="112"/>
      <c r="FA46" s="112"/>
      <c r="FB46" s="112"/>
      <c r="FC46" s="112"/>
      <c r="FD46" s="112"/>
      <c r="FE46" s="112"/>
      <c r="FF46" s="112"/>
      <c r="FG46" s="112"/>
      <c r="FH46" s="112"/>
      <c r="FI46" s="112"/>
      <c r="FJ46" s="112"/>
      <c r="FK46" s="112"/>
      <c r="FL46" s="112"/>
      <c r="FM46" s="112"/>
      <c r="FN46" s="112"/>
      <c r="FO46" s="112"/>
      <c r="FP46" s="112"/>
      <c r="FQ46" s="112"/>
      <c r="FR46" s="112"/>
      <c r="FS46" s="112"/>
      <c r="FT46" s="112"/>
      <c r="FU46" s="112"/>
      <c r="FV46" s="112"/>
      <c r="FW46" s="112"/>
      <c r="FX46" s="112"/>
      <c r="FY46" s="112"/>
      <c r="FZ46" s="112"/>
      <c r="GA46" s="112"/>
      <c r="GB46" s="112"/>
      <c r="GC46" s="112"/>
      <c r="GD46" s="112"/>
      <c r="GE46" s="112"/>
      <c r="GF46" s="112"/>
      <c r="GG46" s="112"/>
      <c r="GH46" s="112"/>
      <c r="GI46" s="112"/>
      <c r="GJ46" s="112"/>
      <c r="GK46" s="112"/>
      <c r="GL46" s="112"/>
      <c r="GM46" s="112"/>
      <c r="GN46" s="112"/>
      <c r="GO46" s="112"/>
      <c r="GP46" s="112"/>
      <c r="GQ46" s="112"/>
      <c r="GR46" s="112"/>
      <c r="GS46" s="112"/>
      <c r="GT46" s="112"/>
      <c r="GU46" s="112"/>
      <c r="GV46" s="112"/>
      <c r="GW46" s="112"/>
      <c r="GX46" s="112"/>
      <c r="GY46" s="112"/>
      <c r="GZ46" s="112"/>
      <c r="HA46" s="112"/>
      <c r="HB46" s="112"/>
      <c r="HC46" s="112"/>
      <c r="HD46" s="112"/>
      <c r="HE46" s="112"/>
      <c r="HF46" s="112"/>
      <c r="HG46" s="112"/>
      <c r="HH46" s="112"/>
      <c r="HI46" s="112"/>
      <c r="HJ46" s="112"/>
      <c r="HK46" s="112"/>
      <c r="HL46" s="112"/>
      <c r="HM46" s="112"/>
      <c r="HN46" s="112"/>
      <c r="HO46" s="112"/>
      <c r="HP46" s="112"/>
      <c r="HQ46" s="112"/>
      <c r="HR46" s="112"/>
      <c r="HS46" s="112"/>
      <c r="HT46" s="112"/>
      <c r="HU46" s="112"/>
      <c r="HV46" s="112"/>
      <c r="HW46" s="112"/>
      <c r="HX46" s="112"/>
      <c r="HY46" s="112"/>
      <c r="HZ46" s="112"/>
      <c r="IA46" s="112"/>
      <c r="IB46" s="112"/>
      <c r="IC46" s="112"/>
      <c r="ID46" s="112"/>
      <c r="IE46" s="112"/>
      <c r="IF46" s="112"/>
      <c r="IG46" s="112"/>
      <c r="IH46" s="112"/>
      <c r="II46" s="112"/>
      <c r="IJ46" s="112"/>
      <c r="IK46" s="112"/>
      <c r="IL46" s="112"/>
      <c r="IM46" s="112"/>
      <c r="IN46" s="112"/>
      <c r="IO46" s="112"/>
      <c r="IP46" s="112"/>
      <c r="IQ46" s="112"/>
      <c r="IR46" s="112"/>
      <c r="IS46" s="112"/>
      <c r="IT46" s="112"/>
      <c r="IU46" s="112"/>
    </row>
    <row r="47" spans="1:255" ht="25.35" customHeight="1" x14ac:dyDescent="0.2">
      <c r="A47" s="1593"/>
      <c r="B47" s="1595"/>
      <c r="C47" s="141" t="s">
        <v>231</v>
      </c>
      <c r="D47" s="142" t="s">
        <v>50</v>
      </c>
      <c r="E47" s="143">
        <v>2</v>
      </c>
      <c r="F47" s="143"/>
      <c r="G47" s="143">
        <v>2</v>
      </c>
      <c r="H47" s="143"/>
      <c r="I47" s="143">
        <v>2</v>
      </c>
      <c r="J47" s="143"/>
      <c r="K47" s="143">
        <v>2</v>
      </c>
      <c r="L47" s="143"/>
      <c r="M47" s="143">
        <v>2</v>
      </c>
      <c r="N47" s="143"/>
      <c r="O47" s="143">
        <v>2</v>
      </c>
      <c r="P47" s="143"/>
      <c r="Q47" s="143">
        <v>2</v>
      </c>
      <c r="R47" s="143"/>
      <c r="S47" s="143">
        <v>2</v>
      </c>
      <c r="T47" s="143"/>
      <c r="U47" s="143">
        <v>2</v>
      </c>
      <c r="V47" s="143"/>
      <c r="W47" s="143">
        <v>4</v>
      </c>
      <c r="X47" s="143"/>
      <c r="Y47" s="143">
        <v>2</v>
      </c>
      <c r="Z47" s="143"/>
      <c r="AA47" s="143">
        <v>2</v>
      </c>
      <c r="AB47" s="143"/>
      <c r="AC47" s="143">
        <v>4</v>
      </c>
      <c r="AD47" s="143"/>
      <c r="AE47" s="143">
        <v>4</v>
      </c>
      <c r="AF47" s="143"/>
      <c r="AG47" s="143">
        <v>4</v>
      </c>
      <c r="AH47" s="143"/>
      <c r="AI47" s="143">
        <v>4</v>
      </c>
      <c r="AJ47" s="143"/>
      <c r="AK47" s="143">
        <v>4</v>
      </c>
      <c r="AL47" s="143"/>
      <c r="AM47" s="143">
        <v>2</v>
      </c>
      <c r="AN47" s="112"/>
      <c r="AO47" s="112"/>
      <c r="AP47" s="112"/>
      <c r="AQ47" s="112"/>
      <c r="AR47" s="112"/>
      <c r="AS47" s="112"/>
      <c r="AT47" s="112"/>
      <c r="AU47" s="112"/>
      <c r="AV47" s="112"/>
      <c r="AW47" s="112"/>
      <c r="AX47" s="112"/>
      <c r="AY47" s="112"/>
      <c r="AZ47" s="112"/>
      <c r="BA47" s="112"/>
      <c r="BB47" s="112"/>
      <c r="BC47" s="112"/>
      <c r="BD47" s="112"/>
      <c r="BE47" s="112"/>
      <c r="BF47" s="112"/>
      <c r="BG47" s="112"/>
      <c r="BH47" s="112"/>
      <c r="BI47" s="112"/>
      <c r="BJ47" s="112"/>
      <c r="BK47" s="112"/>
      <c r="BL47" s="112"/>
      <c r="BM47" s="112"/>
      <c r="BN47" s="112"/>
      <c r="BO47" s="112"/>
      <c r="BP47" s="112"/>
      <c r="BQ47" s="112"/>
      <c r="BR47" s="112"/>
      <c r="BS47" s="112"/>
      <c r="BT47" s="112"/>
      <c r="BU47" s="112"/>
      <c r="BV47" s="112"/>
      <c r="BW47" s="112"/>
      <c r="BX47" s="112"/>
      <c r="BY47" s="112"/>
      <c r="BZ47" s="112"/>
      <c r="CA47" s="112"/>
      <c r="CB47" s="112"/>
      <c r="CC47" s="112"/>
      <c r="CD47" s="112"/>
      <c r="CE47" s="112"/>
      <c r="CF47" s="112"/>
      <c r="CG47" s="112"/>
      <c r="CH47" s="112"/>
      <c r="CI47" s="112"/>
      <c r="CJ47" s="112"/>
      <c r="CK47" s="112"/>
      <c r="CL47" s="112"/>
      <c r="CM47" s="112"/>
      <c r="CN47" s="112"/>
      <c r="CO47" s="112"/>
      <c r="CP47" s="112"/>
      <c r="CQ47" s="112"/>
      <c r="CR47" s="112"/>
      <c r="CS47" s="112"/>
      <c r="CT47" s="112"/>
      <c r="CU47" s="112"/>
      <c r="CV47" s="112"/>
      <c r="CW47" s="112"/>
      <c r="CX47" s="112"/>
      <c r="CY47" s="112"/>
      <c r="CZ47" s="112"/>
      <c r="DA47" s="112"/>
      <c r="DB47" s="112"/>
      <c r="DC47" s="112"/>
      <c r="DD47" s="112"/>
      <c r="DE47" s="112"/>
      <c r="DF47" s="112"/>
      <c r="DG47" s="112"/>
      <c r="DH47" s="112"/>
      <c r="DI47" s="112"/>
      <c r="DJ47" s="112"/>
      <c r="DK47" s="112"/>
      <c r="DL47" s="112"/>
      <c r="DM47" s="112"/>
      <c r="DN47" s="112"/>
      <c r="DO47" s="112"/>
      <c r="DP47" s="112"/>
      <c r="DQ47" s="112"/>
      <c r="DR47" s="112"/>
      <c r="DS47" s="112"/>
      <c r="DT47" s="112"/>
      <c r="DU47" s="112"/>
      <c r="DV47" s="112"/>
      <c r="DW47" s="112"/>
      <c r="DX47" s="112"/>
      <c r="DY47" s="112"/>
      <c r="DZ47" s="112"/>
      <c r="EA47" s="112"/>
      <c r="EB47" s="112"/>
      <c r="EC47" s="112"/>
      <c r="ED47" s="112"/>
      <c r="EE47" s="112"/>
      <c r="EF47" s="112"/>
      <c r="EG47" s="112"/>
      <c r="EH47" s="112"/>
      <c r="EI47" s="112"/>
      <c r="EJ47" s="112"/>
      <c r="EK47" s="112"/>
      <c r="EL47" s="112"/>
      <c r="EM47" s="112"/>
      <c r="EN47" s="112"/>
      <c r="EO47" s="112"/>
      <c r="EP47" s="112"/>
      <c r="EQ47" s="112"/>
      <c r="ER47" s="112"/>
      <c r="ES47" s="112"/>
      <c r="ET47" s="112"/>
      <c r="EU47" s="112"/>
      <c r="EV47" s="112"/>
      <c r="EW47" s="112"/>
      <c r="EX47" s="112"/>
      <c r="EY47" s="112"/>
      <c r="EZ47" s="112"/>
      <c r="FA47" s="112"/>
      <c r="FB47" s="112"/>
      <c r="FC47" s="112"/>
      <c r="FD47" s="112"/>
      <c r="FE47" s="112"/>
      <c r="FF47" s="112"/>
      <c r="FG47" s="112"/>
      <c r="FH47" s="112"/>
      <c r="FI47" s="112"/>
      <c r="FJ47" s="112"/>
      <c r="FK47" s="112"/>
      <c r="FL47" s="112"/>
      <c r="FM47" s="112"/>
      <c r="FN47" s="112"/>
      <c r="FO47" s="112"/>
      <c r="FP47" s="112"/>
      <c r="FQ47" s="112"/>
      <c r="FR47" s="112"/>
      <c r="FS47" s="112"/>
      <c r="FT47" s="112"/>
      <c r="FU47" s="112"/>
      <c r="FV47" s="112"/>
      <c r="FW47" s="112"/>
      <c r="FX47" s="112"/>
      <c r="FY47" s="112"/>
      <c r="FZ47" s="112"/>
      <c r="GA47" s="112"/>
      <c r="GB47" s="112"/>
      <c r="GC47" s="112"/>
      <c r="GD47" s="112"/>
      <c r="GE47" s="112"/>
      <c r="GF47" s="112"/>
      <c r="GG47" s="112"/>
      <c r="GH47" s="112"/>
      <c r="GI47" s="112"/>
      <c r="GJ47" s="112"/>
      <c r="GK47" s="112"/>
      <c r="GL47" s="112"/>
      <c r="GM47" s="112"/>
      <c r="GN47" s="112"/>
      <c r="GO47" s="112"/>
      <c r="GP47" s="112"/>
      <c r="GQ47" s="112"/>
      <c r="GR47" s="112"/>
      <c r="GS47" s="112"/>
      <c r="GT47" s="112"/>
      <c r="GU47" s="112"/>
      <c r="GV47" s="112"/>
      <c r="GW47" s="112"/>
      <c r="GX47" s="112"/>
      <c r="GY47" s="112"/>
      <c r="GZ47" s="112"/>
      <c r="HA47" s="112"/>
      <c r="HB47" s="112"/>
      <c r="HC47" s="112"/>
      <c r="HD47" s="112"/>
      <c r="HE47" s="112"/>
      <c r="HF47" s="112"/>
      <c r="HG47" s="112"/>
      <c r="HH47" s="112"/>
      <c r="HI47" s="112"/>
      <c r="HJ47" s="112"/>
      <c r="HK47" s="112"/>
      <c r="HL47" s="112"/>
      <c r="HM47" s="112"/>
      <c r="HN47" s="112"/>
      <c r="HO47" s="112"/>
      <c r="HP47" s="112"/>
      <c r="HQ47" s="112"/>
      <c r="HR47" s="112"/>
      <c r="HS47" s="112"/>
      <c r="HT47" s="112"/>
      <c r="HU47" s="112"/>
      <c r="HV47" s="112"/>
      <c r="HW47" s="112"/>
      <c r="HX47" s="112"/>
      <c r="HY47" s="112"/>
      <c r="HZ47" s="112"/>
      <c r="IA47" s="112"/>
      <c r="IB47" s="112"/>
      <c r="IC47" s="112"/>
      <c r="ID47" s="112"/>
      <c r="IE47" s="112"/>
      <c r="IF47" s="112"/>
      <c r="IG47" s="112"/>
      <c r="IH47" s="112"/>
      <c r="II47" s="112"/>
      <c r="IJ47" s="112"/>
      <c r="IK47" s="112"/>
      <c r="IL47" s="112"/>
      <c r="IM47" s="112"/>
      <c r="IN47" s="112"/>
      <c r="IO47" s="112"/>
      <c r="IP47" s="112"/>
      <c r="IQ47" s="112"/>
      <c r="IR47" s="112"/>
      <c r="IS47" s="112"/>
      <c r="IT47" s="112"/>
      <c r="IU47" s="112"/>
    </row>
    <row r="48" spans="1:255" ht="25.35" customHeight="1" x14ac:dyDescent="0.2">
      <c r="A48" s="1593"/>
      <c r="B48" s="1595"/>
      <c r="C48" s="141" t="s">
        <v>1190</v>
      </c>
      <c r="D48" s="142" t="s">
        <v>50</v>
      </c>
      <c r="E48" s="143">
        <v>2</v>
      </c>
      <c r="F48" s="143"/>
      <c r="G48" s="143">
        <v>2</v>
      </c>
      <c r="H48" s="143"/>
      <c r="I48" s="143">
        <v>2</v>
      </c>
      <c r="J48" s="143"/>
      <c r="K48" s="143">
        <v>2</v>
      </c>
      <c r="L48" s="143"/>
      <c r="M48" s="143">
        <v>2</v>
      </c>
      <c r="N48" s="143"/>
      <c r="O48" s="143">
        <v>2</v>
      </c>
      <c r="P48" s="143"/>
      <c r="Q48" s="143">
        <v>2</v>
      </c>
      <c r="R48" s="143"/>
      <c r="S48" s="143">
        <v>2</v>
      </c>
      <c r="T48" s="143"/>
      <c r="U48" s="143">
        <v>2</v>
      </c>
      <c r="V48" s="143"/>
      <c r="W48" s="143">
        <v>4</v>
      </c>
      <c r="X48" s="143"/>
      <c r="Y48" s="143">
        <v>4</v>
      </c>
      <c r="Z48" s="143"/>
      <c r="AA48" s="143">
        <v>4</v>
      </c>
      <c r="AB48" s="143"/>
      <c r="AC48" s="143">
        <v>4</v>
      </c>
      <c r="AD48" s="143"/>
      <c r="AE48" s="143">
        <v>4</v>
      </c>
      <c r="AF48" s="143"/>
      <c r="AG48" s="143">
        <v>4</v>
      </c>
      <c r="AH48" s="143"/>
      <c r="AI48" s="143">
        <v>4</v>
      </c>
      <c r="AJ48" s="143"/>
      <c r="AK48" s="143">
        <v>4</v>
      </c>
      <c r="AL48" s="143"/>
      <c r="AM48" s="143">
        <v>4</v>
      </c>
      <c r="AN48" s="112"/>
      <c r="AO48" s="112"/>
      <c r="AP48" s="112"/>
      <c r="AQ48" s="112"/>
      <c r="AR48" s="112"/>
      <c r="AS48" s="112"/>
      <c r="AT48" s="112"/>
      <c r="AU48" s="112"/>
      <c r="AV48" s="112"/>
      <c r="AW48" s="112"/>
      <c r="AX48" s="112"/>
      <c r="AY48" s="112"/>
      <c r="AZ48" s="112"/>
      <c r="BA48" s="112"/>
      <c r="BB48" s="112"/>
      <c r="BC48" s="112"/>
      <c r="BD48" s="112"/>
      <c r="BE48" s="112"/>
      <c r="BF48" s="112"/>
      <c r="BG48" s="112"/>
      <c r="BH48" s="112"/>
      <c r="BI48" s="112"/>
      <c r="BJ48" s="112"/>
      <c r="BK48" s="112"/>
      <c r="BL48" s="112"/>
      <c r="BM48" s="112"/>
      <c r="BN48" s="112"/>
      <c r="BO48" s="112"/>
      <c r="BP48" s="112"/>
      <c r="BQ48" s="112"/>
      <c r="BR48" s="112"/>
      <c r="BS48" s="112"/>
      <c r="BT48" s="112"/>
      <c r="BU48" s="112"/>
      <c r="BV48" s="112"/>
      <c r="BW48" s="112"/>
      <c r="BX48" s="112"/>
      <c r="BY48" s="112"/>
      <c r="BZ48" s="112"/>
      <c r="CA48" s="112"/>
      <c r="CB48" s="112"/>
      <c r="CC48" s="112"/>
      <c r="CD48" s="112"/>
      <c r="CE48" s="112"/>
      <c r="CF48" s="112"/>
      <c r="CG48" s="112"/>
      <c r="CH48" s="112"/>
      <c r="CI48" s="112"/>
      <c r="CJ48" s="112"/>
      <c r="CK48" s="112"/>
      <c r="CL48" s="112"/>
      <c r="CM48" s="112"/>
      <c r="CN48" s="112"/>
      <c r="CO48" s="112"/>
      <c r="CP48" s="112"/>
      <c r="CQ48" s="112"/>
      <c r="CR48" s="112"/>
      <c r="CS48" s="112"/>
      <c r="CT48" s="112"/>
      <c r="CU48" s="112"/>
      <c r="CV48" s="112"/>
      <c r="CW48" s="112"/>
      <c r="CX48" s="112"/>
      <c r="CY48" s="112"/>
      <c r="CZ48" s="112"/>
      <c r="DA48" s="112"/>
      <c r="DB48" s="112"/>
      <c r="DC48" s="112"/>
      <c r="DD48" s="112"/>
      <c r="DE48" s="112"/>
      <c r="DF48" s="112"/>
      <c r="DG48" s="112"/>
      <c r="DH48" s="112"/>
      <c r="DI48" s="112"/>
      <c r="DJ48" s="112"/>
      <c r="DK48" s="112"/>
      <c r="DL48" s="112"/>
      <c r="DM48" s="112"/>
      <c r="DN48" s="112"/>
      <c r="DO48" s="112"/>
      <c r="DP48" s="112"/>
      <c r="DQ48" s="112"/>
      <c r="DR48" s="112"/>
      <c r="DS48" s="112"/>
      <c r="DT48" s="112"/>
      <c r="DU48" s="112"/>
      <c r="DV48" s="112"/>
      <c r="DW48" s="112"/>
      <c r="DX48" s="112"/>
      <c r="DY48" s="112"/>
      <c r="DZ48" s="112"/>
      <c r="EA48" s="112"/>
      <c r="EB48" s="112"/>
      <c r="EC48" s="112"/>
      <c r="ED48" s="112"/>
      <c r="EE48" s="112"/>
      <c r="EF48" s="112"/>
      <c r="EG48" s="112"/>
      <c r="EH48" s="112"/>
      <c r="EI48" s="112"/>
      <c r="EJ48" s="112"/>
      <c r="EK48" s="112"/>
      <c r="EL48" s="112"/>
      <c r="EM48" s="112"/>
      <c r="EN48" s="112"/>
      <c r="EO48" s="112"/>
      <c r="EP48" s="112"/>
      <c r="EQ48" s="112"/>
      <c r="ER48" s="112"/>
      <c r="ES48" s="112"/>
      <c r="ET48" s="112"/>
      <c r="EU48" s="112"/>
      <c r="EV48" s="112"/>
      <c r="EW48" s="112"/>
      <c r="EX48" s="112"/>
      <c r="EY48" s="112"/>
      <c r="EZ48" s="112"/>
      <c r="FA48" s="112"/>
      <c r="FB48" s="112"/>
      <c r="FC48" s="112"/>
      <c r="FD48" s="112"/>
      <c r="FE48" s="112"/>
      <c r="FF48" s="112"/>
      <c r="FG48" s="112"/>
      <c r="FH48" s="112"/>
      <c r="FI48" s="112"/>
      <c r="FJ48" s="112"/>
      <c r="FK48" s="112"/>
      <c r="FL48" s="112"/>
      <c r="FM48" s="112"/>
      <c r="FN48" s="112"/>
      <c r="FO48" s="112"/>
      <c r="FP48" s="112"/>
      <c r="FQ48" s="112"/>
      <c r="FR48" s="112"/>
      <c r="FS48" s="112"/>
      <c r="FT48" s="112"/>
      <c r="FU48" s="112"/>
      <c r="FV48" s="112"/>
      <c r="FW48" s="112"/>
      <c r="FX48" s="112"/>
      <c r="FY48" s="112"/>
      <c r="FZ48" s="112"/>
      <c r="GA48" s="112"/>
      <c r="GB48" s="112"/>
      <c r="GC48" s="112"/>
      <c r="GD48" s="112"/>
      <c r="GE48" s="112"/>
      <c r="GF48" s="112"/>
      <c r="GG48" s="112"/>
      <c r="GH48" s="112"/>
      <c r="GI48" s="112"/>
      <c r="GJ48" s="112"/>
      <c r="GK48" s="112"/>
      <c r="GL48" s="112"/>
      <c r="GM48" s="112"/>
      <c r="GN48" s="112"/>
      <c r="GO48" s="112"/>
      <c r="GP48" s="112"/>
      <c r="GQ48" s="112"/>
      <c r="GR48" s="112"/>
      <c r="GS48" s="112"/>
      <c r="GT48" s="112"/>
      <c r="GU48" s="112"/>
      <c r="GV48" s="112"/>
      <c r="GW48" s="112"/>
      <c r="GX48" s="112"/>
      <c r="GY48" s="112"/>
      <c r="GZ48" s="112"/>
      <c r="HA48" s="112"/>
      <c r="HB48" s="112"/>
      <c r="HC48" s="112"/>
      <c r="HD48" s="112"/>
      <c r="HE48" s="112"/>
      <c r="HF48" s="112"/>
      <c r="HG48" s="112"/>
      <c r="HH48" s="112"/>
      <c r="HI48" s="112"/>
      <c r="HJ48" s="112"/>
      <c r="HK48" s="112"/>
      <c r="HL48" s="112"/>
      <c r="HM48" s="112"/>
      <c r="HN48" s="112"/>
      <c r="HO48" s="112"/>
      <c r="HP48" s="112"/>
      <c r="HQ48" s="112"/>
      <c r="HR48" s="112"/>
      <c r="HS48" s="112"/>
      <c r="HT48" s="112"/>
      <c r="HU48" s="112"/>
      <c r="HV48" s="112"/>
      <c r="HW48" s="112"/>
      <c r="HX48" s="112"/>
      <c r="HY48" s="112"/>
      <c r="HZ48" s="112"/>
      <c r="IA48" s="112"/>
      <c r="IB48" s="112"/>
      <c r="IC48" s="112"/>
      <c r="ID48" s="112"/>
      <c r="IE48" s="112"/>
      <c r="IF48" s="112"/>
      <c r="IG48" s="112"/>
      <c r="IH48" s="112"/>
      <c r="II48" s="112"/>
      <c r="IJ48" s="112"/>
      <c r="IK48" s="112"/>
      <c r="IL48" s="112"/>
      <c r="IM48" s="112"/>
      <c r="IN48" s="112"/>
      <c r="IO48" s="112"/>
      <c r="IP48" s="112"/>
      <c r="IQ48" s="112"/>
      <c r="IR48" s="112"/>
      <c r="IS48" s="112"/>
      <c r="IT48" s="112"/>
      <c r="IU48" s="112"/>
    </row>
    <row r="49" spans="1:255" ht="25.35" customHeight="1" x14ac:dyDescent="0.2">
      <c r="A49" s="1593"/>
      <c r="B49" s="1595"/>
      <c r="C49" s="433" t="s">
        <v>233</v>
      </c>
      <c r="D49" s="434" t="s">
        <v>50</v>
      </c>
      <c r="E49" s="143">
        <v>1</v>
      </c>
      <c r="F49" s="143"/>
      <c r="G49" s="143">
        <v>1</v>
      </c>
      <c r="H49" s="143"/>
      <c r="I49" s="143">
        <v>1</v>
      </c>
      <c r="J49" s="143"/>
      <c r="K49" s="143">
        <v>1</v>
      </c>
      <c r="L49" s="143"/>
      <c r="M49" s="143">
        <v>1</v>
      </c>
      <c r="N49" s="143"/>
      <c r="O49" s="143">
        <v>1</v>
      </c>
      <c r="P49" s="143"/>
      <c r="Q49" s="143">
        <v>1</v>
      </c>
      <c r="R49" s="143"/>
      <c r="S49" s="143">
        <v>1</v>
      </c>
      <c r="T49" s="143"/>
      <c r="U49" s="143">
        <v>1</v>
      </c>
      <c r="V49" s="143"/>
      <c r="W49" s="143">
        <v>3</v>
      </c>
      <c r="X49" s="143"/>
      <c r="Y49" s="143">
        <v>3</v>
      </c>
      <c r="Z49" s="143"/>
      <c r="AA49" s="143">
        <v>3</v>
      </c>
      <c r="AB49" s="143"/>
      <c r="AC49" s="143">
        <v>3</v>
      </c>
      <c r="AD49" s="143"/>
      <c r="AE49" s="143">
        <v>3</v>
      </c>
      <c r="AF49" s="143"/>
      <c r="AG49" s="143">
        <v>3</v>
      </c>
      <c r="AH49" s="143"/>
      <c r="AI49" s="143">
        <v>3</v>
      </c>
      <c r="AJ49" s="143"/>
      <c r="AK49" s="143">
        <v>3</v>
      </c>
      <c r="AL49" s="143"/>
      <c r="AM49" s="143">
        <v>3</v>
      </c>
      <c r="AN49" s="112"/>
      <c r="AO49" s="112"/>
      <c r="AP49" s="112"/>
      <c r="AQ49" s="112"/>
      <c r="AR49" s="112"/>
      <c r="AS49" s="112"/>
      <c r="AT49" s="112"/>
      <c r="AU49" s="112"/>
      <c r="AV49" s="112"/>
      <c r="AW49" s="112"/>
      <c r="AX49" s="112"/>
      <c r="AY49" s="112"/>
      <c r="AZ49" s="112"/>
      <c r="BA49" s="112"/>
      <c r="BB49" s="112"/>
      <c r="BC49" s="112"/>
      <c r="BD49" s="112"/>
      <c r="BE49" s="112"/>
      <c r="BF49" s="112"/>
      <c r="BG49" s="112"/>
      <c r="BH49" s="112"/>
      <c r="BI49" s="112"/>
      <c r="BJ49" s="112"/>
      <c r="BK49" s="112"/>
      <c r="BL49" s="112"/>
      <c r="BM49" s="112"/>
      <c r="BN49" s="112"/>
      <c r="BO49" s="112"/>
      <c r="BP49" s="112"/>
      <c r="BQ49" s="112"/>
      <c r="BR49" s="112"/>
      <c r="BS49" s="112"/>
      <c r="BT49" s="112"/>
      <c r="BU49" s="112"/>
      <c r="BV49" s="112"/>
      <c r="BW49" s="112"/>
      <c r="BX49" s="112"/>
      <c r="BY49" s="112"/>
      <c r="BZ49" s="112"/>
      <c r="CA49" s="112"/>
      <c r="CB49" s="112"/>
      <c r="CC49" s="112"/>
      <c r="CD49" s="112"/>
      <c r="CE49" s="112"/>
      <c r="CF49" s="112"/>
      <c r="CG49" s="112"/>
      <c r="CH49" s="112"/>
      <c r="CI49" s="112"/>
      <c r="CJ49" s="112"/>
      <c r="CK49" s="112"/>
      <c r="CL49" s="112"/>
      <c r="CM49" s="112"/>
      <c r="CN49" s="112"/>
      <c r="CO49" s="112"/>
      <c r="CP49" s="112"/>
      <c r="CQ49" s="112"/>
      <c r="CR49" s="112"/>
      <c r="CS49" s="112"/>
      <c r="CT49" s="112"/>
      <c r="CU49" s="112"/>
      <c r="CV49" s="112"/>
      <c r="CW49" s="112"/>
      <c r="CX49" s="112"/>
      <c r="CY49" s="112"/>
      <c r="CZ49" s="112"/>
      <c r="DA49" s="112"/>
      <c r="DB49" s="112"/>
      <c r="DC49" s="112"/>
      <c r="DD49" s="112"/>
      <c r="DE49" s="112"/>
      <c r="DF49" s="112"/>
      <c r="DG49" s="112"/>
      <c r="DH49" s="112"/>
      <c r="DI49" s="112"/>
      <c r="DJ49" s="112"/>
      <c r="DK49" s="112"/>
      <c r="DL49" s="112"/>
      <c r="DM49" s="112"/>
      <c r="DN49" s="112"/>
      <c r="DO49" s="112"/>
      <c r="DP49" s="112"/>
      <c r="DQ49" s="112"/>
      <c r="DR49" s="112"/>
      <c r="DS49" s="112"/>
      <c r="DT49" s="112"/>
      <c r="DU49" s="112"/>
      <c r="DV49" s="112"/>
      <c r="DW49" s="112"/>
      <c r="DX49" s="112"/>
      <c r="DY49" s="112"/>
      <c r="DZ49" s="112"/>
      <c r="EA49" s="112"/>
      <c r="EB49" s="112"/>
      <c r="EC49" s="112"/>
      <c r="ED49" s="112"/>
      <c r="EE49" s="112"/>
      <c r="EF49" s="112"/>
      <c r="EG49" s="112"/>
      <c r="EH49" s="112"/>
      <c r="EI49" s="112"/>
      <c r="EJ49" s="112"/>
      <c r="EK49" s="112"/>
      <c r="EL49" s="112"/>
      <c r="EM49" s="112"/>
      <c r="EN49" s="112"/>
      <c r="EO49" s="112"/>
      <c r="EP49" s="112"/>
      <c r="EQ49" s="112"/>
      <c r="ER49" s="112"/>
      <c r="ES49" s="112"/>
      <c r="ET49" s="112"/>
      <c r="EU49" s="112"/>
      <c r="EV49" s="112"/>
      <c r="EW49" s="112"/>
      <c r="EX49" s="112"/>
      <c r="EY49" s="112"/>
      <c r="EZ49" s="112"/>
      <c r="FA49" s="112"/>
      <c r="FB49" s="112"/>
      <c r="FC49" s="112"/>
      <c r="FD49" s="112"/>
      <c r="FE49" s="112"/>
      <c r="FF49" s="112"/>
      <c r="FG49" s="112"/>
      <c r="FH49" s="112"/>
      <c r="FI49" s="112"/>
      <c r="FJ49" s="112"/>
      <c r="FK49" s="112"/>
      <c r="FL49" s="112"/>
      <c r="FM49" s="112"/>
      <c r="FN49" s="112"/>
      <c r="FO49" s="112"/>
      <c r="FP49" s="112"/>
      <c r="FQ49" s="112"/>
      <c r="FR49" s="112"/>
      <c r="FS49" s="112"/>
      <c r="FT49" s="112"/>
      <c r="FU49" s="112"/>
      <c r="FV49" s="112"/>
      <c r="FW49" s="112"/>
      <c r="FX49" s="112"/>
      <c r="FY49" s="112"/>
      <c r="FZ49" s="112"/>
      <c r="GA49" s="112"/>
      <c r="GB49" s="112"/>
      <c r="GC49" s="112"/>
      <c r="GD49" s="112"/>
      <c r="GE49" s="112"/>
      <c r="GF49" s="112"/>
      <c r="GG49" s="112"/>
      <c r="GH49" s="112"/>
      <c r="GI49" s="112"/>
      <c r="GJ49" s="112"/>
      <c r="GK49" s="112"/>
      <c r="GL49" s="112"/>
      <c r="GM49" s="112"/>
      <c r="GN49" s="112"/>
      <c r="GO49" s="112"/>
      <c r="GP49" s="112"/>
      <c r="GQ49" s="112"/>
      <c r="GR49" s="112"/>
      <c r="GS49" s="112"/>
      <c r="GT49" s="112"/>
      <c r="GU49" s="112"/>
      <c r="GV49" s="112"/>
      <c r="GW49" s="112"/>
      <c r="GX49" s="112"/>
      <c r="GY49" s="112"/>
      <c r="GZ49" s="112"/>
      <c r="HA49" s="112"/>
      <c r="HB49" s="112"/>
      <c r="HC49" s="112"/>
      <c r="HD49" s="112"/>
      <c r="HE49" s="112"/>
      <c r="HF49" s="112"/>
      <c r="HG49" s="112"/>
      <c r="HH49" s="112"/>
      <c r="HI49" s="112"/>
      <c r="HJ49" s="112"/>
      <c r="HK49" s="112"/>
      <c r="HL49" s="112"/>
      <c r="HM49" s="112"/>
      <c r="HN49" s="112"/>
      <c r="HO49" s="112"/>
      <c r="HP49" s="112"/>
      <c r="HQ49" s="112"/>
      <c r="HR49" s="112"/>
      <c r="HS49" s="112"/>
      <c r="HT49" s="112"/>
      <c r="HU49" s="112"/>
      <c r="HV49" s="112"/>
      <c r="HW49" s="112"/>
      <c r="HX49" s="112"/>
      <c r="HY49" s="112"/>
      <c r="HZ49" s="112"/>
      <c r="IA49" s="112"/>
      <c r="IB49" s="112"/>
      <c r="IC49" s="112"/>
      <c r="ID49" s="112"/>
      <c r="IE49" s="112"/>
      <c r="IF49" s="112"/>
      <c r="IG49" s="112"/>
      <c r="IH49" s="112"/>
      <c r="II49" s="112"/>
      <c r="IJ49" s="112"/>
      <c r="IK49" s="112"/>
      <c r="IL49" s="112"/>
      <c r="IM49" s="112"/>
      <c r="IN49" s="112"/>
      <c r="IO49" s="112"/>
      <c r="IP49" s="112"/>
      <c r="IQ49" s="112"/>
      <c r="IR49" s="112"/>
      <c r="IS49" s="112"/>
      <c r="IT49" s="112"/>
      <c r="IU49" s="112"/>
    </row>
    <row r="50" spans="1:255" s="345" customFormat="1" ht="53.1" customHeight="1" x14ac:dyDescent="0.2">
      <c r="A50" s="1593"/>
      <c r="B50" s="432"/>
      <c r="C50" s="435" t="s">
        <v>1188</v>
      </c>
      <c r="D50" s="436"/>
      <c r="E50" s="143">
        <v>1.6</v>
      </c>
      <c r="F50" s="143"/>
      <c r="G50" s="143">
        <v>1.6</v>
      </c>
      <c r="H50" s="143"/>
      <c r="I50" s="143">
        <v>1.6</v>
      </c>
      <c r="J50" s="143"/>
      <c r="K50" s="143">
        <v>1.6</v>
      </c>
      <c r="L50" s="143"/>
      <c r="M50" s="143">
        <v>1.6</v>
      </c>
      <c r="N50" s="143"/>
      <c r="O50" s="143">
        <v>1.6</v>
      </c>
      <c r="P50" s="143"/>
      <c r="Q50" s="143">
        <v>1.6</v>
      </c>
      <c r="R50" s="143"/>
      <c r="S50" s="143">
        <v>1.6</v>
      </c>
      <c r="T50" s="143"/>
      <c r="U50" s="143">
        <v>1.6</v>
      </c>
      <c r="V50" s="143"/>
      <c r="W50" s="143">
        <v>1.6</v>
      </c>
      <c r="X50" s="143"/>
      <c r="Y50" s="143">
        <v>1.6</v>
      </c>
      <c r="Z50" s="143"/>
      <c r="AA50" s="143">
        <v>1.6</v>
      </c>
      <c r="AB50" s="143"/>
      <c r="AC50" s="143">
        <v>1.6</v>
      </c>
      <c r="AD50" s="143"/>
      <c r="AE50" s="143">
        <v>1.6</v>
      </c>
      <c r="AF50" s="143"/>
      <c r="AG50" s="143">
        <v>1.6</v>
      </c>
      <c r="AH50" s="143"/>
      <c r="AI50" s="143">
        <v>1.6</v>
      </c>
      <c r="AJ50" s="143"/>
      <c r="AK50" s="143">
        <v>1.6</v>
      </c>
      <c r="AL50" s="143"/>
      <c r="AM50" s="143">
        <v>1.6</v>
      </c>
      <c r="AN50" s="112"/>
      <c r="AO50" s="112"/>
      <c r="AP50" s="112"/>
      <c r="AQ50" s="112"/>
      <c r="AR50" s="112"/>
      <c r="AS50" s="112"/>
      <c r="AT50" s="112"/>
      <c r="AU50" s="112"/>
      <c r="AV50" s="112"/>
      <c r="AW50" s="112"/>
      <c r="AX50" s="112"/>
      <c r="AY50" s="112"/>
      <c r="AZ50" s="112"/>
      <c r="BA50" s="112"/>
      <c r="BB50" s="112"/>
      <c r="BC50" s="112"/>
      <c r="BD50" s="112"/>
      <c r="BE50" s="112"/>
      <c r="BF50" s="112"/>
      <c r="BG50" s="112"/>
      <c r="BH50" s="112"/>
      <c r="BI50" s="112"/>
      <c r="BJ50" s="112"/>
      <c r="BK50" s="112"/>
      <c r="BL50" s="112"/>
      <c r="BM50" s="112"/>
      <c r="BN50" s="112"/>
      <c r="BO50" s="112"/>
      <c r="BP50" s="112"/>
      <c r="BQ50" s="112"/>
      <c r="BR50" s="112"/>
      <c r="BS50" s="112"/>
      <c r="BT50" s="112"/>
      <c r="BU50" s="112"/>
      <c r="BV50" s="112"/>
      <c r="BW50" s="112"/>
      <c r="BX50" s="112"/>
      <c r="BY50" s="112"/>
      <c r="BZ50" s="112"/>
      <c r="CA50" s="112"/>
      <c r="CB50" s="112"/>
      <c r="CC50" s="112"/>
      <c r="CD50" s="112"/>
      <c r="CE50" s="112"/>
      <c r="CF50" s="112"/>
      <c r="CG50" s="112"/>
      <c r="CH50" s="112"/>
      <c r="CI50" s="112"/>
      <c r="CJ50" s="112"/>
      <c r="CK50" s="112"/>
      <c r="CL50" s="112"/>
      <c r="CM50" s="112"/>
      <c r="CN50" s="112"/>
      <c r="CO50" s="112"/>
      <c r="CP50" s="112"/>
      <c r="CQ50" s="112"/>
      <c r="CR50" s="112"/>
      <c r="CS50" s="112"/>
      <c r="CT50" s="112"/>
      <c r="CU50" s="112"/>
      <c r="CV50" s="112"/>
      <c r="CW50" s="112"/>
      <c r="CX50" s="112"/>
      <c r="CY50" s="112"/>
      <c r="CZ50" s="112"/>
      <c r="DA50" s="112"/>
      <c r="DB50" s="112"/>
      <c r="DC50" s="112"/>
      <c r="DD50" s="112"/>
      <c r="DE50" s="112"/>
      <c r="DF50" s="112"/>
      <c r="DG50" s="112"/>
      <c r="DH50" s="112"/>
      <c r="DI50" s="112"/>
      <c r="DJ50" s="112"/>
      <c r="DK50" s="112"/>
      <c r="DL50" s="112"/>
      <c r="DM50" s="112"/>
      <c r="DN50" s="112"/>
      <c r="DO50" s="112"/>
      <c r="DP50" s="112"/>
      <c r="DQ50" s="112"/>
      <c r="DR50" s="112"/>
      <c r="DS50" s="112"/>
      <c r="DT50" s="112"/>
      <c r="DU50" s="112"/>
      <c r="DV50" s="112"/>
      <c r="DW50" s="112"/>
      <c r="DX50" s="112"/>
      <c r="DY50" s="112"/>
      <c r="DZ50" s="112"/>
      <c r="EA50" s="112"/>
      <c r="EB50" s="112"/>
      <c r="EC50" s="112"/>
      <c r="ED50" s="112"/>
      <c r="EE50" s="112"/>
      <c r="EF50" s="112"/>
      <c r="EG50" s="112"/>
      <c r="EH50" s="112"/>
      <c r="EI50" s="112"/>
      <c r="EJ50" s="112"/>
      <c r="EK50" s="112"/>
      <c r="EL50" s="112"/>
      <c r="EM50" s="112"/>
      <c r="EN50" s="112"/>
      <c r="EO50" s="112"/>
      <c r="EP50" s="112"/>
      <c r="EQ50" s="112"/>
      <c r="ER50" s="112"/>
      <c r="ES50" s="112"/>
      <c r="ET50" s="112"/>
      <c r="EU50" s="112"/>
      <c r="EV50" s="112"/>
      <c r="EW50" s="112"/>
      <c r="EX50" s="112"/>
      <c r="EY50" s="112"/>
      <c r="EZ50" s="112"/>
      <c r="FA50" s="112"/>
      <c r="FB50" s="112"/>
      <c r="FC50" s="112"/>
      <c r="FD50" s="112"/>
      <c r="FE50" s="112"/>
      <c r="FF50" s="112"/>
      <c r="FG50" s="112"/>
      <c r="FH50" s="112"/>
      <c r="FI50" s="112"/>
      <c r="FJ50" s="112"/>
      <c r="FK50" s="112"/>
      <c r="FL50" s="112"/>
      <c r="FM50" s="112"/>
      <c r="FN50" s="112"/>
      <c r="FO50" s="112"/>
      <c r="FP50" s="112"/>
      <c r="FQ50" s="112"/>
      <c r="FR50" s="112"/>
      <c r="FS50" s="112"/>
      <c r="FT50" s="112"/>
      <c r="FU50" s="112"/>
      <c r="FV50" s="112"/>
      <c r="FW50" s="112"/>
      <c r="FX50" s="112"/>
      <c r="FY50" s="112"/>
      <c r="FZ50" s="112"/>
      <c r="GA50" s="112"/>
      <c r="GB50" s="112"/>
      <c r="GC50" s="112"/>
      <c r="GD50" s="112"/>
      <c r="GE50" s="112"/>
      <c r="GF50" s="112"/>
      <c r="GG50" s="112"/>
      <c r="GH50" s="112"/>
      <c r="GI50" s="112"/>
      <c r="GJ50" s="112"/>
      <c r="GK50" s="112"/>
      <c r="GL50" s="112"/>
      <c r="GM50" s="112"/>
      <c r="GN50" s="112"/>
      <c r="GO50" s="112"/>
      <c r="GP50" s="112"/>
      <c r="GQ50" s="112"/>
      <c r="GR50" s="112"/>
      <c r="GS50" s="112"/>
      <c r="GT50" s="112"/>
      <c r="GU50" s="112"/>
      <c r="GV50" s="112"/>
      <c r="GW50" s="112"/>
      <c r="GX50" s="112"/>
      <c r="GY50" s="112"/>
      <c r="GZ50" s="112"/>
      <c r="HA50" s="112"/>
      <c r="HB50" s="112"/>
      <c r="HC50" s="112"/>
      <c r="HD50" s="112"/>
      <c r="HE50" s="112"/>
      <c r="HF50" s="112"/>
      <c r="HG50" s="112"/>
      <c r="HH50" s="112"/>
      <c r="HI50" s="112"/>
      <c r="HJ50" s="112"/>
      <c r="HK50" s="112"/>
      <c r="HL50" s="112"/>
      <c r="HM50" s="112"/>
      <c r="HN50" s="112"/>
      <c r="HO50" s="112"/>
      <c r="HP50" s="112"/>
      <c r="HQ50" s="112"/>
      <c r="HR50" s="112"/>
      <c r="HS50" s="112"/>
      <c r="HT50" s="112"/>
      <c r="HU50" s="112"/>
      <c r="HV50" s="112"/>
      <c r="HW50" s="112"/>
      <c r="HX50" s="112"/>
      <c r="HY50" s="112"/>
      <c r="HZ50" s="112"/>
      <c r="IA50" s="112"/>
      <c r="IB50" s="112"/>
      <c r="IC50" s="112"/>
      <c r="ID50" s="112"/>
      <c r="IE50" s="112"/>
      <c r="IF50" s="112"/>
      <c r="IG50" s="112"/>
      <c r="IH50" s="112"/>
      <c r="II50" s="112"/>
      <c r="IJ50" s="112"/>
      <c r="IK50" s="112"/>
      <c r="IL50" s="112"/>
      <c r="IM50" s="112"/>
      <c r="IN50" s="112"/>
      <c r="IO50" s="112"/>
      <c r="IP50" s="112"/>
      <c r="IQ50" s="112"/>
      <c r="IR50" s="112"/>
      <c r="IS50" s="112"/>
      <c r="IT50" s="112"/>
      <c r="IU50" s="112"/>
    </row>
    <row r="51" spans="1:255" s="345" customFormat="1" ht="53.1" customHeight="1" x14ac:dyDescent="0.2">
      <c r="A51" s="1593"/>
      <c r="B51" s="432"/>
      <c r="C51" s="435" t="s">
        <v>1189</v>
      </c>
      <c r="D51" s="436"/>
      <c r="E51" s="143">
        <v>2</v>
      </c>
      <c r="F51" s="143"/>
      <c r="G51" s="143">
        <v>2</v>
      </c>
      <c r="H51" s="143"/>
      <c r="I51" s="143">
        <v>2</v>
      </c>
      <c r="J51" s="143"/>
      <c r="K51" s="143">
        <v>2</v>
      </c>
      <c r="L51" s="143"/>
      <c r="M51" s="143">
        <v>2</v>
      </c>
      <c r="N51" s="143"/>
      <c r="O51" s="143">
        <v>2</v>
      </c>
      <c r="P51" s="143"/>
      <c r="Q51" s="143">
        <v>2</v>
      </c>
      <c r="R51" s="143"/>
      <c r="S51" s="143">
        <v>2</v>
      </c>
      <c r="T51" s="143"/>
      <c r="U51" s="143">
        <v>2</v>
      </c>
      <c r="V51" s="143"/>
      <c r="W51" s="143">
        <v>2</v>
      </c>
      <c r="X51" s="143"/>
      <c r="Y51" s="143">
        <v>2</v>
      </c>
      <c r="Z51" s="143"/>
      <c r="AA51" s="143">
        <v>2</v>
      </c>
      <c r="AB51" s="143"/>
      <c r="AC51" s="143">
        <v>2</v>
      </c>
      <c r="AD51" s="143"/>
      <c r="AE51" s="143">
        <v>2</v>
      </c>
      <c r="AF51" s="143"/>
      <c r="AG51" s="143">
        <v>2</v>
      </c>
      <c r="AH51" s="143"/>
      <c r="AI51" s="143">
        <v>2</v>
      </c>
      <c r="AJ51" s="143"/>
      <c r="AK51" s="143">
        <v>2</v>
      </c>
      <c r="AL51" s="143"/>
      <c r="AM51" s="143">
        <v>2</v>
      </c>
      <c r="AN51" s="112"/>
      <c r="AO51" s="112"/>
      <c r="AP51" s="112"/>
      <c r="AQ51" s="112"/>
      <c r="AR51" s="112"/>
      <c r="AS51" s="112"/>
      <c r="AT51" s="112"/>
      <c r="AU51" s="112"/>
      <c r="AV51" s="112"/>
      <c r="AW51" s="112"/>
      <c r="AX51" s="112"/>
      <c r="AY51" s="112"/>
      <c r="AZ51" s="112"/>
      <c r="BA51" s="112"/>
      <c r="BB51" s="112"/>
      <c r="BC51" s="112"/>
      <c r="BD51" s="112"/>
      <c r="BE51" s="112"/>
      <c r="BF51" s="112"/>
      <c r="BG51" s="112"/>
      <c r="BH51" s="112"/>
      <c r="BI51" s="112"/>
      <c r="BJ51" s="112"/>
      <c r="BK51" s="112"/>
      <c r="BL51" s="112"/>
      <c r="BM51" s="112"/>
      <c r="BN51" s="112"/>
      <c r="BO51" s="112"/>
      <c r="BP51" s="112"/>
      <c r="BQ51" s="112"/>
      <c r="BR51" s="112"/>
      <c r="BS51" s="112"/>
      <c r="BT51" s="112"/>
      <c r="BU51" s="112"/>
      <c r="BV51" s="112"/>
      <c r="BW51" s="112"/>
      <c r="BX51" s="112"/>
      <c r="BY51" s="112"/>
      <c r="BZ51" s="112"/>
      <c r="CA51" s="112"/>
      <c r="CB51" s="112"/>
      <c r="CC51" s="112"/>
      <c r="CD51" s="112"/>
      <c r="CE51" s="112"/>
      <c r="CF51" s="112"/>
      <c r="CG51" s="112"/>
      <c r="CH51" s="112"/>
      <c r="CI51" s="112"/>
      <c r="CJ51" s="112"/>
      <c r="CK51" s="112"/>
      <c r="CL51" s="112"/>
      <c r="CM51" s="112"/>
      <c r="CN51" s="112"/>
      <c r="CO51" s="112"/>
      <c r="CP51" s="112"/>
      <c r="CQ51" s="112"/>
      <c r="CR51" s="112"/>
      <c r="CS51" s="112"/>
      <c r="CT51" s="112"/>
      <c r="CU51" s="112"/>
      <c r="CV51" s="112"/>
      <c r="CW51" s="112"/>
      <c r="CX51" s="112"/>
      <c r="CY51" s="112"/>
      <c r="CZ51" s="112"/>
      <c r="DA51" s="112"/>
      <c r="DB51" s="112"/>
      <c r="DC51" s="112"/>
      <c r="DD51" s="112"/>
      <c r="DE51" s="112"/>
      <c r="DF51" s="112"/>
      <c r="DG51" s="112"/>
      <c r="DH51" s="112"/>
      <c r="DI51" s="112"/>
      <c r="DJ51" s="112"/>
      <c r="DK51" s="112"/>
      <c r="DL51" s="112"/>
      <c r="DM51" s="112"/>
      <c r="DN51" s="112"/>
      <c r="DO51" s="112"/>
      <c r="DP51" s="112"/>
      <c r="DQ51" s="112"/>
      <c r="DR51" s="112"/>
      <c r="DS51" s="112"/>
      <c r="DT51" s="112"/>
      <c r="DU51" s="112"/>
      <c r="DV51" s="112"/>
      <c r="DW51" s="112"/>
      <c r="DX51" s="112"/>
      <c r="DY51" s="112"/>
      <c r="DZ51" s="112"/>
      <c r="EA51" s="112"/>
      <c r="EB51" s="112"/>
      <c r="EC51" s="112"/>
      <c r="ED51" s="112"/>
      <c r="EE51" s="112"/>
      <c r="EF51" s="112"/>
      <c r="EG51" s="112"/>
      <c r="EH51" s="112"/>
      <c r="EI51" s="112"/>
      <c r="EJ51" s="112"/>
      <c r="EK51" s="112"/>
      <c r="EL51" s="112"/>
      <c r="EM51" s="112"/>
      <c r="EN51" s="112"/>
      <c r="EO51" s="112"/>
      <c r="EP51" s="112"/>
      <c r="EQ51" s="112"/>
      <c r="ER51" s="112"/>
      <c r="ES51" s="112"/>
      <c r="ET51" s="112"/>
      <c r="EU51" s="112"/>
      <c r="EV51" s="112"/>
      <c r="EW51" s="112"/>
      <c r="EX51" s="112"/>
      <c r="EY51" s="112"/>
      <c r="EZ51" s="112"/>
      <c r="FA51" s="112"/>
      <c r="FB51" s="112"/>
      <c r="FC51" s="112"/>
      <c r="FD51" s="112"/>
      <c r="FE51" s="112"/>
      <c r="FF51" s="112"/>
      <c r="FG51" s="112"/>
      <c r="FH51" s="112"/>
      <c r="FI51" s="112"/>
      <c r="FJ51" s="112"/>
      <c r="FK51" s="112"/>
      <c r="FL51" s="112"/>
      <c r="FM51" s="112"/>
      <c r="FN51" s="112"/>
      <c r="FO51" s="112"/>
      <c r="FP51" s="112"/>
      <c r="FQ51" s="112"/>
      <c r="FR51" s="112"/>
      <c r="FS51" s="112"/>
      <c r="FT51" s="112"/>
      <c r="FU51" s="112"/>
      <c r="FV51" s="112"/>
      <c r="FW51" s="112"/>
      <c r="FX51" s="112"/>
      <c r="FY51" s="112"/>
      <c r="FZ51" s="112"/>
      <c r="GA51" s="112"/>
      <c r="GB51" s="112"/>
      <c r="GC51" s="112"/>
      <c r="GD51" s="112"/>
      <c r="GE51" s="112"/>
      <c r="GF51" s="112"/>
      <c r="GG51" s="112"/>
      <c r="GH51" s="112"/>
      <c r="GI51" s="112"/>
      <c r="GJ51" s="112"/>
      <c r="GK51" s="112"/>
      <c r="GL51" s="112"/>
      <c r="GM51" s="112"/>
      <c r="GN51" s="112"/>
      <c r="GO51" s="112"/>
      <c r="GP51" s="112"/>
      <c r="GQ51" s="112"/>
      <c r="GR51" s="112"/>
      <c r="GS51" s="112"/>
      <c r="GT51" s="112"/>
      <c r="GU51" s="112"/>
      <c r="GV51" s="112"/>
      <c r="GW51" s="112"/>
      <c r="GX51" s="112"/>
      <c r="GY51" s="112"/>
      <c r="GZ51" s="112"/>
      <c r="HA51" s="112"/>
      <c r="HB51" s="112"/>
      <c r="HC51" s="112"/>
      <c r="HD51" s="112"/>
      <c r="HE51" s="112"/>
      <c r="HF51" s="112"/>
      <c r="HG51" s="112"/>
      <c r="HH51" s="112"/>
      <c r="HI51" s="112"/>
      <c r="HJ51" s="112"/>
      <c r="HK51" s="112"/>
      <c r="HL51" s="112"/>
      <c r="HM51" s="112"/>
      <c r="HN51" s="112"/>
      <c r="HO51" s="112"/>
      <c r="HP51" s="112"/>
      <c r="HQ51" s="112"/>
      <c r="HR51" s="112"/>
      <c r="HS51" s="112"/>
      <c r="HT51" s="112"/>
      <c r="HU51" s="112"/>
      <c r="HV51" s="112"/>
      <c r="HW51" s="112"/>
      <c r="HX51" s="112"/>
      <c r="HY51" s="112"/>
      <c r="HZ51" s="112"/>
      <c r="IA51" s="112"/>
      <c r="IB51" s="112"/>
      <c r="IC51" s="112"/>
      <c r="ID51" s="112"/>
      <c r="IE51" s="112"/>
      <c r="IF51" s="112"/>
      <c r="IG51" s="112"/>
      <c r="IH51" s="112"/>
      <c r="II51" s="112"/>
      <c r="IJ51" s="112"/>
      <c r="IK51" s="112"/>
      <c r="IL51" s="112"/>
      <c r="IM51" s="112"/>
      <c r="IN51" s="112"/>
      <c r="IO51" s="112"/>
      <c r="IP51" s="112"/>
      <c r="IQ51" s="112"/>
      <c r="IR51" s="112"/>
      <c r="IS51" s="112"/>
      <c r="IT51" s="112"/>
      <c r="IU51" s="112"/>
    </row>
    <row r="52" spans="1:255" s="345" customFormat="1" ht="53.1" customHeight="1" x14ac:dyDescent="0.2">
      <c r="A52" s="1593"/>
      <c r="B52" s="432"/>
      <c r="C52" s="435" t="s">
        <v>1187</v>
      </c>
      <c r="D52" s="436"/>
      <c r="E52" s="143">
        <v>0.8</v>
      </c>
      <c r="F52" s="143"/>
      <c r="G52" s="143">
        <v>0.8</v>
      </c>
      <c r="H52" s="143">
        <v>0.8</v>
      </c>
      <c r="I52" s="143">
        <v>0.8</v>
      </c>
      <c r="J52" s="143"/>
      <c r="K52" s="143">
        <v>0.8</v>
      </c>
      <c r="L52" s="143">
        <v>0.8</v>
      </c>
      <c r="M52" s="143">
        <v>0.8</v>
      </c>
      <c r="N52" s="143"/>
      <c r="O52" s="143">
        <v>0.8</v>
      </c>
      <c r="P52" s="143">
        <v>0.8</v>
      </c>
      <c r="Q52" s="143">
        <v>0.8</v>
      </c>
      <c r="R52" s="143"/>
      <c r="S52" s="143">
        <v>0.8</v>
      </c>
      <c r="T52" s="143">
        <v>0.8</v>
      </c>
      <c r="U52" s="143">
        <v>0.8</v>
      </c>
      <c r="V52" s="143"/>
      <c r="W52" s="143">
        <v>0.8</v>
      </c>
      <c r="X52" s="143">
        <v>0.8</v>
      </c>
      <c r="Y52" s="143">
        <v>0.8</v>
      </c>
      <c r="Z52" s="143"/>
      <c r="AA52" s="143">
        <v>0.8</v>
      </c>
      <c r="AB52" s="143">
        <v>0.8</v>
      </c>
      <c r="AC52" s="143">
        <v>0.8</v>
      </c>
      <c r="AD52" s="143"/>
      <c r="AE52" s="143">
        <v>0.8</v>
      </c>
      <c r="AF52" s="143">
        <v>0.8</v>
      </c>
      <c r="AG52" s="143">
        <v>0.8</v>
      </c>
      <c r="AH52" s="143"/>
      <c r="AI52" s="143">
        <v>0.8</v>
      </c>
      <c r="AJ52" s="143">
        <v>0.8</v>
      </c>
      <c r="AK52" s="143">
        <v>0.8</v>
      </c>
      <c r="AL52" s="143"/>
      <c r="AM52" s="143">
        <v>0.8</v>
      </c>
      <c r="AN52" s="112"/>
      <c r="AO52" s="112"/>
      <c r="AP52" s="112"/>
      <c r="AQ52" s="112"/>
      <c r="AR52" s="112"/>
      <c r="AS52" s="112"/>
      <c r="AT52" s="112"/>
      <c r="AU52" s="112"/>
      <c r="AV52" s="112"/>
      <c r="AW52" s="112"/>
      <c r="AX52" s="112"/>
      <c r="AY52" s="112"/>
      <c r="AZ52" s="112"/>
      <c r="BA52" s="112"/>
      <c r="BB52" s="112"/>
      <c r="BC52" s="112"/>
      <c r="BD52" s="112"/>
      <c r="BE52" s="112"/>
      <c r="BF52" s="112"/>
      <c r="BG52" s="112"/>
      <c r="BH52" s="112"/>
      <c r="BI52" s="112"/>
      <c r="BJ52" s="112"/>
      <c r="BK52" s="112"/>
      <c r="BL52" s="112"/>
      <c r="BM52" s="112"/>
      <c r="BN52" s="112"/>
      <c r="BO52" s="112"/>
      <c r="BP52" s="112"/>
      <c r="BQ52" s="112"/>
      <c r="BR52" s="112"/>
      <c r="BS52" s="112"/>
      <c r="BT52" s="112"/>
      <c r="BU52" s="112"/>
      <c r="BV52" s="112"/>
      <c r="BW52" s="112"/>
      <c r="BX52" s="112"/>
      <c r="BY52" s="112"/>
      <c r="BZ52" s="112"/>
      <c r="CA52" s="112"/>
      <c r="CB52" s="112"/>
      <c r="CC52" s="112"/>
      <c r="CD52" s="112"/>
      <c r="CE52" s="112"/>
      <c r="CF52" s="112"/>
      <c r="CG52" s="112"/>
      <c r="CH52" s="112"/>
      <c r="CI52" s="112"/>
      <c r="CJ52" s="112"/>
      <c r="CK52" s="112"/>
      <c r="CL52" s="112"/>
      <c r="CM52" s="112"/>
      <c r="CN52" s="112"/>
      <c r="CO52" s="112"/>
      <c r="CP52" s="112"/>
      <c r="CQ52" s="112"/>
      <c r="CR52" s="112"/>
      <c r="CS52" s="112"/>
      <c r="CT52" s="112"/>
      <c r="CU52" s="112"/>
      <c r="CV52" s="112"/>
      <c r="CW52" s="112"/>
      <c r="CX52" s="112"/>
      <c r="CY52" s="112"/>
      <c r="CZ52" s="112"/>
      <c r="DA52" s="112"/>
      <c r="DB52" s="112"/>
      <c r="DC52" s="112"/>
      <c r="DD52" s="112"/>
      <c r="DE52" s="112"/>
      <c r="DF52" s="112"/>
      <c r="DG52" s="112"/>
      <c r="DH52" s="112"/>
      <c r="DI52" s="112"/>
      <c r="DJ52" s="112"/>
      <c r="DK52" s="112"/>
      <c r="DL52" s="112"/>
      <c r="DM52" s="112"/>
      <c r="DN52" s="112"/>
      <c r="DO52" s="112"/>
      <c r="DP52" s="112"/>
      <c r="DQ52" s="112"/>
      <c r="DR52" s="112"/>
      <c r="DS52" s="112"/>
      <c r="DT52" s="112"/>
      <c r="DU52" s="112"/>
      <c r="DV52" s="112"/>
      <c r="DW52" s="112"/>
      <c r="DX52" s="112"/>
      <c r="DY52" s="112"/>
      <c r="DZ52" s="112"/>
      <c r="EA52" s="112"/>
      <c r="EB52" s="112"/>
      <c r="EC52" s="112"/>
      <c r="ED52" s="112"/>
      <c r="EE52" s="112"/>
      <c r="EF52" s="112"/>
      <c r="EG52" s="112"/>
      <c r="EH52" s="112"/>
      <c r="EI52" s="112"/>
      <c r="EJ52" s="112"/>
      <c r="EK52" s="112"/>
      <c r="EL52" s="112"/>
      <c r="EM52" s="112"/>
      <c r="EN52" s="112"/>
      <c r="EO52" s="112"/>
      <c r="EP52" s="112"/>
      <c r="EQ52" s="112"/>
      <c r="ER52" s="112"/>
      <c r="ES52" s="112"/>
      <c r="ET52" s="112"/>
      <c r="EU52" s="112"/>
      <c r="EV52" s="112"/>
      <c r="EW52" s="112"/>
      <c r="EX52" s="112"/>
      <c r="EY52" s="112"/>
      <c r="EZ52" s="112"/>
      <c r="FA52" s="112"/>
      <c r="FB52" s="112"/>
      <c r="FC52" s="112"/>
      <c r="FD52" s="112"/>
      <c r="FE52" s="112"/>
      <c r="FF52" s="112"/>
      <c r="FG52" s="112"/>
      <c r="FH52" s="112"/>
      <c r="FI52" s="112"/>
      <c r="FJ52" s="112"/>
      <c r="FK52" s="112"/>
      <c r="FL52" s="112"/>
      <c r="FM52" s="112"/>
      <c r="FN52" s="112"/>
      <c r="FO52" s="112"/>
      <c r="FP52" s="112"/>
      <c r="FQ52" s="112"/>
      <c r="FR52" s="112"/>
      <c r="FS52" s="112"/>
      <c r="FT52" s="112"/>
      <c r="FU52" s="112"/>
      <c r="FV52" s="112"/>
      <c r="FW52" s="112"/>
      <c r="FX52" s="112"/>
      <c r="FY52" s="112"/>
      <c r="FZ52" s="112"/>
      <c r="GA52" s="112"/>
      <c r="GB52" s="112"/>
      <c r="GC52" s="112"/>
      <c r="GD52" s="112"/>
      <c r="GE52" s="112"/>
      <c r="GF52" s="112"/>
      <c r="GG52" s="112"/>
      <c r="GH52" s="112"/>
      <c r="GI52" s="112"/>
      <c r="GJ52" s="112"/>
      <c r="GK52" s="112"/>
      <c r="GL52" s="112"/>
      <c r="GM52" s="112"/>
      <c r="GN52" s="112"/>
      <c r="GO52" s="112"/>
      <c r="GP52" s="112"/>
      <c r="GQ52" s="112"/>
      <c r="GR52" s="112"/>
      <c r="GS52" s="112"/>
      <c r="GT52" s="112"/>
      <c r="GU52" s="112"/>
      <c r="GV52" s="112"/>
      <c r="GW52" s="112"/>
      <c r="GX52" s="112"/>
      <c r="GY52" s="112"/>
      <c r="GZ52" s="112"/>
      <c r="HA52" s="112"/>
      <c r="HB52" s="112"/>
      <c r="HC52" s="112"/>
      <c r="HD52" s="112"/>
      <c r="HE52" s="112"/>
      <c r="HF52" s="112"/>
      <c r="HG52" s="112"/>
      <c r="HH52" s="112"/>
      <c r="HI52" s="112"/>
      <c r="HJ52" s="112"/>
      <c r="HK52" s="112"/>
      <c r="HL52" s="112"/>
      <c r="HM52" s="112"/>
      <c r="HN52" s="112"/>
      <c r="HO52" s="112"/>
      <c r="HP52" s="112"/>
      <c r="HQ52" s="112"/>
      <c r="HR52" s="112"/>
      <c r="HS52" s="112"/>
      <c r="HT52" s="112"/>
      <c r="HU52" s="112"/>
      <c r="HV52" s="112"/>
      <c r="HW52" s="112"/>
      <c r="HX52" s="112"/>
      <c r="HY52" s="112"/>
      <c r="HZ52" s="112"/>
      <c r="IA52" s="112"/>
      <c r="IB52" s="112"/>
      <c r="IC52" s="112"/>
      <c r="ID52" s="112"/>
      <c r="IE52" s="112"/>
      <c r="IF52" s="112"/>
      <c r="IG52" s="112"/>
      <c r="IH52" s="112"/>
      <c r="II52" s="112"/>
      <c r="IJ52" s="112"/>
      <c r="IK52" s="112"/>
      <c r="IL52" s="112"/>
      <c r="IM52" s="112"/>
      <c r="IN52" s="112"/>
      <c r="IO52" s="112"/>
      <c r="IP52" s="112"/>
      <c r="IQ52" s="112"/>
      <c r="IR52" s="112"/>
      <c r="IS52" s="112"/>
      <c r="IT52" s="112"/>
      <c r="IU52" s="112"/>
    </row>
    <row r="53" spans="1:255" s="338" customFormat="1" ht="25.35" customHeight="1" x14ac:dyDescent="0.2">
      <c r="A53" s="1593"/>
      <c r="B53" s="424"/>
      <c r="C53" s="425"/>
      <c r="D53" s="426"/>
      <c r="E53" s="427"/>
      <c r="F53" s="427"/>
      <c r="G53" s="427"/>
      <c r="H53" s="427"/>
      <c r="I53" s="427"/>
      <c r="J53" s="427"/>
      <c r="K53" s="427"/>
      <c r="L53" s="427"/>
      <c r="M53" s="427"/>
      <c r="N53" s="427"/>
      <c r="O53" s="427"/>
      <c r="P53" s="427"/>
      <c r="Q53" s="427"/>
      <c r="R53" s="427"/>
      <c r="S53" s="427"/>
      <c r="T53" s="427"/>
      <c r="U53" s="427"/>
      <c r="V53" s="427"/>
      <c r="W53" s="427"/>
      <c r="X53" s="427"/>
      <c r="Y53" s="427"/>
      <c r="Z53" s="427"/>
      <c r="AA53" s="427"/>
      <c r="AB53" s="427"/>
      <c r="AC53" s="427"/>
      <c r="AD53" s="427"/>
      <c r="AE53" s="427"/>
      <c r="AF53" s="427"/>
      <c r="AG53" s="427"/>
      <c r="AH53" s="427"/>
      <c r="AI53" s="427"/>
      <c r="AJ53" s="427"/>
      <c r="AK53" s="427"/>
      <c r="AL53" s="427"/>
      <c r="AM53" s="427"/>
      <c r="AN53" s="423"/>
      <c r="AO53" s="423"/>
      <c r="AP53" s="423"/>
      <c r="AQ53" s="423"/>
      <c r="AR53" s="423"/>
      <c r="AS53" s="423"/>
      <c r="AT53" s="423"/>
      <c r="AU53" s="423"/>
      <c r="AV53" s="423"/>
      <c r="AW53" s="423"/>
      <c r="AX53" s="423"/>
      <c r="AY53" s="423"/>
      <c r="AZ53" s="423"/>
      <c r="BA53" s="423"/>
      <c r="BB53" s="423"/>
      <c r="BC53" s="423"/>
      <c r="BD53" s="423"/>
      <c r="BE53" s="423"/>
      <c r="BF53" s="423"/>
      <c r="BG53" s="423"/>
      <c r="BH53" s="423"/>
      <c r="BI53" s="423"/>
      <c r="BJ53" s="423"/>
      <c r="BK53" s="423"/>
      <c r="BL53" s="423"/>
      <c r="BM53" s="423"/>
      <c r="BN53" s="423"/>
      <c r="BO53" s="423"/>
      <c r="BP53" s="423"/>
      <c r="BQ53" s="423"/>
      <c r="BR53" s="423"/>
      <c r="BS53" s="423"/>
      <c r="BT53" s="423"/>
      <c r="BU53" s="423"/>
      <c r="BV53" s="423"/>
      <c r="BW53" s="423"/>
      <c r="BX53" s="423"/>
      <c r="BY53" s="423"/>
      <c r="BZ53" s="423"/>
      <c r="CA53" s="423"/>
      <c r="CB53" s="423"/>
      <c r="CC53" s="423"/>
      <c r="CD53" s="423"/>
      <c r="CE53" s="423"/>
      <c r="CF53" s="423"/>
      <c r="CG53" s="423"/>
      <c r="CH53" s="423"/>
      <c r="CI53" s="423"/>
      <c r="CJ53" s="423"/>
      <c r="CK53" s="423"/>
      <c r="CL53" s="423"/>
      <c r="CM53" s="423"/>
      <c r="CN53" s="423"/>
      <c r="CO53" s="423"/>
      <c r="CP53" s="423"/>
      <c r="CQ53" s="423"/>
      <c r="CR53" s="423"/>
      <c r="CS53" s="423"/>
      <c r="CT53" s="423"/>
      <c r="CU53" s="423"/>
      <c r="CV53" s="423"/>
      <c r="CW53" s="423"/>
      <c r="CX53" s="423"/>
      <c r="CY53" s="423"/>
      <c r="CZ53" s="423"/>
      <c r="DA53" s="423"/>
      <c r="DB53" s="423"/>
      <c r="DC53" s="423"/>
      <c r="DD53" s="423"/>
      <c r="DE53" s="423"/>
      <c r="DF53" s="423"/>
      <c r="DG53" s="423"/>
      <c r="DH53" s="423"/>
      <c r="DI53" s="423"/>
      <c r="DJ53" s="423"/>
      <c r="DK53" s="423"/>
      <c r="DL53" s="423"/>
      <c r="DM53" s="423"/>
      <c r="DN53" s="423"/>
      <c r="DO53" s="423"/>
      <c r="DP53" s="423"/>
      <c r="DQ53" s="423"/>
      <c r="DR53" s="423"/>
      <c r="DS53" s="423"/>
      <c r="DT53" s="423"/>
      <c r="DU53" s="423"/>
      <c r="DV53" s="423"/>
      <c r="DW53" s="423"/>
      <c r="DX53" s="423"/>
      <c r="DY53" s="423"/>
      <c r="DZ53" s="423"/>
      <c r="EA53" s="423"/>
      <c r="EB53" s="423"/>
      <c r="EC53" s="423"/>
      <c r="ED53" s="423"/>
      <c r="EE53" s="423"/>
      <c r="EF53" s="423"/>
      <c r="EG53" s="423"/>
      <c r="EH53" s="423"/>
      <c r="EI53" s="423"/>
      <c r="EJ53" s="423"/>
      <c r="EK53" s="423"/>
      <c r="EL53" s="423"/>
      <c r="EM53" s="423"/>
      <c r="EN53" s="423"/>
      <c r="EO53" s="423"/>
      <c r="EP53" s="423"/>
      <c r="EQ53" s="423"/>
      <c r="ER53" s="423"/>
      <c r="ES53" s="423"/>
      <c r="ET53" s="423"/>
      <c r="EU53" s="423"/>
      <c r="EV53" s="423"/>
      <c r="EW53" s="423"/>
      <c r="EX53" s="423"/>
      <c r="EY53" s="423"/>
      <c r="EZ53" s="423"/>
      <c r="FA53" s="423"/>
      <c r="FB53" s="423"/>
      <c r="FC53" s="423"/>
      <c r="FD53" s="423"/>
      <c r="FE53" s="423"/>
      <c r="FF53" s="423"/>
      <c r="FG53" s="423"/>
      <c r="FH53" s="423"/>
      <c r="FI53" s="423"/>
      <c r="FJ53" s="423"/>
      <c r="FK53" s="423"/>
      <c r="FL53" s="423"/>
      <c r="FM53" s="423"/>
      <c r="FN53" s="423"/>
      <c r="FO53" s="423"/>
      <c r="FP53" s="423"/>
      <c r="FQ53" s="423"/>
      <c r="FR53" s="423"/>
      <c r="FS53" s="423"/>
      <c r="FT53" s="423"/>
      <c r="FU53" s="423"/>
      <c r="FV53" s="423"/>
      <c r="FW53" s="423"/>
      <c r="FX53" s="423"/>
      <c r="FY53" s="423"/>
      <c r="FZ53" s="423"/>
      <c r="GA53" s="423"/>
      <c r="GB53" s="423"/>
      <c r="GC53" s="423"/>
      <c r="GD53" s="423"/>
      <c r="GE53" s="423"/>
      <c r="GF53" s="423"/>
      <c r="GG53" s="423"/>
      <c r="GH53" s="423"/>
      <c r="GI53" s="423"/>
      <c r="GJ53" s="423"/>
      <c r="GK53" s="423"/>
      <c r="GL53" s="423"/>
      <c r="GM53" s="423"/>
      <c r="GN53" s="423"/>
      <c r="GO53" s="423"/>
      <c r="GP53" s="423"/>
      <c r="GQ53" s="423"/>
      <c r="GR53" s="423"/>
      <c r="GS53" s="423"/>
      <c r="GT53" s="423"/>
      <c r="GU53" s="423"/>
      <c r="GV53" s="423"/>
      <c r="GW53" s="423"/>
      <c r="GX53" s="423"/>
      <c r="GY53" s="423"/>
      <c r="GZ53" s="423"/>
      <c r="HA53" s="423"/>
      <c r="HB53" s="423"/>
      <c r="HC53" s="423"/>
      <c r="HD53" s="423"/>
      <c r="HE53" s="423"/>
      <c r="HF53" s="423"/>
      <c r="HG53" s="423"/>
      <c r="HH53" s="423"/>
      <c r="HI53" s="423"/>
      <c r="HJ53" s="423"/>
      <c r="HK53" s="423"/>
      <c r="HL53" s="423"/>
      <c r="HM53" s="423"/>
      <c r="HN53" s="423"/>
      <c r="HO53" s="423"/>
      <c r="HP53" s="423"/>
      <c r="HQ53" s="423"/>
      <c r="HR53" s="423"/>
      <c r="HS53" s="423"/>
      <c r="HT53" s="423"/>
      <c r="HU53" s="423"/>
      <c r="HV53" s="423"/>
      <c r="HW53" s="423"/>
      <c r="HX53" s="423"/>
      <c r="HY53" s="423"/>
      <c r="HZ53" s="423"/>
      <c r="IA53" s="423"/>
      <c r="IB53" s="423"/>
      <c r="IC53" s="423"/>
      <c r="ID53" s="423"/>
      <c r="IE53" s="423"/>
      <c r="IF53" s="423"/>
      <c r="IG53" s="423"/>
      <c r="IH53" s="423"/>
      <c r="II53" s="423"/>
      <c r="IJ53" s="423"/>
      <c r="IK53" s="423"/>
      <c r="IL53" s="423"/>
      <c r="IM53" s="423"/>
      <c r="IN53" s="423"/>
      <c r="IO53" s="423"/>
      <c r="IP53" s="423"/>
      <c r="IQ53" s="423"/>
      <c r="IR53" s="423"/>
      <c r="IS53" s="423"/>
      <c r="IT53" s="423"/>
      <c r="IU53" s="423"/>
    </row>
    <row r="54" spans="1:255" s="126" customFormat="1" ht="25.35" customHeight="1" x14ac:dyDescent="0.2">
      <c r="A54" s="1593"/>
      <c r="C54" s="128" t="s">
        <v>623</v>
      </c>
      <c r="D54" s="116"/>
      <c r="E54" s="120" t="s">
        <v>1177</v>
      </c>
      <c r="F54" s="120"/>
      <c r="G54" s="120" t="s">
        <v>1178</v>
      </c>
      <c r="H54" s="120"/>
      <c r="I54" s="120" t="s">
        <v>1179</v>
      </c>
      <c r="J54" s="120"/>
      <c r="K54" s="120" t="s">
        <v>1180</v>
      </c>
      <c r="L54" s="120"/>
      <c r="M54" s="120" t="s">
        <v>1181</v>
      </c>
      <c r="N54" s="120"/>
      <c r="O54" s="120" t="s">
        <v>1182</v>
      </c>
      <c r="P54" s="120"/>
      <c r="Q54" s="120"/>
    </row>
    <row r="55" spans="1:255" s="126" customFormat="1" ht="25.35" customHeight="1" x14ac:dyDescent="0.2">
      <c r="A55" s="1593"/>
      <c r="B55" s="1596" t="s">
        <v>377</v>
      </c>
      <c r="C55" s="141" t="s">
        <v>230</v>
      </c>
      <c r="D55" s="142" t="s">
        <v>52</v>
      </c>
      <c r="E55" s="143">
        <v>3</v>
      </c>
      <c r="F55" s="143"/>
      <c r="G55" s="143">
        <v>4.5</v>
      </c>
      <c r="H55" s="143"/>
      <c r="I55" s="143">
        <v>4.5</v>
      </c>
      <c r="J55" s="143"/>
      <c r="K55" s="143">
        <v>10.5</v>
      </c>
      <c r="L55" s="143"/>
      <c r="M55" s="143">
        <v>10.5</v>
      </c>
      <c r="N55" s="143"/>
      <c r="O55" s="143">
        <v>26</v>
      </c>
      <c r="P55" s="143"/>
      <c r="Q55" s="143"/>
    </row>
    <row r="56" spans="1:255" s="126" customFormat="1" ht="25.35" customHeight="1" x14ac:dyDescent="0.2">
      <c r="A56" s="1593"/>
      <c r="B56" s="1596"/>
      <c r="C56" s="141" t="s">
        <v>231</v>
      </c>
      <c r="D56" s="142" t="s">
        <v>50</v>
      </c>
      <c r="E56" s="143">
        <v>2</v>
      </c>
      <c r="F56" s="143"/>
      <c r="G56" s="143">
        <v>2</v>
      </c>
      <c r="H56" s="143"/>
      <c r="I56" s="143">
        <v>2</v>
      </c>
      <c r="J56" s="143"/>
      <c r="K56" s="143">
        <v>2</v>
      </c>
      <c r="L56" s="143"/>
      <c r="M56" s="143">
        <v>2</v>
      </c>
      <c r="N56" s="143"/>
      <c r="O56" s="143">
        <v>2</v>
      </c>
      <c r="P56" s="143"/>
      <c r="Q56" s="143"/>
    </row>
    <row r="57" spans="1:255" ht="25.35" customHeight="1" x14ac:dyDescent="0.2">
      <c r="A57" s="1593"/>
      <c r="B57" s="1596"/>
      <c r="C57" s="141" t="s">
        <v>232</v>
      </c>
      <c r="D57" s="142" t="s">
        <v>50</v>
      </c>
      <c r="E57" s="143">
        <v>2</v>
      </c>
      <c r="F57" s="143"/>
      <c r="G57" s="143">
        <v>2</v>
      </c>
      <c r="H57" s="143"/>
      <c r="I57" s="143">
        <v>2</v>
      </c>
      <c r="J57" s="143"/>
      <c r="K57" s="143">
        <v>4</v>
      </c>
      <c r="L57" s="143"/>
      <c r="M57" s="143">
        <v>4</v>
      </c>
      <c r="N57" s="143"/>
      <c r="O57" s="143">
        <v>8</v>
      </c>
      <c r="P57" s="143"/>
      <c r="Q57" s="143"/>
      <c r="R57" s="112"/>
      <c r="S57" s="112"/>
      <c r="T57" s="112"/>
      <c r="U57" s="112"/>
      <c r="V57" s="112"/>
      <c r="W57" s="112"/>
      <c r="X57" s="112"/>
      <c r="Y57" s="112"/>
      <c r="Z57" s="112"/>
      <c r="AA57" s="112"/>
      <c r="AB57" s="112"/>
      <c r="AC57" s="112"/>
      <c r="AD57" s="112"/>
      <c r="AE57" s="112"/>
      <c r="AF57" s="112"/>
      <c r="AG57" s="112"/>
      <c r="AH57" s="112"/>
      <c r="AI57" s="112"/>
      <c r="AJ57" s="112"/>
      <c r="AK57" s="112"/>
      <c r="AL57" s="112"/>
      <c r="AM57" s="112"/>
      <c r="AN57" s="112"/>
      <c r="AO57" s="112"/>
      <c r="AP57" s="112"/>
      <c r="AQ57" s="112"/>
      <c r="AR57" s="112"/>
      <c r="AS57" s="112"/>
      <c r="AT57" s="112"/>
      <c r="AU57" s="112"/>
      <c r="AV57" s="112"/>
      <c r="AW57" s="112"/>
      <c r="AX57" s="112"/>
      <c r="AY57" s="112"/>
      <c r="AZ57" s="112"/>
      <c r="BA57" s="112"/>
      <c r="BB57" s="112"/>
      <c r="BC57" s="112"/>
      <c r="BD57" s="112"/>
      <c r="BE57" s="112"/>
      <c r="BF57" s="112"/>
      <c r="BG57" s="112"/>
      <c r="BH57" s="112"/>
      <c r="BI57" s="112"/>
      <c r="BJ57" s="112"/>
      <c r="BK57" s="112"/>
      <c r="BL57" s="112"/>
      <c r="BM57" s="112"/>
      <c r="BN57" s="112"/>
      <c r="BO57" s="112"/>
      <c r="BP57" s="112"/>
      <c r="BQ57" s="112"/>
      <c r="BR57" s="112"/>
      <c r="BS57" s="112"/>
      <c r="BT57" s="112"/>
      <c r="BU57" s="112"/>
      <c r="BV57" s="112"/>
      <c r="BW57" s="112"/>
      <c r="BX57" s="112"/>
      <c r="BY57" s="112"/>
      <c r="BZ57" s="112"/>
      <c r="CA57" s="112"/>
      <c r="CB57" s="112"/>
      <c r="CC57" s="112"/>
      <c r="CD57" s="112"/>
      <c r="CE57" s="112"/>
      <c r="CF57" s="112"/>
      <c r="CG57" s="112"/>
      <c r="CH57" s="112"/>
      <c r="CI57" s="112"/>
      <c r="CJ57" s="112"/>
      <c r="CK57" s="112"/>
      <c r="CL57" s="112"/>
      <c r="CM57" s="112"/>
      <c r="CN57" s="112"/>
      <c r="CO57" s="112"/>
      <c r="CP57" s="112"/>
      <c r="CQ57" s="112"/>
      <c r="CR57" s="112"/>
      <c r="CS57" s="112"/>
      <c r="CT57" s="112"/>
      <c r="CU57" s="112"/>
      <c r="CV57" s="112"/>
      <c r="CW57" s="112"/>
      <c r="CX57" s="112"/>
      <c r="CY57" s="112"/>
      <c r="CZ57" s="112"/>
      <c r="DA57" s="112"/>
      <c r="DB57" s="112"/>
      <c r="DC57" s="112"/>
      <c r="DD57" s="112"/>
      <c r="DE57" s="112"/>
      <c r="DF57" s="112"/>
      <c r="DG57" s="112"/>
      <c r="DH57" s="112"/>
      <c r="DI57" s="112"/>
      <c r="DJ57" s="112"/>
      <c r="DK57" s="112"/>
      <c r="DL57" s="112"/>
      <c r="DM57" s="112"/>
      <c r="DN57" s="112"/>
      <c r="DO57" s="112"/>
      <c r="DP57" s="112"/>
      <c r="DQ57" s="112"/>
      <c r="DR57" s="112"/>
      <c r="DS57" s="112"/>
      <c r="DT57" s="112"/>
      <c r="DU57" s="112"/>
      <c r="DV57" s="112"/>
      <c r="DW57" s="112"/>
      <c r="DX57" s="112"/>
      <c r="DY57" s="112"/>
      <c r="DZ57" s="112"/>
      <c r="EA57" s="112"/>
      <c r="EB57" s="112"/>
      <c r="EC57" s="112"/>
      <c r="ED57" s="112"/>
      <c r="EE57" s="112"/>
      <c r="EF57" s="112"/>
      <c r="EG57" s="112"/>
      <c r="EH57" s="112"/>
      <c r="EI57" s="112"/>
      <c r="EJ57" s="112"/>
      <c r="EK57" s="112"/>
      <c r="EL57" s="112"/>
      <c r="EM57" s="112"/>
      <c r="EN57" s="112"/>
      <c r="EO57" s="112"/>
      <c r="EP57" s="112"/>
      <c r="EQ57" s="112"/>
      <c r="ER57" s="112"/>
      <c r="ES57" s="112"/>
      <c r="ET57" s="112"/>
      <c r="EU57" s="112"/>
      <c r="EV57" s="112"/>
      <c r="EW57" s="112"/>
      <c r="EX57" s="112"/>
      <c r="EY57" s="112"/>
      <c r="EZ57" s="112"/>
      <c r="FA57" s="112"/>
      <c r="FB57" s="112"/>
      <c r="FC57" s="112"/>
      <c r="FD57" s="112"/>
      <c r="FE57" s="112"/>
      <c r="FF57" s="112"/>
      <c r="FG57" s="112"/>
      <c r="FH57" s="112"/>
      <c r="FI57" s="112"/>
      <c r="FJ57" s="112"/>
      <c r="FK57" s="112"/>
      <c r="FL57" s="112"/>
      <c r="FM57" s="112"/>
      <c r="FN57" s="112"/>
      <c r="FO57" s="112"/>
      <c r="FP57" s="112"/>
      <c r="FQ57" s="112"/>
      <c r="FR57" s="112"/>
      <c r="FS57" s="112"/>
      <c r="FT57" s="112"/>
      <c r="FU57" s="112"/>
      <c r="FV57" s="112"/>
      <c r="FW57" s="112"/>
      <c r="FX57" s="112"/>
      <c r="FY57" s="112"/>
      <c r="FZ57" s="112"/>
      <c r="GA57" s="112"/>
      <c r="GB57" s="112"/>
      <c r="GC57" s="112"/>
      <c r="GD57" s="112"/>
      <c r="GE57" s="112"/>
      <c r="GF57" s="112"/>
      <c r="GG57" s="112"/>
      <c r="GH57" s="112"/>
      <c r="GI57" s="112"/>
      <c r="GJ57" s="112"/>
      <c r="GK57" s="112"/>
      <c r="GL57" s="112"/>
      <c r="GM57" s="112"/>
      <c r="GN57" s="112"/>
      <c r="GO57" s="112"/>
      <c r="GP57" s="112"/>
      <c r="GQ57" s="112"/>
      <c r="GR57" s="112"/>
      <c r="GS57" s="112"/>
      <c r="GT57" s="112"/>
      <c r="GU57" s="112"/>
      <c r="GV57" s="112"/>
      <c r="GW57" s="112"/>
      <c r="GX57" s="112"/>
      <c r="GY57" s="112"/>
      <c r="GZ57" s="112"/>
      <c r="HA57" s="112"/>
      <c r="HB57" s="112"/>
      <c r="HC57" s="112"/>
      <c r="HD57" s="112"/>
      <c r="HE57" s="112"/>
      <c r="HF57" s="112"/>
      <c r="HG57" s="112"/>
      <c r="HH57" s="112"/>
      <c r="HI57" s="112"/>
      <c r="HJ57" s="112"/>
      <c r="HK57" s="112"/>
      <c r="HL57" s="112"/>
      <c r="HM57" s="112"/>
      <c r="HN57" s="112"/>
      <c r="HO57" s="112"/>
      <c r="HP57" s="112"/>
      <c r="HQ57" s="112"/>
      <c r="HR57" s="112"/>
      <c r="HS57" s="112"/>
      <c r="HT57" s="112"/>
      <c r="HU57" s="112"/>
      <c r="HV57" s="112"/>
      <c r="HW57" s="112"/>
      <c r="HX57" s="112"/>
      <c r="HY57" s="112"/>
      <c r="HZ57" s="112"/>
      <c r="IA57" s="112"/>
      <c r="IB57" s="112"/>
      <c r="IC57" s="112"/>
      <c r="ID57" s="112"/>
      <c r="IE57" s="112"/>
      <c r="IF57" s="112"/>
      <c r="IG57" s="112"/>
      <c r="IH57" s="112"/>
      <c r="II57" s="112"/>
      <c r="IJ57" s="112"/>
      <c r="IK57" s="112"/>
      <c r="IL57" s="112"/>
      <c r="IM57" s="112"/>
      <c r="IN57" s="112"/>
      <c r="IO57" s="112"/>
      <c r="IP57" s="112"/>
      <c r="IQ57" s="112"/>
      <c r="IR57" s="112"/>
      <c r="IS57" s="112"/>
      <c r="IT57" s="112"/>
      <c r="IU57" s="112"/>
    </row>
    <row r="58" spans="1:255" ht="25.35" customHeight="1" x14ac:dyDescent="0.2">
      <c r="A58" s="1593"/>
      <c r="B58" s="1596"/>
      <c r="C58" s="141" t="s">
        <v>233</v>
      </c>
      <c r="D58" s="142" t="s">
        <v>50</v>
      </c>
      <c r="E58" s="143">
        <v>0</v>
      </c>
      <c r="F58" s="143"/>
      <c r="G58" s="143">
        <v>0</v>
      </c>
      <c r="H58" s="143"/>
      <c r="I58" s="143">
        <v>0</v>
      </c>
      <c r="J58" s="143"/>
      <c r="K58" s="143">
        <v>1</v>
      </c>
      <c r="L58" s="143"/>
      <c r="M58" s="143">
        <v>1</v>
      </c>
      <c r="N58" s="143"/>
      <c r="O58" s="143">
        <v>3</v>
      </c>
      <c r="P58" s="143"/>
      <c r="Q58" s="143"/>
      <c r="R58" s="112"/>
      <c r="S58" s="112"/>
      <c r="T58" s="112"/>
      <c r="U58" s="112"/>
      <c r="V58" s="112"/>
      <c r="W58" s="112"/>
      <c r="X58" s="112"/>
      <c r="Y58" s="112"/>
      <c r="Z58" s="112"/>
      <c r="AA58" s="112"/>
      <c r="AB58" s="112"/>
      <c r="AC58" s="112"/>
      <c r="AD58" s="112"/>
      <c r="AE58" s="112"/>
      <c r="AF58" s="112"/>
      <c r="AG58" s="112"/>
      <c r="AH58" s="112"/>
      <c r="AI58" s="112"/>
      <c r="AJ58" s="112"/>
      <c r="AK58" s="112"/>
      <c r="AL58" s="112"/>
      <c r="AM58" s="112"/>
      <c r="AN58" s="112"/>
      <c r="AO58" s="112"/>
      <c r="AP58" s="112"/>
      <c r="AQ58" s="112"/>
      <c r="AR58" s="112"/>
      <c r="AS58" s="112"/>
      <c r="AT58" s="112"/>
      <c r="AU58" s="112"/>
      <c r="AV58" s="112"/>
      <c r="AW58" s="112"/>
      <c r="AX58" s="112"/>
      <c r="AY58" s="112"/>
      <c r="AZ58" s="112"/>
      <c r="BA58" s="112"/>
      <c r="BB58" s="112"/>
      <c r="BC58" s="112"/>
      <c r="BD58" s="112"/>
      <c r="BE58" s="112"/>
      <c r="BF58" s="112"/>
      <c r="BG58" s="112"/>
      <c r="BH58" s="112"/>
      <c r="BI58" s="112"/>
      <c r="BJ58" s="112"/>
      <c r="BK58" s="112"/>
      <c r="BL58" s="112"/>
      <c r="BM58" s="112"/>
      <c r="BN58" s="112"/>
      <c r="BO58" s="112"/>
      <c r="BP58" s="112"/>
      <c r="BQ58" s="112"/>
      <c r="BR58" s="112"/>
      <c r="BS58" s="112"/>
      <c r="BT58" s="112"/>
      <c r="BU58" s="112"/>
      <c r="BV58" s="112"/>
      <c r="BW58" s="112"/>
      <c r="BX58" s="112"/>
      <c r="BY58" s="112"/>
      <c r="BZ58" s="112"/>
      <c r="CA58" s="112"/>
      <c r="CB58" s="112"/>
      <c r="CC58" s="112"/>
      <c r="CD58" s="112"/>
      <c r="CE58" s="112"/>
      <c r="CF58" s="112"/>
      <c r="CG58" s="112"/>
      <c r="CH58" s="112"/>
      <c r="CI58" s="112"/>
      <c r="CJ58" s="112"/>
      <c r="CK58" s="112"/>
      <c r="CL58" s="112"/>
      <c r="CM58" s="112"/>
      <c r="CN58" s="112"/>
      <c r="CO58" s="112"/>
      <c r="CP58" s="112"/>
      <c r="CQ58" s="112"/>
      <c r="CR58" s="112"/>
      <c r="CS58" s="112"/>
      <c r="CT58" s="112"/>
      <c r="CU58" s="112"/>
      <c r="CV58" s="112"/>
      <c r="CW58" s="112"/>
      <c r="CX58" s="112"/>
      <c r="CY58" s="112"/>
      <c r="CZ58" s="112"/>
      <c r="DA58" s="112"/>
      <c r="DB58" s="112"/>
      <c r="DC58" s="112"/>
      <c r="DD58" s="112"/>
      <c r="DE58" s="112"/>
      <c r="DF58" s="112"/>
      <c r="DG58" s="112"/>
      <c r="DH58" s="112"/>
      <c r="DI58" s="112"/>
      <c r="DJ58" s="112"/>
      <c r="DK58" s="112"/>
      <c r="DL58" s="112"/>
      <c r="DM58" s="112"/>
      <c r="DN58" s="112"/>
      <c r="DO58" s="112"/>
      <c r="DP58" s="112"/>
      <c r="DQ58" s="112"/>
      <c r="DR58" s="112"/>
      <c r="DS58" s="112"/>
      <c r="DT58" s="112"/>
      <c r="DU58" s="112"/>
      <c r="DV58" s="112"/>
      <c r="DW58" s="112"/>
      <c r="DX58" s="112"/>
      <c r="DY58" s="112"/>
      <c r="DZ58" s="112"/>
      <c r="EA58" s="112"/>
      <c r="EB58" s="112"/>
      <c r="EC58" s="112"/>
      <c r="ED58" s="112"/>
      <c r="EE58" s="112"/>
      <c r="EF58" s="112"/>
      <c r="EG58" s="112"/>
      <c r="EH58" s="112"/>
      <c r="EI58" s="112"/>
      <c r="EJ58" s="112"/>
      <c r="EK58" s="112"/>
      <c r="EL58" s="112"/>
      <c r="EM58" s="112"/>
      <c r="EN58" s="112"/>
      <c r="EO58" s="112"/>
      <c r="EP58" s="112"/>
      <c r="EQ58" s="112"/>
      <c r="ER58" s="112"/>
      <c r="ES58" s="112"/>
      <c r="ET58" s="112"/>
      <c r="EU58" s="112"/>
      <c r="EV58" s="112"/>
      <c r="EW58" s="112"/>
      <c r="EX58" s="112"/>
      <c r="EY58" s="112"/>
      <c r="EZ58" s="112"/>
      <c r="FA58" s="112"/>
      <c r="FB58" s="112"/>
      <c r="FC58" s="112"/>
      <c r="FD58" s="112"/>
      <c r="FE58" s="112"/>
      <c r="FF58" s="112"/>
      <c r="FG58" s="112"/>
      <c r="FH58" s="112"/>
      <c r="FI58" s="112"/>
      <c r="FJ58" s="112"/>
      <c r="FK58" s="112"/>
      <c r="FL58" s="112"/>
      <c r="FM58" s="112"/>
      <c r="FN58" s="112"/>
      <c r="FO58" s="112"/>
      <c r="FP58" s="112"/>
      <c r="FQ58" s="112"/>
      <c r="FR58" s="112"/>
      <c r="FS58" s="112"/>
      <c r="FT58" s="112"/>
      <c r="FU58" s="112"/>
      <c r="FV58" s="112"/>
      <c r="FW58" s="112"/>
      <c r="FX58" s="112"/>
      <c r="FY58" s="112"/>
      <c r="FZ58" s="112"/>
      <c r="GA58" s="112"/>
      <c r="GB58" s="112"/>
      <c r="GC58" s="112"/>
      <c r="GD58" s="112"/>
      <c r="GE58" s="112"/>
      <c r="GF58" s="112"/>
      <c r="GG58" s="112"/>
      <c r="GH58" s="112"/>
      <c r="GI58" s="112"/>
      <c r="GJ58" s="112"/>
      <c r="GK58" s="112"/>
      <c r="GL58" s="112"/>
      <c r="GM58" s="112"/>
      <c r="GN58" s="112"/>
      <c r="GO58" s="112"/>
      <c r="GP58" s="112"/>
      <c r="GQ58" s="112"/>
      <c r="GR58" s="112"/>
      <c r="GS58" s="112"/>
      <c r="GT58" s="112"/>
      <c r="GU58" s="112"/>
      <c r="GV58" s="112"/>
      <c r="GW58" s="112"/>
      <c r="GX58" s="112"/>
      <c r="GY58" s="112"/>
      <c r="GZ58" s="112"/>
      <c r="HA58" s="112"/>
      <c r="HB58" s="112"/>
      <c r="HC58" s="112"/>
      <c r="HD58" s="112"/>
      <c r="HE58" s="112"/>
      <c r="HF58" s="112"/>
      <c r="HG58" s="112"/>
      <c r="HH58" s="112"/>
      <c r="HI58" s="112"/>
      <c r="HJ58" s="112"/>
      <c r="HK58" s="112"/>
      <c r="HL58" s="112"/>
      <c r="HM58" s="112"/>
      <c r="HN58" s="112"/>
      <c r="HO58" s="112"/>
      <c r="HP58" s="112"/>
      <c r="HQ58" s="112"/>
      <c r="HR58" s="112"/>
      <c r="HS58" s="112"/>
      <c r="HT58" s="112"/>
      <c r="HU58" s="112"/>
      <c r="HV58" s="112"/>
      <c r="HW58" s="112"/>
      <c r="HX58" s="112"/>
      <c r="HY58" s="112"/>
      <c r="HZ58" s="112"/>
      <c r="IA58" s="112"/>
      <c r="IB58" s="112"/>
      <c r="IC58" s="112"/>
      <c r="ID58" s="112"/>
      <c r="IE58" s="112"/>
      <c r="IF58" s="112"/>
      <c r="IG58" s="112"/>
      <c r="IH58" s="112"/>
      <c r="II58" s="112"/>
      <c r="IJ58" s="112"/>
      <c r="IK58" s="112"/>
      <c r="IL58" s="112"/>
      <c r="IM58" s="112"/>
      <c r="IN58" s="112"/>
      <c r="IO58" s="112"/>
      <c r="IP58" s="112"/>
      <c r="IQ58" s="112"/>
      <c r="IR58" s="112"/>
      <c r="IS58" s="112"/>
      <c r="IT58" s="112"/>
      <c r="IU58" s="112"/>
    </row>
    <row r="59" spans="1:255" ht="25.35" customHeight="1" x14ac:dyDescent="0.2">
      <c r="A59" s="428"/>
      <c r="B59" s="112"/>
      <c r="C59" s="112"/>
      <c r="D59" s="133"/>
      <c r="E59" s="422"/>
      <c r="F59" s="422"/>
      <c r="G59" s="422"/>
      <c r="H59" s="422"/>
      <c r="I59" s="422"/>
      <c r="J59" s="422"/>
      <c r="K59" s="422"/>
      <c r="L59" s="422"/>
      <c r="M59" s="422"/>
      <c r="N59" s="422"/>
      <c r="O59" s="422"/>
      <c r="P59" s="422"/>
      <c r="Q59" s="422"/>
      <c r="R59" s="112"/>
      <c r="S59" s="112"/>
      <c r="T59" s="112"/>
      <c r="U59" s="112"/>
      <c r="V59" s="112"/>
      <c r="W59" s="112"/>
      <c r="X59" s="112"/>
      <c r="Y59" s="112"/>
      <c r="Z59" s="112"/>
      <c r="AA59" s="112"/>
      <c r="AB59" s="112"/>
      <c r="AC59" s="112"/>
      <c r="AD59" s="112"/>
      <c r="AE59" s="112"/>
      <c r="AF59" s="112"/>
      <c r="AG59" s="112"/>
      <c r="AH59" s="112"/>
      <c r="AI59" s="112"/>
      <c r="AJ59" s="112"/>
      <c r="AK59" s="112"/>
      <c r="AL59" s="112"/>
      <c r="AM59" s="112"/>
      <c r="AN59" s="112"/>
      <c r="AO59" s="112"/>
      <c r="AP59" s="112"/>
      <c r="AQ59" s="112"/>
      <c r="AR59" s="112"/>
      <c r="AS59" s="112"/>
      <c r="AT59" s="112"/>
      <c r="AU59" s="112"/>
      <c r="AV59" s="112"/>
      <c r="AW59" s="112"/>
      <c r="AX59" s="112"/>
      <c r="AY59" s="112"/>
      <c r="AZ59" s="112"/>
      <c r="BA59" s="112"/>
      <c r="BB59" s="112"/>
      <c r="BC59" s="112"/>
      <c r="BD59" s="112"/>
      <c r="BE59" s="112"/>
      <c r="BF59" s="112"/>
      <c r="BG59" s="112"/>
      <c r="BH59" s="112"/>
      <c r="BI59" s="112"/>
      <c r="BJ59" s="112"/>
      <c r="BK59" s="112"/>
      <c r="BL59" s="112"/>
      <c r="BM59" s="112"/>
      <c r="BN59" s="112"/>
      <c r="BO59" s="112"/>
      <c r="BP59" s="112"/>
      <c r="BQ59" s="112"/>
      <c r="BR59" s="112"/>
      <c r="BS59" s="112"/>
      <c r="BT59" s="112"/>
      <c r="BU59" s="112"/>
      <c r="BV59" s="112"/>
      <c r="BW59" s="112"/>
      <c r="BX59" s="112"/>
      <c r="BY59" s="112"/>
      <c r="BZ59" s="112"/>
      <c r="CA59" s="112"/>
      <c r="CB59" s="112"/>
      <c r="CC59" s="112"/>
      <c r="CD59" s="112"/>
      <c r="CE59" s="112"/>
      <c r="CF59" s="112"/>
      <c r="CG59" s="112"/>
      <c r="CH59" s="112"/>
      <c r="CI59" s="112"/>
      <c r="CJ59" s="112"/>
      <c r="CK59" s="112"/>
      <c r="CL59" s="112"/>
      <c r="CM59" s="112"/>
      <c r="CN59" s="112"/>
      <c r="CO59" s="112"/>
      <c r="CP59" s="112"/>
      <c r="CQ59" s="112"/>
      <c r="CR59" s="112"/>
      <c r="CS59" s="112"/>
      <c r="CT59" s="112"/>
      <c r="CU59" s="112"/>
      <c r="CV59" s="112"/>
      <c r="CW59" s="112"/>
      <c r="CX59" s="112"/>
      <c r="CY59" s="112"/>
      <c r="CZ59" s="112"/>
      <c r="DA59" s="112"/>
      <c r="DB59" s="112"/>
      <c r="DC59" s="112"/>
      <c r="DD59" s="112"/>
      <c r="DE59" s="112"/>
      <c r="DF59" s="112"/>
      <c r="DG59" s="112"/>
      <c r="DH59" s="112"/>
      <c r="DI59" s="112"/>
      <c r="DJ59" s="112"/>
      <c r="DK59" s="112"/>
      <c r="DL59" s="112"/>
      <c r="DM59" s="112"/>
      <c r="DN59" s="112"/>
      <c r="DO59" s="112"/>
      <c r="DP59" s="112"/>
      <c r="DQ59" s="112"/>
      <c r="DR59" s="112"/>
      <c r="DS59" s="112"/>
      <c r="DT59" s="112"/>
      <c r="DU59" s="112"/>
      <c r="DV59" s="112"/>
      <c r="DW59" s="112"/>
      <c r="DX59" s="112"/>
      <c r="DY59" s="112"/>
      <c r="DZ59" s="112"/>
      <c r="EA59" s="112"/>
      <c r="EB59" s="112"/>
      <c r="EC59" s="112"/>
      <c r="ED59" s="112"/>
      <c r="EE59" s="112"/>
      <c r="EF59" s="112"/>
      <c r="EG59" s="112"/>
      <c r="EH59" s="112"/>
      <c r="EI59" s="112"/>
      <c r="EJ59" s="112"/>
      <c r="EK59" s="112"/>
      <c r="EL59" s="112"/>
      <c r="EM59" s="112"/>
      <c r="EN59" s="112"/>
      <c r="EO59" s="112"/>
      <c r="EP59" s="112"/>
      <c r="EQ59" s="112"/>
      <c r="ER59" s="112"/>
      <c r="ES59" s="112"/>
      <c r="ET59" s="112"/>
      <c r="EU59" s="112"/>
      <c r="EV59" s="112"/>
      <c r="EW59" s="112"/>
      <c r="EX59" s="112"/>
      <c r="EY59" s="112"/>
      <c r="EZ59" s="112"/>
      <c r="FA59" s="112"/>
      <c r="FB59" s="112"/>
      <c r="FC59" s="112"/>
      <c r="FD59" s="112"/>
      <c r="FE59" s="112"/>
      <c r="FF59" s="112"/>
      <c r="FG59" s="112"/>
      <c r="FH59" s="112"/>
      <c r="FI59" s="112"/>
      <c r="FJ59" s="112"/>
      <c r="FK59" s="112"/>
      <c r="FL59" s="112"/>
      <c r="FM59" s="112"/>
      <c r="FN59" s="112"/>
      <c r="FO59" s="112"/>
      <c r="FP59" s="112"/>
      <c r="FQ59" s="112"/>
      <c r="FR59" s="112"/>
      <c r="FS59" s="112"/>
      <c r="FT59" s="112"/>
      <c r="FU59" s="112"/>
      <c r="FV59" s="112"/>
      <c r="FW59" s="112"/>
      <c r="FX59" s="112"/>
      <c r="FY59" s="112"/>
      <c r="FZ59" s="112"/>
      <c r="GA59" s="112"/>
      <c r="GB59" s="112"/>
      <c r="GC59" s="112"/>
      <c r="GD59" s="112"/>
      <c r="GE59" s="112"/>
      <c r="GF59" s="112"/>
      <c r="GG59" s="112"/>
      <c r="GH59" s="112"/>
      <c r="GI59" s="112"/>
      <c r="GJ59" s="112"/>
      <c r="GK59" s="112"/>
      <c r="GL59" s="112"/>
      <c r="GM59" s="112"/>
      <c r="GN59" s="112"/>
      <c r="GO59" s="112"/>
      <c r="GP59" s="112"/>
      <c r="GQ59" s="112"/>
      <c r="GR59" s="112"/>
      <c r="GS59" s="112"/>
      <c r="GT59" s="112"/>
      <c r="GU59" s="112"/>
      <c r="GV59" s="112"/>
      <c r="GW59" s="112"/>
      <c r="GX59" s="112"/>
      <c r="GY59" s="112"/>
      <c r="GZ59" s="112"/>
      <c r="HA59" s="112"/>
      <c r="HB59" s="112"/>
      <c r="HC59" s="112"/>
      <c r="HD59" s="112"/>
      <c r="HE59" s="112"/>
      <c r="HF59" s="112"/>
      <c r="HG59" s="112"/>
      <c r="HH59" s="112"/>
      <c r="HI59" s="112"/>
      <c r="HJ59" s="112"/>
      <c r="HK59" s="112"/>
      <c r="HL59" s="112"/>
      <c r="HM59" s="112"/>
      <c r="HN59" s="112"/>
      <c r="HO59" s="112"/>
      <c r="HP59" s="112"/>
      <c r="HQ59" s="112"/>
      <c r="HR59" s="112"/>
      <c r="HS59" s="112"/>
      <c r="HT59" s="112"/>
      <c r="HU59" s="112"/>
      <c r="HV59" s="112"/>
      <c r="HW59" s="112"/>
      <c r="HX59" s="112"/>
      <c r="HY59" s="112"/>
      <c r="HZ59" s="112"/>
      <c r="IA59" s="112"/>
      <c r="IB59" s="112"/>
      <c r="IC59" s="112"/>
      <c r="ID59" s="112"/>
      <c r="IE59" s="112"/>
      <c r="IF59" s="112"/>
      <c r="IG59" s="112"/>
      <c r="IH59" s="112"/>
      <c r="II59" s="112"/>
      <c r="IJ59" s="112"/>
      <c r="IK59" s="112"/>
      <c r="IL59" s="112"/>
      <c r="IM59" s="112"/>
      <c r="IN59" s="112"/>
      <c r="IO59" s="112"/>
      <c r="IP59" s="112"/>
      <c r="IQ59" s="112"/>
      <c r="IR59" s="112"/>
      <c r="IS59" s="112"/>
      <c r="IT59" s="112"/>
      <c r="IU59" s="112"/>
    </row>
    <row r="60" spans="1:255" ht="25.35" customHeight="1" x14ac:dyDescent="0.2">
      <c r="A60" s="1594" t="s">
        <v>1184</v>
      </c>
      <c r="B60" s="409"/>
      <c r="C60" s="128" t="s">
        <v>203</v>
      </c>
      <c r="D60" s="116" t="s">
        <v>223</v>
      </c>
      <c r="E60" s="120">
        <v>2</v>
      </c>
      <c r="F60" s="120"/>
      <c r="G60" s="120">
        <v>3</v>
      </c>
      <c r="H60" s="120"/>
      <c r="I60" s="120">
        <v>4</v>
      </c>
      <c r="J60" s="120"/>
      <c r="K60" s="120">
        <v>5</v>
      </c>
      <c r="L60" s="120"/>
      <c r="M60" s="120">
        <v>6</v>
      </c>
      <c r="N60" s="120"/>
      <c r="O60" s="120">
        <v>7</v>
      </c>
      <c r="P60" s="120"/>
      <c r="Q60" s="120">
        <v>8</v>
      </c>
      <c r="R60" s="120"/>
      <c r="S60" s="120">
        <v>9</v>
      </c>
      <c r="T60" s="120"/>
      <c r="U60" s="120">
        <v>10</v>
      </c>
      <c r="V60" s="120"/>
      <c r="W60" s="120" t="s">
        <v>460</v>
      </c>
      <c r="X60" s="120"/>
      <c r="Y60" s="120" t="s">
        <v>461</v>
      </c>
      <c r="Z60" s="120"/>
      <c r="AA60" s="120" t="s">
        <v>462</v>
      </c>
      <c r="AB60" s="120"/>
      <c r="AC60" s="120" t="s">
        <v>463</v>
      </c>
      <c r="AD60" s="120"/>
      <c r="AE60" s="120">
        <v>16</v>
      </c>
      <c r="AF60" s="120"/>
      <c r="AG60" s="120" t="s">
        <v>464</v>
      </c>
      <c r="AH60" s="120"/>
      <c r="AI60" s="120" t="s">
        <v>465</v>
      </c>
      <c r="AJ60" s="120"/>
      <c r="AK60" s="120" t="s">
        <v>466</v>
      </c>
      <c r="AL60" s="120"/>
      <c r="AM60" s="120" t="s">
        <v>467</v>
      </c>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row>
    <row r="61" spans="1:255" ht="25.35" customHeight="1" x14ac:dyDescent="0.2">
      <c r="A61" s="1594"/>
      <c r="B61" s="1595" t="s">
        <v>16</v>
      </c>
      <c r="C61" s="141" t="s">
        <v>1186</v>
      </c>
      <c r="D61" s="142" t="s">
        <v>52</v>
      </c>
      <c r="E61" s="143">
        <v>4</v>
      </c>
      <c r="F61" s="143"/>
      <c r="G61" s="143">
        <v>5</v>
      </c>
      <c r="H61" s="143">
        <f>4.6-1.1+H31/2</f>
        <v>3.4999999999999996</v>
      </c>
      <c r="I61" s="143">
        <v>6</v>
      </c>
      <c r="J61" s="143">
        <f t="shared" ref="J61:T61" si="5">4.6-1.1+J31</f>
        <v>3.4999999999999996</v>
      </c>
      <c r="K61" s="143">
        <v>5</v>
      </c>
      <c r="L61" s="143">
        <f t="shared" si="5"/>
        <v>3.4999999999999996</v>
      </c>
      <c r="M61" s="143">
        <v>5</v>
      </c>
      <c r="N61" s="143">
        <f t="shared" si="5"/>
        <v>3.4999999999999996</v>
      </c>
      <c r="O61" s="143">
        <v>5</v>
      </c>
      <c r="P61" s="143">
        <f t="shared" si="5"/>
        <v>3.4999999999999996</v>
      </c>
      <c r="Q61" s="143">
        <v>5</v>
      </c>
      <c r="R61" s="143">
        <f t="shared" si="5"/>
        <v>3.4999999999999996</v>
      </c>
      <c r="S61" s="143">
        <v>6</v>
      </c>
      <c r="T61" s="143">
        <f t="shared" si="5"/>
        <v>3.4999999999999996</v>
      </c>
      <c r="U61" s="143">
        <v>7</v>
      </c>
      <c r="V61" s="143">
        <f>4.6-1.1+V31/2</f>
        <v>3.4999999999999996</v>
      </c>
      <c r="W61" s="143">
        <v>10</v>
      </c>
      <c r="X61" s="143"/>
      <c r="Y61" s="143">
        <v>20</v>
      </c>
      <c r="Z61" s="143"/>
      <c r="AA61" s="143">
        <v>13</v>
      </c>
      <c r="AB61" s="143"/>
      <c r="AC61" s="143">
        <v>24</v>
      </c>
      <c r="AD61" s="143"/>
      <c r="AE61" s="143">
        <v>16</v>
      </c>
      <c r="AF61" s="143"/>
      <c r="AG61" s="143">
        <v>18</v>
      </c>
      <c r="AH61" s="143"/>
      <c r="AI61" s="143">
        <v>30</v>
      </c>
      <c r="AJ61" s="143"/>
      <c r="AK61" s="143">
        <v>20</v>
      </c>
      <c r="AL61" s="143"/>
      <c r="AM61" s="143">
        <v>32</v>
      </c>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row>
    <row r="62" spans="1:255" ht="25.35" customHeight="1" x14ac:dyDescent="0.2">
      <c r="A62" s="1594"/>
      <c r="B62" s="1595"/>
      <c r="C62" s="141" t="s">
        <v>1835</v>
      </c>
      <c r="D62" s="142" t="s">
        <v>50</v>
      </c>
      <c r="E62" s="143">
        <v>2</v>
      </c>
      <c r="F62" s="143"/>
      <c r="G62" s="143">
        <v>2</v>
      </c>
      <c r="H62" s="143"/>
      <c r="I62" s="143">
        <v>2</v>
      </c>
      <c r="J62" s="143"/>
      <c r="K62" s="143">
        <v>2</v>
      </c>
      <c r="L62" s="143"/>
      <c r="M62" s="143">
        <v>2</v>
      </c>
      <c r="N62" s="143"/>
      <c r="O62" s="143">
        <v>2</v>
      </c>
      <c r="P62" s="143"/>
      <c r="Q62" s="143">
        <v>2</v>
      </c>
      <c r="R62" s="143"/>
      <c r="S62" s="143">
        <v>2</v>
      </c>
      <c r="T62" s="143"/>
      <c r="U62" s="143">
        <v>2</v>
      </c>
      <c r="V62" s="143"/>
      <c r="W62" s="143">
        <v>4</v>
      </c>
      <c r="X62" s="143"/>
      <c r="Y62" s="143">
        <v>6</v>
      </c>
      <c r="Z62" s="143"/>
      <c r="AA62" s="143">
        <v>2</v>
      </c>
      <c r="AB62" s="143"/>
      <c r="AC62" s="143">
        <v>6</v>
      </c>
      <c r="AD62" s="143"/>
      <c r="AE62" s="143">
        <v>2</v>
      </c>
      <c r="AF62" s="143"/>
      <c r="AG62" s="143">
        <v>2</v>
      </c>
      <c r="AH62" s="143"/>
      <c r="AI62" s="143">
        <v>6</v>
      </c>
      <c r="AJ62" s="143"/>
      <c r="AK62" s="143">
        <v>2</v>
      </c>
      <c r="AL62" s="143"/>
      <c r="AM62" s="143">
        <v>6</v>
      </c>
      <c r="AN62" s="112"/>
      <c r="AO62" s="112"/>
      <c r="AP62" s="112"/>
      <c r="AQ62" s="112"/>
      <c r="AR62" s="112"/>
      <c r="AS62" s="112"/>
      <c r="AT62" s="112"/>
      <c r="AU62" s="112"/>
      <c r="AV62" s="112"/>
      <c r="AW62" s="112"/>
      <c r="AX62" s="112"/>
      <c r="AY62" s="112"/>
      <c r="AZ62" s="112"/>
      <c r="BA62" s="112"/>
      <c r="BB62" s="112"/>
      <c r="BC62" s="112"/>
      <c r="BD62" s="112"/>
      <c r="BE62" s="112"/>
      <c r="BF62" s="112"/>
      <c r="BG62" s="112"/>
      <c r="BH62" s="112"/>
      <c r="BI62" s="112"/>
      <c r="BJ62" s="112"/>
      <c r="BK62" s="112"/>
      <c r="BL62" s="112"/>
      <c r="BM62" s="112"/>
      <c r="BN62" s="112"/>
      <c r="BO62" s="112"/>
      <c r="BP62" s="112"/>
      <c r="BQ62" s="112"/>
      <c r="BR62" s="112"/>
      <c r="BS62" s="112"/>
      <c r="BT62" s="112"/>
      <c r="BU62" s="112"/>
      <c r="BV62" s="112"/>
      <c r="BW62" s="112"/>
      <c r="BX62" s="112"/>
      <c r="BY62" s="112"/>
      <c r="BZ62" s="112"/>
      <c r="CA62" s="112"/>
      <c r="CB62" s="112"/>
      <c r="CC62" s="112"/>
      <c r="CD62" s="112"/>
      <c r="CE62" s="112"/>
      <c r="CF62" s="112"/>
      <c r="CG62" s="112"/>
      <c r="CH62" s="112"/>
      <c r="CI62" s="112"/>
      <c r="CJ62" s="112"/>
      <c r="CK62" s="112"/>
      <c r="CL62" s="112"/>
      <c r="CM62" s="112"/>
      <c r="CN62" s="112"/>
      <c r="CO62" s="112"/>
      <c r="CP62" s="112"/>
      <c r="CQ62" s="112"/>
      <c r="CR62" s="112"/>
      <c r="CS62" s="112"/>
      <c r="CT62" s="112"/>
      <c r="CU62" s="112"/>
      <c r="CV62" s="112"/>
      <c r="CW62" s="112"/>
      <c r="CX62" s="112"/>
      <c r="CY62" s="112"/>
      <c r="CZ62" s="112"/>
      <c r="DA62" s="112"/>
      <c r="DB62" s="112"/>
      <c r="DC62" s="112"/>
      <c r="DD62" s="112"/>
      <c r="DE62" s="112"/>
      <c r="DF62" s="112"/>
      <c r="DG62" s="112"/>
      <c r="DH62" s="112"/>
      <c r="DI62" s="112"/>
      <c r="DJ62" s="112"/>
      <c r="DK62" s="112"/>
      <c r="DL62" s="112"/>
      <c r="DM62" s="112"/>
      <c r="DN62" s="112"/>
      <c r="DO62" s="112"/>
      <c r="DP62" s="112"/>
      <c r="DQ62" s="112"/>
      <c r="DR62" s="112"/>
      <c r="DS62" s="112"/>
      <c r="DT62" s="112"/>
      <c r="DU62" s="112"/>
      <c r="DV62" s="112"/>
      <c r="DW62" s="112"/>
      <c r="DX62" s="112"/>
      <c r="DY62" s="112"/>
      <c r="DZ62" s="112"/>
      <c r="EA62" s="112"/>
      <c r="EB62" s="112"/>
      <c r="EC62" s="112"/>
      <c r="ED62" s="112"/>
      <c r="EE62" s="112"/>
      <c r="EF62" s="112"/>
      <c r="EG62" s="112"/>
      <c r="EH62" s="112"/>
      <c r="EI62" s="112"/>
      <c r="EJ62" s="112"/>
      <c r="EK62" s="112"/>
      <c r="EL62" s="112"/>
      <c r="EM62" s="112"/>
      <c r="EN62" s="112"/>
      <c r="EO62" s="112"/>
      <c r="EP62" s="112"/>
      <c r="EQ62" s="112"/>
      <c r="ER62" s="112"/>
      <c r="ES62" s="112"/>
      <c r="ET62" s="112"/>
      <c r="EU62" s="112"/>
      <c r="EV62" s="112"/>
      <c r="EW62" s="112"/>
      <c r="EX62" s="112"/>
      <c r="EY62" s="112"/>
      <c r="EZ62" s="112"/>
      <c r="FA62" s="112"/>
      <c r="FB62" s="112"/>
      <c r="FC62" s="112"/>
      <c r="FD62" s="112"/>
      <c r="FE62" s="112"/>
      <c r="FF62" s="112"/>
      <c r="FG62" s="112"/>
      <c r="FH62" s="112"/>
      <c r="FI62" s="112"/>
      <c r="FJ62" s="112"/>
      <c r="FK62" s="112"/>
      <c r="FL62" s="112"/>
      <c r="FM62" s="112"/>
      <c r="FN62" s="112"/>
      <c r="FO62" s="112"/>
      <c r="FP62" s="112"/>
      <c r="FQ62" s="112"/>
      <c r="FR62" s="112"/>
      <c r="FS62" s="112"/>
      <c r="FT62" s="112"/>
      <c r="FU62" s="112"/>
      <c r="FV62" s="112"/>
      <c r="FW62" s="112"/>
      <c r="FX62" s="112"/>
      <c r="FY62" s="112"/>
      <c r="FZ62" s="112"/>
      <c r="GA62" s="112"/>
      <c r="GB62" s="112"/>
      <c r="GC62" s="112"/>
      <c r="GD62" s="112"/>
      <c r="GE62" s="112"/>
      <c r="GF62" s="112"/>
      <c r="GG62" s="112"/>
      <c r="GH62" s="112"/>
      <c r="GI62" s="112"/>
      <c r="GJ62" s="112"/>
      <c r="GK62" s="112"/>
      <c r="GL62" s="112"/>
      <c r="GM62" s="112"/>
      <c r="GN62" s="112"/>
      <c r="GO62" s="112"/>
      <c r="GP62" s="112"/>
      <c r="GQ62" s="112"/>
      <c r="GR62" s="112"/>
      <c r="GS62" s="112"/>
      <c r="GT62" s="112"/>
      <c r="GU62" s="112"/>
      <c r="GV62" s="112"/>
      <c r="GW62" s="112"/>
      <c r="GX62" s="112"/>
      <c r="GY62" s="112"/>
      <c r="GZ62" s="112"/>
      <c r="HA62" s="112"/>
      <c r="HB62" s="112"/>
      <c r="HC62" s="112"/>
      <c r="HD62" s="112"/>
      <c r="HE62" s="112"/>
      <c r="HF62" s="112"/>
      <c r="HG62" s="112"/>
      <c r="HH62" s="112"/>
      <c r="HI62" s="112"/>
      <c r="HJ62" s="112"/>
      <c r="HK62" s="112"/>
      <c r="HL62" s="112"/>
      <c r="HM62" s="112"/>
      <c r="HN62" s="112"/>
      <c r="HO62" s="112"/>
      <c r="HP62" s="112"/>
      <c r="HQ62" s="112"/>
      <c r="HR62" s="112"/>
      <c r="HS62" s="112"/>
      <c r="HT62" s="112"/>
      <c r="HU62" s="112"/>
      <c r="HV62" s="112"/>
      <c r="HW62" s="112"/>
      <c r="HX62" s="112"/>
      <c r="HY62" s="112"/>
      <c r="HZ62" s="112"/>
      <c r="IA62" s="112"/>
      <c r="IB62" s="112"/>
      <c r="IC62" s="112"/>
      <c r="ID62" s="112"/>
      <c r="IE62" s="112"/>
      <c r="IF62" s="112"/>
      <c r="IG62" s="112"/>
      <c r="IH62" s="112"/>
      <c r="II62" s="112"/>
      <c r="IJ62" s="112"/>
      <c r="IK62" s="112"/>
      <c r="IL62" s="112"/>
      <c r="IM62" s="112"/>
      <c r="IN62" s="112"/>
      <c r="IO62" s="112"/>
      <c r="IP62" s="112"/>
      <c r="IQ62" s="112"/>
      <c r="IR62" s="112"/>
      <c r="IS62" s="112"/>
      <c r="IT62" s="112"/>
      <c r="IU62" s="112"/>
    </row>
    <row r="63" spans="1:255" ht="25.35" customHeight="1" x14ac:dyDescent="0.2">
      <c r="A63" s="1594"/>
      <c r="B63" s="1595"/>
      <c r="C63" s="141" t="s">
        <v>1000</v>
      </c>
      <c r="D63" s="142" t="s">
        <v>50</v>
      </c>
      <c r="E63" s="143">
        <v>2</v>
      </c>
      <c r="F63" s="143"/>
      <c r="G63" s="143">
        <v>2</v>
      </c>
      <c r="H63" s="143"/>
      <c r="I63" s="143">
        <v>2</v>
      </c>
      <c r="J63" s="143"/>
      <c r="K63" s="143">
        <v>2</v>
      </c>
      <c r="L63" s="143"/>
      <c r="M63" s="143">
        <v>2</v>
      </c>
      <c r="N63" s="143"/>
      <c r="O63" s="143">
        <v>2</v>
      </c>
      <c r="P63" s="143"/>
      <c r="Q63" s="143">
        <v>2</v>
      </c>
      <c r="R63" s="143"/>
      <c r="S63" s="143">
        <v>2</v>
      </c>
      <c r="T63" s="143"/>
      <c r="U63" s="143">
        <v>2</v>
      </c>
      <c r="V63" s="143"/>
      <c r="W63" s="143">
        <v>4</v>
      </c>
      <c r="X63" s="143"/>
      <c r="Y63" s="143">
        <v>4</v>
      </c>
      <c r="Z63" s="143"/>
      <c r="AA63" s="143">
        <v>4</v>
      </c>
      <c r="AB63" s="143"/>
      <c r="AC63" s="143">
        <v>4</v>
      </c>
      <c r="AD63" s="143"/>
      <c r="AE63" s="143">
        <v>4</v>
      </c>
      <c r="AF63" s="143"/>
      <c r="AG63" s="143">
        <v>4</v>
      </c>
      <c r="AH63" s="143"/>
      <c r="AI63" s="143">
        <v>4</v>
      </c>
      <c r="AJ63" s="143"/>
      <c r="AK63" s="143">
        <v>4</v>
      </c>
      <c r="AL63" s="143"/>
      <c r="AM63" s="143">
        <v>4</v>
      </c>
      <c r="AN63" s="112"/>
      <c r="AO63" s="112"/>
      <c r="AP63" s="112"/>
      <c r="AQ63" s="112"/>
      <c r="AR63" s="112"/>
      <c r="AS63" s="112"/>
      <c r="AT63" s="112"/>
      <c r="AU63" s="112"/>
      <c r="AV63" s="112"/>
      <c r="AW63" s="112"/>
      <c r="AX63" s="112"/>
      <c r="AY63" s="112"/>
      <c r="AZ63" s="112"/>
      <c r="BA63" s="112"/>
      <c r="BB63" s="112"/>
      <c r="BC63" s="112"/>
      <c r="BD63" s="112"/>
      <c r="BE63" s="112"/>
      <c r="BF63" s="112"/>
      <c r="BG63" s="112"/>
      <c r="BH63" s="112"/>
      <c r="BI63" s="112"/>
      <c r="BJ63" s="112"/>
      <c r="BK63" s="112"/>
      <c r="BL63" s="112"/>
      <c r="BM63" s="112"/>
      <c r="BN63" s="112"/>
      <c r="BO63" s="112"/>
      <c r="BP63" s="112"/>
      <c r="BQ63" s="112"/>
      <c r="BR63" s="112"/>
      <c r="BS63" s="112"/>
      <c r="BT63" s="112"/>
      <c r="BU63" s="112"/>
      <c r="BV63" s="112"/>
      <c r="BW63" s="112"/>
      <c r="BX63" s="112"/>
      <c r="BY63" s="112"/>
      <c r="BZ63" s="112"/>
      <c r="CA63" s="112"/>
      <c r="CB63" s="112"/>
      <c r="CC63" s="112"/>
      <c r="CD63" s="112"/>
      <c r="CE63" s="112"/>
      <c r="CF63" s="112"/>
      <c r="CG63" s="112"/>
      <c r="CH63" s="112"/>
      <c r="CI63" s="112"/>
      <c r="CJ63" s="112"/>
      <c r="CK63" s="112"/>
      <c r="CL63" s="112"/>
      <c r="CM63" s="112"/>
      <c r="CN63" s="112"/>
      <c r="CO63" s="112"/>
      <c r="CP63" s="112"/>
      <c r="CQ63" s="112"/>
      <c r="CR63" s="112"/>
      <c r="CS63" s="112"/>
      <c r="CT63" s="112"/>
      <c r="CU63" s="112"/>
      <c r="CV63" s="112"/>
      <c r="CW63" s="112"/>
      <c r="CX63" s="112"/>
      <c r="CY63" s="112"/>
      <c r="CZ63" s="112"/>
      <c r="DA63" s="112"/>
      <c r="DB63" s="112"/>
      <c r="DC63" s="112"/>
      <c r="DD63" s="112"/>
      <c r="DE63" s="112"/>
      <c r="DF63" s="112"/>
      <c r="DG63" s="112"/>
      <c r="DH63" s="112"/>
      <c r="DI63" s="112"/>
      <c r="DJ63" s="112"/>
      <c r="DK63" s="112"/>
      <c r="DL63" s="112"/>
      <c r="DM63" s="112"/>
      <c r="DN63" s="112"/>
      <c r="DO63" s="112"/>
      <c r="DP63" s="112"/>
      <c r="DQ63" s="112"/>
      <c r="DR63" s="112"/>
      <c r="DS63" s="112"/>
      <c r="DT63" s="112"/>
      <c r="DU63" s="112"/>
      <c r="DV63" s="112"/>
      <c r="DW63" s="112"/>
      <c r="DX63" s="112"/>
      <c r="DY63" s="112"/>
      <c r="DZ63" s="112"/>
      <c r="EA63" s="112"/>
      <c r="EB63" s="112"/>
      <c r="EC63" s="112"/>
      <c r="ED63" s="112"/>
      <c r="EE63" s="112"/>
      <c r="EF63" s="112"/>
      <c r="EG63" s="112"/>
      <c r="EH63" s="112"/>
      <c r="EI63" s="112"/>
      <c r="EJ63" s="112"/>
      <c r="EK63" s="112"/>
      <c r="EL63" s="112"/>
      <c r="EM63" s="112"/>
      <c r="EN63" s="112"/>
      <c r="EO63" s="112"/>
      <c r="EP63" s="112"/>
      <c r="EQ63" s="112"/>
      <c r="ER63" s="112"/>
      <c r="ES63" s="112"/>
      <c r="ET63" s="112"/>
      <c r="EU63" s="112"/>
      <c r="EV63" s="112"/>
      <c r="EW63" s="112"/>
      <c r="EX63" s="112"/>
      <c r="EY63" s="112"/>
      <c r="EZ63" s="112"/>
      <c r="FA63" s="112"/>
      <c r="FB63" s="112"/>
      <c r="FC63" s="112"/>
      <c r="FD63" s="112"/>
      <c r="FE63" s="112"/>
      <c r="FF63" s="112"/>
      <c r="FG63" s="112"/>
      <c r="FH63" s="112"/>
      <c r="FI63" s="112"/>
      <c r="FJ63" s="112"/>
      <c r="FK63" s="112"/>
      <c r="FL63" s="112"/>
      <c r="FM63" s="112"/>
      <c r="FN63" s="112"/>
      <c r="FO63" s="112"/>
      <c r="FP63" s="112"/>
      <c r="FQ63" s="112"/>
      <c r="FR63" s="112"/>
      <c r="FS63" s="112"/>
      <c r="FT63" s="112"/>
      <c r="FU63" s="112"/>
      <c r="FV63" s="112"/>
      <c r="FW63" s="112"/>
      <c r="FX63" s="112"/>
      <c r="FY63" s="112"/>
      <c r="FZ63" s="112"/>
      <c r="GA63" s="112"/>
      <c r="GB63" s="112"/>
      <c r="GC63" s="112"/>
      <c r="GD63" s="112"/>
      <c r="GE63" s="112"/>
      <c r="GF63" s="112"/>
      <c r="GG63" s="112"/>
      <c r="GH63" s="112"/>
      <c r="GI63" s="112"/>
      <c r="GJ63" s="112"/>
      <c r="GK63" s="112"/>
      <c r="GL63" s="112"/>
      <c r="GM63" s="112"/>
      <c r="GN63" s="112"/>
      <c r="GO63" s="112"/>
      <c r="GP63" s="112"/>
      <c r="GQ63" s="112"/>
      <c r="GR63" s="112"/>
      <c r="GS63" s="112"/>
      <c r="GT63" s="112"/>
      <c r="GU63" s="112"/>
      <c r="GV63" s="112"/>
      <c r="GW63" s="112"/>
      <c r="GX63" s="112"/>
      <c r="GY63" s="112"/>
      <c r="GZ63" s="112"/>
      <c r="HA63" s="112"/>
      <c r="HB63" s="112"/>
      <c r="HC63" s="112"/>
      <c r="HD63" s="112"/>
      <c r="HE63" s="112"/>
      <c r="HF63" s="112"/>
      <c r="HG63" s="112"/>
      <c r="HH63" s="112"/>
      <c r="HI63" s="112"/>
      <c r="HJ63" s="112"/>
      <c r="HK63" s="112"/>
      <c r="HL63" s="112"/>
      <c r="HM63" s="112"/>
      <c r="HN63" s="112"/>
      <c r="HO63" s="112"/>
      <c r="HP63" s="112"/>
      <c r="HQ63" s="112"/>
      <c r="HR63" s="112"/>
      <c r="HS63" s="112"/>
      <c r="HT63" s="112"/>
      <c r="HU63" s="112"/>
      <c r="HV63" s="112"/>
      <c r="HW63" s="112"/>
      <c r="HX63" s="112"/>
      <c r="HY63" s="112"/>
      <c r="HZ63" s="112"/>
      <c r="IA63" s="112"/>
      <c r="IB63" s="112"/>
      <c r="IC63" s="112"/>
      <c r="ID63" s="112"/>
      <c r="IE63" s="112"/>
      <c r="IF63" s="112"/>
      <c r="IG63" s="112"/>
      <c r="IH63" s="112"/>
      <c r="II63" s="112"/>
      <c r="IJ63" s="112"/>
      <c r="IK63" s="112"/>
      <c r="IL63" s="112"/>
      <c r="IM63" s="112"/>
      <c r="IN63" s="112"/>
      <c r="IO63" s="112"/>
      <c r="IP63" s="112"/>
      <c r="IQ63" s="112"/>
      <c r="IR63" s="112"/>
      <c r="IS63" s="112"/>
      <c r="IT63" s="112"/>
      <c r="IU63" s="112"/>
    </row>
    <row r="64" spans="1:255" ht="25.35" customHeight="1" x14ac:dyDescent="0.2">
      <c r="A64" s="1594"/>
      <c r="B64" s="1423"/>
      <c r="C64" s="141" t="s">
        <v>72</v>
      </c>
      <c r="D64" s="142" t="s">
        <v>50</v>
      </c>
      <c r="E64" s="143"/>
      <c r="F64" s="143"/>
      <c r="G64" s="143"/>
      <c r="H64" s="143"/>
      <c r="I64" s="143"/>
      <c r="J64" s="143"/>
      <c r="K64" s="143"/>
      <c r="L64" s="143"/>
      <c r="M64" s="143"/>
      <c r="N64" s="143"/>
      <c r="O64" s="143"/>
      <c r="P64" s="143"/>
      <c r="Q64" s="143"/>
      <c r="R64" s="143"/>
      <c r="S64" s="143"/>
      <c r="T64" s="143"/>
      <c r="U64" s="143"/>
      <c r="V64" s="143"/>
      <c r="W64" s="143">
        <v>2</v>
      </c>
      <c r="X64" s="143"/>
      <c r="Y64" s="143"/>
      <c r="Z64" s="143"/>
      <c r="AA64" s="143">
        <v>2</v>
      </c>
      <c r="AB64" s="143"/>
      <c r="AC64" s="143"/>
      <c r="AD64" s="143"/>
      <c r="AE64" s="143">
        <v>2</v>
      </c>
      <c r="AF64" s="143"/>
      <c r="AG64" s="143">
        <v>2</v>
      </c>
      <c r="AH64" s="143"/>
      <c r="AI64" s="143"/>
      <c r="AJ64" s="143"/>
      <c r="AK64" s="143">
        <v>2</v>
      </c>
      <c r="AL64" s="143"/>
      <c r="AM64" s="143"/>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row>
    <row r="65" spans="1:255" ht="25.35" customHeight="1" x14ac:dyDescent="0.2">
      <c r="A65" s="1594"/>
      <c r="B65" s="126"/>
      <c r="C65" s="128" t="s">
        <v>623</v>
      </c>
      <c r="D65" s="116"/>
      <c r="E65" s="120" t="s">
        <v>1177</v>
      </c>
      <c r="F65" s="120"/>
      <c r="G65" s="120" t="s">
        <v>1178</v>
      </c>
      <c r="H65" s="120"/>
      <c r="I65" s="120" t="s">
        <v>1179</v>
      </c>
      <c r="J65" s="120" t="s">
        <v>1833</v>
      </c>
      <c r="K65" s="120" t="s">
        <v>1180</v>
      </c>
      <c r="L65" s="120" t="s">
        <v>1178</v>
      </c>
      <c r="M65" s="120" t="s">
        <v>1181</v>
      </c>
      <c r="N65" s="120" t="s">
        <v>1834</v>
      </c>
      <c r="O65" s="120" t="s">
        <v>1182</v>
      </c>
      <c r="P65" s="120"/>
      <c r="Q65" s="120"/>
      <c r="R65" s="126"/>
      <c r="S65" s="126"/>
      <c r="T65" s="126"/>
      <c r="U65" s="126"/>
      <c r="V65" s="126"/>
      <c r="W65" s="126"/>
      <c r="X65" s="126"/>
      <c r="Y65" s="126"/>
      <c r="Z65" s="126"/>
      <c r="AA65" s="126"/>
      <c r="AB65" s="126"/>
      <c r="AC65" s="126"/>
      <c r="AD65" s="126"/>
      <c r="AE65" s="126"/>
      <c r="AF65" s="126"/>
      <c r="AG65" s="126"/>
      <c r="AH65" s="126"/>
      <c r="AI65" s="126"/>
      <c r="AJ65" s="126"/>
      <c r="AK65" s="126"/>
      <c r="AL65" s="126"/>
      <c r="AM65" s="126"/>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row>
    <row r="66" spans="1:255" ht="25.35" customHeight="1" x14ac:dyDescent="0.2">
      <c r="A66" s="1594"/>
      <c r="B66" s="1596" t="s">
        <v>377</v>
      </c>
      <c r="C66" s="141" t="s">
        <v>1185</v>
      </c>
      <c r="D66" s="142" t="s">
        <v>52</v>
      </c>
      <c r="E66" s="143">
        <v>4</v>
      </c>
      <c r="F66" s="143"/>
      <c r="G66" s="143">
        <v>8</v>
      </c>
      <c r="H66" s="143"/>
      <c r="I66" s="143">
        <v>8</v>
      </c>
      <c r="J66" s="143"/>
      <c r="K66" s="143">
        <v>18</v>
      </c>
      <c r="L66" s="143"/>
      <c r="M66" s="143">
        <v>18</v>
      </c>
      <c r="N66" s="143"/>
      <c r="O66" s="143">
        <v>32</v>
      </c>
      <c r="P66" s="143"/>
      <c r="Q66" s="143"/>
      <c r="R66" s="126"/>
      <c r="S66" s="126"/>
      <c r="T66" s="126"/>
      <c r="U66" s="126"/>
      <c r="V66" s="126"/>
      <c r="W66" s="126"/>
      <c r="X66" s="126"/>
      <c r="Y66" s="126"/>
      <c r="Z66" s="126"/>
      <c r="AA66" s="126"/>
      <c r="AB66" s="126"/>
      <c r="AC66" s="126"/>
      <c r="AD66" s="126"/>
      <c r="AE66" s="126"/>
      <c r="AF66" s="126"/>
      <c r="AG66" s="126"/>
      <c r="AH66" s="126"/>
      <c r="AI66" s="126"/>
      <c r="AJ66" s="126"/>
      <c r="AK66" s="126"/>
      <c r="AL66" s="126"/>
      <c r="AM66" s="126"/>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row>
    <row r="67" spans="1:255" ht="25.35" customHeight="1" x14ac:dyDescent="0.2">
      <c r="A67" s="1594"/>
      <c r="B67" s="1596"/>
      <c r="C67" s="141" t="s">
        <v>1835</v>
      </c>
      <c r="D67" s="142" t="s">
        <v>50</v>
      </c>
      <c r="E67" s="143">
        <v>2</v>
      </c>
      <c r="F67" s="143"/>
      <c r="G67" s="143">
        <v>2</v>
      </c>
      <c r="H67" s="143"/>
      <c r="I67" s="143">
        <v>2</v>
      </c>
      <c r="J67" s="143"/>
      <c r="K67" s="143">
        <v>4</v>
      </c>
      <c r="L67" s="143"/>
      <c r="M67" s="143">
        <v>4</v>
      </c>
      <c r="N67" s="143"/>
      <c r="O67" s="143">
        <v>8</v>
      </c>
      <c r="P67" s="143"/>
      <c r="Q67" s="143"/>
      <c r="R67" s="126"/>
      <c r="S67" s="126"/>
      <c r="T67" s="126"/>
      <c r="U67" s="126"/>
      <c r="V67" s="126"/>
      <c r="W67" s="126"/>
      <c r="X67" s="126"/>
      <c r="Y67" s="126"/>
      <c r="Z67" s="126"/>
      <c r="AA67" s="126"/>
      <c r="AB67" s="126"/>
      <c r="AC67" s="126"/>
      <c r="AD67" s="126"/>
      <c r="AE67" s="126"/>
      <c r="AF67" s="126"/>
      <c r="AG67" s="126"/>
      <c r="AH67" s="126"/>
      <c r="AI67" s="126"/>
      <c r="AJ67" s="126"/>
      <c r="AK67" s="126"/>
      <c r="AL67" s="126"/>
      <c r="AM67" s="126"/>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row>
    <row r="68" spans="1:255" ht="25.35" customHeight="1" x14ac:dyDescent="0.2">
      <c r="A68" s="1594"/>
      <c r="B68" s="1596"/>
      <c r="C68" s="141" t="s">
        <v>1000</v>
      </c>
      <c r="D68" s="142" t="s">
        <v>50</v>
      </c>
      <c r="E68" s="143">
        <v>2</v>
      </c>
      <c r="F68" s="143"/>
      <c r="G68" s="143">
        <v>2</v>
      </c>
      <c r="H68" s="143"/>
      <c r="I68" s="143">
        <v>2</v>
      </c>
      <c r="J68" s="143"/>
      <c r="K68" s="143">
        <v>4</v>
      </c>
      <c r="L68" s="143"/>
      <c r="M68" s="143">
        <v>4</v>
      </c>
      <c r="N68" s="143"/>
      <c r="O68" s="143">
        <v>8</v>
      </c>
      <c r="P68" s="143"/>
      <c r="Q68" s="143"/>
      <c r="R68" s="112"/>
      <c r="S68" s="112"/>
      <c r="T68" s="112"/>
      <c r="U68" s="112"/>
      <c r="V68" s="112"/>
      <c r="W68" s="112"/>
      <c r="X68" s="112"/>
      <c r="Y68" s="112"/>
      <c r="Z68" s="112"/>
      <c r="AA68" s="112"/>
      <c r="AB68" s="112"/>
      <c r="AC68" s="112"/>
      <c r="AD68" s="112"/>
      <c r="AE68" s="112"/>
      <c r="AF68" s="112"/>
      <c r="AG68" s="112"/>
      <c r="AH68" s="112"/>
      <c r="AI68" s="112"/>
      <c r="AJ68" s="112"/>
      <c r="AK68" s="112"/>
      <c r="AL68" s="112"/>
      <c r="AM68" s="112"/>
      <c r="AN68" s="112"/>
      <c r="AO68" s="112"/>
      <c r="AP68" s="112"/>
      <c r="AQ68" s="112"/>
      <c r="AR68" s="112"/>
      <c r="AS68" s="112"/>
      <c r="AT68" s="112"/>
      <c r="AU68" s="112"/>
      <c r="AV68" s="112"/>
      <c r="AW68" s="112"/>
      <c r="AX68" s="112"/>
      <c r="AY68" s="112"/>
      <c r="AZ68" s="112"/>
      <c r="BA68" s="112"/>
      <c r="BB68" s="112"/>
      <c r="BC68" s="112"/>
      <c r="BD68" s="112"/>
      <c r="BE68" s="112"/>
      <c r="BF68" s="112"/>
      <c r="BG68" s="112"/>
      <c r="BH68" s="112"/>
      <c r="BI68" s="112"/>
      <c r="BJ68" s="112"/>
      <c r="BK68" s="112"/>
      <c r="BL68" s="112"/>
      <c r="BM68" s="112"/>
      <c r="BN68" s="112"/>
      <c r="BO68" s="112"/>
      <c r="BP68" s="112"/>
      <c r="BQ68" s="112"/>
      <c r="BR68" s="112"/>
      <c r="BS68" s="112"/>
      <c r="BT68" s="112"/>
      <c r="BU68" s="112"/>
      <c r="BV68" s="112"/>
      <c r="BW68" s="112"/>
      <c r="BX68" s="112"/>
      <c r="BY68" s="112"/>
      <c r="BZ68" s="112"/>
      <c r="CA68" s="112"/>
      <c r="CB68" s="112"/>
      <c r="CC68" s="112"/>
      <c r="CD68" s="112"/>
      <c r="CE68" s="112"/>
      <c r="CF68" s="112"/>
      <c r="CG68" s="112"/>
      <c r="CH68" s="112"/>
      <c r="CI68" s="112"/>
      <c r="CJ68" s="112"/>
      <c r="CK68" s="112"/>
      <c r="CL68" s="112"/>
      <c r="CM68" s="112"/>
      <c r="CN68" s="112"/>
      <c r="CO68" s="112"/>
      <c r="CP68" s="112"/>
      <c r="CQ68" s="112"/>
      <c r="CR68" s="112"/>
      <c r="CS68" s="112"/>
      <c r="CT68" s="112"/>
      <c r="CU68" s="112"/>
      <c r="CV68" s="112"/>
      <c r="CW68" s="112"/>
      <c r="CX68" s="112"/>
      <c r="CY68" s="112"/>
      <c r="CZ68" s="112"/>
      <c r="DA68" s="112"/>
      <c r="DB68" s="112"/>
      <c r="DC68" s="112"/>
      <c r="DD68" s="112"/>
      <c r="DE68" s="112"/>
      <c r="DF68" s="112"/>
      <c r="DG68" s="112"/>
      <c r="DH68" s="112"/>
      <c r="DI68" s="112"/>
      <c r="DJ68" s="112"/>
      <c r="DK68" s="112"/>
      <c r="DL68" s="112"/>
      <c r="DM68" s="112"/>
      <c r="DN68" s="112"/>
      <c r="DO68" s="112"/>
      <c r="DP68" s="112"/>
      <c r="DQ68" s="112"/>
      <c r="DR68" s="112"/>
      <c r="DS68" s="112"/>
      <c r="DT68" s="112"/>
      <c r="DU68" s="112"/>
      <c r="DV68" s="112"/>
      <c r="DW68" s="112"/>
      <c r="DX68" s="112"/>
      <c r="DY68" s="112"/>
      <c r="DZ68" s="112"/>
      <c r="EA68" s="112"/>
      <c r="EB68" s="112"/>
      <c r="EC68" s="112"/>
      <c r="ED68" s="112"/>
      <c r="EE68" s="112"/>
      <c r="EF68" s="112"/>
      <c r="EG68" s="112"/>
      <c r="EH68" s="112"/>
      <c r="EI68" s="112"/>
      <c r="EJ68" s="112"/>
      <c r="EK68" s="112"/>
      <c r="EL68" s="112"/>
      <c r="EM68" s="112"/>
      <c r="EN68" s="112"/>
      <c r="EO68" s="112"/>
      <c r="EP68" s="112"/>
      <c r="EQ68" s="112"/>
      <c r="ER68" s="112"/>
      <c r="ES68" s="112"/>
      <c r="ET68" s="112"/>
      <c r="EU68" s="112"/>
      <c r="EV68" s="112"/>
      <c r="EW68" s="112"/>
      <c r="EX68" s="112"/>
      <c r="EY68" s="112"/>
      <c r="EZ68" s="112"/>
      <c r="FA68" s="112"/>
      <c r="FB68" s="112"/>
      <c r="FC68" s="112"/>
      <c r="FD68" s="112"/>
      <c r="FE68" s="112"/>
      <c r="FF68" s="112"/>
      <c r="FG68" s="112"/>
      <c r="FH68" s="112"/>
      <c r="FI68" s="112"/>
      <c r="FJ68" s="112"/>
      <c r="FK68" s="112"/>
      <c r="FL68" s="112"/>
      <c r="FM68" s="112"/>
      <c r="FN68" s="112"/>
      <c r="FO68" s="112"/>
      <c r="FP68" s="112"/>
      <c r="FQ68" s="112"/>
      <c r="FR68" s="112"/>
      <c r="FS68" s="112"/>
      <c r="FT68" s="112"/>
      <c r="FU68" s="112"/>
      <c r="FV68" s="112"/>
      <c r="FW68" s="112"/>
      <c r="FX68" s="112"/>
      <c r="FY68" s="112"/>
      <c r="FZ68" s="112"/>
      <c r="GA68" s="112"/>
      <c r="GB68" s="112"/>
      <c r="GC68" s="112"/>
      <c r="GD68" s="112"/>
      <c r="GE68" s="112"/>
      <c r="GF68" s="112"/>
      <c r="GG68" s="112"/>
      <c r="GH68" s="112"/>
      <c r="GI68" s="112"/>
      <c r="GJ68" s="112"/>
      <c r="GK68" s="112"/>
      <c r="GL68" s="112"/>
      <c r="GM68" s="112"/>
      <c r="GN68" s="112"/>
      <c r="GO68" s="112"/>
      <c r="GP68" s="112"/>
      <c r="GQ68" s="112"/>
      <c r="GR68" s="112"/>
      <c r="GS68" s="112"/>
      <c r="GT68" s="112"/>
      <c r="GU68" s="112"/>
      <c r="GV68" s="112"/>
      <c r="GW68" s="112"/>
      <c r="GX68" s="112"/>
      <c r="GY68" s="112"/>
      <c r="GZ68" s="112"/>
      <c r="HA68" s="112"/>
      <c r="HB68" s="112"/>
      <c r="HC68" s="112"/>
      <c r="HD68" s="112"/>
      <c r="HE68" s="112"/>
      <c r="HF68" s="112"/>
      <c r="HG68" s="112"/>
      <c r="HH68" s="112"/>
      <c r="HI68" s="112"/>
      <c r="HJ68" s="112"/>
      <c r="HK68" s="112"/>
      <c r="HL68" s="112"/>
      <c r="HM68" s="112"/>
      <c r="HN68" s="112"/>
      <c r="HO68" s="112"/>
      <c r="HP68" s="112"/>
      <c r="HQ68" s="112"/>
      <c r="HR68" s="112"/>
      <c r="HS68" s="112"/>
      <c r="HT68" s="112"/>
      <c r="HU68" s="112"/>
      <c r="HV68" s="112"/>
      <c r="HW68" s="112"/>
      <c r="HX68" s="112"/>
      <c r="HY68" s="112"/>
      <c r="HZ68" s="112"/>
      <c r="IA68" s="112"/>
      <c r="IB68" s="112"/>
      <c r="IC68" s="112"/>
      <c r="ID68" s="112"/>
      <c r="IE68" s="112"/>
      <c r="IF68" s="112"/>
      <c r="IG68" s="112"/>
      <c r="IH68" s="112"/>
      <c r="II68" s="112"/>
      <c r="IJ68" s="112"/>
      <c r="IK68" s="112"/>
      <c r="IL68" s="112"/>
      <c r="IM68" s="112"/>
      <c r="IN68" s="112"/>
      <c r="IO68" s="112"/>
      <c r="IP68" s="112"/>
      <c r="IQ68" s="112"/>
      <c r="IR68" s="112"/>
      <c r="IS68" s="112"/>
      <c r="IT68" s="112"/>
      <c r="IU68" s="112"/>
    </row>
    <row r="69" spans="1:255" ht="25.35" customHeight="1" x14ac:dyDescent="0.2">
      <c r="A69" s="1594"/>
      <c r="B69" s="1596"/>
      <c r="C69" s="141" t="s">
        <v>377</v>
      </c>
      <c r="D69" s="142"/>
      <c r="E69" s="143">
        <v>1</v>
      </c>
      <c r="F69" s="143"/>
      <c r="G69" s="143">
        <v>2</v>
      </c>
      <c r="H69" s="143"/>
      <c r="I69" s="143">
        <v>2</v>
      </c>
      <c r="J69" s="143"/>
      <c r="K69" s="143">
        <v>4</v>
      </c>
      <c r="L69" s="143"/>
      <c r="M69" s="143">
        <v>4</v>
      </c>
      <c r="N69" s="143"/>
      <c r="O69" s="143">
        <v>8</v>
      </c>
      <c r="P69" s="143"/>
      <c r="Q69" s="143"/>
      <c r="R69" s="112"/>
      <c r="S69" s="112"/>
      <c r="T69" s="112"/>
      <c r="U69" s="112"/>
      <c r="V69" s="112"/>
      <c r="W69" s="112"/>
      <c r="X69" s="112"/>
      <c r="Y69" s="112"/>
      <c r="Z69" s="112"/>
      <c r="AA69" s="112"/>
      <c r="AB69" s="112"/>
      <c r="AC69" s="112"/>
      <c r="AD69" s="112"/>
      <c r="AE69" s="112"/>
      <c r="AF69" s="112"/>
      <c r="AG69" s="112"/>
      <c r="AH69" s="112"/>
      <c r="AI69" s="112"/>
      <c r="AJ69" s="112"/>
      <c r="AK69" s="112"/>
      <c r="AL69" s="112"/>
      <c r="AM69" s="112"/>
      <c r="AN69" s="112"/>
      <c r="AO69" s="112"/>
      <c r="AP69" s="112"/>
      <c r="AQ69" s="112"/>
      <c r="AR69" s="112"/>
      <c r="AS69" s="112"/>
      <c r="AT69" s="112"/>
      <c r="AU69" s="112"/>
      <c r="AV69" s="112"/>
      <c r="AW69" s="112"/>
      <c r="AX69" s="112"/>
      <c r="AY69" s="112"/>
      <c r="AZ69" s="112"/>
      <c r="BA69" s="112"/>
      <c r="BB69" s="112"/>
      <c r="BC69" s="112"/>
      <c r="BD69" s="112"/>
      <c r="BE69" s="112"/>
      <c r="BF69" s="112"/>
      <c r="BG69" s="112"/>
      <c r="BH69" s="112"/>
      <c r="BI69" s="112"/>
      <c r="BJ69" s="112"/>
      <c r="BK69" s="112"/>
      <c r="BL69" s="112"/>
      <c r="BM69" s="112"/>
      <c r="BN69" s="112"/>
      <c r="BO69" s="112"/>
      <c r="BP69" s="112"/>
      <c r="BQ69" s="112"/>
      <c r="BR69" s="112"/>
      <c r="BS69" s="112"/>
      <c r="BT69" s="112"/>
      <c r="BU69" s="112"/>
      <c r="BV69" s="112"/>
      <c r="BW69" s="112"/>
      <c r="BX69" s="112"/>
      <c r="BY69" s="112"/>
      <c r="BZ69" s="112"/>
      <c r="CA69" s="112"/>
      <c r="CB69" s="112"/>
      <c r="CC69" s="112"/>
      <c r="CD69" s="112"/>
      <c r="CE69" s="112"/>
      <c r="CF69" s="112"/>
      <c r="CG69" s="112"/>
      <c r="CH69" s="112"/>
      <c r="CI69" s="112"/>
      <c r="CJ69" s="112"/>
      <c r="CK69" s="112"/>
      <c r="CL69" s="112"/>
      <c r="CM69" s="112"/>
      <c r="CN69" s="112"/>
      <c r="CO69" s="112"/>
      <c r="CP69" s="112"/>
      <c r="CQ69" s="112"/>
      <c r="CR69" s="112"/>
      <c r="CS69" s="112"/>
      <c r="CT69" s="112"/>
      <c r="CU69" s="112"/>
      <c r="CV69" s="112"/>
      <c r="CW69" s="112"/>
      <c r="CX69" s="112"/>
      <c r="CY69" s="112"/>
      <c r="CZ69" s="112"/>
      <c r="DA69" s="112"/>
      <c r="DB69" s="112"/>
      <c r="DC69" s="112"/>
      <c r="DD69" s="112"/>
      <c r="DE69" s="112"/>
      <c r="DF69" s="112"/>
      <c r="DG69" s="112"/>
      <c r="DH69" s="112"/>
      <c r="DI69" s="112"/>
      <c r="DJ69" s="112"/>
      <c r="DK69" s="112"/>
      <c r="DL69" s="112"/>
      <c r="DM69" s="112"/>
      <c r="DN69" s="112"/>
      <c r="DO69" s="112"/>
      <c r="DP69" s="112"/>
      <c r="DQ69" s="112"/>
      <c r="DR69" s="112"/>
      <c r="DS69" s="112"/>
      <c r="DT69" s="112"/>
      <c r="DU69" s="112"/>
      <c r="DV69" s="112"/>
      <c r="DW69" s="112"/>
      <c r="DX69" s="112"/>
      <c r="DY69" s="112"/>
      <c r="DZ69" s="112"/>
      <c r="EA69" s="112"/>
      <c r="EB69" s="112"/>
      <c r="EC69" s="112"/>
      <c r="ED69" s="112"/>
      <c r="EE69" s="112"/>
      <c r="EF69" s="112"/>
      <c r="EG69" s="112"/>
      <c r="EH69" s="112"/>
      <c r="EI69" s="112"/>
      <c r="EJ69" s="112"/>
      <c r="EK69" s="112"/>
      <c r="EL69" s="112"/>
      <c r="EM69" s="112"/>
      <c r="EN69" s="112"/>
      <c r="EO69" s="112"/>
      <c r="EP69" s="112"/>
      <c r="EQ69" s="112"/>
      <c r="ER69" s="112"/>
      <c r="ES69" s="112"/>
      <c r="ET69" s="112"/>
      <c r="EU69" s="112"/>
      <c r="EV69" s="112"/>
      <c r="EW69" s="112"/>
      <c r="EX69" s="112"/>
      <c r="EY69" s="112"/>
      <c r="EZ69" s="112"/>
      <c r="FA69" s="112"/>
      <c r="FB69" s="112"/>
      <c r="FC69" s="112"/>
      <c r="FD69" s="112"/>
      <c r="FE69" s="112"/>
      <c r="FF69" s="112"/>
      <c r="FG69" s="112"/>
      <c r="FH69" s="112"/>
      <c r="FI69" s="112"/>
      <c r="FJ69" s="112"/>
      <c r="FK69" s="112"/>
      <c r="FL69" s="112"/>
      <c r="FM69" s="112"/>
      <c r="FN69" s="112"/>
      <c r="FO69" s="112"/>
      <c r="FP69" s="112"/>
      <c r="FQ69" s="112"/>
      <c r="FR69" s="112"/>
      <c r="FS69" s="112"/>
      <c r="FT69" s="112"/>
      <c r="FU69" s="112"/>
      <c r="FV69" s="112"/>
      <c r="FW69" s="112"/>
      <c r="FX69" s="112"/>
      <c r="FY69" s="112"/>
      <c r="FZ69" s="112"/>
      <c r="GA69" s="112"/>
      <c r="GB69" s="112"/>
      <c r="GC69" s="112"/>
      <c r="GD69" s="112"/>
      <c r="GE69" s="112"/>
      <c r="GF69" s="112"/>
      <c r="GG69" s="112"/>
      <c r="GH69" s="112"/>
      <c r="GI69" s="112"/>
      <c r="GJ69" s="112"/>
      <c r="GK69" s="112"/>
      <c r="GL69" s="112"/>
      <c r="GM69" s="112"/>
      <c r="GN69" s="112"/>
      <c r="GO69" s="112"/>
      <c r="GP69" s="112"/>
      <c r="GQ69" s="112"/>
      <c r="GR69" s="112"/>
      <c r="GS69" s="112"/>
      <c r="GT69" s="112"/>
      <c r="GU69" s="112"/>
      <c r="GV69" s="112"/>
      <c r="GW69" s="112"/>
      <c r="GX69" s="112"/>
      <c r="GY69" s="112"/>
      <c r="GZ69" s="112"/>
      <c r="HA69" s="112"/>
      <c r="HB69" s="112"/>
      <c r="HC69" s="112"/>
      <c r="HD69" s="112"/>
      <c r="HE69" s="112"/>
      <c r="HF69" s="112"/>
      <c r="HG69" s="112"/>
      <c r="HH69" s="112"/>
      <c r="HI69" s="112"/>
      <c r="HJ69" s="112"/>
      <c r="HK69" s="112"/>
      <c r="HL69" s="112"/>
      <c r="HM69" s="112"/>
      <c r="HN69" s="112"/>
      <c r="HO69" s="112"/>
      <c r="HP69" s="112"/>
      <c r="HQ69" s="112"/>
      <c r="HR69" s="112"/>
      <c r="HS69" s="112"/>
      <c r="HT69" s="112"/>
      <c r="HU69" s="112"/>
      <c r="HV69" s="112"/>
      <c r="HW69" s="112"/>
      <c r="HX69" s="112"/>
      <c r="HY69" s="112"/>
      <c r="HZ69" s="112"/>
      <c r="IA69" s="112"/>
      <c r="IB69" s="112"/>
      <c r="IC69" s="112"/>
      <c r="ID69" s="112"/>
      <c r="IE69" s="112"/>
      <c r="IF69" s="112"/>
      <c r="IG69" s="112"/>
      <c r="IH69" s="112"/>
      <c r="II69" s="112"/>
      <c r="IJ69" s="112"/>
      <c r="IK69" s="112"/>
      <c r="IL69" s="112"/>
      <c r="IM69" s="112"/>
      <c r="IN69" s="112"/>
      <c r="IO69" s="112"/>
      <c r="IP69" s="112"/>
      <c r="IQ69" s="112"/>
      <c r="IR69" s="112"/>
      <c r="IS69" s="112"/>
      <c r="IT69" s="112"/>
      <c r="IU69" s="112"/>
    </row>
  </sheetData>
  <mergeCells count="7">
    <mergeCell ref="A45:A58"/>
    <mergeCell ref="A60:A69"/>
    <mergeCell ref="B61:B63"/>
    <mergeCell ref="B66:B69"/>
    <mergeCell ref="C1:O2"/>
    <mergeCell ref="B46:B49"/>
    <mergeCell ref="B55:B58"/>
  </mergeCells>
  <pageMargins left="0.70000000000000007" right="0.70000000000000007" top="1.1437007874015745" bottom="1.1437007874015745" header="0.74999999999999989" footer="0.74999999999999989"/>
  <pageSetup paperSize="9" fitToWidth="0" fitToHeight="0"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published="0" codeName="Feuil11"/>
  <dimension ref="A3:C15"/>
  <sheetViews>
    <sheetView workbookViewId="0">
      <selection activeCell="B6" sqref="B6:B7"/>
    </sheetView>
  </sheetViews>
  <sheetFormatPr baseColWidth="10" defaultRowHeight="14.25" x14ac:dyDescent="0.2"/>
  <cols>
    <col min="1" max="1" width="15.625" style="3" customWidth="1"/>
    <col min="2" max="2" width="19.625" style="3" customWidth="1"/>
    <col min="3" max="3" width="40.125" style="3" customWidth="1"/>
    <col min="4" max="771" width="10.625" customWidth="1"/>
  </cols>
  <sheetData>
    <row r="3" spans="1:3" ht="48" customHeight="1" x14ac:dyDescent="0.2"/>
    <row r="4" spans="1:3" ht="56.1" customHeight="1" x14ac:dyDescent="0.2">
      <c r="A4" s="1600"/>
      <c r="B4" s="1600"/>
      <c r="C4" s="141" t="s">
        <v>481</v>
      </c>
    </row>
    <row r="5" spans="1:3" ht="65.849999999999994" customHeight="1" x14ac:dyDescent="0.2">
      <c r="A5" s="1601" t="s">
        <v>482</v>
      </c>
      <c r="B5" s="140" t="s">
        <v>483</v>
      </c>
      <c r="C5" s="237" t="s">
        <v>484</v>
      </c>
    </row>
    <row r="6" spans="1:3" x14ac:dyDescent="0.2">
      <c r="A6" s="1601"/>
      <c r="B6" s="1602" t="s">
        <v>485</v>
      </c>
      <c r="C6" s="1603" t="s">
        <v>486</v>
      </c>
    </row>
    <row r="7" spans="1:3" x14ac:dyDescent="0.2">
      <c r="A7" s="1601"/>
      <c r="B7" s="1602"/>
      <c r="C7" s="1603"/>
    </row>
    <row r="8" spans="1:3" ht="15" x14ac:dyDescent="0.2">
      <c r="A8" s="1601"/>
      <c r="B8" s="486" t="s">
        <v>626</v>
      </c>
      <c r="C8" s="487" t="s">
        <v>1364</v>
      </c>
    </row>
    <row r="9" spans="1:3" ht="42.75" x14ac:dyDescent="0.2">
      <c r="A9" s="1601"/>
      <c r="B9" s="140" t="s">
        <v>487</v>
      </c>
      <c r="C9" s="238" t="s">
        <v>488</v>
      </c>
    </row>
    <row r="10" spans="1:3" ht="42.75" x14ac:dyDescent="0.2">
      <c r="A10" s="1601"/>
      <c r="B10" s="140" t="s">
        <v>489</v>
      </c>
      <c r="C10" s="238" t="s">
        <v>490</v>
      </c>
    </row>
    <row r="11" spans="1:3" ht="28.5" x14ac:dyDescent="0.2">
      <c r="A11" s="1601" t="s">
        <v>491</v>
      </c>
      <c r="B11" s="140" t="s">
        <v>492</v>
      </c>
      <c r="C11" s="237" t="s">
        <v>493</v>
      </c>
    </row>
    <row r="12" spans="1:3" ht="28.5" x14ac:dyDescent="0.2">
      <c r="A12" s="1601"/>
      <c r="B12" s="140" t="s">
        <v>494</v>
      </c>
      <c r="C12" s="237" t="s">
        <v>495</v>
      </c>
    </row>
    <row r="13" spans="1:3" ht="35.85" customHeight="1" x14ac:dyDescent="0.2">
      <c r="A13" s="1598" t="s">
        <v>496</v>
      </c>
      <c r="B13" s="146"/>
      <c r="C13" s="1599" t="s">
        <v>497</v>
      </c>
    </row>
    <row r="14" spans="1:3" ht="55.35" customHeight="1" x14ac:dyDescent="0.2">
      <c r="A14" s="1598"/>
      <c r="B14" s="146"/>
      <c r="C14" s="1599"/>
    </row>
    <row r="15" spans="1:3" ht="15" x14ac:dyDescent="0.2">
      <c r="A15" s="1377" t="s">
        <v>498</v>
      </c>
    </row>
  </sheetData>
  <mergeCells count="7">
    <mergeCell ref="A13:A14"/>
    <mergeCell ref="C13:C14"/>
    <mergeCell ref="A4:B4"/>
    <mergeCell ref="A5:A10"/>
    <mergeCell ref="B6:B7"/>
    <mergeCell ref="C6:C7"/>
    <mergeCell ref="A11:A12"/>
  </mergeCells>
  <pageMargins left="0.70000000000000007" right="0.70000000000000007" top="1.1437007874015745" bottom="1.1437007874015745" header="0.74999999999999989" footer="0.74999999999999989"/>
  <pageSetup paperSize="9" fitToWidth="0" fitToHeight="0" orientation="portrait"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published="0" codeName="Feuil12"/>
  <dimension ref="A1:O59"/>
  <sheetViews>
    <sheetView topLeftCell="A29" zoomScale="55" zoomScaleNormal="55" workbookViewId="0">
      <selection activeCell="Q27" sqref="Q27"/>
    </sheetView>
  </sheetViews>
  <sheetFormatPr baseColWidth="10" defaultRowHeight="14.25" x14ac:dyDescent="0.2"/>
  <cols>
    <col min="1" max="1" width="15.5" customWidth="1"/>
    <col min="2" max="2" width="16.625" customWidth="1"/>
    <col min="3" max="3" width="12.625" customWidth="1"/>
    <col min="4" max="4" width="21.125" customWidth="1"/>
    <col min="5" max="5" width="17.625" customWidth="1"/>
    <col min="6" max="6" width="14" customWidth="1"/>
    <col min="7" max="7" width="22.125" customWidth="1"/>
    <col min="8" max="8" width="12.625" customWidth="1"/>
    <col min="9" max="9" width="27.125" customWidth="1"/>
    <col min="10" max="10" width="11.625" customWidth="1"/>
    <col min="11" max="11" width="18.625" customWidth="1"/>
    <col min="12" max="783" width="11" customWidth="1"/>
  </cols>
  <sheetData>
    <row r="1" spans="1:15" ht="15" x14ac:dyDescent="0.25">
      <c r="A1" s="3"/>
      <c r="B1" s="11"/>
      <c r="C1" s="10"/>
      <c r="D1" s="3"/>
      <c r="E1" s="3"/>
      <c r="F1" s="3"/>
      <c r="G1" s="3"/>
      <c r="H1" s="3"/>
      <c r="I1" s="3"/>
      <c r="J1" s="3"/>
      <c r="K1" s="3"/>
      <c r="L1" s="3"/>
      <c r="M1" s="3"/>
      <c r="N1" s="3"/>
      <c r="O1" s="3"/>
    </row>
    <row r="2" spans="1:15" x14ac:dyDescent="0.2">
      <c r="A2" s="3"/>
      <c r="B2" s="3"/>
      <c r="C2" s="10"/>
      <c r="D2" s="3"/>
      <c r="E2" s="3"/>
      <c r="F2" s="3"/>
      <c r="G2" s="3"/>
      <c r="H2" s="3"/>
      <c r="I2" s="3"/>
      <c r="J2" s="3"/>
      <c r="K2" s="3"/>
      <c r="L2" s="3"/>
      <c r="M2" s="3"/>
      <c r="N2" s="3"/>
      <c r="O2" s="3"/>
    </row>
    <row r="3" spans="1:15" x14ac:dyDescent="0.2">
      <c r="A3" s="1604" t="s">
        <v>499</v>
      </c>
      <c r="B3" s="1604"/>
      <c r="C3" s="1604"/>
      <c r="D3" s="1604"/>
      <c r="E3" s="1604"/>
      <c r="F3" s="3"/>
      <c r="G3" s="3"/>
      <c r="H3" s="3"/>
      <c r="I3" s="3"/>
      <c r="J3" s="3"/>
      <c r="K3" s="3"/>
      <c r="L3" s="3"/>
      <c r="M3" s="3"/>
      <c r="N3" s="3"/>
      <c r="O3" s="3"/>
    </row>
    <row r="4" spans="1:15" x14ac:dyDescent="0.2">
      <c r="A4" s="1604"/>
      <c r="B4" s="1604"/>
      <c r="C4" s="1604"/>
      <c r="D4" s="1604"/>
      <c r="E4" s="1604"/>
      <c r="F4" s="3"/>
      <c r="G4" s="3"/>
      <c r="H4" s="3"/>
      <c r="I4" s="3"/>
      <c r="J4" s="3"/>
      <c r="K4" s="3"/>
      <c r="L4" s="3"/>
      <c r="M4" s="3"/>
      <c r="N4" s="3"/>
      <c r="O4" s="3"/>
    </row>
    <row r="5" spans="1:15" x14ac:dyDescent="0.2">
      <c r="A5" s="3"/>
      <c r="B5" s="3"/>
      <c r="C5" s="239"/>
      <c r="D5" s="3"/>
      <c r="E5" s="3"/>
      <c r="F5" s="3"/>
      <c r="G5" s="3"/>
      <c r="H5" s="3"/>
      <c r="I5" s="3"/>
      <c r="J5" s="3"/>
      <c r="K5" s="3"/>
      <c r="L5" s="3"/>
      <c r="M5" s="3"/>
      <c r="N5" s="3"/>
      <c r="O5" s="3"/>
    </row>
    <row r="6" spans="1:15" x14ac:dyDescent="0.2">
      <c r="A6" s="3"/>
      <c r="B6" s="3"/>
      <c r="C6" s="239"/>
      <c r="D6" s="3"/>
      <c r="E6" s="3"/>
      <c r="F6" s="3"/>
      <c r="G6" s="3"/>
      <c r="H6" s="3"/>
      <c r="I6" s="3"/>
      <c r="J6" s="3"/>
      <c r="K6" s="3"/>
      <c r="L6" s="3"/>
      <c r="M6" s="3"/>
      <c r="N6" s="3"/>
      <c r="O6" s="3"/>
    </row>
    <row r="7" spans="1:15" x14ac:dyDescent="0.2">
      <c r="A7" s="3"/>
      <c r="B7" s="3"/>
      <c r="C7" s="239"/>
      <c r="D7" s="3"/>
      <c r="E7" s="3"/>
      <c r="F7" s="3"/>
      <c r="G7" s="3"/>
      <c r="H7" s="3"/>
      <c r="I7" s="3"/>
      <c r="J7" s="3"/>
      <c r="K7" s="3"/>
      <c r="L7" s="3"/>
      <c r="M7" s="3"/>
      <c r="N7" s="3"/>
      <c r="O7" s="3"/>
    </row>
    <row r="8" spans="1:15" ht="26.1" customHeight="1" x14ac:dyDescent="0.2">
      <c r="A8" s="3"/>
      <c r="B8" s="3"/>
      <c r="C8" s="240"/>
      <c r="D8" s="240"/>
      <c r="E8" s="241" t="s">
        <v>500</v>
      </c>
      <c r="F8" s="241"/>
      <c r="G8" s="242" t="s">
        <v>501</v>
      </c>
      <c r="H8" s="241"/>
      <c r="I8" s="241" t="s">
        <v>500</v>
      </c>
      <c r="J8" s="241"/>
      <c r="K8" s="243" t="s">
        <v>502</v>
      </c>
      <c r="L8" s="241"/>
      <c r="M8" s="243" t="s">
        <v>503</v>
      </c>
      <c r="N8" s="240"/>
      <c r="O8" s="240"/>
    </row>
    <row r="9" spans="1:15" ht="24" customHeight="1" x14ac:dyDescent="0.25">
      <c r="A9" s="1605" t="s">
        <v>504</v>
      </c>
      <c r="B9" s="244" t="s">
        <v>505</v>
      </c>
      <c r="C9" s="245" t="s">
        <v>506</v>
      </c>
      <c r="D9" s="246"/>
      <c r="E9" s="247" t="s">
        <v>507</v>
      </c>
      <c r="F9" s="246"/>
      <c r="G9" s="248" t="s">
        <v>439</v>
      </c>
      <c r="H9" s="249"/>
      <c r="I9" s="250" t="s">
        <v>508</v>
      </c>
      <c r="J9" s="249"/>
      <c r="K9" s="251" t="s">
        <v>399</v>
      </c>
      <c r="L9" s="246"/>
      <c r="M9" s="252" t="s">
        <v>509</v>
      </c>
      <c r="N9" s="246"/>
      <c r="O9" s="253" t="s">
        <v>510</v>
      </c>
    </row>
    <row r="10" spans="1:15" ht="24" customHeight="1" x14ac:dyDescent="0.2">
      <c r="A10" s="1605"/>
      <c r="B10" s="254"/>
      <c r="C10" s="243"/>
      <c r="D10" s="243" t="s">
        <v>511</v>
      </c>
      <c r="E10" s="243"/>
      <c r="F10" s="243" t="s">
        <v>512</v>
      </c>
      <c r="G10" s="240"/>
      <c r="H10" s="243" t="s">
        <v>513</v>
      </c>
      <c r="I10" s="243"/>
      <c r="J10" s="243" t="s">
        <v>514</v>
      </c>
      <c r="K10" s="254"/>
      <c r="L10" s="243" t="s">
        <v>515</v>
      </c>
      <c r="M10" s="254"/>
      <c r="N10" s="255" t="s">
        <v>516</v>
      </c>
      <c r="O10" s="254"/>
    </row>
    <row r="11" spans="1:15" x14ac:dyDescent="0.2">
      <c r="A11" s="1605"/>
      <c r="B11" s="3"/>
      <c r="C11" s="240"/>
      <c r="D11" s="240"/>
      <c r="E11" s="240"/>
      <c r="F11" s="240"/>
      <c r="G11" s="240"/>
      <c r="H11" s="240"/>
      <c r="I11" s="240"/>
      <c r="J11" s="240"/>
      <c r="K11" s="240"/>
      <c r="L11" s="240"/>
      <c r="M11" s="240"/>
      <c r="N11" s="240"/>
      <c r="O11" s="256"/>
    </row>
    <row r="12" spans="1:15" ht="22.35" customHeight="1" x14ac:dyDescent="0.2">
      <c r="A12" s="1605"/>
      <c r="B12" s="3"/>
      <c r="C12" s="257" t="s">
        <v>506</v>
      </c>
      <c r="D12" s="255"/>
      <c r="E12" s="258" t="s">
        <v>507</v>
      </c>
      <c r="F12" s="255"/>
      <c r="G12" s="248" t="s">
        <v>517</v>
      </c>
      <c r="H12" s="243"/>
      <c r="I12" s="259" t="s">
        <v>508</v>
      </c>
      <c r="J12" s="255"/>
      <c r="K12" s="3"/>
      <c r="L12" s="255"/>
      <c r="M12" s="252" t="s">
        <v>509</v>
      </c>
      <c r="N12" s="240"/>
      <c r="O12" s="260" t="s">
        <v>510</v>
      </c>
    </row>
    <row r="13" spans="1:15" ht="15" x14ac:dyDescent="0.25">
      <c r="A13" s="1605"/>
      <c r="B13" s="11"/>
      <c r="C13" s="241"/>
      <c r="D13" s="255" t="s">
        <v>511</v>
      </c>
      <c r="E13" s="241"/>
      <c r="F13" s="255" t="s">
        <v>512</v>
      </c>
      <c r="G13" s="241"/>
      <c r="H13" s="255" t="s">
        <v>513</v>
      </c>
      <c r="I13" s="241"/>
      <c r="J13" s="255" t="s">
        <v>514</v>
      </c>
      <c r="K13" s="3"/>
      <c r="L13" s="241"/>
      <c r="M13" s="3"/>
      <c r="N13" s="255" t="s">
        <v>516</v>
      </c>
      <c r="O13" s="261"/>
    </row>
    <row r="14" spans="1:15" ht="15" x14ac:dyDescent="0.25">
      <c r="A14" s="1605"/>
      <c r="B14" s="15"/>
      <c r="C14" s="262"/>
      <c r="D14" s="262"/>
      <c r="E14" s="262"/>
      <c r="F14" s="262"/>
      <c r="G14" s="262"/>
      <c r="H14" s="262"/>
      <c r="I14" s="262"/>
      <c r="J14" s="262"/>
      <c r="K14" s="262"/>
      <c r="L14" s="262"/>
      <c r="M14" s="262"/>
      <c r="N14" s="262"/>
      <c r="O14" s="263"/>
    </row>
    <row r="15" spans="1:15" ht="15" x14ac:dyDescent="0.25">
      <c r="A15" s="112"/>
      <c r="B15" s="11"/>
      <c r="C15" s="241"/>
      <c r="D15" s="241"/>
      <c r="E15" s="241"/>
      <c r="F15" s="241"/>
      <c r="G15" s="241"/>
      <c r="H15" s="241"/>
      <c r="I15" s="241"/>
      <c r="J15" s="241"/>
      <c r="K15" s="241"/>
      <c r="L15" s="241"/>
      <c r="M15" s="241"/>
      <c r="N15" s="241"/>
      <c r="O15" s="241"/>
    </row>
    <row r="16" spans="1:15" ht="15" x14ac:dyDescent="0.25">
      <c r="A16" s="112"/>
      <c r="B16" s="264"/>
      <c r="C16" s="255"/>
      <c r="D16" s="255"/>
      <c r="E16" s="255"/>
      <c r="F16" s="255"/>
      <c r="G16" s="255"/>
      <c r="H16" s="255"/>
      <c r="I16" s="255"/>
      <c r="J16" s="255"/>
      <c r="K16" s="255"/>
      <c r="L16" s="255"/>
      <c r="M16" s="255"/>
      <c r="N16" s="255"/>
      <c r="O16" s="255"/>
    </row>
    <row r="17" spans="1:15" ht="26.1" customHeight="1" x14ac:dyDescent="0.25">
      <c r="A17" s="1606" t="s">
        <v>518</v>
      </c>
      <c r="B17" s="265"/>
      <c r="C17" s="245" t="s">
        <v>506</v>
      </c>
      <c r="D17" s="266"/>
      <c r="E17" s="247" t="s">
        <v>507</v>
      </c>
      <c r="F17" s="246"/>
      <c r="G17" s="248" t="s">
        <v>519</v>
      </c>
      <c r="H17" s="249"/>
      <c r="I17" s="266"/>
      <c r="J17" s="246"/>
      <c r="K17" s="251" t="s">
        <v>399</v>
      </c>
      <c r="L17" s="246"/>
      <c r="M17" s="252" t="s">
        <v>509</v>
      </c>
      <c r="N17" s="246"/>
      <c r="O17" s="253" t="s">
        <v>510</v>
      </c>
    </row>
    <row r="18" spans="1:15" ht="15" x14ac:dyDescent="0.25">
      <c r="A18" s="1606"/>
      <c r="B18" s="264" t="s">
        <v>505</v>
      </c>
      <c r="C18" s="243"/>
      <c r="D18" s="255" t="s">
        <v>511</v>
      </c>
      <c r="E18" s="255"/>
      <c r="F18" s="255" t="s">
        <v>512</v>
      </c>
      <c r="G18" s="255"/>
      <c r="H18" s="255" t="s">
        <v>513</v>
      </c>
      <c r="I18" s="243" t="s">
        <v>502</v>
      </c>
      <c r="J18" s="255"/>
      <c r="K18" s="3"/>
      <c r="L18" s="255" t="s">
        <v>515</v>
      </c>
      <c r="M18" s="3"/>
      <c r="N18" s="255" t="s">
        <v>516</v>
      </c>
      <c r="O18" s="267"/>
    </row>
    <row r="19" spans="1:15" ht="15" x14ac:dyDescent="0.25">
      <c r="A19" s="1606"/>
      <c r="B19" s="264" t="s">
        <v>520</v>
      </c>
      <c r="C19" s="243"/>
      <c r="D19" s="255"/>
      <c r="E19" s="255"/>
      <c r="F19" s="255"/>
      <c r="G19" s="255"/>
      <c r="H19" s="255"/>
      <c r="I19" s="255"/>
      <c r="J19" s="255"/>
      <c r="K19" s="255"/>
      <c r="L19" s="255"/>
      <c r="M19" s="255"/>
      <c r="N19" s="255"/>
      <c r="O19" s="267"/>
    </row>
    <row r="20" spans="1:15" ht="15" x14ac:dyDescent="0.25">
      <c r="A20" s="1606"/>
      <c r="B20" s="264"/>
      <c r="C20" s="243"/>
      <c r="D20" s="255"/>
      <c r="E20" s="255"/>
      <c r="F20" s="255"/>
      <c r="G20" s="255"/>
      <c r="H20" s="255"/>
      <c r="I20" s="255"/>
      <c r="J20" s="255"/>
      <c r="K20" s="255"/>
      <c r="L20" s="255"/>
      <c r="M20" s="255"/>
      <c r="N20" s="255"/>
      <c r="O20" s="267"/>
    </row>
    <row r="21" spans="1:15" ht="15" x14ac:dyDescent="0.25">
      <c r="A21" s="1606"/>
      <c r="B21" s="264"/>
      <c r="C21" s="243"/>
      <c r="D21" s="255"/>
      <c r="E21" s="255"/>
      <c r="F21" s="255"/>
      <c r="G21" s="255"/>
      <c r="H21" s="255"/>
      <c r="I21" s="255"/>
      <c r="J21" s="255"/>
      <c r="K21" s="255"/>
      <c r="L21" s="255"/>
      <c r="M21" s="255"/>
      <c r="N21" s="255"/>
      <c r="O21" s="267"/>
    </row>
    <row r="22" spans="1:15" ht="15" x14ac:dyDescent="0.25">
      <c r="A22" s="1606"/>
      <c r="B22" s="264"/>
      <c r="C22" s="243"/>
      <c r="D22" s="255"/>
      <c r="E22" s="255"/>
      <c r="F22" s="255"/>
      <c r="G22" s="255"/>
      <c r="H22" s="255"/>
      <c r="I22" s="255"/>
      <c r="J22" s="255"/>
      <c r="K22" s="255"/>
      <c r="L22" s="255"/>
      <c r="M22" s="255"/>
      <c r="N22" s="255"/>
      <c r="O22" s="267"/>
    </row>
    <row r="23" spans="1:15" ht="20.100000000000001" customHeight="1" x14ac:dyDescent="0.25">
      <c r="A23" s="1606"/>
      <c r="B23" s="32"/>
      <c r="C23" s="268" t="s">
        <v>506</v>
      </c>
      <c r="D23" s="269"/>
      <c r="E23" s="270" t="s">
        <v>507</v>
      </c>
      <c r="F23" s="269"/>
      <c r="G23" s="248" t="s">
        <v>517</v>
      </c>
      <c r="H23" s="269"/>
      <c r="I23" s="271"/>
      <c r="J23" s="269"/>
      <c r="K23" s="271"/>
      <c r="L23" s="269"/>
      <c r="M23" s="252" t="s">
        <v>509</v>
      </c>
      <c r="N23" s="269"/>
      <c r="O23" s="260" t="s">
        <v>510</v>
      </c>
    </row>
    <row r="24" spans="1:15" ht="20.100000000000001" customHeight="1" x14ac:dyDescent="0.25">
      <c r="A24" s="272"/>
      <c r="B24" s="273"/>
      <c r="C24" s="274"/>
      <c r="D24" s="274" t="s">
        <v>511</v>
      </c>
      <c r="E24" s="274"/>
      <c r="F24" s="274" t="s">
        <v>512</v>
      </c>
      <c r="G24" s="274"/>
      <c r="H24" s="274" t="s">
        <v>513</v>
      </c>
      <c r="I24" s="275"/>
      <c r="J24" s="274"/>
      <c r="K24" s="275"/>
      <c r="L24" s="274"/>
      <c r="M24" s="274"/>
      <c r="N24" s="276" t="s">
        <v>516</v>
      </c>
      <c r="O24" s="277"/>
    </row>
    <row r="25" spans="1:15" ht="20.100000000000001" customHeight="1" x14ac:dyDescent="0.25">
      <c r="A25" s="272"/>
      <c r="B25" s="273"/>
      <c r="C25" s="274"/>
      <c r="D25" s="274"/>
      <c r="E25" s="274"/>
      <c r="F25" s="274"/>
      <c r="G25" s="274"/>
      <c r="H25" s="274"/>
      <c r="I25" s="275"/>
      <c r="J25" s="274"/>
      <c r="K25" s="275"/>
      <c r="L25" s="274"/>
      <c r="M25" s="274"/>
      <c r="N25" s="276"/>
      <c r="O25" s="277"/>
    </row>
    <row r="26" spans="1:15" ht="15" x14ac:dyDescent="0.25">
      <c r="A26" s="112"/>
      <c r="B26" s="264"/>
      <c r="C26" s="243"/>
      <c r="D26" s="255"/>
      <c r="E26" s="255"/>
      <c r="F26" s="255"/>
      <c r="G26" s="255"/>
      <c r="H26" s="255"/>
      <c r="I26" s="3"/>
      <c r="J26" s="255"/>
      <c r="K26" s="255"/>
      <c r="L26" s="255"/>
      <c r="M26" s="3"/>
      <c r="N26" s="255"/>
      <c r="O26" s="11"/>
    </row>
    <row r="27" spans="1:15" ht="22.35" customHeight="1" x14ac:dyDescent="0.25">
      <c r="A27" s="1607" t="s">
        <v>521</v>
      </c>
      <c r="B27" s="265"/>
      <c r="C27" s="245" t="s">
        <v>506</v>
      </c>
      <c r="D27" s="246"/>
      <c r="E27" s="266"/>
      <c r="F27" s="266"/>
      <c r="G27" s="248" t="s">
        <v>439</v>
      </c>
      <c r="H27" s="249"/>
      <c r="I27" s="250" t="s">
        <v>508</v>
      </c>
      <c r="J27" s="246"/>
      <c r="K27" s="251" t="s">
        <v>399</v>
      </c>
      <c r="L27" s="246"/>
      <c r="M27" s="252" t="s">
        <v>509</v>
      </c>
      <c r="N27" s="266"/>
      <c r="O27" s="253" t="s">
        <v>510</v>
      </c>
    </row>
    <row r="28" spans="1:15" ht="15" x14ac:dyDescent="0.25">
      <c r="A28" s="1607"/>
      <c r="B28" s="264" t="s">
        <v>520</v>
      </c>
      <c r="C28" s="243"/>
      <c r="D28" s="243"/>
      <c r="E28" s="264" t="s">
        <v>511</v>
      </c>
      <c r="F28" s="243"/>
      <c r="G28" s="241" t="s">
        <v>522</v>
      </c>
      <c r="H28" s="243" t="s">
        <v>513</v>
      </c>
      <c r="I28" s="3"/>
      <c r="J28" s="255" t="s">
        <v>514</v>
      </c>
      <c r="K28" s="3"/>
      <c r="L28" s="255" t="s">
        <v>515</v>
      </c>
      <c r="M28" s="3"/>
      <c r="N28" s="255" t="s">
        <v>516</v>
      </c>
      <c r="O28" s="256"/>
    </row>
    <row r="29" spans="1:15" ht="15" x14ac:dyDescent="0.25">
      <c r="A29" s="1607"/>
      <c r="B29" s="264"/>
      <c r="C29" s="240"/>
      <c r="D29" s="240"/>
      <c r="E29" s="264"/>
      <c r="F29" s="240"/>
      <c r="G29" s="240"/>
      <c r="H29" s="240"/>
      <c r="I29" s="240"/>
      <c r="J29" s="240"/>
      <c r="K29" s="240"/>
      <c r="L29" s="255"/>
      <c r="M29" s="3"/>
      <c r="N29" s="3"/>
      <c r="O29" s="256"/>
    </row>
    <row r="30" spans="1:15" ht="20.85" customHeight="1" x14ac:dyDescent="0.25">
      <c r="A30" s="1607"/>
      <c r="B30" s="278"/>
      <c r="C30" s="268" t="s">
        <v>506</v>
      </c>
      <c r="D30" s="269"/>
      <c r="E30" s="32"/>
      <c r="F30" s="279"/>
      <c r="G30" s="248" t="s">
        <v>517</v>
      </c>
      <c r="H30" s="269"/>
      <c r="I30" s="280" t="s">
        <v>508</v>
      </c>
      <c r="J30" s="269"/>
      <c r="K30" s="271"/>
      <c r="L30" s="281"/>
      <c r="M30" s="252" t="s">
        <v>509</v>
      </c>
      <c r="N30" s="271"/>
      <c r="O30" s="260" t="s">
        <v>510</v>
      </c>
    </row>
    <row r="31" spans="1:15" ht="20.85" customHeight="1" x14ac:dyDescent="0.25">
      <c r="A31" s="1607"/>
      <c r="B31" s="282"/>
      <c r="C31" s="274"/>
      <c r="D31" s="274"/>
      <c r="E31" s="273" t="s">
        <v>511</v>
      </c>
      <c r="F31" s="274"/>
      <c r="G31" s="274" t="s">
        <v>523</v>
      </c>
      <c r="H31" s="274" t="s">
        <v>513</v>
      </c>
      <c r="I31" s="274"/>
      <c r="J31" s="274"/>
      <c r="K31" s="276" t="s">
        <v>514</v>
      </c>
      <c r="L31" s="283"/>
      <c r="M31" s="274"/>
      <c r="N31" s="276" t="s">
        <v>516</v>
      </c>
      <c r="O31" s="277"/>
    </row>
    <row r="32" spans="1:15" ht="15" x14ac:dyDescent="0.25">
      <c r="A32" s="3"/>
      <c r="B32" s="3"/>
      <c r="C32" s="3"/>
      <c r="D32" s="3"/>
      <c r="E32" s="264"/>
      <c r="F32" s="3"/>
      <c r="G32" s="3"/>
      <c r="H32" s="3"/>
      <c r="I32" s="3"/>
      <c r="J32" s="3"/>
      <c r="K32" s="3"/>
      <c r="L32" s="3"/>
      <c r="M32" s="3"/>
      <c r="N32" s="3"/>
      <c r="O32" s="3"/>
    </row>
    <row r="33" spans="1:15" ht="15" x14ac:dyDescent="0.25">
      <c r="A33" s="1608" t="s">
        <v>524</v>
      </c>
      <c r="B33" s="266"/>
      <c r="C33" s="245" t="s">
        <v>506</v>
      </c>
      <c r="D33" s="246"/>
      <c r="E33" s="265"/>
      <c r="F33" s="266"/>
      <c r="G33" s="248" t="s">
        <v>439</v>
      </c>
      <c r="H33" s="246"/>
      <c r="I33" s="266"/>
      <c r="J33" s="246"/>
      <c r="K33" s="251" t="s">
        <v>399</v>
      </c>
      <c r="L33" s="266"/>
      <c r="M33" s="252" t="s">
        <v>509</v>
      </c>
      <c r="N33" s="266"/>
      <c r="O33" s="253" t="s">
        <v>510</v>
      </c>
    </row>
    <row r="34" spans="1:15" ht="15" x14ac:dyDescent="0.25">
      <c r="A34" s="1608"/>
      <c r="B34" s="3"/>
      <c r="C34" s="243"/>
      <c r="D34" s="243"/>
      <c r="E34" s="264" t="s">
        <v>511</v>
      </c>
      <c r="F34" s="243"/>
      <c r="G34" s="240" t="s">
        <v>522</v>
      </c>
      <c r="H34" s="243" t="s">
        <v>513</v>
      </c>
      <c r="I34" s="3"/>
      <c r="J34" s="3"/>
      <c r="K34" s="3"/>
      <c r="L34" s="255" t="s">
        <v>515</v>
      </c>
      <c r="M34" s="3"/>
      <c r="N34" s="255" t="s">
        <v>516</v>
      </c>
      <c r="O34" s="61"/>
    </row>
    <row r="35" spans="1:15" ht="30" x14ac:dyDescent="0.25">
      <c r="A35" s="1608"/>
      <c r="B35" s="284" t="s">
        <v>525</v>
      </c>
      <c r="C35" s="257" t="s">
        <v>506</v>
      </c>
      <c r="D35" s="240"/>
      <c r="E35" s="264"/>
      <c r="F35" s="240"/>
      <c r="G35" s="248" t="s">
        <v>517</v>
      </c>
      <c r="H35" s="240"/>
      <c r="I35" s="240"/>
      <c r="J35" s="3"/>
      <c r="K35" s="3"/>
      <c r="L35" s="3"/>
      <c r="M35" s="252" t="s">
        <v>509</v>
      </c>
      <c r="N35" s="3"/>
      <c r="O35" s="260" t="s">
        <v>510</v>
      </c>
    </row>
    <row r="36" spans="1:15" ht="15" x14ac:dyDescent="0.25">
      <c r="A36" s="1608"/>
      <c r="B36" s="43"/>
      <c r="C36" s="43"/>
      <c r="D36" s="43"/>
      <c r="E36" s="72" t="s">
        <v>511</v>
      </c>
      <c r="F36" s="43"/>
      <c r="G36" s="43"/>
      <c r="H36" s="72" t="s">
        <v>513</v>
      </c>
      <c r="I36" s="43"/>
      <c r="J36" s="43"/>
      <c r="K36" s="43"/>
      <c r="L36" s="43"/>
      <c r="M36" s="43"/>
      <c r="N36" s="276" t="s">
        <v>516</v>
      </c>
      <c r="O36" s="285"/>
    </row>
    <row r="37" spans="1:15" x14ac:dyDescent="0.2">
      <c r="A37" s="3"/>
      <c r="B37" s="3"/>
      <c r="C37" s="3"/>
      <c r="D37" s="3"/>
      <c r="E37" s="3"/>
      <c r="F37" s="3"/>
      <c r="G37" s="3"/>
      <c r="H37" s="3"/>
      <c r="I37" s="3"/>
      <c r="J37" s="3"/>
      <c r="K37" s="3"/>
      <c r="L37" s="3"/>
      <c r="M37" s="3"/>
      <c r="N37" s="3"/>
      <c r="O37" s="3"/>
    </row>
    <row r="38" spans="1:15" ht="28.5" customHeight="1" x14ac:dyDescent="0.2">
      <c r="A38" s="146" t="s">
        <v>526</v>
      </c>
      <c r="B38" s="1598" t="s">
        <v>527</v>
      </c>
      <c r="C38" s="1598"/>
      <c r="D38" s="146" t="s">
        <v>23</v>
      </c>
      <c r="E38" s="286"/>
      <c r="F38" s="286"/>
      <c r="G38" s="286"/>
      <c r="H38" s="3"/>
      <c r="I38" s="3"/>
      <c r="J38" s="3"/>
      <c r="K38" s="3"/>
      <c r="L38" s="3"/>
      <c r="M38" s="3"/>
      <c r="N38" s="3"/>
      <c r="O38" s="3"/>
    </row>
    <row r="39" spans="1:15" ht="15" x14ac:dyDescent="0.2">
      <c r="A39" s="287" t="s">
        <v>511</v>
      </c>
      <c r="B39" s="1610" t="s">
        <v>528</v>
      </c>
      <c r="C39" s="1610"/>
      <c r="D39" s="288" t="s">
        <v>478</v>
      </c>
      <c r="E39" s="286"/>
      <c r="F39" s="286"/>
      <c r="G39" s="286"/>
      <c r="H39" s="3"/>
      <c r="I39" s="3"/>
      <c r="J39" s="3"/>
      <c r="K39" s="3"/>
      <c r="L39" s="3"/>
      <c r="M39" s="3"/>
      <c r="N39" s="3"/>
      <c r="O39" s="3"/>
    </row>
    <row r="40" spans="1:15" ht="33.6" customHeight="1" x14ac:dyDescent="0.2">
      <c r="A40" s="287" t="s">
        <v>512</v>
      </c>
      <c r="B40" s="1610" t="s">
        <v>529</v>
      </c>
      <c r="C40" s="1610"/>
      <c r="D40" s="288" t="s">
        <v>530</v>
      </c>
      <c r="E40" s="1611" t="s">
        <v>531</v>
      </c>
      <c r="F40" s="1611"/>
      <c r="G40" s="1611"/>
      <c r="H40" s="1611"/>
      <c r="I40" s="3"/>
      <c r="J40" s="3"/>
      <c r="K40" s="3"/>
      <c r="L40" s="3"/>
      <c r="M40" s="3"/>
      <c r="N40" s="3"/>
      <c r="O40" s="3"/>
    </row>
    <row r="41" spans="1:15" ht="15" customHeight="1" x14ac:dyDescent="0.2">
      <c r="A41" s="287" t="s">
        <v>513</v>
      </c>
      <c r="B41" s="1610" t="s">
        <v>528</v>
      </c>
      <c r="C41" s="1610"/>
      <c r="D41" s="288" t="s">
        <v>478</v>
      </c>
      <c r="E41" s="286"/>
      <c r="F41" s="286"/>
      <c r="G41" s="286"/>
      <c r="H41" s="3"/>
      <c r="I41" s="3"/>
      <c r="J41" s="3"/>
      <c r="K41" s="3"/>
      <c r="L41" s="3"/>
      <c r="M41" s="3"/>
      <c r="N41" s="3"/>
      <c r="O41" s="3"/>
    </row>
    <row r="42" spans="1:15" ht="32.85" customHeight="1" x14ac:dyDescent="0.2">
      <c r="A42" s="287" t="s">
        <v>514</v>
      </c>
      <c r="B42" s="1610" t="s">
        <v>532</v>
      </c>
      <c r="C42" s="1610"/>
      <c r="D42" s="288" t="s">
        <v>533</v>
      </c>
      <c r="E42" s="1612" t="s">
        <v>534</v>
      </c>
      <c r="F42" s="1612"/>
      <c r="G42" s="1612"/>
      <c r="H42" s="3"/>
      <c r="I42" s="3"/>
      <c r="J42" s="3"/>
      <c r="K42" s="3"/>
      <c r="L42" s="3"/>
      <c r="M42" s="3"/>
      <c r="N42" s="3"/>
      <c r="O42" s="3"/>
    </row>
    <row r="43" spans="1:15" ht="15" customHeight="1" x14ac:dyDescent="0.2">
      <c r="A43" s="287" t="s">
        <v>515</v>
      </c>
      <c r="B43" s="1610" t="s">
        <v>528</v>
      </c>
      <c r="C43" s="1610"/>
      <c r="D43" s="288" t="s">
        <v>478</v>
      </c>
      <c r="E43" s="286"/>
      <c r="F43" s="286"/>
      <c r="G43" s="286"/>
      <c r="H43" s="3"/>
      <c r="I43" s="3"/>
      <c r="J43" s="3"/>
      <c r="K43" s="3"/>
      <c r="L43" s="3"/>
      <c r="M43" s="3"/>
      <c r="N43" s="3"/>
      <c r="O43" s="3"/>
    </row>
    <row r="44" spans="1:15" ht="55.35" customHeight="1" x14ac:dyDescent="0.2">
      <c r="A44" s="287" t="s">
        <v>516</v>
      </c>
      <c r="B44" s="1610" t="s">
        <v>528</v>
      </c>
      <c r="C44" s="1610"/>
      <c r="D44" s="288" t="s">
        <v>478</v>
      </c>
      <c r="E44" s="286"/>
      <c r="F44" s="1613" t="s">
        <v>535</v>
      </c>
      <c r="G44" s="1613"/>
      <c r="H44" s="1613"/>
      <c r="I44" s="1613"/>
      <c r="J44" s="3"/>
      <c r="K44" s="3"/>
      <c r="L44" s="3"/>
      <c r="M44" s="3"/>
      <c r="N44" s="3"/>
      <c r="O44" s="3"/>
    </row>
    <row r="45" spans="1:15" ht="26.85" customHeight="1" x14ac:dyDescent="0.2">
      <c r="A45" s="289"/>
      <c r="B45" s="286"/>
      <c r="C45" s="286"/>
      <c r="D45" s="286"/>
      <c r="E45" s="286"/>
      <c r="F45" s="286"/>
      <c r="G45" s="3"/>
      <c r="H45" s="3"/>
      <c r="I45" s="3"/>
      <c r="J45" s="3"/>
      <c r="K45" s="3"/>
      <c r="L45" s="3"/>
      <c r="M45" s="3"/>
      <c r="N45" s="3"/>
      <c r="O45" s="3"/>
    </row>
    <row r="46" spans="1:15" ht="14.1" customHeight="1" x14ac:dyDescent="0.2">
      <c r="A46" s="290" t="s">
        <v>536</v>
      </c>
      <c r="B46" s="1609" t="s">
        <v>537</v>
      </c>
      <c r="C46" s="1609"/>
      <c r="D46" s="1609"/>
      <c r="E46" s="1609"/>
      <c r="F46" s="1609"/>
      <c r="G46" s="1609"/>
      <c r="H46" s="3"/>
      <c r="I46" s="3"/>
      <c r="J46" s="3"/>
      <c r="K46" s="3"/>
      <c r="L46" s="3"/>
      <c r="M46" s="3"/>
      <c r="N46" s="3"/>
      <c r="O46" s="3"/>
    </row>
    <row r="47" spans="1:15" ht="14.1" customHeight="1" x14ac:dyDescent="0.2">
      <c r="A47" s="290" t="s">
        <v>538</v>
      </c>
      <c r="B47" s="1609" t="s">
        <v>539</v>
      </c>
      <c r="C47" s="1609"/>
      <c r="D47" s="1609"/>
      <c r="E47" s="1609"/>
      <c r="F47" s="1609"/>
      <c r="G47" s="3"/>
      <c r="H47" s="3"/>
      <c r="I47" s="3"/>
      <c r="J47" s="3"/>
      <c r="K47" s="3"/>
      <c r="L47" s="3"/>
      <c r="M47" s="3"/>
      <c r="N47" s="3"/>
      <c r="O47" s="3"/>
    </row>
    <row r="48" spans="1:15" ht="14.1" customHeight="1" x14ac:dyDescent="0.2">
      <c r="A48" s="290" t="s">
        <v>540</v>
      </c>
      <c r="B48" s="1609" t="s">
        <v>541</v>
      </c>
      <c r="C48" s="1609"/>
      <c r="D48" s="1609"/>
      <c r="E48" s="1609"/>
      <c r="F48" s="1609"/>
      <c r="G48" s="286"/>
      <c r="H48" s="3"/>
      <c r="I48" s="3"/>
      <c r="J48" s="3"/>
      <c r="K48" s="3"/>
      <c r="L48" s="3"/>
      <c r="M48" s="3"/>
      <c r="N48" s="3"/>
      <c r="O48" s="3"/>
    </row>
    <row r="49" spans="1:15" x14ac:dyDescent="0.2">
      <c r="A49" s="286"/>
      <c r="B49" s="286"/>
      <c r="C49" s="286"/>
      <c r="D49" s="286"/>
      <c r="E49" s="286"/>
      <c r="F49" s="286"/>
      <c r="G49" s="286"/>
      <c r="H49" s="3"/>
      <c r="I49" s="3"/>
      <c r="J49" s="3"/>
      <c r="K49" s="3"/>
      <c r="L49" s="3"/>
      <c r="M49" s="3"/>
      <c r="N49" s="3"/>
      <c r="O49" s="3"/>
    </row>
    <row r="50" spans="1:15" ht="15" x14ac:dyDescent="0.25">
      <c r="A50" s="3"/>
      <c r="B50" s="3"/>
      <c r="C50" s="3"/>
      <c r="D50" s="3"/>
      <c r="E50" s="284"/>
      <c r="F50" s="3"/>
      <c r="G50" s="3"/>
      <c r="H50" s="3"/>
      <c r="I50" s="3"/>
      <c r="J50" s="3"/>
      <c r="K50" s="3"/>
      <c r="L50" s="3"/>
      <c r="M50" s="3"/>
      <c r="N50" s="3"/>
      <c r="O50" s="3"/>
    </row>
    <row r="51" spans="1:15" x14ac:dyDescent="0.2">
      <c r="A51" s="3"/>
      <c r="B51" s="3"/>
      <c r="C51" s="3"/>
      <c r="D51" s="3"/>
      <c r="E51" s="3"/>
      <c r="F51" s="3"/>
      <c r="G51" s="3"/>
      <c r="H51" s="3"/>
      <c r="I51" s="3"/>
      <c r="J51" s="3"/>
      <c r="K51" s="3"/>
      <c r="L51" s="3"/>
      <c r="M51" s="3"/>
      <c r="N51" s="3"/>
      <c r="O51" s="3"/>
    </row>
    <row r="52" spans="1:15" ht="25.35" customHeight="1" x14ac:dyDescent="0.2">
      <c r="A52" s="3"/>
      <c r="B52" s="3"/>
      <c r="C52" s="3"/>
      <c r="D52" s="3"/>
      <c r="E52" s="3"/>
      <c r="F52" s="3"/>
      <c r="G52" s="3"/>
      <c r="H52" s="3"/>
      <c r="I52" s="3"/>
      <c r="J52" s="3"/>
      <c r="K52" s="3"/>
      <c r="L52" s="3"/>
      <c r="M52" s="3"/>
      <c r="N52" s="3"/>
      <c r="O52" s="3"/>
    </row>
    <row r="53" spans="1:15" ht="39" customHeight="1" x14ac:dyDescent="0.2">
      <c r="A53" s="3"/>
      <c r="B53" s="3"/>
      <c r="C53" s="3"/>
      <c r="D53" s="3"/>
      <c r="E53" s="3"/>
      <c r="F53" s="3"/>
      <c r="G53" s="3" t="s">
        <v>542</v>
      </c>
      <c r="H53" s="3"/>
      <c r="I53" s="3"/>
      <c r="J53" s="3"/>
      <c r="K53" s="3"/>
      <c r="L53" s="3"/>
      <c r="M53" s="3"/>
      <c r="N53" s="3"/>
      <c r="O53" s="3"/>
    </row>
    <row r="54" spans="1:15" x14ac:dyDescent="0.2">
      <c r="A54" s="3"/>
      <c r="B54" s="3"/>
      <c r="C54" s="3"/>
      <c r="D54" s="3"/>
      <c r="E54" s="3"/>
      <c r="F54" s="3"/>
      <c r="G54" s="3"/>
      <c r="H54" s="3"/>
      <c r="I54" s="3"/>
      <c r="J54" s="3"/>
      <c r="K54" s="3"/>
      <c r="L54" s="3"/>
      <c r="M54" s="3"/>
      <c r="N54" s="3"/>
      <c r="O54" s="3"/>
    </row>
    <row r="55" spans="1:15" x14ac:dyDescent="0.2">
      <c r="A55" s="3"/>
      <c r="B55" s="3"/>
      <c r="C55" s="3"/>
      <c r="D55" s="3"/>
      <c r="E55" s="3"/>
      <c r="F55" s="3"/>
      <c r="G55" s="3"/>
      <c r="H55" s="3"/>
      <c r="I55" s="3"/>
      <c r="J55" s="3"/>
      <c r="K55" s="3"/>
      <c r="L55" s="3"/>
      <c r="M55" s="3"/>
      <c r="N55" s="3"/>
      <c r="O55" s="3"/>
    </row>
    <row r="56" spans="1:15" ht="28.35" customHeight="1" x14ac:dyDescent="0.2">
      <c r="A56" s="3"/>
      <c r="B56" s="3"/>
      <c r="C56" s="3"/>
      <c r="D56" s="3"/>
      <c r="E56" s="3"/>
      <c r="F56" s="3"/>
      <c r="G56" s="3"/>
      <c r="H56" s="3"/>
      <c r="I56" s="3"/>
      <c r="J56" s="3"/>
      <c r="K56" s="3"/>
      <c r="L56" s="3"/>
      <c r="M56" s="3"/>
      <c r="N56" s="3"/>
      <c r="O56" s="3"/>
    </row>
    <row r="57" spans="1:15" ht="28.35" customHeight="1" x14ac:dyDescent="0.2">
      <c r="A57" s="3"/>
      <c r="B57" s="3"/>
      <c r="C57" s="3"/>
      <c r="D57" s="3"/>
      <c r="E57" s="3"/>
      <c r="F57" s="3"/>
      <c r="G57" s="3"/>
      <c r="H57" s="3"/>
      <c r="I57" s="3"/>
      <c r="J57" s="3"/>
      <c r="K57" s="3"/>
      <c r="L57" s="3"/>
      <c r="M57" s="3"/>
      <c r="N57" s="3"/>
      <c r="O57" s="3"/>
    </row>
    <row r="58" spans="1:15" ht="28.35" customHeight="1" x14ac:dyDescent="0.2">
      <c r="A58" s="3"/>
      <c r="B58" s="3"/>
      <c r="C58" s="3"/>
      <c r="D58" s="3"/>
      <c r="E58" s="3"/>
      <c r="F58" s="3"/>
      <c r="G58" s="3"/>
      <c r="H58" s="3"/>
      <c r="I58" s="3"/>
      <c r="J58" s="3"/>
      <c r="K58" s="3"/>
      <c r="L58" s="3"/>
      <c r="M58" s="3"/>
      <c r="N58" s="3"/>
      <c r="O58" s="3"/>
    </row>
    <row r="59" spans="1:15" ht="28.35" customHeight="1" x14ac:dyDescent="0.2">
      <c r="A59" s="3"/>
      <c r="B59" s="3"/>
      <c r="C59" s="3"/>
      <c r="D59" s="3"/>
      <c r="E59" s="3" t="s">
        <v>204</v>
      </c>
      <c r="F59" s="3"/>
      <c r="G59" s="3"/>
      <c r="H59" s="3"/>
      <c r="I59" s="3"/>
      <c r="J59" s="3"/>
      <c r="K59" s="3"/>
      <c r="L59" s="3"/>
      <c r="M59" s="3"/>
      <c r="N59" s="3"/>
      <c r="O59" s="3"/>
    </row>
  </sheetData>
  <mergeCells count="18">
    <mergeCell ref="B48:F48"/>
    <mergeCell ref="B39:C39"/>
    <mergeCell ref="B40:C40"/>
    <mergeCell ref="E40:H40"/>
    <mergeCell ref="B41:C41"/>
    <mergeCell ref="B42:C42"/>
    <mergeCell ref="E42:G42"/>
    <mergeCell ref="B43:C43"/>
    <mergeCell ref="B44:C44"/>
    <mergeCell ref="F44:I44"/>
    <mergeCell ref="B46:G46"/>
    <mergeCell ref="B47:F47"/>
    <mergeCell ref="B38:C38"/>
    <mergeCell ref="A3:E4"/>
    <mergeCell ref="A9:A14"/>
    <mergeCell ref="A17:A23"/>
    <mergeCell ref="A27:A31"/>
    <mergeCell ref="A33:A36"/>
  </mergeCell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published="0" codeName="Feuil58"/>
  <dimension ref="A1:AM36"/>
  <sheetViews>
    <sheetView zoomScale="70" zoomScaleNormal="70" workbookViewId="0">
      <pane xSplit="4" ySplit="3" topLeftCell="E4" activePane="bottomRight" state="frozen"/>
      <selection pane="topRight" activeCell="E1" sqref="E1"/>
      <selection pane="bottomLeft" activeCell="A4" sqref="A4"/>
      <selection pane="bottomRight" activeCell="L23" sqref="L23"/>
    </sheetView>
  </sheetViews>
  <sheetFormatPr baseColWidth="10" defaultColWidth="11.125" defaultRowHeight="18" x14ac:dyDescent="0.2"/>
  <cols>
    <col min="1" max="1" width="16.125" style="210" customWidth="1"/>
    <col min="2" max="2" width="26.125" style="464" customWidth="1"/>
    <col min="3" max="3" width="53.12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807" width="11.5" customWidth="1"/>
  </cols>
  <sheetData>
    <row r="1" spans="1:39"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row>
    <row r="2" spans="1:39" ht="19.350000000000001" customHeight="1" x14ac:dyDescent="0.2">
      <c r="A2" s="351"/>
      <c r="B2" s="1556" t="s">
        <v>1147</v>
      </c>
      <c r="C2" s="1558" t="s">
        <v>468</v>
      </c>
      <c r="D2" s="352" t="s">
        <v>203</v>
      </c>
      <c r="E2" s="1548">
        <v>2</v>
      </c>
      <c r="F2" s="1548"/>
      <c r="G2" s="1548">
        <v>3</v>
      </c>
      <c r="H2" s="1548"/>
      <c r="I2" s="1548">
        <v>4</v>
      </c>
      <c r="J2" s="1548"/>
      <c r="K2" s="1548">
        <v>5</v>
      </c>
      <c r="L2" s="1548"/>
      <c r="M2" s="1548">
        <v>6</v>
      </c>
      <c r="N2" s="1548"/>
      <c r="O2" s="1548">
        <v>7</v>
      </c>
      <c r="P2" s="1548"/>
      <c r="Q2" s="1548">
        <v>8</v>
      </c>
      <c r="R2" s="1548"/>
      <c r="S2" s="1548">
        <v>9</v>
      </c>
      <c r="T2" s="1548"/>
      <c r="U2" s="1548">
        <v>10</v>
      </c>
      <c r="V2" s="1548"/>
      <c r="W2" s="353">
        <v>12</v>
      </c>
      <c r="X2" s="461" t="s">
        <v>469</v>
      </c>
      <c r="Y2" s="461">
        <v>12</v>
      </c>
      <c r="Z2" s="462" t="s">
        <v>470</v>
      </c>
      <c r="AA2" s="353">
        <v>14</v>
      </c>
      <c r="AB2" s="461" t="s">
        <v>471</v>
      </c>
      <c r="AC2" s="353">
        <v>14</v>
      </c>
      <c r="AD2" s="461" t="s">
        <v>472</v>
      </c>
      <c r="AE2" s="1548">
        <v>16</v>
      </c>
      <c r="AF2" s="1548"/>
      <c r="AG2" s="353">
        <v>18</v>
      </c>
      <c r="AH2" s="461" t="s">
        <v>473</v>
      </c>
      <c r="AI2" s="353">
        <v>18</v>
      </c>
      <c r="AJ2" s="461" t="s">
        <v>474</v>
      </c>
      <c r="AK2" s="353">
        <v>20</v>
      </c>
      <c r="AL2" s="461" t="s">
        <v>475</v>
      </c>
      <c r="AM2" s="353">
        <v>20</v>
      </c>
    </row>
    <row r="3" spans="1:39" ht="35.1" customHeight="1" x14ac:dyDescent="0.2">
      <c r="A3" s="351"/>
      <c r="B3" s="1557"/>
      <c r="C3" s="1558"/>
      <c r="D3" s="356" t="s">
        <v>222</v>
      </c>
      <c r="E3" s="357" t="s">
        <v>444</v>
      </c>
      <c r="F3" s="358" t="s">
        <v>477</v>
      </c>
      <c r="G3" s="357" t="s">
        <v>444</v>
      </c>
      <c r="H3" s="358" t="s">
        <v>477</v>
      </c>
      <c r="I3" s="357" t="s">
        <v>444</v>
      </c>
      <c r="J3" s="358" t="s">
        <v>477</v>
      </c>
      <c r="K3" s="357" t="s">
        <v>444</v>
      </c>
      <c r="L3" s="358" t="s">
        <v>477</v>
      </c>
      <c r="M3" s="357" t="s">
        <v>444</v>
      </c>
      <c r="N3" s="358" t="s">
        <v>477</v>
      </c>
      <c r="O3" s="357" t="s">
        <v>444</v>
      </c>
      <c r="P3" s="358" t="s">
        <v>477</v>
      </c>
      <c r="Q3" s="359" t="s">
        <v>444</v>
      </c>
      <c r="R3" s="360" t="s">
        <v>477</v>
      </c>
      <c r="S3" s="357" t="s">
        <v>444</v>
      </c>
      <c r="T3" s="358" t="s">
        <v>477</v>
      </c>
      <c r="U3" s="357" t="s">
        <v>444</v>
      </c>
      <c r="V3" s="358" t="s">
        <v>477</v>
      </c>
      <c r="W3" s="357" t="s">
        <v>444</v>
      </c>
      <c r="X3" s="358" t="s">
        <v>477</v>
      </c>
      <c r="Y3" s="357" t="s">
        <v>444</v>
      </c>
      <c r="Z3" s="358" t="s">
        <v>477</v>
      </c>
      <c r="AA3" s="357" t="s">
        <v>444</v>
      </c>
      <c r="AB3" s="358" t="s">
        <v>477</v>
      </c>
      <c r="AC3" s="357" t="s">
        <v>444</v>
      </c>
      <c r="AD3" s="358" t="s">
        <v>477</v>
      </c>
      <c r="AE3" s="357" t="s">
        <v>444</v>
      </c>
      <c r="AF3" s="358" t="s">
        <v>477</v>
      </c>
      <c r="AG3" s="357" t="s">
        <v>444</v>
      </c>
      <c r="AH3" s="358" t="s">
        <v>477</v>
      </c>
      <c r="AI3" s="357" t="s">
        <v>444</v>
      </c>
      <c r="AJ3" s="358" t="s">
        <v>477</v>
      </c>
      <c r="AK3" s="357" t="s">
        <v>444</v>
      </c>
      <c r="AL3" s="358" t="s">
        <v>477</v>
      </c>
      <c r="AM3" s="357" t="s">
        <v>444</v>
      </c>
    </row>
    <row r="4" spans="1:39" ht="15" customHeight="1" x14ac:dyDescent="0.2">
      <c r="A4" s="1550"/>
      <c r="B4" s="361" t="s">
        <v>1075</v>
      </c>
      <c r="C4" s="362" t="s">
        <v>1497</v>
      </c>
      <c r="D4" s="363" t="str">
        <f>IF($C4="","",VLOOKUP($C4,MATIERES!$A$2:$F$413,5,0))</f>
        <v>pc</v>
      </c>
      <c r="E4" s="364">
        <v>0</v>
      </c>
      <c r="F4" s="365">
        <f>IF($C4="","",E4*VLOOKUP($C4,MATIERES!$A$2:$F$448,4,0))</f>
        <v>0</v>
      </c>
      <c r="G4" s="364">
        <v>1</v>
      </c>
      <c r="H4" s="365">
        <f>IF($C4="","",G4*VLOOKUP($C4,MATIERES!$A$2:$F$448,4,0))</f>
        <v>221.69</v>
      </c>
      <c r="I4" s="364">
        <v>0</v>
      </c>
      <c r="J4" s="365">
        <f>IF($C4="","",I4*VLOOKUP($C4,MATIERES!$A$2:$F$448,4,0))</f>
        <v>0</v>
      </c>
      <c r="K4" s="364">
        <v>0</v>
      </c>
      <c r="L4" s="365">
        <f>IF($C4="","",K4*VLOOKUP($C4,MATIERES!$A$2:$F$448,4,0))</f>
        <v>0</v>
      </c>
      <c r="M4" s="364">
        <v>0</v>
      </c>
      <c r="N4" s="365">
        <f>IF($C4="","",M4*VLOOKUP($C4,MATIERES!$A$2:$F$448,4,0))</f>
        <v>0</v>
      </c>
      <c r="O4" s="364">
        <v>0</v>
      </c>
      <c r="P4" s="365">
        <f>IF($C4="","",O4*VLOOKUP($C4,MATIERES!$A$2:$F$448,4,0))</f>
        <v>0</v>
      </c>
      <c r="Q4" s="364">
        <v>0</v>
      </c>
      <c r="R4" s="365">
        <f>IF($C4="","",Q4*VLOOKUP($C4,MATIERES!$A$2:$F$448,4,0))</f>
        <v>0</v>
      </c>
      <c r="S4" s="364">
        <v>0</v>
      </c>
      <c r="T4" s="365">
        <f>IF($C4="","",S4*VLOOKUP($C4,MATIERES!$A$2:$F$448,4,0))</f>
        <v>0</v>
      </c>
      <c r="U4" s="364">
        <v>0</v>
      </c>
      <c r="V4" s="365">
        <f>IF($C4="","",U4*VLOOKUP($C4,MATIERES!$A$2:$F$448,4,0))</f>
        <v>0</v>
      </c>
      <c r="W4" s="364">
        <v>0</v>
      </c>
      <c r="X4" s="365">
        <f>IF($C4="","",W4*VLOOKUP($C4,MATIERES!$A$2:$F$448,4,0))</f>
        <v>0</v>
      </c>
      <c r="Y4" s="364">
        <v>0</v>
      </c>
      <c r="Z4" s="365">
        <f>IF($C4="","",Y4*VLOOKUP($C4,MATIERES!$A$2:$F$448,4,0))</f>
        <v>0</v>
      </c>
      <c r="AA4" s="364">
        <v>0</v>
      </c>
      <c r="AB4" s="365">
        <f>IF($C4="","",AA4*VLOOKUP($C4,MATIERES!$A$2:$F$448,4,0))</f>
        <v>0</v>
      </c>
      <c r="AC4" s="364">
        <v>0</v>
      </c>
      <c r="AD4" s="365">
        <f>IF($C4="","",AC4*VLOOKUP($C4,MATIERES!$A$2:$F$448,4,0))</f>
        <v>0</v>
      </c>
      <c r="AE4" s="364">
        <v>0</v>
      </c>
      <c r="AF4" s="365">
        <f>IF($C4="","",AE4*VLOOKUP($C4,MATIERES!$A$2:$F$448,4,0))</f>
        <v>0</v>
      </c>
      <c r="AG4" s="364">
        <v>0</v>
      </c>
      <c r="AH4" s="365">
        <f>IF($C4="","",AG4*VLOOKUP($C4,MATIERES!$A$2:$F$448,4,0))</f>
        <v>0</v>
      </c>
      <c r="AI4" s="364">
        <v>0</v>
      </c>
      <c r="AJ4" s="365">
        <f>IF($C4="","",AI4*VLOOKUP($C4,MATIERES!$A$2:$F$448,4,0))</f>
        <v>0</v>
      </c>
      <c r="AK4" s="364">
        <v>0</v>
      </c>
      <c r="AL4" s="365">
        <f>IF($C4="","",AK4*VLOOKUP($C4,MATIERES!$A$2:$F$448,4,0))</f>
        <v>0</v>
      </c>
      <c r="AM4" s="364">
        <v>0</v>
      </c>
    </row>
    <row r="5" spans="1:39" ht="15" customHeight="1" x14ac:dyDescent="0.2">
      <c r="A5" s="1550"/>
      <c r="B5" s="361" t="s">
        <v>1075</v>
      </c>
      <c r="C5" s="362" t="s">
        <v>1496</v>
      </c>
      <c r="D5" s="363" t="str">
        <f>IF($C5="","",VLOOKUP($C5,MATIERES!$A$2:$F$413,5,0))</f>
        <v>pc</v>
      </c>
      <c r="E5" s="364">
        <v>0</v>
      </c>
      <c r="F5" s="365">
        <f>IF($C5="","",E5*VLOOKUP($C5,MATIERES!$A$2:$F$448,4,0))</f>
        <v>0</v>
      </c>
      <c r="G5" s="364">
        <v>0</v>
      </c>
      <c r="H5" s="365">
        <f>IF($C5="","",G5*VLOOKUP($C5,MATIERES!$A$2:$F$448,4,0))</f>
        <v>0</v>
      </c>
      <c r="I5" s="364">
        <v>1</v>
      </c>
      <c r="J5" s="365">
        <f>IF($C5="","",I5*VLOOKUP($C5,MATIERES!$A$2:$F$448,4,0))</f>
        <v>279.92</v>
      </c>
      <c r="K5" s="364">
        <v>0</v>
      </c>
      <c r="L5" s="365">
        <f>IF($C5="","",K5*VLOOKUP($C5,MATIERES!$A$2:$F$448,4,0))</f>
        <v>0</v>
      </c>
      <c r="M5" s="364">
        <v>0</v>
      </c>
      <c r="N5" s="365">
        <f>IF($C5="","",M5*VLOOKUP($C5,MATIERES!$A$2:$F$448,4,0))</f>
        <v>0</v>
      </c>
      <c r="O5" s="364">
        <v>0</v>
      </c>
      <c r="P5" s="365">
        <f>IF($C5="","",O5*VLOOKUP($C5,MATIERES!$A$2:$F$448,4,0))</f>
        <v>0</v>
      </c>
      <c r="Q5" s="364">
        <v>0</v>
      </c>
      <c r="R5" s="365">
        <f>IF($C5="","",Q5*VLOOKUP($C5,MATIERES!$A$2:$F$448,4,0))</f>
        <v>0</v>
      </c>
      <c r="S5" s="364">
        <v>0</v>
      </c>
      <c r="T5" s="365">
        <f>IF($C5="","",S5*VLOOKUP($C5,MATIERES!$A$2:$F$448,4,0))</f>
        <v>0</v>
      </c>
      <c r="U5" s="364">
        <v>0</v>
      </c>
      <c r="V5" s="365">
        <f>IF($C5="","",U5*VLOOKUP($C5,MATIERES!$A$2:$F$448,4,0))</f>
        <v>0</v>
      </c>
      <c r="W5" s="364">
        <v>0</v>
      </c>
      <c r="X5" s="365">
        <f>IF($C5="","",W5*VLOOKUP($C5,MATIERES!$A$2:$F$448,4,0))</f>
        <v>0</v>
      </c>
      <c r="Y5" s="364">
        <v>0</v>
      </c>
      <c r="Z5" s="365">
        <f>IF($C5="","",Y5*VLOOKUP($C5,MATIERES!$A$2:$F$448,4,0))</f>
        <v>0</v>
      </c>
      <c r="AA5" s="364">
        <v>0</v>
      </c>
      <c r="AB5" s="365">
        <f>IF($C5="","",AA5*VLOOKUP($C5,MATIERES!$A$2:$F$448,4,0))</f>
        <v>0</v>
      </c>
      <c r="AC5" s="364">
        <v>0</v>
      </c>
      <c r="AD5" s="365">
        <f>IF($C5="","",AC5*VLOOKUP($C5,MATIERES!$A$2:$F$448,4,0))</f>
        <v>0</v>
      </c>
      <c r="AE5" s="364">
        <v>0</v>
      </c>
      <c r="AF5" s="365">
        <f>IF($C5="","",AE5*VLOOKUP($C5,MATIERES!$A$2:$F$448,4,0))</f>
        <v>0</v>
      </c>
      <c r="AG5" s="364">
        <v>0</v>
      </c>
      <c r="AH5" s="365">
        <f>IF($C5="","",AG5*VLOOKUP($C5,MATIERES!$A$2:$F$448,4,0))</f>
        <v>0</v>
      </c>
      <c r="AI5" s="364">
        <v>0</v>
      </c>
      <c r="AJ5" s="365">
        <f>IF($C5="","",AI5*VLOOKUP($C5,MATIERES!$A$2:$F$448,4,0))</f>
        <v>0</v>
      </c>
      <c r="AK5" s="364">
        <v>0</v>
      </c>
      <c r="AL5" s="365">
        <f>IF($C5="","",AK5*VLOOKUP($C5,MATIERES!$A$2:$F$448,4,0))</f>
        <v>0</v>
      </c>
      <c r="AM5" s="364">
        <v>0</v>
      </c>
    </row>
    <row r="6" spans="1:39" ht="15" customHeight="1" x14ac:dyDescent="0.2">
      <c r="A6" s="1550"/>
      <c r="B6" s="361" t="s">
        <v>1075</v>
      </c>
      <c r="C6" s="362" t="s">
        <v>1498</v>
      </c>
      <c r="D6" s="363" t="str">
        <f>IF($C6="","",VLOOKUP($C6,MATIERES!$A$2:$F$413,5,0))</f>
        <v>pc</v>
      </c>
      <c r="E6" s="364">
        <v>0</v>
      </c>
      <c r="F6" s="365">
        <f>IF($C6="","",E6*VLOOKUP($C6,MATIERES!$A$2:$F$448,4,0))</f>
        <v>0</v>
      </c>
      <c r="G6" s="364">
        <v>0</v>
      </c>
      <c r="H6" s="365">
        <f>IF($C6="","",G6*VLOOKUP($C6,MATIERES!$A$2:$F$448,4,0))</f>
        <v>0</v>
      </c>
      <c r="I6" s="364">
        <v>0</v>
      </c>
      <c r="J6" s="365">
        <f>IF($C6="","",I6*VLOOKUP($C6,MATIERES!$A$2:$F$448,4,0))</f>
        <v>0</v>
      </c>
      <c r="K6" s="364">
        <v>1</v>
      </c>
      <c r="L6" s="365">
        <f>IF($C6="","",K6*VLOOKUP($C6,MATIERES!$A$2:$F$448,4,0))</f>
        <v>332.96</v>
      </c>
      <c r="M6" s="364">
        <v>0</v>
      </c>
      <c r="N6" s="365">
        <f>IF($C6="","",M6*VLOOKUP($C6,MATIERES!$A$2:$F$448,4,0))</f>
        <v>0</v>
      </c>
      <c r="O6" s="364">
        <v>0</v>
      </c>
      <c r="P6" s="365">
        <f>IF($C6="","",O6*VLOOKUP($C6,MATIERES!$A$2:$F$448,4,0))</f>
        <v>0</v>
      </c>
      <c r="Q6" s="364">
        <v>0</v>
      </c>
      <c r="R6" s="365">
        <f>IF($C6="","",Q6*VLOOKUP($C6,MATIERES!$A$2:$F$448,4,0))</f>
        <v>0</v>
      </c>
      <c r="S6" s="364">
        <v>0</v>
      </c>
      <c r="T6" s="365">
        <f>IF($C6="","",S6*VLOOKUP($C6,MATIERES!$A$2:$F$448,4,0))</f>
        <v>0</v>
      </c>
      <c r="U6" s="364">
        <v>0</v>
      </c>
      <c r="V6" s="365">
        <f>IF($C6="","",U6*VLOOKUP($C6,MATIERES!$A$2:$F$448,4,0))</f>
        <v>0</v>
      </c>
      <c r="W6" s="364">
        <v>0</v>
      </c>
      <c r="X6" s="365">
        <f>IF($C6="","",W6*VLOOKUP($C6,MATIERES!$A$2:$F$448,4,0))</f>
        <v>0</v>
      </c>
      <c r="Y6" s="364">
        <v>0</v>
      </c>
      <c r="Z6" s="365">
        <f>IF($C6="","",Y6*VLOOKUP($C6,MATIERES!$A$2:$F$448,4,0))</f>
        <v>0</v>
      </c>
      <c r="AA6" s="364">
        <v>0</v>
      </c>
      <c r="AB6" s="365">
        <f>IF($C6="","",AA6*VLOOKUP($C6,MATIERES!$A$2:$F$448,4,0))</f>
        <v>0</v>
      </c>
      <c r="AC6" s="364">
        <v>0</v>
      </c>
      <c r="AD6" s="365">
        <f>IF($C6="","",AC6*VLOOKUP($C6,MATIERES!$A$2:$F$448,4,0))</f>
        <v>0</v>
      </c>
      <c r="AE6" s="364">
        <v>0</v>
      </c>
      <c r="AF6" s="365">
        <f>IF($C6="","",AE6*VLOOKUP($C6,MATIERES!$A$2:$F$448,4,0))</f>
        <v>0</v>
      </c>
      <c r="AG6" s="364">
        <v>0</v>
      </c>
      <c r="AH6" s="365">
        <f>IF($C6="","",AG6*VLOOKUP($C6,MATIERES!$A$2:$F$448,4,0))</f>
        <v>0</v>
      </c>
      <c r="AI6" s="364">
        <v>0</v>
      </c>
      <c r="AJ6" s="365">
        <f>IF($C6="","",AI6*VLOOKUP($C6,MATIERES!$A$2:$F$448,4,0))</f>
        <v>0</v>
      </c>
      <c r="AK6" s="364">
        <v>0</v>
      </c>
      <c r="AL6" s="365">
        <f>IF($C6="","",AK6*VLOOKUP($C6,MATIERES!$A$2:$F$448,4,0))</f>
        <v>0</v>
      </c>
      <c r="AM6" s="364">
        <v>0</v>
      </c>
    </row>
    <row r="7" spans="1:39" ht="15" customHeight="1" x14ac:dyDescent="0.2">
      <c r="A7" s="1550"/>
      <c r="B7" s="361" t="s">
        <v>1075</v>
      </c>
      <c r="C7" s="362" t="s">
        <v>1499</v>
      </c>
      <c r="D7" s="363" t="str">
        <f>IF($C7="","",VLOOKUP($C7,MATIERES!$A$2:$F$413,5,0))</f>
        <v>pc</v>
      </c>
      <c r="E7" s="364">
        <v>0</v>
      </c>
      <c r="F7" s="365">
        <f>IF($C7="","",E7*VLOOKUP($C7,MATIERES!$A$2:$F$448,4,0))</f>
        <v>0</v>
      </c>
      <c r="G7" s="364">
        <v>0</v>
      </c>
      <c r="H7" s="365">
        <f>IF($C7="","",G7*VLOOKUP($C7,MATIERES!$A$2:$F$448,4,0))</f>
        <v>0</v>
      </c>
      <c r="I7" s="364">
        <v>0</v>
      </c>
      <c r="J7" s="365">
        <f>IF($C7="","",I7*VLOOKUP($C7,MATIERES!$A$2:$F$448,4,0))</f>
        <v>0</v>
      </c>
      <c r="K7" s="364">
        <v>0</v>
      </c>
      <c r="L7" s="365">
        <f>IF($C7="","",K7*VLOOKUP($C7,MATIERES!$A$2:$F$448,4,0))</f>
        <v>0</v>
      </c>
      <c r="M7" s="364">
        <v>1</v>
      </c>
      <c r="N7" s="365">
        <f>IF($C7="","",M7*VLOOKUP($C7,MATIERES!$A$2:$F$448,4,0))</f>
        <v>445.36</v>
      </c>
      <c r="O7" s="364">
        <v>0</v>
      </c>
      <c r="P7" s="365">
        <f>IF($C7="","",O7*VLOOKUP($C7,MATIERES!$A$2:$F$448,4,0))</f>
        <v>0</v>
      </c>
      <c r="Q7" s="364">
        <v>0</v>
      </c>
      <c r="R7" s="365">
        <f>IF($C7="","",Q7*VLOOKUP($C7,MATIERES!$A$2:$F$448,4,0))</f>
        <v>0</v>
      </c>
      <c r="S7" s="364">
        <v>0</v>
      </c>
      <c r="T7" s="365">
        <f>IF($C7="","",S7*VLOOKUP($C7,MATIERES!$A$2:$F$448,4,0))</f>
        <v>0</v>
      </c>
      <c r="U7" s="364">
        <v>0</v>
      </c>
      <c r="V7" s="365">
        <f>IF($C7="","",U7*VLOOKUP($C7,MATIERES!$A$2:$F$448,4,0))</f>
        <v>0</v>
      </c>
      <c r="W7" s="364">
        <v>0</v>
      </c>
      <c r="X7" s="365">
        <f>IF($C7="","",W7*VLOOKUP($C7,MATIERES!$A$2:$F$448,4,0))</f>
        <v>0</v>
      </c>
      <c r="Y7" s="364">
        <v>0</v>
      </c>
      <c r="Z7" s="365">
        <f>IF($C7="","",Y7*VLOOKUP($C7,MATIERES!$A$2:$F$448,4,0))</f>
        <v>0</v>
      </c>
      <c r="AA7" s="364">
        <v>0</v>
      </c>
      <c r="AB7" s="365">
        <f>IF($C7="","",AA7*VLOOKUP($C7,MATIERES!$A$2:$F$448,4,0))</f>
        <v>0</v>
      </c>
      <c r="AC7" s="364">
        <v>0</v>
      </c>
      <c r="AD7" s="365">
        <f>IF($C7="","",AC7*VLOOKUP($C7,MATIERES!$A$2:$F$448,4,0))</f>
        <v>0</v>
      </c>
      <c r="AE7" s="364">
        <v>0</v>
      </c>
      <c r="AF7" s="365">
        <f>IF($C7="","",AE7*VLOOKUP($C7,MATIERES!$A$2:$F$448,4,0))</f>
        <v>0</v>
      </c>
      <c r="AG7" s="364">
        <v>0</v>
      </c>
      <c r="AH7" s="365">
        <f>IF($C7="","",AG7*VLOOKUP($C7,MATIERES!$A$2:$F$448,4,0))</f>
        <v>0</v>
      </c>
      <c r="AI7" s="364">
        <v>0</v>
      </c>
      <c r="AJ7" s="365">
        <f>IF($C7="","",AI7*VLOOKUP($C7,MATIERES!$A$2:$F$448,4,0))</f>
        <v>0</v>
      </c>
      <c r="AK7" s="364">
        <v>0</v>
      </c>
      <c r="AL7" s="365">
        <f>IF($C7="","",AK7*VLOOKUP($C7,MATIERES!$A$2:$F$448,4,0))</f>
        <v>0</v>
      </c>
      <c r="AM7" s="364">
        <v>0</v>
      </c>
    </row>
    <row r="8" spans="1:39" ht="15" customHeight="1" x14ac:dyDescent="0.2">
      <c r="A8" s="1550"/>
      <c r="B8" s="361" t="s">
        <v>1075</v>
      </c>
      <c r="C8" s="362" t="s">
        <v>1500</v>
      </c>
      <c r="D8" s="363" t="str">
        <f>IF($C8="","",VLOOKUP($C8,MATIERES!$A$2:$F$413,5,0))</f>
        <v>pc</v>
      </c>
      <c r="E8" s="364">
        <v>0</v>
      </c>
      <c r="F8" s="365">
        <f>IF($C8="","",E8*VLOOKUP($C8,MATIERES!$A$2:$F$448,4,0))</f>
        <v>0</v>
      </c>
      <c r="G8" s="364">
        <v>0</v>
      </c>
      <c r="H8" s="365">
        <f>IF($C8="","",G8*VLOOKUP($C8,MATIERES!$A$2:$F$448,4,0))</f>
        <v>0</v>
      </c>
      <c r="I8" s="364">
        <v>0</v>
      </c>
      <c r="J8" s="365">
        <f>IF($C8="","",I8*VLOOKUP($C8,MATIERES!$A$2:$F$448,4,0))</f>
        <v>0</v>
      </c>
      <c r="K8" s="364">
        <v>0</v>
      </c>
      <c r="L8" s="365">
        <f>IF($C8="","",K8*VLOOKUP($C8,MATIERES!$A$2:$F$448,4,0))</f>
        <v>0</v>
      </c>
      <c r="M8" s="364">
        <v>0</v>
      </c>
      <c r="N8" s="365">
        <f>IF($C8="","",M8*VLOOKUP($C8,MATIERES!$A$2:$F$448,4,0))</f>
        <v>0</v>
      </c>
      <c r="O8" s="364">
        <v>0</v>
      </c>
      <c r="P8" s="365">
        <f>IF($C8="","",O8*VLOOKUP($C8,MATIERES!$A$2:$F$448,4,0))</f>
        <v>0</v>
      </c>
      <c r="Q8" s="364">
        <v>0</v>
      </c>
      <c r="R8" s="365">
        <f>IF($C8="","",Q8*VLOOKUP($C8,MATIERES!$A$2:$F$448,4,0))</f>
        <v>0</v>
      </c>
      <c r="S8" s="364">
        <v>0</v>
      </c>
      <c r="T8" s="365">
        <f>IF($C8="","",S8*VLOOKUP($C8,MATIERES!$A$2:$F$448,4,0))</f>
        <v>0</v>
      </c>
      <c r="U8" s="364">
        <v>0</v>
      </c>
      <c r="V8" s="365">
        <f>IF($C8="","",U8*VLOOKUP($C8,MATIERES!$A$2:$F$448,4,0))</f>
        <v>0</v>
      </c>
      <c r="W8" s="364">
        <v>0</v>
      </c>
      <c r="X8" s="365">
        <f>IF($C8="","",W8*VLOOKUP($C8,MATIERES!$A$2:$F$448,4,0))</f>
        <v>0</v>
      </c>
      <c r="Y8" s="364">
        <v>0</v>
      </c>
      <c r="Z8" s="365">
        <f>IF($C8="","",Y8*VLOOKUP($C8,MATIERES!$A$2:$F$448,4,0))</f>
        <v>0</v>
      </c>
      <c r="AA8" s="364">
        <v>0</v>
      </c>
      <c r="AB8" s="365">
        <f>IF($C8="","",AA8*VLOOKUP($C8,MATIERES!$A$2:$F$448,4,0))</f>
        <v>0</v>
      </c>
      <c r="AC8" s="364">
        <v>0</v>
      </c>
      <c r="AD8" s="365">
        <f>IF($C8="","",AC8*VLOOKUP($C8,MATIERES!$A$2:$F$448,4,0))</f>
        <v>0</v>
      </c>
      <c r="AE8" s="364">
        <v>0</v>
      </c>
      <c r="AF8" s="365">
        <f>IF($C8="","",AE8*VLOOKUP($C8,MATIERES!$A$2:$F$448,4,0))</f>
        <v>0</v>
      </c>
      <c r="AG8" s="364">
        <v>0</v>
      </c>
      <c r="AH8" s="365">
        <f>IF($C8="","",AG8*VLOOKUP($C8,MATIERES!$A$2:$F$448,4,0))</f>
        <v>0</v>
      </c>
      <c r="AI8" s="364">
        <v>0</v>
      </c>
      <c r="AJ8" s="365">
        <f>IF($C8="","",AI8*VLOOKUP($C8,MATIERES!$A$2:$F$448,4,0))</f>
        <v>0</v>
      </c>
      <c r="AK8" s="364">
        <v>0</v>
      </c>
      <c r="AL8" s="365">
        <f>IF($C8="","",AK8*VLOOKUP($C8,MATIERES!$A$2:$F$448,4,0))</f>
        <v>0</v>
      </c>
      <c r="AM8" s="364">
        <v>0</v>
      </c>
    </row>
    <row r="9" spans="1:39" ht="15" customHeight="1" x14ac:dyDescent="0.2">
      <c r="A9" s="1550"/>
      <c r="B9" s="361" t="s">
        <v>1075</v>
      </c>
      <c r="C9" s="362" t="s">
        <v>1501</v>
      </c>
      <c r="D9" s="363" t="str">
        <f>IF($C9="","",VLOOKUP($C9,MATIERES!$A$2:$F$413,5,0))</f>
        <v>pc</v>
      </c>
      <c r="E9" s="364">
        <v>0</v>
      </c>
      <c r="F9" s="365">
        <f>IF($C9="","",E9*VLOOKUP($C9,MATIERES!$A$2:$F$448,4,0))</f>
        <v>0</v>
      </c>
      <c r="G9" s="364">
        <v>0</v>
      </c>
      <c r="H9" s="365">
        <f>IF($C9="","",G9*VLOOKUP($C9,MATIERES!$A$2:$F$448,4,0))</f>
        <v>0</v>
      </c>
      <c r="I9" s="364">
        <v>0</v>
      </c>
      <c r="J9" s="365">
        <f>IF($C9="","",I9*VLOOKUP($C9,MATIERES!$A$2:$F$448,4,0))</f>
        <v>0</v>
      </c>
      <c r="K9" s="364">
        <v>0</v>
      </c>
      <c r="L9" s="365">
        <f>IF($C9="","",K9*VLOOKUP($C9,MATIERES!$A$2:$F$448,4,0))</f>
        <v>0</v>
      </c>
      <c r="M9" s="364">
        <v>0</v>
      </c>
      <c r="N9" s="365">
        <f>IF($C9="","",M9*VLOOKUP($C9,MATIERES!$A$2:$F$448,4,0))</f>
        <v>0</v>
      </c>
      <c r="O9" s="364">
        <v>1</v>
      </c>
      <c r="P9" s="365">
        <f>IF($C9="","",O9*VLOOKUP($C9,MATIERES!$A$2:$F$448,4,0))</f>
        <v>497.4</v>
      </c>
      <c r="Q9" s="364">
        <v>0</v>
      </c>
      <c r="R9" s="365">
        <f>IF($C9="","",Q9*VLOOKUP($C9,MATIERES!$A$2:$F$448,4,0))</f>
        <v>0</v>
      </c>
      <c r="S9" s="364">
        <v>0</v>
      </c>
      <c r="T9" s="365">
        <f>IF($C9="","",S9*VLOOKUP($C9,MATIERES!$A$2:$F$448,4,0))</f>
        <v>0</v>
      </c>
      <c r="U9" s="364">
        <v>0</v>
      </c>
      <c r="V9" s="365">
        <f>IF($C9="","",U9*VLOOKUP($C9,MATIERES!$A$2:$F$448,4,0))</f>
        <v>0</v>
      </c>
      <c r="W9" s="364">
        <v>0</v>
      </c>
      <c r="X9" s="365">
        <f>IF($C9="","",W9*VLOOKUP($C9,MATIERES!$A$2:$F$448,4,0))</f>
        <v>0</v>
      </c>
      <c r="Y9" s="364">
        <v>0</v>
      </c>
      <c r="Z9" s="365">
        <f>IF($C9="","",Y9*VLOOKUP($C9,MATIERES!$A$2:$F$448,4,0))</f>
        <v>0</v>
      </c>
      <c r="AA9" s="364">
        <v>0</v>
      </c>
      <c r="AB9" s="365">
        <f>IF($C9="","",AA9*VLOOKUP($C9,MATIERES!$A$2:$F$448,4,0))</f>
        <v>0</v>
      </c>
      <c r="AC9" s="364">
        <v>0</v>
      </c>
      <c r="AD9" s="365">
        <f>IF($C9="","",AC9*VLOOKUP($C9,MATIERES!$A$2:$F$448,4,0))</f>
        <v>0</v>
      </c>
      <c r="AE9" s="364">
        <v>0</v>
      </c>
      <c r="AF9" s="365">
        <f>IF($C9="","",AE9*VLOOKUP($C9,MATIERES!$A$2:$F$448,4,0))</f>
        <v>0</v>
      </c>
      <c r="AG9" s="364">
        <v>0</v>
      </c>
      <c r="AH9" s="365">
        <f>IF($C9="","",AG9*VLOOKUP($C9,MATIERES!$A$2:$F$448,4,0))</f>
        <v>0</v>
      </c>
      <c r="AI9" s="364">
        <v>0</v>
      </c>
      <c r="AJ9" s="365">
        <f>IF($C9="","",AI9*VLOOKUP($C9,MATIERES!$A$2:$F$448,4,0))</f>
        <v>0</v>
      </c>
      <c r="AK9" s="364">
        <v>0</v>
      </c>
      <c r="AL9" s="365">
        <f>IF($C9="","",AK9*VLOOKUP($C9,MATIERES!$A$2:$F$448,4,0))</f>
        <v>0</v>
      </c>
      <c r="AM9" s="364">
        <v>0</v>
      </c>
    </row>
    <row r="10" spans="1:39" ht="15" customHeight="1" x14ac:dyDescent="0.2">
      <c r="A10" s="1550"/>
      <c r="B10" s="361" t="s">
        <v>1075</v>
      </c>
      <c r="C10" s="362" t="s">
        <v>1502</v>
      </c>
      <c r="D10" s="363" t="str">
        <f>IF($C10="","",VLOOKUP($C10,MATIERES!$A$2:$F$413,5,0))</f>
        <v>pc</v>
      </c>
      <c r="E10" s="364">
        <v>0</v>
      </c>
      <c r="F10" s="365">
        <f>IF($C10="","",E10*VLOOKUP($C10,MATIERES!$A$2:$F$448,4,0))</f>
        <v>0</v>
      </c>
      <c r="G10" s="364">
        <v>0</v>
      </c>
      <c r="H10" s="365">
        <f>IF($C10="","",G10*VLOOKUP($C10,MATIERES!$A$2:$F$448,4,0))</f>
        <v>0</v>
      </c>
      <c r="I10" s="364">
        <v>0</v>
      </c>
      <c r="J10" s="365">
        <f>IF($C10="","",I10*VLOOKUP($C10,MATIERES!$A$2:$F$448,4,0))</f>
        <v>0</v>
      </c>
      <c r="K10" s="364">
        <v>0</v>
      </c>
      <c r="L10" s="365">
        <f>IF($C10="","",K10*VLOOKUP($C10,MATIERES!$A$2:$F$448,4,0))</f>
        <v>0</v>
      </c>
      <c r="M10" s="364">
        <v>0</v>
      </c>
      <c r="N10" s="365">
        <f>IF($C10="","",M10*VLOOKUP($C10,MATIERES!$A$2:$F$448,4,0))</f>
        <v>0</v>
      </c>
      <c r="O10" s="364">
        <v>0</v>
      </c>
      <c r="P10" s="365">
        <f>IF($C10="","",O10*VLOOKUP($C10,MATIERES!$A$2:$F$448,4,0))</f>
        <v>0</v>
      </c>
      <c r="Q10" s="364">
        <v>1</v>
      </c>
      <c r="R10" s="365">
        <f>IF($C10="","",Q10*VLOOKUP($C10,MATIERES!$A$2:$F$448,4,0))</f>
        <v>610.79999999999995</v>
      </c>
      <c r="S10" s="364">
        <v>0</v>
      </c>
      <c r="T10" s="365">
        <f>IF($C10="","",S10*VLOOKUP($C10,MATIERES!$A$2:$F$448,4,0))</f>
        <v>0</v>
      </c>
      <c r="U10" s="364">
        <v>0</v>
      </c>
      <c r="V10" s="365">
        <f>IF($C10="","",U10*VLOOKUP($C10,MATIERES!$A$2:$F$448,4,0))</f>
        <v>0</v>
      </c>
      <c r="W10" s="364">
        <v>0</v>
      </c>
      <c r="X10" s="365">
        <f>IF($C10="","",W10*VLOOKUP($C10,MATIERES!$A$2:$F$448,4,0))</f>
        <v>0</v>
      </c>
      <c r="Y10" s="364">
        <v>0</v>
      </c>
      <c r="Z10" s="365">
        <f>IF($C10="","",Y10*VLOOKUP($C10,MATIERES!$A$2:$F$448,4,0))</f>
        <v>0</v>
      </c>
      <c r="AA10" s="364">
        <v>0</v>
      </c>
      <c r="AB10" s="365">
        <f>IF($C10="","",AA10*VLOOKUP($C10,MATIERES!$A$2:$F$448,4,0))</f>
        <v>0</v>
      </c>
      <c r="AC10" s="364">
        <v>0</v>
      </c>
      <c r="AD10" s="365">
        <f>IF($C10="","",AC10*VLOOKUP($C10,MATIERES!$A$2:$F$448,4,0))</f>
        <v>0</v>
      </c>
      <c r="AE10" s="364">
        <v>0</v>
      </c>
      <c r="AF10" s="365">
        <f>IF($C10="","",AE10*VLOOKUP($C10,MATIERES!$A$2:$F$448,4,0))</f>
        <v>0</v>
      </c>
      <c r="AG10" s="364">
        <v>0</v>
      </c>
      <c r="AH10" s="365">
        <f>IF($C10="","",AG10*VLOOKUP($C10,MATIERES!$A$2:$F$448,4,0))</f>
        <v>0</v>
      </c>
      <c r="AI10" s="364">
        <v>0</v>
      </c>
      <c r="AJ10" s="365">
        <f>IF($C10="","",AI10*VLOOKUP($C10,MATIERES!$A$2:$F$448,4,0))</f>
        <v>0</v>
      </c>
      <c r="AK10" s="364">
        <v>0</v>
      </c>
      <c r="AL10" s="365">
        <f>IF($C10="","",AK10*VLOOKUP($C10,MATIERES!$A$2:$F$448,4,0))</f>
        <v>0</v>
      </c>
      <c r="AM10" s="364">
        <v>0</v>
      </c>
    </row>
    <row r="11" spans="1:39" ht="15" customHeight="1" x14ac:dyDescent="0.2">
      <c r="A11" s="1550"/>
      <c r="B11" s="361" t="s">
        <v>1075</v>
      </c>
      <c r="C11" s="362" t="s">
        <v>1503</v>
      </c>
      <c r="D11" s="363" t="str">
        <f>IF($C11="","",VLOOKUP($C11,MATIERES!$A$2:$F$413,5,0))</f>
        <v>pc</v>
      </c>
      <c r="E11" s="364">
        <v>0</v>
      </c>
      <c r="F11" s="365">
        <f>IF($C11="","",E11*VLOOKUP($C11,MATIERES!$A$2:$F$448,4,0))</f>
        <v>0</v>
      </c>
      <c r="G11" s="364">
        <v>0</v>
      </c>
      <c r="H11" s="365">
        <f>IF($C11="","",G11*VLOOKUP($C11,MATIERES!$A$2:$F$448,4,0))</f>
        <v>0</v>
      </c>
      <c r="I11" s="364">
        <v>0</v>
      </c>
      <c r="J11" s="365">
        <f>IF($C11="","",I11*VLOOKUP($C11,MATIERES!$A$2:$F$448,4,0))</f>
        <v>0</v>
      </c>
      <c r="K11" s="364">
        <v>0</v>
      </c>
      <c r="L11" s="365">
        <f>IF($C11="","",K11*VLOOKUP($C11,MATIERES!$A$2:$F$448,4,0))</f>
        <v>0</v>
      </c>
      <c r="M11" s="364">
        <v>0</v>
      </c>
      <c r="N11" s="365">
        <f>IF($C11="","",M11*VLOOKUP($C11,MATIERES!$A$2:$F$448,4,0))</f>
        <v>0</v>
      </c>
      <c r="O11" s="364">
        <v>0</v>
      </c>
      <c r="P11" s="365">
        <f>IF($C11="","",O11*VLOOKUP($C11,MATIERES!$A$2:$F$448,4,0))</f>
        <v>0</v>
      </c>
      <c r="Q11" s="364">
        <v>0</v>
      </c>
      <c r="R11" s="365">
        <f>IF($C11="","",Q11*VLOOKUP($C11,MATIERES!$A$2:$F$448,4,0))</f>
        <v>0</v>
      </c>
      <c r="S11" s="364">
        <v>1</v>
      </c>
      <c r="T11" s="365">
        <f>IF($C11="","",S11*VLOOKUP($C11,MATIERES!$A$2:$F$448,4,0))</f>
        <v>662.84</v>
      </c>
      <c r="U11" s="364">
        <v>0</v>
      </c>
      <c r="V11" s="365">
        <f>IF($C11="","",U11*VLOOKUP($C11,MATIERES!$A$2:$F$448,4,0))</f>
        <v>0</v>
      </c>
      <c r="W11" s="364">
        <v>0</v>
      </c>
      <c r="X11" s="365">
        <f>IF($C11="","",W11*VLOOKUP($C11,MATIERES!$A$2:$F$448,4,0))</f>
        <v>0</v>
      </c>
      <c r="Y11" s="364">
        <v>0</v>
      </c>
      <c r="Z11" s="365">
        <f>IF($C11="","",Y11*VLOOKUP($C11,MATIERES!$A$2:$F$448,4,0))</f>
        <v>0</v>
      </c>
      <c r="AA11" s="364">
        <v>0</v>
      </c>
      <c r="AB11" s="365">
        <f>IF($C11="","",AA11*VLOOKUP($C11,MATIERES!$A$2:$F$448,4,0))</f>
        <v>0</v>
      </c>
      <c r="AC11" s="364">
        <v>0</v>
      </c>
      <c r="AD11" s="365">
        <f>IF($C11="","",AC11*VLOOKUP($C11,MATIERES!$A$2:$F$448,4,0))</f>
        <v>0</v>
      </c>
      <c r="AE11" s="364">
        <v>0</v>
      </c>
      <c r="AF11" s="365">
        <f>IF($C11="","",AE11*VLOOKUP($C11,MATIERES!$A$2:$F$448,4,0))</f>
        <v>0</v>
      </c>
      <c r="AG11" s="364">
        <v>0</v>
      </c>
      <c r="AH11" s="365">
        <f>IF($C11="","",AG11*VLOOKUP($C11,MATIERES!$A$2:$F$448,4,0))</f>
        <v>0</v>
      </c>
      <c r="AI11" s="364">
        <v>0</v>
      </c>
      <c r="AJ11" s="365">
        <f>IF($C11="","",AI11*VLOOKUP($C11,MATIERES!$A$2:$F$448,4,0))</f>
        <v>0</v>
      </c>
      <c r="AK11" s="364">
        <v>0</v>
      </c>
      <c r="AL11" s="365">
        <f>IF($C11="","",AK11*VLOOKUP($C11,MATIERES!$A$2:$F$448,4,0))</f>
        <v>0</v>
      </c>
      <c r="AM11" s="364">
        <v>0</v>
      </c>
    </row>
    <row r="12" spans="1:39" ht="15" customHeight="1" x14ac:dyDescent="0.2">
      <c r="A12" s="1550"/>
      <c r="B12" s="361" t="s">
        <v>1075</v>
      </c>
      <c r="C12" s="362" t="s">
        <v>1504</v>
      </c>
      <c r="D12" s="363" t="str">
        <f>IF($C12="","",VLOOKUP($C12,MATIERES!$A$2:$F$413,5,0))</f>
        <v>pc</v>
      </c>
      <c r="E12" s="364">
        <v>0</v>
      </c>
      <c r="F12" s="365">
        <f>IF($C12="","",E12*VLOOKUP($C12,MATIERES!$A$2:$F$448,4,0))</f>
        <v>0</v>
      </c>
      <c r="G12" s="364">
        <v>0</v>
      </c>
      <c r="H12" s="365">
        <f>IF($C12="","",G12*VLOOKUP($C12,MATIERES!$A$2:$F$448,4,0))</f>
        <v>0</v>
      </c>
      <c r="I12" s="364">
        <v>0</v>
      </c>
      <c r="J12" s="365">
        <f>IF($C12="","",I12*VLOOKUP($C12,MATIERES!$A$2:$F$448,4,0))</f>
        <v>0</v>
      </c>
      <c r="K12" s="364">
        <v>0</v>
      </c>
      <c r="L12" s="365">
        <f>IF($C12="","",K12*VLOOKUP($C12,MATIERES!$A$2:$F$448,4,0))</f>
        <v>0</v>
      </c>
      <c r="M12" s="364">
        <v>0</v>
      </c>
      <c r="N12" s="365">
        <f>IF($C12="","",M12*VLOOKUP($C12,MATIERES!$A$2:$F$448,4,0))</f>
        <v>0</v>
      </c>
      <c r="O12" s="364">
        <v>0</v>
      </c>
      <c r="P12" s="365">
        <f>IF($C12="","",O12*VLOOKUP($C12,MATIERES!$A$2:$F$448,4,0))</f>
        <v>0</v>
      </c>
      <c r="Q12" s="364">
        <v>0</v>
      </c>
      <c r="R12" s="365">
        <f>IF($C12="","",Q12*VLOOKUP($C12,MATIERES!$A$2:$F$448,4,0))</f>
        <v>0</v>
      </c>
      <c r="S12" s="364">
        <v>0</v>
      </c>
      <c r="T12" s="365">
        <f>IF($C12="","",S12*VLOOKUP($C12,MATIERES!$A$2:$F$448,4,0))</f>
        <v>0</v>
      </c>
      <c r="U12" s="364">
        <v>1</v>
      </c>
      <c r="V12" s="365">
        <f>IF($C12="","",U12*VLOOKUP($C12,MATIERES!$A$2:$F$448,4,0))</f>
        <v>776.24</v>
      </c>
      <c r="W12" s="364">
        <v>0</v>
      </c>
      <c r="X12" s="365">
        <f>IF($C12="","",W12*VLOOKUP($C12,MATIERES!$A$2:$F$448,4,0))</f>
        <v>0</v>
      </c>
      <c r="Y12" s="364">
        <v>0</v>
      </c>
      <c r="Z12" s="365">
        <f>IF($C12="","",Y12*VLOOKUP($C12,MATIERES!$A$2:$F$448,4,0))</f>
        <v>0</v>
      </c>
      <c r="AA12" s="364">
        <v>0</v>
      </c>
      <c r="AB12" s="365">
        <f>IF($C12="","",AA12*VLOOKUP($C12,MATIERES!$A$2:$F$448,4,0))</f>
        <v>0</v>
      </c>
      <c r="AC12" s="364">
        <v>0</v>
      </c>
      <c r="AD12" s="365">
        <f>IF($C12="","",AC12*VLOOKUP($C12,MATIERES!$A$2:$F$448,4,0))</f>
        <v>0</v>
      </c>
      <c r="AE12" s="364">
        <v>0</v>
      </c>
      <c r="AF12" s="365">
        <f>IF($C12="","",AE12*VLOOKUP($C12,MATIERES!$A$2:$F$448,4,0))</f>
        <v>0</v>
      </c>
      <c r="AG12" s="364">
        <v>0</v>
      </c>
      <c r="AH12" s="365">
        <f>IF($C12="","",AG12*VLOOKUP($C12,MATIERES!$A$2:$F$448,4,0))</f>
        <v>0</v>
      </c>
      <c r="AI12" s="364">
        <v>0</v>
      </c>
      <c r="AJ12" s="365">
        <f>IF($C12="","",AI12*VLOOKUP($C12,MATIERES!$A$2:$F$448,4,0))</f>
        <v>0</v>
      </c>
      <c r="AK12" s="364">
        <v>0</v>
      </c>
      <c r="AL12" s="365">
        <f>IF($C12="","",AK12*VLOOKUP($C12,MATIERES!$A$2:$F$448,4,0))</f>
        <v>0</v>
      </c>
      <c r="AM12" s="364">
        <v>0</v>
      </c>
    </row>
    <row r="13" spans="1:39" ht="15" customHeight="1" x14ac:dyDescent="0.2">
      <c r="A13" s="1550"/>
      <c r="B13" s="361" t="s">
        <v>1075</v>
      </c>
      <c r="C13" s="362" t="s">
        <v>1505</v>
      </c>
      <c r="D13" s="363" t="str">
        <f>IF($C13="","",VLOOKUP($C13,MATIERES!$A$2:$F$413,5,0))</f>
        <v>pc</v>
      </c>
      <c r="E13" s="364">
        <v>0</v>
      </c>
      <c r="F13" s="365">
        <f>IF($C13="","",E13*VLOOKUP($C13,MATIERES!$A$2:$F$448,4,0))</f>
        <v>0</v>
      </c>
      <c r="G13" s="364">
        <v>0</v>
      </c>
      <c r="H13" s="365">
        <f>IF($C13="","",G13*VLOOKUP($C13,MATIERES!$A$2:$F$448,4,0))</f>
        <v>0</v>
      </c>
      <c r="I13" s="364">
        <v>0</v>
      </c>
      <c r="J13" s="365">
        <f>IF($C13="","",I13*VLOOKUP($C13,MATIERES!$A$2:$F$448,4,0))</f>
        <v>0</v>
      </c>
      <c r="K13" s="364">
        <v>0</v>
      </c>
      <c r="L13" s="365">
        <f>IF($C13="","",K13*VLOOKUP($C13,MATIERES!$A$2:$F$448,4,0))</f>
        <v>0</v>
      </c>
      <c r="M13" s="364">
        <v>0</v>
      </c>
      <c r="N13" s="365">
        <f>IF($C13="","",M13*VLOOKUP($C13,MATIERES!$A$2:$F$448,4,0))</f>
        <v>0</v>
      </c>
      <c r="O13" s="364">
        <v>0</v>
      </c>
      <c r="P13" s="365">
        <f>IF($C13="","",O13*VLOOKUP($C13,MATIERES!$A$2:$F$448,4,0))</f>
        <v>0</v>
      </c>
      <c r="Q13" s="364">
        <v>0</v>
      </c>
      <c r="R13" s="365">
        <f>IF($C13="","",Q13*VLOOKUP($C13,MATIERES!$A$2:$F$448,4,0))</f>
        <v>0</v>
      </c>
      <c r="S13" s="364">
        <v>0</v>
      </c>
      <c r="T13" s="365">
        <f>IF($C13="","",S13*VLOOKUP($C13,MATIERES!$A$2:$F$448,4,0))</f>
        <v>0</v>
      </c>
      <c r="U13" s="364">
        <v>0</v>
      </c>
      <c r="V13" s="365">
        <f>IF($C13="","",U13*VLOOKUP($C13,MATIERES!$A$2:$F$448,4,0))</f>
        <v>0</v>
      </c>
      <c r="W13" s="364">
        <v>1</v>
      </c>
      <c r="X13" s="365">
        <f>IF($C13="","",W13*VLOOKUP($C13,MATIERES!$A$2:$F$448,4,0))</f>
        <v>1002.06</v>
      </c>
      <c r="Y13" s="364">
        <v>1</v>
      </c>
      <c r="Z13" s="365">
        <f>IF($C13="","",Y13*VLOOKUP($C13,MATIERES!$A$2:$F$448,4,0))</f>
        <v>1002.06</v>
      </c>
      <c r="AA13" s="364">
        <v>0</v>
      </c>
      <c r="AB13" s="365">
        <f>IF($C13="","",AA13*VLOOKUP($C13,MATIERES!$A$2:$F$448,4,0))</f>
        <v>0</v>
      </c>
      <c r="AC13" s="364">
        <v>0</v>
      </c>
      <c r="AD13" s="365">
        <f>IF($C13="","",AC13*VLOOKUP($C13,MATIERES!$A$2:$F$448,4,0))</f>
        <v>0</v>
      </c>
      <c r="AE13" s="364">
        <v>0</v>
      </c>
      <c r="AF13" s="365">
        <f>IF($C13="","",AE13*VLOOKUP($C13,MATIERES!$A$2:$F$448,4,0))</f>
        <v>0</v>
      </c>
      <c r="AG13" s="364">
        <v>0</v>
      </c>
      <c r="AH13" s="365">
        <f>IF($C13="","",AG13*VLOOKUP($C13,MATIERES!$A$2:$F$448,4,0))</f>
        <v>0</v>
      </c>
      <c r="AI13" s="364">
        <v>0</v>
      </c>
      <c r="AJ13" s="365">
        <f>IF($C13="","",AI13*VLOOKUP($C13,MATIERES!$A$2:$F$448,4,0))</f>
        <v>0</v>
      </c>
      <c r="AK13" s="364">
        <v>0</v>
      </c>
      <c r="AL13" s="365">
        <f>IF($C13="","",AK13*VLOOKUP($C13,MATIERES!$A$2:$F$448,4,0))</f>
        <v>0</v>
      </c>
      <c r="AM13" s="364">
        <v>0</v>
      </c>
    </row>
    <row r="14" spans="1:39" ht="15" customHeight="1" x14ac:dyDescent="0.2">
      <c r="A14" s="1550"/>
      <c r="B14" s="361" t="s">
        <v>1075</v>
      </c>
      <c r="C14" s="362" t="s">
        <v>1506</v>
      </c>
      <c r="D14" s="363" t="str">
        <f>IF($C14="","",VLOOKUP($C14,MATIERES!$A$2:$F$413,5,0))</f>
        <v>pc</v>
      </c>
      <c r="E14" s="364">
        <v>0</v>
      </c>
      <c r="F14" s="365">
        <f>IF($C14="","",E14*VLOOKUP($C14,MATIERES!$A$2:$F$448,4,0))</f>
        <v>0</v>
      </c>
      <c r="G14" s="364">
        <v>0</v>
      </c>
      <c r="H14" s="365">
        <f>IF($C14="","",G14*VLOOKUP($C14,MATIERES!$A$2:$F$448,4,0))</f>
        <v>0</v>
      </c>
      <c r="I14" s="364">
        <v>0</v>
      </c>
      <c r="J14" s="365">
        <f>IF($C14="","",I14*VLOOKUP($C14,MATIERES!$A$2:$F$448,4,0))</f>
        <v>0</v>
      </c>
      <c r="K14" s="364">
        <v>0</v>
      </c>
      <c r="L14" s="365">
        <f>IF($C14="","",K14*VLOOKUP($C14,MATIERES!$A$2:$F$448,4,0))</f>
        <v>0</v>
      </c>
      <c r="M14" s="364">
        <v>0</v>
      </c>
      <c r="N14" s="365">
        <f>IF($C14="","",M14*VLOOKUP($C14,MATIERES!$A$2:$F$448,4,0))</f>
        <v>0</v>
      </c>
      <c r="O14" s="364">
        <v>0</v>
      </c>
      <c r="P14" s="365">
        <f>IF($C14="","",O14*VLOOKUP($C14,MATIERES!$A$2:$F$448,4,0))</f>
        <v>0</v>
      </c>
      <c r="Q14" s="364">
        <v>0</v>
      </c>
      <c r="R14" s="365">
        <f>IF($C14="","",Q14*VLOOKUP($C14,MATIERES!$A$2:$F$448,4,0))</f>
        <v>0</v>
      </c>
      <c r="S14" s="364">
        <v>0</v>
      </c>
      <c r="T14" s="365">
        <f>IF($C14="","",S14*VLOOKUP($C14,MATIERES!$A$2:$F$448,4,0))</f>
        <v>0</v>
      </c>
      <c r="U14" s="364">
        <v>0</v>
      </c>
      <c r="V14" s="365">
        <f>IF($C14="","",U14*VLOOKUP($C14,MATIERES!$A$2:$F$448,4,0))</f>
        <v>0</v>
      </c>
      <c r="W14" s="364">
        <v>0</v>
      </c>
      <c r="X14" s="365">
        <f>IF($C14="","",W14*VLOOKUP($C14,MATIERES!$A$2:$F$448,4,0))</f>
        <v>0</v>
      </c>
      <c r="Y14" s="364">
        <v>0</v>
      </c>
      <c r="Z14" s="365">
        <f>IF($C14="","",Y14*VLOOKUP($C14,MATIERES!$A$2:$F$448,4,0))</f>
        <v>0</v>
      </c>
      <c r="AA14" s="364">
        <v>1</v>
      </c>
      <c r="AB14" s="365">
        <f>IF($C14="","",AA14*VLOOKUP($C14,MATIERES!$A$2:$F$448,4,0))</f>
        <v>1160.3400000000001</v>
      </c>
      <c r="AC14" s="364">
        <v>1</v>
      </c>
      <c r="AD14" s="365">
        <f>IF($C14="","",AC14*VLOOKUP($C14,MATIERES!$A$2:$F$448,4,0))</f>
        <v>1160.3400000000001</v>
      </c>
      <c r="AE14" s="364">
        <v>0</v>
      </c>
      <c r="AF14" s="365">
        <f>IF($C14="","",AE14*VLOOKUP($C14,MATIERES!$A$2:$F$448,4,0))</f>
        <v>0</v>
      </c>
      <c r="AG14" s="364">
        <v>0</v>
      </c>
      <c r="AH14" s="365">
        <f>IF($C14="","",AG14*VLOOKUP($C14,MATIERES!$A$2:$F$448,4,0))</f>
        <v>0</v>
      </c>
      <c r="AI14" s="364">
        <v>0</v>
      </c>
      <c r="AJ14" s="365">
        <f>IF($C14="","",AI14*VLOOKUP($C14,MATIERES!$A$2:$F$448,4,0))</f>
        <v>0</v>
      </c>
      <c r="AK14" s="364">
        <v>0</v>
      </c>
      <c r="AL14" s="365">
        <f>IF($C14="","",AK14*VLOOKUP($C14,MATIERES!$A$2:$F$448,4,0))</f>
        <v>0</v>
      </c>
      <c r="AM14" s="364">
        <v>0</v>
      </c>
    </row>
    <row r="15" spans="1:39" ht="15" customHeight="1" x14ac:dyDescent="0.2">
      <c r="A15" s="1550"/>
      <c r="B15" s="361" t="s">
        <v>1075</v>
      </c>
      <c r="C15" s="362" t="s">
        <v>1508</v>
      </c>
      <c r="D15" s="363" t="str">
        <f>IF($C15="","",VLOOKUP($C15,MATIERES!$A$2:$F$413,5,0))</f>
        <v>pc</v>
      </c>
      <c r="E15" s="364">
        <v>0</v>
      </c>
      <c r="F15" s="365">
        <f>IF($C15="","",E15*VLOOKUP($C15,MATIERES!$A$2:$F$448,4,0))</f>
        <v>0</v>
      </c>
      <c r="G15" s="364">
        <v>0</v>
      </c>
      <c r="H15" s="365">
        <f>IF($C15="","",G15*VLOOKUP($C15,MATIERES!$A$2:$F$448,4,0))</f>
        <v>0</v>
      </c>
      <c r="I15" s="364">
        <v>0</v>
      </c>
      <c r="J15" s="365">
        <f>IF($C15="","",I15*VLOOKUP($C15,MATIERES!$A$2:$F$448,4,0))</f>
        <v>0</v>
      </c>
      <c r="K15" s="364">
        <v>0</v>
      </c>
      <c r="L15" s="365">
        <f>IF($C15="","",K15*VLOOKUP($C15,MATIERES!$A$2:$F$448,4,0))</f>
        <v>0</v>
      </c>
      <c r="M15" s="364">
        <v>0</v>
      </c>
      <c r="N15" s="365">
        <f>IF($C15="","",M15*VLOOKUP($C15,MATIERES!$A$2:$F$448,4,0))</f>
        <v>0</v>
      </c>
      <c r="O15" s="364">
        <v>0</v>
      </c>
      <c r="P15" s="365">
        <f>IF($C15="","",O15*VLOOKUP($C15,MATIERES!$A$2:$F$448,4,0))</f>
        <v>0</v>
      </c>
      <c r="Q15" s="364">
        <v>0</v>
      </c>
      <c r="R15" s="365">
        <f>IF($C15="","",Q15*VLOOKUP($C15,MATIERES!$A$2:$F$448,4,0))</f>
        <v>0</v>
      </c>
      <c r="S15" s="364">
        <v>0</v>
      </c>
      <c r="T15" s="365">
        <f>IF($C15="","",S15*VLOOKUP($C15,MATIERES!$A$2:$F$448,4,0))</f>
        <v>0</v>
      </c>
      <c r="U15" s="364">
        <v>0</v>
      </c>
      <c r="V15" s="365">
        <f>IF($C15="","",U15*VLOOKUP($C15,MATIERES!$A$2:$F$448,4,0))</f>
        <v>0</v>
      </c>
      <c r="W15" s="364">
        <v>0</v>
      </c>
      <c r="X15" s="365">
        <f>IF($C15="","",W15*VLOOKUP($C15,MATIERES!$A$2:$F$448,4,0))</f>
        <v>0</v>
      </c>
      <c r="Y15" s="364">
        <v>0</v>
      </c>
      <c r="Z15" s="365">
        <f>IF($C15="","",Y15*VLOOKUP($C15,MATIERES!$A$2:$F$448,4,0))</f>
        <v>0</v>
      </c>
      <c r="AA15" s="364">
        <v>0</v>
      </c>
      <c r="AB15" s="365">
        <f>IF($C15="","",AA15*VLOOKUP($C15,MATIERES!$A$2:$F$448,4,0))</f>
        <v>0</v>
      </c>
      <c r="AC15" s="364">
        <v>0</v>
      </c>
      <c r="AD15" s="365">
        <f>IF($C15="","",AC15*VLOOKUP($C15,MATIERES!$A$2:$F$448,4,0))</f>
        <v>0</v>
      </c>
      <c r="AE15" s="364">
        <v>1</v>
      </c>
      <c r="AF15" s="365">
        <f>IF($C15="","",AE15*VLOOKUP($C15,MATIERES!$A$2:$F$448,4,0))</f>
        <v>1309.92</v>
      </c>
      <c r="AG15" s="364">
        <v>0</v>
      </c>
      <c r="AH15" s="365">
        <f>IF($C15="","",AG15*VLOOKUP($C15,MATIERES!$A$2:$F$448,4,0))</f>
        <v>0</v>
      </c>
      <c r="AI15" s="364">
        <v>0</v>
      </c>
      <c r="AJ15" s="365">
        <f>IF($C15="","",AI15*VLOOKUP($C15,MATIERES!$A$2:$F$448,4,0))</f>
        <v>0</v>
      </c>
      <c r="AK15" s="364">
        <v>0</v>
      </c>
      <c r="AL15" s="365">
        <f>IF($C15="","",AK15*VLOOKUP($C15,MATIERES!$A$2:$F$448,4,0))</f>
        <v>0</v>
      </c>
      <c r="AM15" s="364">
        <v>0</v>
      </c>
    </row>
    <row r="16" spans="1:39" ht="15" customHeight="1" x14ac:dyDescent="0.2">
      <c r="A16" s="1550"/>
      <c r="B16" s="361" t="s">
        <v>1075</v>
      </c>
      <c r="C16" s="362" t="s">
        <v>1509</v>
      </c>
      <c r="D16" s="363" t="str">
        <f>IF($C16="","",VLOOKUP($C16,MATIERES!$A$2:$F$413,5,0))</f>
        <v>pc</v>
      </c>
      <c r="E16" s="364">
        <v>0</v>
      </c>
      <c r="F16" s="365">
        <f>IF($C16="","",E16*VLOOKUP($C16,MATIERES!$A$2:$F$448,4,0))</f>
        <v>0</v>
      </c>
      <c r="G16" s="364">
        <v>0</v>
      </c>
      <c r="H16" s="365">
        <f>IF($C16="","",G16*VLOOKUP($C16,MATIERES!$A$2:$F$448,4,0))</f>
        <v>0</v>
      </c>
      <c r="I16" s="364">
        <v>0</v>
      </c>
      <c r="J16" s="365">
        <f>IF($C16="","",I16*VLOOKUP($C16,MATIERES!$A$2:$F$448,4,0))</f>
        <v>0</v>
      </c>
      <c r="K16" s="364">
        <v>0</v>
      </c>
      <c r="L16" s="365">
        <f>IF($C16="","",K16*VLOOKUP($C16,MATIERES!$A$2:$F$448,4,0))</f>
        <v>0</v>
      </c>
      <c r="M16" s="364">
        <v>0</v>
      </c>
      <c r="N16" s="365">
        <f>IF($C16="","",M16*VLOOKUP($C16,MATIERES!$A$2:$F$448,4,0))</f>
        <v>0</v>
      </c>
      <c r="O16" s="364">
        <v>0</v>
      </c>
      <c r="P16" s="365">
        <f>IF($C16="","",O16*VLOOKUP($C16,MATIERES!$A$2:$F$448,4,0))</f>
        <v>0</v>
      </c>
      <c r="Q16" s="364">
        <v>0</v>
      </c>
      <c r="R16" s="365">
        <f>IF($C16="","",Q16*VLOOKUP($C16,MATIERES!$A$2:$F$448,4,0))</f>
        <v>0</v>
      </c>
      <c r="S16" s="364">
        <v>0</v>
      </c>
      <c r="T16" s="365">
        <f>IF($C16="","",S16*VLOOKUP($C16,MATIERES!$A$2:$F$448,4,0))</f>
        <v>0</v>
      </c>
      <c r="U16" s="364">
        <v>0</v>
      </c>
      <c r="V16" s="365">
        <f>IF($C16="","",U16*VLOOKUP($C16,MATIERES!$A$2:$F$448,4,0))</f>
        <v>0</v>
      </c>
      <c r="W16" s="364">
        <v>0</v>
      </c>
      <c r="X16" s="365">
        <f>IF($C16="","",W16*VLOOKUP($C16,MATIERES!$A$2:$F$448,4,0))</f>
        <v>0</v>
      </c>
      <c r="Y16" s="364">
        <v>0</v>
      </c>
      <c r="Z16" s="365">
        <f>IF($C16="","",Y16*VLOOKUP($C16,MATIERES!$A$2:$F$448,4,0))</f>
        <v>0</v>
      </c>
      <c r="AA16" s="364">
        <v>0</v>
      </c>
      <c r="AB16" s="365">
        <f>IF($C16="","",AA16*VLOOKUP($C16,MATIERES!$A$2:$F$448,4,0))</f>
        <v>0</v>
      </c>
      <c r="AC16" s="364">
        <v>0</v>
      </c>
      <c r="AD16" s="365">
        <f>IF($C16="","",AC16*VLOOKUP($C16,MATIERES!$A$2:$F$448,4,0))</f>
        <v>0</v>
      </c>
      <c r="AE16" s="364">
        <v>0</v>
      </c>
      <c r="AF16" s="365">
        <f>IF($C16="","",AE16*VLOOKUP($C16,MATIERES!$A$2:$F$448,4,0))</f>
        <v>0</v>
      </c>
      <c r="AG16" s="364">
        <v>1</v>
      </c>
      <c r="AH16" s="365">
        <f>IF($C16="","",AG16*VLOOKUP($C16,MATIERES!$A$2:$F$448,4,0))</f>
        <v>1416</v>
      </c>
      <c r="AI16" s="364">
        <v>1</v>
      </c>
      <c r="AJ16" s="365">
        <f>IF($C16="","",AI16*VLOOKUP($C16,MATIERES!$A$2:$F$448,4,0))</f>
        <v>1416</v>
      </c>
      <c r="AK16" s="364">
        <v>0</v>
      </c>
      <c r="AL16" s="365">
        <f>IF($C16="","",AK16*VLOOKUP($C16,MATIERES!$A$2:$F$448,4,0))</f>
        <v>0</v>
      </c>
      <c r="AM16" s="364">
        <v>0</v>
      </c>
    </row>
    <row r="17" spans="1:39" ht="15" customHeight="1" x14ac:dyDescent="0.2">
      <c r="A17" s="1550"/>
      <c r="B17" s="361" t="s">
        <v>1075</v>
      </c>
      <c r="C17" s="362" t="s">
        <v>1510</v>
      </c>
      <c r="D17" s="363" t="str">
        <f>IF($C17="","",VLOOKUP($C17,MATIERES!$A$2:$F$413,5,0))</f>
        <v>pc</v>
      </c>
      <c r="E17" s="364">
        <v>0</v>
      </c>
      <c r="F17" s="365">
        <f>IF($C17="","",E17*VLOOKUP($C17,MATIERES!$A$2:$F$448,4,0))</f>
        <v>0</v>
      </c>
      <c r="G17" s="364">
        <v>0</v>
      </c>
      <c r="H17" s="365">
        <f>IF($C17="","",G17*VLOOKUP($C17,MATIERES!$A$2:$F$448,4,0))</f>
        <v>0</v>
      </c>
      <c r="I17" s="364">
        <v>0</v>
      </c>
      <c r="J17" s="365">
        <f>IF($C17="","",I17*VLOOKUP($C17,MATIERES!$A$2:$F$448,4,0))</f>
        <v>0</v>
      </c>
      <c r="K17" s="364">
        <v>0</v>
      </c>
      <c r="L17" s="365">
        <f>IF($C17="","",K17*VLOOKUP($C17,MATIERES!$A$2:$F$448,4,0))</f>
        <v>0</v>
      </c>
      <c r="M17" s="364">
        <v>0</v>
      </c>
      <c r="N17" s="365">
        <f>IF($C17="","",M17*VLOOKUP($C17,MATIERES!$A$2:$F$448,4,0))</f>
        <v>0</v>
      </c>
      <c r="O17" s="364">
        <v>0</v>
      </c>
      <c r="P17" s="365">
        <f>IF($C17="","",O17*VLOOKUP($C17,MATIERES!$A$2:$F$448,4,0))</f>
        <v>0</v>
      </c>
      <c r="Q17" s="364">
        <v>0</v>
      </c>
      <c r="R17" s="365">
        <f>IF($C17="","",Q17*VLOOKUP($C17,MATIERES!$A$2:$F$448,4,0))</f>
        <v>0</v>
      </c>
      <c r="S17" s="364">
        <v>0</v>
      </c>
      <c r="T17" s="365">
        <f>IF($C17="","",S17*VLOOKUP($C17,MATIERES!$A$2:$F$448,4,0))</f>
        <v>0</v>
      </c>
      <c r="U17" s="364">
        <v>0</v>
      </c>
      <c r="V17" s="365">
        <f>IF($C17="","",U17*VLOOKUP($C17,MATIERES!$A$2:$F$448,4,0))</f>
        <v>0</v>
      </c>
      <c r="W17" s="364">
        <v>0</v>
      </c>
      <c r="X17" s="365">
        <f>IF($C17="","",W17*VLOOKUP($C17,MATIERES!$A$2:$F$448,4,0))</f>
        <v>0</v>
      </c>
      <c r="Y17" s="364">
        <v>0</v>
      </c>
      <c r="Z17" s="365">
        <f>IF($C17="","",Y17*VLOOKUP($C17,MATIERES!$A$2:$F$448,4,0))</f>
        <v>0</v>
      </c>
      <c r="AA17" s="364">
        <v>0</v>
      </c>
      <c r="AB17" s="365">
        <f>IF($C17="","",AA17*VLOOKUP($C17,MATIERES!$A$2:$F$448,4,0))</f>
        <v>0</v>
      </c>
      <c r="AC17" s="364">
        <v>0</v>
      </c>
      <c r="AD17" s="365">
        <f>IF($C17="","",AC17*VLOOKUP($C17,MATIERES!$A$2:$F$448,4,0))</f>
        <v>0</v>
      </c>
      <c r="AE17" s="364">
        <v>0</v>
      </c>
      <c r="AF17" s="365">
        <f>IF($C17="","",AE17*VLOOKUP($C17,MATIERES!$A$2:$F$448,4,0))</f>
        <v>0</v>
      </c>
      <c r="AG17" s="364">
        <v>0</v>
      </c>
      <c r="AH17" s="365">
        <f>IF($C17="","",AG17*VLOOKUP($C17,MATIERES!$A$2:$F$448,4,0))</f>
        <v>0</v>
      </c>
      <c r="AI17" s="364">
        <v>0</v>
      </c>
      <c r="AJ17" s="365">
        <f>IF($C17="","",AI17*VLOOKUP($C17,MATIERES!$A$2:$F$448,4,0))</f>
        <v>0</v>
      </c>
      <c r="AK17" s="364">
        <v>1</v>
      </c>
      <c r="AL17" s="365">
        <f>IF($C17="","",AK17*VLOOKUP($C17,MATIERES!$A$2:$F$448,4,0))</f>
        <v>1670.24</v>
      </c>
      <c r="AM17" s="364">
        <v>1</v>
      </c>
    </row>
    <row r="18" spans="1:39" ht="30" customHeight="1" x14ac:dyDescent="0.2">
      <c r="A18" s="366"/>
      <c r="B18" s="367" t="s">
        <v>683</v>
      </c>
      <c r="C18" s="368" t="s">
        <v>446</v>
      </c>
      <c r="D18" s="369" t="s">
        <v>447</v>
      </c>
      <c r="E18" s="370">
        <f>F18*(1+Simulation!$P$11)</f>
        <v>0</v>
      </c>
      <c r="F18" s="371">
        <f>SUM(F4:F17)</f>
        <v>0</v>
      </c>
      <c r="G18" s="370">
        <f>H18*(1+Simulation!$P$11)</f>
        <v>288.197</v>
      </c>
      <c r="H18" s="371">
        <f>SUM(H4:H17)</f>
        <v>221.69</v>
      </c>
      <c r="I18" s="370">
        <f>J18*(1+Simulation!$P$11)</f>
        <v>363.89600000000002</v>
      </c>
      <c r="J18" s="371">
        <f>SUM(J4:J17)</f>
        <v>279.92</v>
      </c>
      <c r="K18" s="370">
        <f>L18*(1+Simulation!$P$11)</f>
        <v>432.84800000000001</v>
      </c>
      <c r="L18" s="371">
        <f>SUM(L4:L17)</f>
        <v>332.96</v>
      </c>
      <c r="M18" s="370">
        <f>N18*(1+Simulation!$P$11)</f>
        <v>578.96800000000007</v>
      </c>
      <c r="N18" s="371">
        <f>SUM(N4:N17)</f>
        <v>445.36</v>
      </c>
      <c r="O18" s="370">
        <f>P18*(1+Simulation!$P$11)</f>
        <v>646.62</v>
      </c>
      <c r="P18" s="371">
        <f>SUM(P4:P17)</f>
        <v>497.4</v>
      </c>
      <c r="Q18" s="370">
        <f>R18*(1+Simulation!$P$11)</f>
        <v>794.04</v>
      </c>
      <c r="R18" s="371">
        <f>SUM(R4:R17)</f>
        <v>610.79999999999995</v>
      </c>
      <c r="S18" s="370">
        <f>T18*(1+Simulation!$P$11)</f>
        <v>861.69200000000012</v>
      </c>
      <c r="T18" s="371">
        <f>SUM(T4:T17)</f>
        <v>662.84</v>
      </c>
      <c r="U18" s="370">
        <f>V18*(1+Simulation!$P$11)</f>
        <v>1009.1120000000001</v>
      </c>
      <c r="V18" s="371">
        <f>SUM(V4:V17)</f>
        <v>776.24</v>
      </c>
      <c r="W18" s="370">
        <f>X18*(1+Simulation!$P$11)</f>
        <v>1302.6779999999999</v>
      </c>
      <c r="X18" s="371">
        <f>SUM(X4:X17)</f>
        <v>1002.06</v>
      </c>
      <c r="Y18" s="370">
        <f>Z18*(1+Simulation!$P$11)</f>
        <v>1302.6779999999999</v>
      </c>
      <c r="Z18" s="371">
        <f>SUM(Z4:Z17)</f>
        <v>1002.06</v>
      </c>
      <c r="AA18" s="370">
        <f>AB18*(1+Simulation!$P$11)</f>
        <v>1508.4420000000002</v>
      </c>
      <c r="AB18" s="371">
        <f>SUM(AB4:AB17)</f>
        <v>1160.3400000000001</v>
      </c>
      <c r="AC18" s="370">
        <f>AD18*(1+Simulation!$P$11)</f>
        <v>1508.4420000000002</v>
      </c>
      <c r="AD18" s="371">
        <f>SUM(AD4:AD17)</f>
        <v>1160.3400000000001</v>
      </c>
      <c r="AE18" s="370">
        <f>AF18*(1+Simulation!$P$11)</f>
        <v>1702.8960000000002</v>
      </c>
      <c r="AF18" s="371">
        <f>SUM(AF4:AF17)</f>
        <v>1309.92</v>
      </c>
      <c r="AG18" s="370">
        <f>AH18*(1+Simulation!$P$11)</f>
        <v>1840.8</v>
      </c>
      <c r="AH18" s="371">
        <f>SUM(AH4:AH17)</f>
        <v>1416</v>
      </c>
      <c r="AI18" s="370">
        <f>AJ18*(1+Simulation!$P$11)</f>
        <v>1840.8</v>
      </c>
      <c r="AJ18" s="371">
        <f>SUM(AJ4:AJ17)</f>
        <v>1416</v>
      </c>
      <c r="AK18" s="370">
        <f>AL18*(1+Simulation!$P$11)</f>
        <v>2171.3119999999999</v>
      </c>
      <c r="AL18" s="371">
        <f>SUM(AL4:AL17)</f>
        <v>1670.24</v>
      </c>
      <c r="AM18" s="370" t="e">
        <f>#REF!*(1+Simulation!$P$11)</f>
        <v>#REF!</v>
      </c>
    </row>
    <row r="19" spans="1:39" ht="15" customHeight="1" x14ac:dyDescent="0.2">
      <c r="A19" s="1553"/>
      <c r="B19" s="361" t="s">
        <v>1158</v>
      </c>
      <c r="C19" s="362" t="s">
        <v>1176</v>
      </c>
      <c r="D19" s="363" t="str">
        <f>IF($C19="","",VLOOKUP($C19,ATELIER!$A$2:$E$109,3,0))</f>
        <v>pc</v>
      </c>
      <c r="E19" s="364">
        <f>IF(E2=5,8,0)</f>
        <v>0</v>
      </c>
      <c r="F19" s="485">
        <f>IF($C19="","",E19*VLOOKUP($C19,ATELIER!$A$2:$F$109,4,0))</f>
        <v>0</v>
      </c>
      <c r="G19" s="364">
        <f>IF(G2=5,8,0)</f>
        <v>0</v>
      </c>
      <c r="H19" s="485">
        <f>IF($C19="","",G19*VLOOKUP($C19,ATELIER!$A$2:$F$109,4,0))</f>
        <v>0</v>
      </c>
      <c r="I19" s="364">
        <f>IF(I2=5,8,0)</f>
        <v>0</v>
      </c>
      <c r="J19" s="485">
        <f>IF($C19="","",I19*VLOOKUP($C19,ATELIER!$A$2:$F$109,4,0))</f>
        <v>0</v>
      </c>
      <c r="K19" s="364">
        <f>IF(K2=5,8,0)</f>
        <v>8</v>
      </c>
      <c r="L19" s="485">
        <f>IF($C19="","",K19*VLOOKUP($C19,ATELIER!$A$2:$F$109,4,0))</f>
        <v>0.16</v>
      </c>
      <c r="M19" s="364">
        <f>IF(M2=5,8,0)</f>
        <v>0</v>
      </c>
      <c r="N19" s="485">
        <f>IF($C19="","",M19*VLOOKUP($C19,ATELIER!$A$2:$F$109,4,0))</f>
        <v>0</v>
      </c>
      <c r="O19" s="364">
        <f>IF(O2=5,8,0)</f>
        <v>0</v>
      </c>
      <c r="P19" s="485">
        <f>IF($C19="","",O19*VLOOKUP($C19,ATELIER!$A$2:$F$109,4,0))</f>
        <v>0</v>
      </c>
      <c r="Q19" s="364">
        <f>IF(Q2=5,8,0)</f>
        <v>0</v>
      </c>
      <c r="R19" s="485">
        <f>IF($C19="","",Q19*VLOOKUP($C19,ATELIER!$A$2:$F$109,4,0))</f>
        <v>0</v>
      </c>
      <c r="S19" s="364">
        <f>IF(S2=5,8,0)</f>
        <v>0</v>
      </c>
      <c r="T19" s="485">
        <f>IF($C19="","",S19*VLOOKUP($C19,ATELIER!$A$2:$F$109,4,0))</f>
        <v>0</v>
      </c>
      <c r="U19" s="364">
        <f>IF(U2=5,8,0)</f>
        <v>0</v>
      </c>
      <c r="V19" s="485">
        <f>IF($C19="","",U19*VLOOKUP($C19,ATELIER!$A$2:$F$109,4,0))</f>
        <v>0</v>
      </c>
      <c r="W19" s="364">
        <f>IF(W2=5,8,0)</f>
        <v>0</v>
      </c>
      <c r="X19" s="485">
        <f>IF($C19="","",W19*VLOOKUP($C19,ATELIER!$A$2:$F$109,4,0))</f>
        <v>0</v>
      </c>
      <c r="Y19" s="364">
        <f>IF(Y2=5,8,0)</f>
        <v>0</v>
      </c>
      <c r="Z19" s="485">
        <f>IF($C19="","",Y19*VLOOKUP($C19,ATELIER!$A$2:$F$109,4,0))</f>
        <v>0</v>
      </c>
      <c r="AA19" s="364">
        <f>IF(AA2=5,8,0)</f>
        <v>0</v>
      </c>
      <c r="AB19" s="485">
        <f>IF($C19="","",AA19*VLOOKUP($C19,ATELIER!$A$2:$F$109,4,0))</f>
        <v>0</v>
      </c>
      <c r="AC19" s="364">
        <f>IF(AC2=5,8,0)</f>
        <v>0</v>
      </c>
      <c r="AD19" s="485">
        <f>IF($C19="","",AC19*VLOOKUP($C19,ATELIER!$A$2:$F$109,4,0))</f>
        <v>0</v>
      </c>
      <c r="AE19" s="364">
        <f>IF(AE2=5,8,0)</f>
        <v>0</v>
      </c>
      <c r="AF19" s="485">
        <f>IF($C19="","",AE19*VLOOKUP($C19,ATELIER!$A$2:$F$109,4,0))</f>
        <v>0</v>
      </c>
      <c r="AG19" s="364">
        <f>IF(AG2=5,8,0)</f>
        <v>0</v>
      </c>
      <c r="AH19" s="485">
        <f>IF($C19="","",AG19*VLOOKUP($C19,ATELIER!$A$2:$F$109,4,0))</f>
        <v>0</v>
      </c>
      <c r="AI19" s="364">
        <f>IF(AI2=5,8,0)</f>
        <v>0</v>
      </c>
      <c r="AJ19" s="485">
        <f>IF($C19="","",AI19*VLOOKUP($C19,ATELIER!$A$2:$F$109,4,0))</f>
        <v>0</v>
      </c>
      <c r="AK19" s="364">
        <f>IF(AK2=5,8,0)</f>
        <v>0</v>
      </c>
      <c r="AL19" s="485">
        <f>IF($C19="","",AK19*VLOOKUP($C19,ATELIER!$A$2:$F$109,4,0))</f>
        <v>0</v>
      </c>
      <c r="AM19" s="364">
        <f>IF(AM2=5,8,0)</f>
        <v>0</v>
      </c>
    </row>
    <row r="20" spans="1:39" ht="15" customHeight="1" x14ac:dyDescent="0.2">
      <c r="A20" s="1553"/>
      <c r="B20" s="361" t="s">
        <v>1158</v>
      </c>
      <c r="C20" s="362"/>
      <c r="D20" s="363" t="str">
        <f>IF($C20="","",VLOOKUP($C20,ATELIER!$A$2:$E$109,3,0))</f>
        <v/>
      </c>
      <c r="E20" s="364">
        <v>1</v>
      </c>
      <c r="F20" s="485" t="str">
        <f>IF($C20="","",E20*VLOOKUP($C20,ATELIER!$A$2:$F$109,4,0))</f>
        <v/>
      </c>
      <c r="G20" s="364">
        <f>HLOOKUP(H$1,'Outils de calculs'!$E$24:$AM$42,19,0)</f>
        <v>1</v>
      </c>
      <c r="H20" s="485" t="str">
        <f>IF($C20="","",G20*VLOOKUP($C20,ATELIER!$A$2:$F$109,4,0))</f>
        <v/>
      </c>
      <c r="I20" s="364">
        <f>HLOOKUP(J$1,'Outils de calculs'!$E$24:$AM$42,19,0)</f>
        <v>1</v>
      </c>
      <c r="J20" s="485" t="str">
        <f>IF($C20="","",I20*VLOOKUP($C20,ATELIER!$A$2:$F$109,4,0))</f>
        <v/>
      </c>
      <c r="K20" s="364">
        <f>HLOOKUP(L$1,'Outils de calculs'!$E$24:$AM$42,19,0)</f>
        <v>1</v>
      </c>
      <c r="L20" s="485" t="str">
        <f>IF($C20="","",K20*VLOOKUP($C20,ATELIER!$A$2:$F$109,4,0))</f>
        <v/>
      </c>
      <c r="M20" s="364">
        <f>HLOOKUP(N$1,'Outils de calculs'!$E$24:$AM$42,19,0)</f>
        <v>3</v>
      </c>
      <c r="N20" s="485" t="str">
        <f>IF($C20="","",M20*VLOOKUP($C20,ATELIER!$A$2:$F$109,4,0))</f>
        <v/>
      </c>
      <c r="O20" s="364">
        <f>HLOOKUP(P$1,'Outils de calculs'!$E$24:$AM$42,19,0)</f>
        <v>2</v>
      </c>
      <c r="P20" s="485" t="str">
        <f>IF($C20="","",O20*VLOOKUP($C20,ATELIER!$A$2:$F$109,4,0))</f>
        <v/>
      </c>
      <c r="Q20" s="364">
        <f>HLOOKUP(R$1,'Outils de calculs'!$E$24:$AM$42,19,0)</f>
        <v>3</v>
      </c>
      <c r="R20" s="485" t="str">
        <f>IF($C20="","",Q20*VLOOKUP($C20,ATELIER!$A$2:$F$109,4,0))</f>
        <v/>
      </c>
      <c r="S20" s="364">
        <f>HLOOKUP(T$1,'Outils de calculs'!$E$24:$AM$42,19,0)</f>
        <v>3</v>
      </c>
      <c r="T20" s="485" t="str">
        <f>IF($C20="","",S20*VLOOKUP($C20,ATELIER!$A$2:$F$109,4,0))</f>
        <v/>
      </c>
      <c r="U20" s="364">
        <f>HLOOKUP(V$1,'Outils de calculs'!$E$24:$AM$42,19,0)</f>
        <v>4</v>
      </c>
      <c r="V20" s="485" t="str">
        <f>IF($C20="","",U20*VLOOKUP($C20,ATELIER!$A$2:$F$109,4,0))</f>
        <v/>
      </c>
      <c r="W20" s="364">
        <f>HLOOKUP(X$1,'Outils de calculs'!$E$24:$AM$42,19,0)</f>
        <v>6</v>
      </c>
      <c r="X20" s="485" t="str">
        <f>IF($C20="","",W20*VLOOKUP($C20,ATELIER!$A$2:$F$109,4,0))</f>
        <v/>
      </c>
      <c r="Y20" s="364">
        <f>HLOOKUP(Z$1,'Outils de calculs'!$E$24:$AM$42,19,0)</f>
        <v>7</v>
      </c>
      <c r="Z20" s="485" t="str">
        <f>IF($C20="","",Y20*VLOOKUP($C20,ATELIER!$A$2:$F$109,4,0))</f>
        <v/>
      </c>
      <c r="AA20" s="364">
        <f>HLOOKUP(AB$1,'Outils de calculs'!$E$24:$AM$42,19,0)</f>
        <v>4</v>
      </c>
      <c r="AB20" s="485" t="str">
        <f>IF($C20="","",AA20*VLOOKUP($C20,ATELIER!$A$2:$F$109,4,0))</f>
        <v/>
      </c>
      <c r="AC20" s="364">
        <f>HLOOKUP(AD$1,'Outils de calculs'!$E$24:$AM$42,19,0)</f>
        <v>6</v>
      </c>
      <c r="AD20" s="485" t="str">
        <f>IF($C20="","",AC20*VLOOKUP($C20,ATELIER!$A$2:$F$109,4,0))</f>
        <v/>
      </c>
      <c r="AE20" s="364">
        <f>HLOOKUP(AF$1,'Outils de calculs'!$E$24:$AM$42,19,0)</f>
        <v>6</v>
      </c>
      <c r="AF20" s="485" t="str">
        <f>IF($C20="","",AE20*VLOOKUP($C20,ATELIER!$A$2:$F$109,4,0))</f>
        <v/>
      </c>
      <c r="AG20" s="364">
        <f>HLOOKUP(AH$1,'Outils de calculs'!$E$24:$AM$42,19,0)</f>
        <v>6</v>
      </c>
      <c r="AH20" s="485" t="str">
        <f>IF($C20="","",AG20*VLOOKUP($C20,ATELIER!$A$2:$F$109,4,0))</f>
        <v/>
      </c>
      <c r="AI20" s="364">
        <f>HLOOKUP(AJ$1,'Outils de calculs'!$E$24:$AM$42,19,0)</f>
        <v>8</v>
      </c>
      <c r="AJ20" s="485" t="str">
        <f>IF($C20="","",AI20*VLOOKUP($C20,ATELIER!$A$2:$F$109,4,0))</f>
        <v/>
      </c>
      <c r="AK20" s="364">
        <f>HLOOKUP(AL$1,'Outils de calculs'!$E$24:$AM$42,19,0)</f>
        <v>9</v>
      </c>
      <c r="AL20" s="485" t="str">
        <f>IF($C20="","",AK20*VLOOKUP($C20,ATELIER!$A$2:$F$109,4,0))</f>
        <v/>
      </c>
      <c r="AM20" s="364" t="e">
        <f>HLOOKUP(#REF!,'Outils de calculs'!$E$24:$AM$42,19,0)</f>
        <v>#REF!</v>
      </c>
    </row>
    <row r="21" spans="1:39" ht="35.25" customHeight="1" x14ac:dyDescent="0.2">
      <c r="A21" s="1553"/>
      <c r="B21" s="375" t="s">
        <v>449</v>
      </c>
      <c r="C21" s="376" t="s">
        <v>450</v>
      </c>
      <c r="D21" s="377" t="s">
        <v>451</v>
      </c>
      <c r="E21" s="376">
        <f>F21*Simulation!$P$8</f>
        <v>0</v>
      </c>
      <c r="F21" s="377">
        <f>SUM(F19:F20)</f>
        <v>0</v>
      </c>
      <c r="G21" s="376">
        <f>H21*Simulation!$P$8</f>
        <v>0</v>
      </c>
      <c r="H21" s="377">
        <f>SUM(H19:H20)</f>
        <v>0</v>
      </c>
      <c r="I21" s="376">
        <f>J21*Simulation!$P$8</f>
        <v>0</v>
      </c>
      <c r="J21" s="377">
        <f>SUM(J19:J20)</f>
        <v>0</v>
      </c>
      <c r="K21" s="376">
        <f>L21*Simulation!$P$8</f>
        <v>7.2</v>
      </c>
      <c r="L21" s="377">
        <f>SUM(L19:L20)</f>
        <v>0.16</v>
      </c>
      <c r="M21" s="376">
        <f>N21*Simulation!$P$8</f>
        <v>0</v>
      </c>
      <c r="N21" s="377">
        <f>SUM(N19:N20)</f>
        <v>0</v>
      </c>
      <c r="O21" s="376">
        <f>P21*Simulation!$P$8</f>
        <v>0</v>
      </c>
      <c r="P21" s="377">
        <f>SUM(P19:P20)</f>
        <v>0</v>
      </c>
      <c r="Q21" s="376">
        <f>R21*Simulation!$P$8</f>
        <v>0</v>
      </c>
      <c r="R21" s="377">
        <f>SUM(R19:R20)</f>
        <v>0</v>
      </c>
      <c r="S21" s="376">
        <f>T21*Simulation!$P$8</f>
        <v>0</v>
      </c>
      <c r="T21" s="377">
        <f>SUM(T19:T20)</f>
        <v>0</v>
      </c>
      <c r="U21" s="376">
        <f>V21*Simulation!$P$8</f>
        <v>0</v>
      </c>
      <c r="V21" s="377">
        <f>SUM(V19:V20)</f>
        <v>0</v>
      </c>
      <c r="W21" s="376">
        <f>X21*Simulation!$P$8</f>
        <v>0</v>
      </c>
      <c r="X21" s="377">
        <f>SUM(X19:X20)</f>
        <v>0</v>
      </c>
      <c r="Y21" s="376">
        <f>Z21*Simulation!$P$8</f>
        <v>0</v>
      </c>
      <c r="Z21" s="377">
        <f>SUM(Z19:Z20)</f>
        <v>0</v>
      </c>
      <c r="AA21" s="376">
        <f>AB21*Simulation!$P$8</f>
        <v>0</v>
      </c>
      <c r="AB21" s="377">
        <f>SUM(AB19:AB20)</f>
        <v>0</v>
      </c>
      <c r="AC21" s="376">
        <f>AD21*Simulation!$P$8</f>
        <v>0</v>
      </c>
      <c r="AD21" s="377">
        <f>SUM(AD19:AD20)</f>
        <v>0</v>
      </c>
      <c r="AE21" s="376">
        <f>AF21*Simulation!$P$8</f>
        <v>0</v>
      </c>
      <c r="AF21" s="377">
        <f>SUM(AF19:AF20)</f>
        <v>0</v>
      </c>
      <c r="AG21" s="376">
        <f>AH21*Simulation!$P$8</f>
        <v>0</v>
      </c>
      <c r="AH21" s="377">
        <f>SUM(AH19:AH20)</f>
        <v>0</v>
      </c>
      <c r="AI21" s="376">
        <f>AJ21*Simulation!$P$8</f>
        <v>0</v>
      </c>
      <c r="AJ21" s="377">
        <f>SUM(AJ19:AJ20)</f>
        <v>0</v>
      </c>
      <c r="AK21" s="376">
        <f>AL21*Simulation!$P$8</f>
        <v>0</v>
      </c>
      <c r="AL21" s="377">
        <f>SUM(AL19:AL20)</f>
        <v>0</v>
      </c>
      <c r="AM21" s="376" t="e">
        <f>#REF!*Simulation!$P$8</f>
        <v>#REF!</v>
      </c>
    </row>
    <row r="22" spans="1:39" ht="15" customHeight="1" x14ac:dyDescent="0.2">
      <c r="A22" s="1554" t="s">
        <v>452</v>
      </c>
      <c r="B22" s="361" t="s">
        <v>1161</v>
      </c>
      <c r="C22" s="378" t="s">
        <v>1323</v>
      </c>
      <c r="D22" s="363" t="str">
        <f>IF(C22="","",VLOOKUP($C22,CHANTIER!$A$2:$C$83,3,0))</f>
        <v>ml</v>
      </c>
      <c r="E22" s="364">
        <f>E20*HLOOKUP(F1,'Outils de calculs'!E24:AM42,16,0)</f>
        <v>0</v>
      </c>
      <c r="F22" s="372">
        <f>IF($C22="","",E22*VLOOKUP($C22,CHANTIER!$A$2:$D$83,4,0))</f>
        <v>0</v>
      </c>
      <c r="G22" s="364">
        <f>G20*HLOOKUP(H1,'Outils de calculs'!G24:AO42,16,0)</f>
        <v>3.06</v>
      </c>
      <c r="H22" s="372">
        <f>IF($C22="","",G22*VLOOKUP($C22,CHANTIER!$A$2:$D$83,4,0))</f>
        <v>0.30600000000000005</v>
      </c>
      <c r="I22" s="364">
        <f>I20*HLOOKUP(J1,'Outils de calculs'!I24:AQ42,16,0)</f>
        <v>4.0599999999999996</v>
      </c>
      <c r="J22" s="372">
        <f>IF($C22="","",I22*VLOOKUP($C22,CHANTIER!$A$2:$D$83,4,0))</f>
        <v>0.40599999999999997</v>
      </c>
      <c r="K22" s="364">
        <f>K20*HLOOKUP(L1,'Outils de calculs'!K24:AS42,16,0)</f>
        <v>4.0599999999999996</v>
      </c>
      <c r="L22" s="372">
        <f>IF($C22="","",K22*VLOOKUP($C22,CHANTIER!$A$2:$D$83,4,0))</f>
        <v>0.40599999999999997</v>
      </c>
      <c r="M22" s="364">
        <f>M20*HLOOKUP(N1,'Outils de calculs'!M24:AU42,16,0)</f>
        <v>9.18</v>
      </c>
      <c r="N22" s="372">
        <f>IF($C22="","",M22*VLOOKUP($C22,CHANTIER!$A$2:$D$83,4,0))</f>
        <v>0.91800000000000004</v>
      </c>
      <c r="O22" s="364">
        <f>O20*HLOOKUP(P1,'Outils de calculs'!O24:AW42,16,0)</f>
        <v>8.1199999999999992</v>
      </c>
      <c r="P22" s="372">
        <f>IF($C22="","",O22*VLOOKUP($C22,CHANTIER!$A$2:$D$83,4,0))</f>
        <v>0.81199999999999994</v>
      </c>
      <c r="Q22" s="364">
        <f>Q20*HLOOKUP(R1,'Outils de calculs'!Q24:AY42,16,0)</f>
        <v>12.18</v>
      </c>
      <c r="R22" s="372">
        <f>IF($C22="","",Q22*VLOOKUP($C22,CHANTIER!$A$2:$D$83,4,0))</f>
        <v>1.218</v>
      </c>
      <c r="S22" s="364">
        <f>S20*HLOOKUP(T1,'Outils de calculs'!S24:BA42,16,0)</f>
        <v>12.18</v>
      </c>
      <c r="T22" s="372">
        <f>IF($C22="","",S22*VLOOKUP($C22,CHANTIER!$A$2:$D$83,4,0))</f>
        <v>1.218</v>
      </c>
      <c r="U22" s="364">
        <f>U20*HLOOKUP(V1,'Outils de calculs'!U24:BC42,16,0)</f>
        <v>16.239999999999998</v>
      </c>
      <c r="V22" s="372">
        <f>IF($C22="","",U22*VLOOKUP($C22,CHANTIER!$A$2:$D$83,4,0))</f>
        <v>1.6239999999999999</v>
      </c>
      <c r="W22" s="364">
        <f>W20*HLOOKUP(X1,'Outils de calculs'!W24:BE42,16,0)</f>
        <v>18.18</v>
      </c>
      <c r="X22" s="372">
        <f>IF($C22="","",W22*VLOOKUP($C22,CHANTIER!$A$2:$D$83,4,0))</f>
        <v>1.8180000000000001</v>
      </c>
      <c r="Y22" s="364">
        <f>Y20*HLOOKUP(Z1,'Outils de calculs'!Y24:BG42,16,0)</f>
        <v>0</v>
      </c>
      <c r="Z22" s="372">
        <f>IF($C22="","",Y22*VLOOKUP($C22,CHANTIER!$A$2:$D$83,4,0))</f>
        <v>0</v>
      </c>
      <c r="AA22" s="364">
        <f>AA20*HLOOKUP(AB1,'Outils de calculs'!AA24:BI42,16,0)</f>
        <v>16.12</v>
      </c>
      <c r="AB22" s="372">
        <f>IF($C22="","",AA22*VLOOKUP($C22,CHANTIER!$A$2:$D$83,4,0))</f>
        <v>1.6120000000000001</v>
      </c>
      <c r="AC22" s="364">
        <f>AC20*HLOOKUP(AD1,'Outils de calculs'!AC24:BK42,16,0)</f>
        <v>21.18</v>
      </c>
      <c r="AD22" s="372">
        <f>IF($C22="","",AC22*VLOOKUP($C22,CHANTIER!$A$2:$D$83,4,0))</f>
        <v>2.1179999999999999</v>
      </c>
      <c r="AE22" s="364">
        <f>AE20*HLOOKUP(AF1,'Outils de calculs'!AE24:BM42,16,0)</f>
        <v>24.18</v>
      </c>
      <c r="AF22" s="372">
        <f>IF($C22="","",AE22*VLOOKUP($C22,CHANTIER!$A$2:$D$83,4,0))</f>
        <v>2.4180000000000001</v>
      </c>
      <c r="AG22" s="364">
        <f>AG20*HLOOKUP(AH1,'Outils de calculs'!AG24:BO42,16,0)</f>
        <v>24.18</v>
      </c>
      <c r="AH22" s="372">
        <f>IF($C22="","",AG22*VLOOKUP($C22,CHANTIER!$A$2:$D$83,4,0))</f>
        <v>2.4180000000000001</v>
      </c>
      <c r="AI22" s="364">
        <f>AI20*HLOOKUP(AJ1,'Outils de calculs'!AI24:BQ42,16,0)</f>
        <v>32.24</v>
      </c>
      <c r="AJ22" s="372">
        <f>IF($C22="","",AI22*VLOOKUP($C22,CHANTIER!$A$2:$D$83,4,0))</f>
        <v>3.2240000000000002</v>
      </c>
      <c r="AK22" s="364">
        <f>AK20*HLOOKUP(AL1,'Outils de calculs'!AK24:BS42,16,0)</f>
        <v>36.270000000000003</v>
      </c>
      <c r="AL22" s="372">
        <f>IF($C22="","",AK22*VLOOKUP($C22,CHANTIER!$A$2:$D$83,4,0))</f>
        <v>3.6270000000000007</v>
      </c>
      <c r="AM22" s="364" t="e">
        <f>AM20*HLOOKUP(#REF!,'Outils de calculs'!AM24:BU42,16,0)</f>
        <v>#REF!</v>
      </c>
    </row>
    <row r="23" spans="1:39" ht="15" customHeight="1" x14ac:dyDescent="0.2">
      <c r="A23" s="1555"/>
      <c r="B23" s="361" t="s">
        <v>1161</v>
      </c>
      <c r="C23" s="378" t="s">
        <v>135</v>
      </c>
      <c r="D23" s="363" t="str">
        <f>IF(C23="","",VLOOKUP($C23,CHANTIER!$A$2:$C$83,3,0))</f>
        <v>pc</v>
      </c>
      <c r="E23" s="364" t="e">
        <f>HLOOKUP(F$1,'Détail PS1'!$C$1:$W$13,VLOOKUP($C23,'Détail PS1'!$C$1:$W$13,1,0),0)</f>
        <v>#N/A</v>
      </c>
      <c r="F23" s="372" t="e">
        <f>IF($C23="","",E23*VLOOKUP($C23,CHANTIER!$A$2:$D$83,4,0))</f>
        <v>#N/A</v>
      </c>
      <c r="G23" s="364">
        <f>HLOOKUP(H$1,'Détail PS1'!$C$1:$W$13,11,1)</f>
        <v>0</v>
      </c>
      <c r="H23" s="372">
        <f>IF($C23="","",G23*VLOOKUP($C23,CHANTIER!$A$2:$D$83,4,0))</f>
        <v>0</v>
      </c>
      <c r="I23" s="364">
        <f>HLOOKUP(J$1,'Détail PS1'!$C$1:$W$13,11,1)</f>
        <v>0</v>
      </c>
      <c r="J23" s="372">
        <f>IF($C23="","",I23*VLOOKUP($C23,CHANTIER!$A$2:$D$83,4,0))</f>
        <v>0</v>
      </c>
      <c r="K23" s="364">
        <f>HLOOKUP(L$1,'Détail PS1'!$C$1:$W$13,11,1)</f>
        <v>0</v>
      </c>
      <c r="L23" s="372">
        <f>IF($C23="","",K23*VLOOKUP($C23,CHANTIER!$A$2:$D$83,4,0))</f>
        <v>0</v>
      </c>
      <c r="M23" s="364">
        <f>HLOOKUP(N$1,'Détail PS1'!$C$1:$W$13,11,1)</f>
        <v>0</v>
      </c>
      <c r="N23" s="372">
        <f>IF($C23="","",M23*VLOOKUP($C23,CHANTIER!$A$2:$D$83,4,0))</f>
        <v>0</v>
      </c>
      <c r="O23" s="364">
        <f>HLOOKUP(P$1,'Détail PS1'!$C$1:$W$13,11,1)</f>
        <v>0</v>
      </c>
      <c r="P23" s="372">
        <f>IF($C23="","",O23*VLOOKUP($C23,CHANTIER!$A$2:$D$83,4,0))</f>
        <v>0</v>
      </c>
      <c r="Q23" s="364">
        <f>HLOOKUP(R$1,'Détail PS1'!$C$1:$W$13,11,1)</f>
        <v>0</v>
      </c>
      <c r="R23" s="372">
        <f>IF($C23="","",Q23*VLOOKUP($C23,CHANTIER!$A$2:$D$83,4,0))</f>
        <v>0</v>
      </c>
      <c r="S23" s="364">
        <f>HLOOKUP(T$1,'Détail PS1'!$C$1:$W$13,11,1)</f>
        <v>0</v>
      </c>
      <c r="T23" s="372">
        <f>IF($C23="","",S23*VLOOKUP($C23,CHANTIER!$A$2:$D$83,4,0))</f>
        <v>0</v>
      </c>
      <c r="U23" s="364">
        <f>HLOOKUP(V$1,'Détail PS1'!$C$1:$W$13,11,1)</f>
        <v>0</v>
      </c>
      <c r="V23" s="372">
        <f>IF($C23="","",U23*VLOOKUP($C23,CHANTIER!$A$2:$D$83,4,0))</f>
        <v>0</v>
      </c>
      <c r="W23" s="364">
        <f>HLOOKUP(X$1,'Détail PS1'!$C$1:$W$13,11,1)</f>
        <v>0</v>
      </c>
      <c r="X23" s="372">
        <f>IF($C23="","",W23*VLOOKUP($C23,CHANTIER!$A$2:$D$83,4,0))</f>
        <v>0</v>
      </c>
      <c r="Y23" s="364">
        <f>HLOOKUP(Z$1,'Détail PS1'!$C$1:$W$13,11,1)</f>
        <v>0</v>
      </c>
      <c r="Z23" s="372">
        <f>IF($C23="","",Y23*VLOOKUP($C23,CHANTIER!$A$2:$D$83,4,0))</f>
        <v>0</v>
      </c>
      <c r="AA23" s="364">
        <f>HLOOKUP(AB$1,'Détail PS1'!$C$1:$W$13,11,1)</f>
        <v>0</v>
      </c>
      <c r="AB23" s="372">
        <f>IF($C23="","",AA23*VLOOKUP($C23,CHANTIER!$A$2:$D$83,4,0))</f>
        <v>0</v>
      </c>
      <c r="AC23" s="364">
        <f>HLOOKUP(AD$1,'Détail PS1'!$C$1:$W$13,11,1)</f>
        <v>0</v>
      </c>
      <c r="AD23" s="372">
        <f>IF($C23="","",AC23*VLOOKUP($C23,CHANTIER!$A$2:$D$83,4,0))</f>
        <v>0</v>
      </c>
      <c r="AE23" s="364">
        <f>HLOOKUP(AF$1,'Détail PS1'!$C$1:$W$13,11,1)</f>
        <v>0</v>
      </c>
      <c r="AF23" s="372">
        <f>IF($C23="","",AE23*VLOOKUP($C23,CHANTIER!$A$2:$D$83,4,0))</f>
        <v>0</v>
      </c>
      <c r="AG23" s="364">
        <f>HLOOKUP(AH$1,'Détail PS1'!$C$1:$W$13,11,1)</f>
        <v>0</v>
      </c>
      <c r="AH23" s="372">
        <f>IF($C23="","",AG23*VLOOKUP($C23,CHANTIER!$A$2:$D$83,4,0))</f>
        <v>0</v>
      </c>
      <c r="AI23" s="364">
        <f>HLOOKUP(AJ$1,'Détail PS1'!$C$1:$W$13,11,1)</f>
        <v>0</v>
      </c>
      <c r="AJ23" s="372">
        <f>IF($C23="","",AI23*VLOOKUP($C23,CHANTIER!$A$2:$D$83,4,0))</f>
        <v>0</v>
      </c>
      <c r="AK23" s="364">
        <f>HLOOKUP(AL$1,'Détail PS1'!$C$1:$W$13,11,1)</f>
        <v>0</v>
      </c>
      <c r="AL23" s="372">
        <f>IF($C23="","",AK23*VLOOKUP($C23,CHANTIER!$A$2:$D$83,4,0))</f>
        <v>0</v>
      </c>
      <c r="AM23" s="364" t="e">
        <f>HLOOKUP(#REF!,'Détail PS1'!$C$1:$W$13,11,1)</f>
        <v>#REF!</v>
      </c>
    </row>
    <row r="24" spans="1:39" ht="15" customHeight="1" x14ac:dyDescent="0.2">
      <c r="A24" s="1554"/>
      <c r="B24" s="361" t="s">
        <v>1161</v>
      </c>
      <c r="C24" s="378" t="s">
        <v>136</v>
      </c>
      <c r="D24" s="363" t="str">
        <f>IF(C24="","",VLOOKUP($C24,CHANTIER!$A$2:$C$83,3,0))</f>
        <v>pc</v>
      </c>
      <c r="E24" s="364" t="e">
        <f>HLOOKUP(F$1,'Détail PS1'!$C$1:$W$13,VLOOKUP($C24,'Détail PS1'!$C$1:$W$13,1,0),0)</f>
        <v>#N/A</v>
      </c>
      <c r="F24" s="372" t="e">
        <f>IF($C24="","",E24*VLOOKUP($C24,CHANTIER!$A$2:$D$83,4,0))</f>
        <v>#N/A</v>
      </c>
      <c r="G24" s="364">
        <f>HLOOKUP(H$1,'Détail PS1'!$C$1:$W$13,12,1)</f>
        <v>6</v>
      </c>
      <c r="H24" s="372">
        <f>IF($C24="","",G24*VLOOKUP($C24,CHANTIER!$A$2:$D$83,4,0))</f>
        <v>0.30000000000000004</v>
      </c>
      <c r="I24" s="364">
        <f>HLOOKUP(J$1,'Détail PS1'!$C$1:$W$13,12,1)</f>
        <v>8</v>
      </c>
      <c r="J24" s="372">
        <f>IF($C24="","",I24*VLOOKUP($C24,CHANTIER!$A$2:$D$83,4,0))</f>
        <v>0.4</v>
      </c>
      <c r="K24" s="364">
        <f>HLOOKUP(L$1,'Détail PS1'!$C$1:$W$13,12,1)</f>
        <v>0</v>
      </c>
      <c r="L24" s="372">
        <f>IF($C24="","",K24*VLOOKUP($C24,CHANTIER!$A$2:$D$83,4,0))</f>
        <v>0</v>
      </c>
      <c r="M24" s="364">
        <f>HLOOKUP(N$1,'Détail PS1'!$C$1:$W$13,12,1)</f>
        <v>0</v>
      </c>
      <c r="N24" s="372">
        <f>IF($C24="","",M24*VLOOKUP($C24,CHANTIER!$A$2:$D$83,4,0))</f>
        <v>0</v>
      </c>
      <c r="O24" s="364">
        <f>HLOOKUP(P$1,'Détail PS1'!$C$1:$W$13,12,1)</f>
        <v>4</v>
      </c>
      <c r="P24" s="372">
        <f>IF($C24="","",O24*VLOOKUP($C24,CHANTIER!$A$2:$D$83,4,0))</f>
        <v>0.2</v>
      </c>
      <c r="Q24" s="364">
        <f>HLOOKUP(R$1,'Détail PS1'!$C$1:$W$13,12,1)</f>
        <v>16</v>
      </c>
      <c r="R24" s="372">
        <f>IF($C24="","",Q24*VLOOKUP($C24,CHANTIER!$A$2:$D$83,4,0))</f>
        <v>0.8</v>
      </c>
      <c r="S24" s="364">
        <f>HLOOKUP(T$1,'Détail PS1'!$C$1:$W$13,12,1)</f>
        <v>8</v>
      </c>
      <c r="T24" s="372">
        <f>IF($C24="","",S24*VLOOKUP($C24,CHANTIER!$A$2:$D$83,4,0))</f>
        <v>0.4</v>
      </c>
      <c r="U24" s="364">
        <f>HLOOKUP(V$1,'Détail PS1'!$C$1:$W$13,12,1)</f>
        <v>20</v>
      </c>
      <c r="V24" s="372">
        <f>IF($C24="","",U24*VLOOKUP($C24,CHANTIER!$A$2:$D$83,4,0))</f>
        <v>1</v>
      </c>
      <c r="W24" s="364">
        <f>HLOOKUP(X$1,'Détail PS1'!$C$1:$W$13,12,1)</f>
        <v>24</v>
      </c>
      <c r="X24" s="372">
        <f>IF($C24="","",W24*VLOOKUP($C24,CHANTIER!$A$2:$D$83,4,0))</f>
        <v>1.2000000000000002</v>
      </c>
      <c r="Y24" s="364">
        <f>HLOOKUP(Z$1,'Détail PS1'!$C$1:$W$13,12,1)</f>
        <v>0</v>
      </c>
      <c r="Z24" s="372">
        <f>IF($C24="","",Y24*VLOOKUP($C24,CHANTIER!$A$2:$D$83,4,0))</f>
        <v>0</v>
      </c>
      <c r="AA24" s="364">
        <f>HLOOKUP(AB$1,'Détail PS1'!$C$1:$W$13,12,1)</f>
        <v>8</v>
      </c>
      <c r="AB24" s="372">
        <f>IF($C24="","",AA24*VLOOKUP($C24,CHANTIER!$A$2:$D$83,4,0))</f>
        <v>0.4</v>
      </c>
      <c r="AC24" s="364">
        <f>HLOOKUP(AD$1,'Détail PS1'!$C$1:$W$13,12,1)</f>
        <v>28</v>
      </c>
      <c r="AD24" s="372">
        <f>IF($C24="","",AC24*VLOOKUP($C24,CHANTIER!$A$2:$D$83,4,0))</f>
        <v>1.4000000000000001</v>
      </c>
      <c r="AE24" s="364">
        <f>HLOOKUP(AF$1,'Détail PS1'!$C$1:$W$13,12,1)</f>
        <v>32</v>
      </c>
      <c r="AF24" s="372">
        <f>IF($C24="","",AE24*VLOOKUP($C24,CHANTIER!$A$2:$D$83,4,0))</f>
        <v>1.6</v>
      </c>
      <c r="AG24" s="364">
        <f>HLOOKUP(AH$1,'Détail PS1'!$C$1:$W$13,12,1)</f>
        <v>16</v>
      </c>
      <c r="AH24" s="372">
        <f>IF($C24="","",AG24*VLOOKUP($C24,CHANTIER!$A$2:$D$83,4,0))</f>
        <v>0.8</v>
      </c>
      <c r="AI24" s="364">
        <f>HLOOKUP(AJ$1,'Détail PS1'!$C$1:$W$13,12,1)</f>
        <v>0</v>
      </c>
      <c r="AJ24" s="372">
        <f>IF($C24="","",AI24*VLOOKUP($C24,CHANTIER!$A$2:$D$83,4,0))</f>
        <v>0</v>
      </c>
      <c r="AK24" s="364">
        <f>HLOOKUP(AL$1,'Détail PS1'!$C$1:$W$13,12,1)</f>
        <v>0</v>
      </c>
      <c r="AL24" s="372">
        <f>IF($C24="","",AK24*VLOOKUP($C24,CHANTIER!$A$2:$D$83,4,0))</f>
        <v>0</v>
      </c>
      <c r="AM24" s="364" t="e">
        <f>HLOOKUP(#REF!,'Détail PS1'!$C$1:$W$13,12,1)</f>
        <v>#REF!</v>
      </c>
    </row>
    <row r="25" spans="1:39" ht="30.75" customHeight="1" x14ac:dyDescent="0.2">
      <c r="A25" s="1554"/>
      <c r="B25" s="379" t="s">
        <v>453</v>
      </c>
      <c r="C25" s="380" t="s">
        <v>450</v>
      </c>
      <c r="D25" s="381" t="s">
        <v>451</v>
      </c>
      <c r="E25" s="382" t="e">
        <f>F25*Simulation!$P$9</f>
        <v>#N/A</v>
      </c>
      <c r="F25" s="383" t="e">
        <f>SUM(F22:F24)</f>
        <v>#N/A</v>
      </c>
      <c r="G25" s="382">
        <f>H25*Simulation!$P$9</f>
        <v>27.270000000000003</v>
      </c>
      <c r="H25" s="383">
        <f>SUM(H22:H24)</f>
        <v>0.60600000000000009</v>
      </c>
      <c r="I25" s="382">
        <f>J25*Simulation!$P$9</f>
        <v>36.270000000000003</v>
      </c>
      <c r="J25" s="383">
        <f>SUM(J22:J24)</f>
        <v>0.80600000000000005</v>
      </c>
      <c r="K25" s="382">
        <f>L25*Simulation!$P$9</f>
        <v>18.27</v>
      </c>
      <c r="L25" s="383">
        <f>SUM(L22:L24)</f>
        <v>0.40599999999999997</v>
      </c>
      <c r="M25" s="382">
        <f>N25*Simulation!$P$9</f>
        <v>41.31</v>
      </c>
      <c r="N25" s="383">
        <f>SUM(N22:N24)</f>
        <v>0.91800000000000004</v>
      </c>
      <c r="O25" s="382">
        <f>P25*Simulation!$P$9</f>
        <v>45.54</v>
      </c>
      <c r="P25" s="383">
        <f>SUM(P22:P24)</f>
        <v>1.012</v>
      </c>
      <c r="Q25" s="382">
        <f>R25*Simulation!$P$9</f>
        <v>90.809999999999988</v>
      </c>
      <c r="R25" s="383">
        <f>SUM(R22:R24)</f>
        <v>2.0179999999999998</v>
      </c>
      <c r="S25" s="382">
        <f>T25*Simulation!$P$9</f>
        <v>72.809999999999988</v>
      </c>
      <c r="T25" s="383">
        <f>SUM(T22:T24)</f>
        <v>1.6179999999999999</v>
      </c>
      <c r="U25" s="382">
        <f>V25*Simulation!$P$9</f>
        <v>118.07999999999998</v>
      </c>
      <c r="V25" s="383">
        <f>SUM(V22:V24)</f>
        <v>2.6239999999999997</v>
      </c>
      <c r="W25" s="382">
        <f>X25*Simulation!$P$9</f>
        <v>135.81</v>
      </c>
      <c r="X25" s="383">
        <f>SUM(X22:X24)</f>
        <v>3.0180000000000002</v>
      </c>
      <c r="Y25" s="382">
        <f>Z25*Simulation!$P$9</f>
        <v>0</v>
      </c>
      <c r="Z25" s="383">
        <f>SUM(Z22:Z24)</f>
        <v>0</v>
      </c>
      <c r="AA25" s="382">
        <f>AB25*Simulation!$P$9</f>
        <v>90.54</v>
      </c>
      <c r="AB25" s="383">
        <f>SUM(AB22:AB24)</f>
        <v>2.012</v>
      </c>
      <c r="AC25" s="382">
        <f>AD25*Simulation!$P$9</f>
        <v>158.31</v>
      </c>
      <c r="AD25" s="383">
        <f>SUM(AD22:AD24)</f>
        <v>3.5179999999999998</v>
      </c>
      <c r="AE25" s="382">
        <f>AF25*Simulation!$P$9</f>
        <v>180.81000000000003</v>
      </c>
      <c r="AF25" s="383">
        <f>SUM(AF22:AF24)</f>
        <v>4.0180000000000007</v>
      </c>
      <c r="AG25" s="382">
        <f>AH25*Simulation!$P$9</f>
        <v>144.81</v>
      </c>
      <c r="AH25" s="383">
        <f>SUM(AH22:AH24)</f>
        <v>3.218</v>
      </c>
      <c r="AI25" s="382">
        <f>AJ25*Simulation!$P$9</f>
        <v>145.08000000000001</v>
      </c>
      <c r="AJ25" s="383">
        <f>SUM(AJ22:AJ24)</f>
        <v>3.2240000000000002</v>
      </c>
      <c r="AK25" s="382">
        <f>AL25*Simulation!$P$9</f>
        <v>163.21500000000003</v>
      </c>
      <c r="AL25" s="383">
        <f>SUM(AL22:AL24)</f>
        <v>3.6270000000000007</v>
      </c>
      <c r="AM25" s="382" t="e">
        <f>#REF!*Simulation!$P$9</f>
        <v>#REF!</v>
      </c>
    </row>
    <row r="26" spans="1:39" ht="15" customHeight="1" x14ac:dyDescent="0.2">
      <c r="A26" s="1559" t="s">
        <v>4</v>
      </c>
      <c r="B26" s="361" t="s">
        <v>371</v>
      </c>
      <c r="C26" s="378"/>
      <c r="D26" s="363" t="str">
        <f>IF(C26="","",VLOOKUP($C26,MINIPELLE!$A$2:$C$28,3,0))</f>
        <v/>
      </c>
      <c r="E26" s="364"/>
      <c r="F26" s="372" t="str">
        <f>IF($C26="","",E26*VLOOKUP($C26,MINIPELLE!$A$2:$D$28,4,0))</f>
        <v/>
      </c>
      <c r="G26" s="364"/>
      <c r="H26" s="372" t="str">
        <f>IF($C26="","",G26*VLOOKUP($C26,MINIPELLE!$A$2:$D$28,4,0))</f>
        <v/>
      </c>
      <c r="I26" s="364"/>
      <c r="J26" s="372" t="str">
        <f>IF($C26="","",I26*VLOOKUP($C26,MINIPELLE!$A$2:$D$28,4,0))</f>
        <v/>
      </c>
      <c r="K26" s="364"/>
      <c r="L26" s="372" t="str">
        <f>IF($C26="","",K26*VLOOKUP($C26,MINIPELLE!$A$2:$D$28,4,0))</f>
        <v/>
      </c>
      <c r="M26" s="364"/>
      <c r="N26" s="372" t="str">
        <f>IF($C26="","",M26*VLOOKUP($C26,MINIPELLE!$A$2:$D$28,4,0))</f>
        <v/>
      </c>
      <c r="O26" s="364"/>
      <c r="P26" s="372" t="str">
        <f>IF($C26="","",O26*VLOOKUP($C26,MINIPELLE!$A$2:$D$28,4,0))</f>
        <v/>
      </c>
      <c r="Q26" s="364"/>
      <c r="R26" s="372" t="str">
        <f>IF($C26="","",Q26*VLOOKUP($C26,MINIPELLE!$A$2:$D$28,4,0))</f>
        <v/>
      </c>
      <c r="S26" s="364"/>
      <c r="T26" s="372" t="str">
        <f>IF($C26="","",S26*VLOOKUP($C26,MINIPELLE!$A$2:$D$28,4,0))</f>
        <v/>
      </c>
      <c r="U26" s="364"/>
      <c r="V26" s="372" t="str">
        <f>IF($C26="","",U26*VLOOKUP($C26,MINIPELLE!$A$2:$D$28,4,0))</f>
        <v/>
      </c>
      <c r="W26" s="364"/>
      <c r="X26" s="372" t="str">
        <f>IF($C26="","",W26*VLOOKUP($C26,MINIPELLE!$A$2:$D$28,4,0))</f>
        <v/>
      </c>
      <c r="Y26" s="364"/>
      <c r="Z26" s="372" t="str">
        <f>IF($C26="","",Y26*VLOOKUP($C26,MINIPELLE!$A$2:$D$28,4,0))</f>
        <v/>
      </c>
      <c r="AA26" s="364"/>
      <c r="AB26" s="372" t="str">
        <f>IF($C26="","",AA26*VLOOKUP($C26,MINIPELLE!$A$2:$D$28,4,0))</f>
        <v/>
      </c>
      <c r="AC26" s="364"/>
      <c r="AD26" s="372" t="str">
        <f>IF($C26="","",AC26*VLOOKUP($C26,MINIPELLE!$A$2:$D$28,4,0))</f>
        <v/>
      </c>
      <c r="AE26" s="364"/>
      <c r="AF26" s="372" t="str">
        <f>IF($C26="","",AE26*VLOOKUP($C26,MINIPELLE!$A$2:$D$28,4,0))</f>
        <v/>
      </c>
      <c r="AG26" s="364"/>
      <c r="AH26" s="372" t="str">
        <f>IF($C26="","",AG26*VLOOKUP($C26,MINIPELLE!$A$2:$D$28,4,0))</f>
        <v/>
      </c>
      <c r="AI26" s="364"/>
      <c r="AJ26" s="372" t="str">
        <f>IF($C26="","",AI26*VLOOKUP($C26,MINIPELLE!$A$2:$D$28,4,0))</f>
        <v/>
      </c>
      <c r="AK26" s="364"/>
      <c r="AL26" s="372" t="str">
        <f>IF($C26="","",AK26*VLOOKUP($C26,MINIPELLE!$A$2:$D$28,4,0))</f>
        <v/>
      </c>
      <c r="AM26" s="364"/>
    </row>
    <row r="27" spans="1:39" ht="29.25" customHeight="1" x14ac:dyDescent="0.2">
      <c r="A27" s="1560"/>
      <c r="B27" s="384" t="s">
        <v>454</v>
      </c>
      <c r="C27" s="385" t="s">
        <v>455</v>
      </c>
      <c r="D27" s="386" t="s">
        <v>451</v>
      </c>
      <c r="E27" s="387">
        <f>F27*Simulation!$P$10</f>
        <v>0</v>
      </c>
      <c r="F27" s="388">
        <f>SUM(F26:F26)</f>
        <v>0</v>
      </c>
      <c r="G27" s="387">
        <f>H27*Simulation!$P$10</f>
        <v>0</v>
      </c>
      <c r="H27" s="388">
        <f>SUM(H26:H26)</f>
        <v>0</v>
      </c>
      <c r="I27" s="387">
        <f>J27*Simulation!$P$10</f>
        <v>0</v>
      </c>
      <c r="J27" s="388">
        <f>SUM(J26:J26)</f>
        <v>0</v>
      </c>
      <c r="K27" s="387">
        <f>L27*Simulation!$P$10</f>
        <v>0</v>
      </c>
      <c r="L27" s="388">
        <f>SUM(L26:L26)</f>
        <v>0</v>
      </c>
      <c r="M27" s="387">
        <f>N27*Simulation!$P$10</f>
        <v>0</v>
      </c>
      <c r="N27" s="388">
        <f>SUM(N26:N26)</f>
        <v>0</v>
      </c>
      <c r="O27" s="387">
        <f>P27*Simulation!$P$10</f>
        <v>0</v>
      </c>
      <c r="P27" s="388">
        <f>SUM(P26:P26)</f>
        <v>0</v>
      </c>
      <c r="Q27" s="387">
        <f>R27*Simulation!$P$10</f>
        <v>0</v>
      </c>
      <c r="R27" s="388">
        <f>SUM(R26:R26)</f>
        <v>0</v>
      </c>
      <c r="S27" s="387">
        <f>T27*Simulation!$P$10</f>
        <v>0</v>
      </c>
      <c r="T27" s="388">
        <f>SUM(T26:T26)</f>
        <v>0</v>
      </c>
      <c r="U27" s="387">
        <f>V27*Simulation!$P$10</f>
        <v>0</v>
      </c>
      <c r="V27" s="388">
        <f>SUM(V26:V26)</f>
        <v>0</v>
      </c>
      <c r="W27" s="387">
        <f>X27*Simulation!$P$10</f>
        <v>0</v>
      </c>
      <c r="X27" s="388">
        <f>SUM(X26:X26)</f>
        <v>0</v>
      </c>
      <c r="Y27" s="387">
        <f>Z27*Simulation!$P$10</f>
        <v>0</v>
      </c>
      <c r="Z27" s="388">
        <f>SUM(Z26:Z26)</f>
        <v>0</v>
      </c>
      <c r="AA27" s="387">
        <f>AB27*Simulation!$P$10</f>
        <v>0</v>
      </c>
      <c r="AB27" s="388">
        <f>SUM(AB26:AB26)</f>
        <v>0</v>
      </c>
      <c r="AC27" s="387">
        <f>AD27*Simulation!$P$10</f>
        <v>0</v>
      </c>
      <c r="AD27" s="388">
        <f>SUM(AD26:AD26)</f>
        <v>0</v>
      </c>
      <c r="AE27" s="387">
        <f>AF27*Simulation!$P$10</f>
        <v>0</v>
      </c>
      <c r="AF27" s="388">
        <f>SUM(AF26:AF26)</f>
        <v>0</v>
      </c>
      <c r="AG27" s="387">
        <f>AH27*Simulation!$P$10</f>
        <v>0</v>
      </c>
      <c r="AH27" s="388">
        <f>SUM(AH26:AH26)</f>
        <v>0</v>
      </c>
      <c r="AI27" s="387">
        <f>AJ27*Simulation!$P$10</f>
        <v>0</v>
      </c>
      <c r="AJ27" s="388">
        <f>SUM(AJ26:AJ26)</f>
        <v>0</v>
      </c>
      <c r="AK27" s="387">
        <f>AL27*Simulation!$P$10</f>
        <v>0</v>
      </c>
      <c r="AL27" s="388">
        <f>SUM(AL26:AL26)</f>
        <v>0</v>
      </c>
      <c r="AM27" s="387" t="e">
        <f>#REF!*Simulation!$P$10</f>
        <v>#REF!</v>
      </c>
    </row>
    <row r="28" spans="1:39" x14ac:dyDescent="0.2">
      <c r="A28" s="199"/>
      <c r="B28" s="172"/>
      <c r="C28" s="200"/>
      <c r="D28" s="201"/>
      <c r="E28" s="202"/>
      <c r="F28" s="203"/>
      <c r="G28" s="202"/>
      <c r="H28" s="203"/>
      <c r="I28" s="202"/>
      <c r="J28" s="203"/>
      <c r="K28" s="202"/>
      <c r="L28" s="203"/>
      <c r="M28" s="202"/>
      <c r="N28" s="203"/>
      <c r="O28" s="202"/>
      <c r="P28" s="203"/>
      <c r="Q28" s="202"/>
      <c r="R28" s="203"/>
      <c r="S28" s="202"/>
      <c r="T28" s="203"/>
      <c r="U28" s="202"/>
      <c r="V28" s="203"/>
      <c r="W28" s="202"/>
      <c r="X28" s="203"/>
      <c r="Y28" s="202"/>
      <c r="Z28" s="203"/>
      <c r="AA28" s="202"/>
      <c r="AB28" s="203"/>
      <c r="AC28" s="202"/>
      <c r="AD28" s="203"/>
      <c r="AE28" s="202"/>
      <c r="AF28" s="203"/>
      <c r="AG28" s="202"/>
      <c r="AH28" s="203"/>
      <c r="AI28" s="202"/>
      <c r="AJ28" s="203"/>
      <c r="AK28" s="202"/>
      <c r="AL28" s="203"/>
      <c r="AM28" s="202"/>
    </row>
    <row r="29" spans="1:39" ht="36" customHeight="1" x14ac:dyDescent="0.2">
      <c r="A29" s="204"/>
      <c r="B29" s="1561" t="s">
        <v>456</v>
      </c>
      <c r="C29" s="1564" t="s">
        <v>445</v>
      </c>
      <c r="D29" s="1564"/>
      <c r="E29" s="1547" t="e">
        <f>E27+E25+E21+E18</f>
        <v>#N/A</v>
      </c>
      <c r="F29" s="1547"/>
      <c r="G29" s="1547">
        <f>G27+G25+G21+G18</f>
        <v>315.46699999999998</v>
      </c>
      <c r="H29" s="1547"/>
      <c r="I29" s="1547">
        <f>I27+I25+I21+I18</f>
        <v>400.166</v>
      </c>
      <c r="J29" s="1547"/>
      <c r="K29" s="1547">
        <f>K27+K25+K21+K18</f>
        <v>458.31799999999998</v>
      </c>
      <c r="L29" s="1547"/>
      <c r="M29" s="1547">
        <f>M27+M25+M21+M18</f>
        <v>620.27800000000002</v>
      </c>
      <c r="N29" s="1547"/>
      <c r="O29" s="1547">
        <f>O27+O25+O21+O18</f>
        <v>692.16</v>
      </c>
      <c r="P29" s="1547"/>
      <c r="Q29" s="1547">
        <f>Q27+Q25+Q21+Q18</f>
        <v>884.84999999999991</v>
      </c>
      <c r="R29" s="1547"/>
      <c r="S29" s="1547">
        <f>S27+S25+S21+S18</f>
        <v>934.50200000000007</v>
      </c>
      <c r="T29" s="1547"/>
      <c r="U29" s="1547">
        <f>U27+U25+U21+U18</f>
        <v>1127.192</v>
      </c>
      <c r="V29" s="1547"/>
      <c r="W29" s="1547">
        <f>W27+W25+W21+W18</f>
        <v>1438.4879999999998</v>
      </c>
      <c r="X29" s="1547"/>
      <c r="Y29" s="1547" t="s">
        <v>223</v>
      </c>
      <c r="Z29" s="1547"/>
      <c r="AA29" s="1547">
        <f>AA27+AA25+AA21+AA18</f>
        <v>1598.9820000000002</v>
      </c>
      <c r="AB29" s="1547"/>
      <c r="AC29" s="1547">
        <f>AC27+AC25+AC21+AC18</f>
        <v>1666.7520000000002</v>
      </c>
      <c r="AD29" s="1547"/>
      <c r="AE29" s="1547">
        <f>AE27+AE25+AE21+AE18</f>
        <v>1883.7060000000001</v>
      </c>
      <c r="AF29" s="1547"/>
      <c r="AG29" s="1547">
        <f>AG27+AG25+AG21+AG18</f>
        <v>1985.61</v>
      </c>
      <c r="AH29" s="1547"/>
      <c r="AI29" s="1547">
        <f>AI27+AI25+AI21+AI18</f>
        <v>1985.8799999999999</v>
      </c>
      <c r="AJ29" s="1547"/>
      <c r="AK29" s="1547">
        <f>AK27+AK25+AK21+AK18</f>
        <v>2334.527</v>
      </c>
      <c r="AL29" s="1547"/>
      <c r="AM29" s="1374" t="e">
        <f>AM27+AM25+AM21+AM18</f>
        <v>#REF!</v>
      </c>
    </row>
    <row r="30" spans="1:39" ht="18" customHeight="1" x14ac:dyDescent="0.2">
      <c r="A30" s="154"/>
      <c r="B30" s="1562"/>
      <c r="C30" s="1565" t="s">
        <v>457</v>
      </c>
      <c r="D30" s="1565"/>
      <c r="E30" s="149">
        <f>E18-F18</f>
        <v>0</v>
      </c>
      <c r="F30" s="207" t="e">
        <f>E30/E$29</f>
        <v>#N/A</v>
      </c>
      <c r="G30" s="149">
        <f>G18-H18</f>
        <v>66.507000000000005</v>
      </c>
      <c r="H30" s="207">
        <f>G30/G$29</f>
        <v>0.2108207831563999</v>
      </c>
      <c r="I30" s="149">
        <f>I18-J18</f>
        <v>83.975999999999999</v>
      </c>
      <c r="J30" s="207">
        <f>I30/I$29</f>
        <v>0.20985291104191761</v>
      </c>
      <c r="K30" s="149">
        <f>K18-L18</f>
        <v>99.888000000000034</v>
      </c>
      <c r="L30" s="207">
        <f>K30/K$29</f>
        <v>0.21794474578785916</v>
      </c>
      <c r="M30" s="149">
        <f>M18-N18</f>
        <v>133.60800000000006</v>
      </c>
      <c r="N30" s="207">
        <f>M30/M$29</f>
        <v>0.21540019152702508</v>
      </c>
      <c r="O30" s="149">
        <f>O18-P18</f>
        <v>149.22000000000003</v>
      </c>
      <c r="P30" s="207">
        <f>O30/O$29</f>
        <v>0.21558599167822473</v>
      </c>
      <c r="Q30" s="149">
        <f>Q18-R18</f>
        <v>183.24</v>
      </c>
      <c r="R30" s="207">
        <f>Q30/Q$29</f>
        <v>0.20708594677063913</v>
      </c>
      <c r="S30" s="149">
        <f>S18-T18</f>
        <v>198.85200000000009</v>
      </c>
      <c r="T30" s="207">
        <f>S30/S$29</f>
        <v>0.21278927171905473</v>
      </c>
      <c r="U30" s="149">
        <f>U18-V18</f>
        <v>232.87200000000007</v>
      </c>
      <c r="V30" s="207">
        <f>U30/U$29</f>
        <v>0.20659479485305082</v>
      </c>
      <c r="W30" s="149">
        <f>W18-X18</f>
        <v>300.61799999999994</v>
      </c>
      <c r="X30" s="207">
        <f>W30/W$29</f>
        <v>0.20898193102757895</v>
      </c>
      <c r="Y30" s="149">
        <f>Y18-Z18</f>
        <v>300.61799999999994</v>
      </c>
      <c r="Z30" s="207" t="e">
        <f>Y30/Y$29</f>
        <v>#VALUE!</v>
      </c>
      <c r="AA30" s="149">
        <f>AA18-AB18</f>
        <v>348.10200000000009</v>
      </c>
      <c r="AB30" s="207">
        <f>AA30/AA$29</f>
        <v>0.21770226306487506</v>
      </c>
      <c r="AC30" s="149">
        <f>AC18-AD18</f>
        <v>348.10200000000009</v>
      </c>
      <c r="AD30" s="207">
        <f>AC30/AC$29</f>
        <v>0.2088505068540491</v>
      </c>
      <c r="AE30" s="149">
        <f>AE18-AF18</f>
        <v>392.97600000000011</v>
      </c>
      <c r="AF30" s="207">
        <f>AE30/AE$29</f>
        <v>0.20861854238400265</v>
      </c>
      <c r="AG30" s="149">
        <f>AG18-AH18</f>
        <v>424.79999999999995</v>
      </c>
      <c r="AH30" s="207">
        <f>AG30/AG$29</f>
        <v>0.21393929321467961</v>
      </c>
      <c r="AI30" s="149">
        <f>AI18-AJ18</f>
        <v>424.79999999999995</v>
      </c>
      <c r="AJ30" s="207">
        <f>AI30/AI$29</f>
        <v>0.2139102060547465</v>
      </c>
      <c r="AK30" s="149">
        <f>AK18-AL18</f>
        <v>501.07199999999989</v>
      </c>
      <c r="AL30" s="207">
        <f>AK30/AK$29</f>
        <v>0.21463534154884475</v>
      </c>
      <c r="AM30" s="149" t="e">
        <f>AM18-#REF!</f>
        <v>#REF!</v>
      </c>
    </row>
    <row r="31" spans="1:39" ht="18" customHeight="1" x14ac:dyDescent="0.2">
      <c r="A31" s="154"/>
      <c r="B31" s="1562"/>
      <c r="C31" s="1565" t="s">
        <v>9</v>
      </c>
      <c r="D31" s="1565"/>
      <c r="E31" s="149">
        <f>E18</f>
        <v>0</v>
      </c>
      <c r="F31" s="207" t="e">
        <f>E31/E$29</f>
        <v>#N/A</v>
      </c>
      <c r="G31" s="149">
        <f>G18</f>
        <v>288.197</v>
      </c>
      <c r="H31" s="207">
        <f>G31/G$29</f>
        <v>0.91355672701106616</v>
      </c>
      <c r="I31" s="149">
        <f>I18</f>
        <v>363.89600000000002</v>
      </c>
      <c r="J31" s="207">
        <f>I31/I$29</f>
        <v>0.90936261451497635</v>
      </c>
      <c r="K31" s="149">
        <f>K18</f>
        <v>432.84800000000001</v>
      </c>
      <c r="L31" s="207">
        <f>K31/K$29</f>
        <v>0.94442723174738941</v>
      </c>
      <c r="M31" s="149">
        <f>M18</f>
        <v>578.96800000000007</v>
      </c>
      <c r="N31" s="207">
        <f>M31/M$29</f>
        <v>0.93340082995044171</v>
      </c>
      <c r="O31" s="149">
        <f>O18</f>
        <v>646.62</v>
      </c>
      <c r="P31" s="207">
        <f>O31/O$29</f>
        <v>0.9342059639389737</v>
      </c>
      <c r="Q31" s="149">
        <f>Q18</f>
        <v>794.04</v>
      </c>
      <c r="R31" s="207">
        <f>Q31/Q$29</f>
        <v>0.89737243600610272</v>
      </c>
      <c r="S31" s="149">
        <f>S18</f>
        <v>861.69200000000012</v>
      </c>
      <c r="T31" s="207">
        <f>S31/S$29</f>
        <v>0.92208684411590347</v>
      </c>
      <c r="U31" s="149">
        <f>U18</f>
        <v>1009.1120000000001</v>
      </c>
      <c r="V31" s="207">
        <f>U31/U$29</f>
        <v>0.89524411102988677</v>
      </c>
      <c r="W31" s="149">
        <f>W18</f>
        <v>1302.6779999999999</v>
      </c>
      <c r="X31" s="207">
        <f>W31/W$29</f>
        <v>0.90558836778617546</v>
      </c>
      <c r="Y31" s="149">
        <f>Y18</f>
        <v>1302.6779999999999</v>
      </c>
      <c r="Z31" s="207" t="e">
        <f>Y31/Y$29</f>
        <v>#VALUE!</v>
      </c>
      <c r="AA31" s="149">
        <f>AA18</f>
        <v>1508.4420000000002</v>
      </c>
      <c r="AB31" s="207">
        <f>AA31/AA$29</f>
        <v>0.94337647328112517</v>
      </c>
      <c r="AC31" s="149">
        <f>AC18</f>
        <v>1508.4420000000002</v>
      </c>
      <c r="AD31" s="207">
        <f>AC31/AC$29</f>
        <v>0.90501886303421264</v>
      </c>
      <c r="AE31" s="149">
        <f>AE18</f>
        <v>1702.8960000000002</v>
      </c>
      <c r="AF31" s="207">
        <f>AE31/AE$29</f>
        <v>0.90401368366401125</v>
      </c>
      <c r="AG31" s="149">
        <f>AG18</f>
        <v>1840.8</v>
      </c>
      <c r="AH31" s="207">
        <f>AG31/AG$29</f>
        <v>0.92707027059694502</v>
      </c>
      <c r="AI31" s="149">
        <f>AI18</f>
        <v>1840.8</v>
      </c>
      <c r="AJ31" s="207">
        <f>AI31/AI$29</f>
        <v>0.92694422623723494</v>
      </c>
      <c r="AK31" s="149">
        <f>AK18</f>
        <v>2171.3119999999999</v>
      </c>
      <c r="AL31" s="207">
        <f>AK31/AK$29</f>
        <v>0.93008648004499406</v>
      </c>
      <c r="AM31" s="149" t="e">
        <f>AM18</f>
        <v>#REF!</v>
      </c>
    </row>
    <row r="32" spans="1:39" ht="18" customHeight="1" x14ac:dyDescent="0.2">
      <c r="A32" s="154"/>
      <c r="B32" s="1562"/>
      <c r="C32" s="1565" t="s">
        <v>458</v>
      </c>
      <c r="D32" s="1565"/>
      <c r="E32" s="149">
        <f>E21</f>
        <v>0</v>
      </c>
      <c r="F32" s="207" t="e">
        <f>E32/E$29</f>
        <v>#N/A</v>
      </c>
      <c r="G32" s="149">
        <f>G21</f>
        <v>0</v>
      </c>
      <c r="H32" s="207">
        <f>G32/G$29</f>
        <v>0</v>
      </c>
      <c r="I32" s="149">
        <f>I21</f>
        <v>0</v>
      </c>
      <c r="J32" s="207">
        <f>I32/I$29</f>
        <v>0</v>
      </c>
      <c r="K32" s="149">
        <f>K21</f>
        <v>7.2</v>
      </c>
      <c r="L32" s="207">
        <f>K32/K$29</f>
        <v>1.5709616467169084E-2</v>
      </c>
      <c r="M32" s="149">
        <f>M21</f>
        <v>0</v>
      </c>
      <c r="N32" s="207">
        <f>M32/M$29</f>
        <v>0</v>
      </c>
      <c r="O32" s="149">
        <f>O21</f>
        <v>0</v>
      </c>
      <c r="P32" s="207">
        <f>O32/O$29</f>
        <v>0</v>
      </c>
      <c r="Q32" s="149">
        <f>Q21</f>
        <v>0</v>
      </c>
      <c r="R32" s="207">
        <f>Q32/Q$29</f>
        <v>0</v>
      </c>
      <c r="S32" s="149">
        <f>S21</f>
        <v>0</v>
      </c>
      <c r="T32" s="207">
        <f>S32/S$29</f>
        <v>0</v>
      </c>
      <c r="U32" s="149">
        <f>U21</f>
        <v>0</v>
      </c>
      <c r="V32" s="207">
        <f>U32/U$29</f>
        <v>0</v>
      </c>
      <c r="W32" s="149">
        <f>W21</f>
        <v>0</v>
      </c>
      <c r="X32" s="207">
        <f>W32/W$29</f>
        <v>0</v>
      </c>
      <c r="Y32" s="149">
        <f>Y21</f>
        <v>0</v>
      </c>
      <c r="Z32" s="207" t="e">
        <f>Y32/Y$29</f>
        <v>#VALUE!</v>
      </c>
      <c r="AA32" s="149">
        <f>AA21</f>
        <v>0</v>
      </c>
      <c r="AB32" s="207">
        <f>AA32/AA$29</f>
        <v>0</v>
      </c>
      <c r="AC32" s="149">
        <f>AC21</f>
        <v>0</v>
      </c>
      <c r="AD32" s="207">
        <f>AC32/AC$29</f>
        <v>0</v>
      </c>
      <c r="AE32" s="149">
        <f>AE21</f>
        <v>0</v>
      </c>
      <c r="AF32" s="207">
        <f>AE32/AE$29</f>
        <v>0</v>
      </c>
      <c r="AG32" s="149">
        <f>AG21</f>
        <v>0</v>
      </c>
      <c r="AH32" s="207">
        <f>AG32/AG$29</f>
        <v>0</v>
      </c>
      <c r="AI32" s="149">
        <f>AI21</f>
        <v>0</v>
      </c>
      <c r="AJ32" s="207">
        <f>AI32/AI$29</f>
        <v>0</v>
      </c>
      <c r="AK32" s="149">
        <f>AK21</f>
        <v>0</v>
      </c>
      <c r="AL32" s="207">
        <f>AK32/AK$29</f>
        <v>0</v>
      </c>
      <c r="AM32" s="149" t="e">
        <f>AM21</f>
        <v>#REF!</v>
      </c>
    </row>
    <row r="33" spans="1:39" ht="18" customHeight="1" x14ac:dyDescent="0.2">
      <c r="A33" s="154"/>
      <c r="B33" s="1562"/>
      <c r="C33" s="1565" t="s">
        <v>459</v>
      </c>
      <c r="D33" s="1565"/>
      <c r="E33" s="149" t="e">
        <f>E25</f>
        <v>#N/A</v>
      </c>
      <c r="F33" s="207" t="e">
        <f>E33/E$29</f>
        <v>#N/A</v>
      </c>
      <c r="G33" s="149">
        <f>G25</f>
        <v>27.270000000000003</v>
      </c>
      <c r="H33" s="207">
        <f>G33/G$29</f>
        <v>8.6443272988933881E-2</v>
      </c>
      <c r="I33" s="149">
        <f>I25</f>
        <v>36.270000000000003</v>
      </c>
      <c r="J33" s="207">
        <f>I33/I$29</f>
        <v>9.063738548502373E-2</v>
      </c>
      <c r="K33" s="149">
        <f>K25</f>
        <v>18.27</v>
      </c>
      <c r="L33" s="207">
        <f>K33/K$29</f>
        <v>3.9863151785441552E-2</v>
      </c>
      <c r="M33" s="149">
        <f>M25</f>
        <v>41.31</v>
      </c>
      <c r="N33" s="207">
        <f>M33/M$29</f>
        <v>6.6599170049558426E-2</v>
      </c>
      <c r="O33" s="149">
        <f>O25</f>
        <v>45.54</v>
      </c>
      <c r="P33" s="207">
        <f>O33/O$29</f>
        <v>6.5794036061026351E-2</v>
      </c>
      <c r="Q33" s="149">
        <f>Q25</f>
        <v>90.809999999999988</v>
      </c>
      <c r="R33" s="207">
        <f>Q33/Q$29</f>
        <v>0.10262756399389726</v>
      </c>
      <c r="S33" s="149">
        <f>S25</f>
        <v>72.809999999999988</v>
      </c>
      <c r="T33" s="207">
        <f>S33/S$29</f>
        <v>7.7913155884096544E-2</v>
      </c>
      <c r="U33" s="149">
        <f>U25</f>
        <v>118.07999999999998</v>
      </c>
      <c r="V33" s="207">
        <f>U33/U$29</f>
        <v>0.10475588897011333</v>
      </c>
      <c r="W33" s="149">
        <f>W25</f>
        <v>135.81</v>
      </c>
      <c r="X33" s="207">
        <f>W33/W$29</f>
        <v>9.4411632213824523E-2</v>
      </c>
      <c r="Y33" s="149">
        <f>Y25</f>
        <v>0</v>
      </c>
      <c r="Z33" s="207" t="e">
        <f>Y33/Y$29</f>
        <v>#VALUE!</v>
      </c>
      <c r="AA33" s="149">
        <f>AA25</f>
        <v>90.54</v>
      </c>
      <c r="AB33" s="207">
        <f>AA33/AA$29</f>
        <v>5.6623526718874884E-2</v>
      </c>
      <c r="AC33" s="149">
        <f>AC25</f>
        <v>158.31</v>
      </c>
      <c r="AD33" s="207">
        <f>AC33/AC$29</f>
        <v>9.4981136965787347E-2</v>
      </c>
      <c r="AE33" s="149">
        <f>AE25</f>
        <v>180.81000000000003</v>
      </c>
      <c r="AF33" s="207">
        <f>AE33/AE$29</f>
        <v>9.5986316335988753E-2</v>
      </c>
      <c r="AG33" s="149">
        <f>AG25</f>
        <v>144.81</v>
      </c>
      <c r="AH33" s="207">
        <f>AG33/AG$29</f>
        <v>7.2929729403054991E-2</v>
      </c>
      <c r="AI33" s="149">
        <f>AI25</f>
        <v>145.08000000000001</v>
      </c>
      <c r="AJ33" s="207">
        <f>AI33/AI$29</f>
        <v>7.3055773762765133E-2</v>
      </c>
      <c r="AK33" s="149">
        <f>AK25</f>
        <v>163.21500000000003</v>
      </c>
      <c r="AL33" s="207">
        <f>AK33/AK$29</f>
        <v>6.9913519955005887E-2</v>
      </c>
      <c r="AM33" s="149" t="e">
        <f>AM25</f>
        <v>#REF!</v>
      </c>
    </row>
    <row r="34" spans="1:39" ht="18" customHeight="1" x14ac:dyDescent="0.2">
      <c r="A34" s="154"/>
      <c r="B34" s="1563"/>
      <c r="C34" s="1565" t="s">
        <v>5</v>
      </c>
      <c r="D34" s="1565"/>
      <c r="E34" s="149">
        <f>E27</f>
        <v>0</v>
      </c>
      <c r="F34" s="207" t="e">
        <f>E34/E$29</f>
        <v>#N/A</v>
      </c>
      <c r="G34" s="149">
        <f>G27</f>
        <v>0</v>
      </c>
      <c r="H34" s="207">
        <f>G34/G$29</f>
        <v>0</v>
      </c>
      <c r="I34" s="149">
        <f>I27</f>
        <v>0</v>
      </c>
      <c r="J34" s="207">
        <f>I34/I$29</f>
        <v>0</v>
      </c>
      <c r="K34" s="149">
        <f>K27</f>
        <v>0</v>
      </c>
      <c r="L34" s="207">
        <f>K34/K$29</f>
        <v>0</v>
      </c>
      <c r="M34" s="149">
        <f>M27</f>
        <v>0</v>
      </c>
      <c r="N34" s="207">
        <f>M34/M$29</f>
        <v>0</v>
      </c>
      <c r="O34" s="149">
        <f>O27</f>
        <v>0</v>
      </c>
      <c r="P34" s="207">
        <f>O34/O$29</f>
        <v>0</v>
      </c>
      <c r="Q34" s="149">
        <f>Q27</f>
        <v>0</v>
      </c>
      <c r="R34" s="207">
        <f>Q34/Q$29</f>
        <v>0</v>
      </c>
      <c r="S34" s="149">
        <f>S27</f>
        <v>0</v>
      </c>
      <c r="T34" s="207">
        <f>S34/S$29</f>
        <v>0</v>
      </c>
      <c r="U34" s="149">
        <f>U27</f>
        <v>0</v>
      </c>
      <c r="V34" s="207">
        <f>U34/U$29</f>
        <v>0</v>
      </c>
      <c r="W34" s="149">
        <f>W27</f>
        <v>0</v>
      </c>
      <c r="X34" s="207">
        <f>W34/W$29</f>
        <v>0</v>
      </c>
      <c r="Y34" s="149">
        <f>Y27</f>
        <v>0</v>
      </c>
      <c r="Z34" s="207" t="e">
        <f>Y34/Y$29</f>
        <v>#VALUE!</v>
      </c>
      <c r="AA34" s="149">
        <f>AA27</f>
        <v>0</v>
      </c>
      <c r="AB34" s="207">
        <f>AA34/AA$29</f>
        <v>0</v>
      </c>
      <c r="AC34" s="149">
        <f>AC27</f>
        <v>0</v>
      </c>
      <c r="AD34" s="207">
        <f>AC34/AC$29</f>
        <v>0</v>
      </c>
      <c r="AE34" s="149">
        <f>AE27</f>
        <v>0</v>
      </c>
      <c r="AF34" s="207">
        <f>AE34/AE$29</f>
        <v>0</v>
      </c>
      <c r="AG34" s="149">
        <f>AG27</f>
        <v>0</v>
      </c>
      <c r="AH34" s="207">
        <f>AG34/AG$29</f>
        <v>0</v>
      </c>
      <c r="AI34" s="149">
        <f>AI27</f>
        <v>0</v>
      </c>
      <c r="AJ34" s="207">
        <f>AI34/AI$29</f>
        <v>0</v>
      </c>
      <c r="AK34" s="149">
        <f>AK27</f>
        <v>0</v>
      </c>
      <c r="AL34" s="207">
        <f>AK34/AK$29</f>
        <v>0</v>
      </c>
      <c r="AM34" s="149" t="e">
        <f>AM27</f>
        <v>#REF!</v>
      </c>
    </row>
    <row r="35" spans="1:39" x14ac:dyDescent="0.2">
      <c r="A35" s="154"/>
      <c r="B35" s="172"/>
      <c r="C35" s="154"/>
      <c r="D35" s="227"/>
      <c r="E35" s="154"/>
      <c r="F35" s="154"/>
      <c r="G35" s="154"/>
      <c r="H35" s="154"/>
      <c r="I35" s="154"/>
      <c r="J35" s="154"/>
      <c r="K35" s="154"/>
      <c r="L35" s="154"/>
      <c r="M35" s="154"/>
      <c r="N35" s="154"/>
      <c r="O35" s="154"/>
      <c r="P35" s="154"/>
      <c r="Q35" s="228"/>
      <c r="R35" s="229"/>
      <c r="S35" s="154"/>
      <c r="T35" s="230"/>
      <c r="U35" s="154"/>
      <c r="V35" s="154"/>
      <c r="W35" s="154"/>
      <c r="X35" s="154"/>
      <c r="Y35" s="154"/>
      <c r="Z35" s="154"/>
      <c r="AA35" s="154"/>
      <c r="AB35" s="154"/>
      <c r="AC35" s="154"/>
      <c r="AD35" s="154"/>
      <c r="AE35" s="154"/>
      <c r="AF35" s="154"/>
      <c r="AG35" s="154"/>
      <c r="AH35" s="154"/>
      <c r="AI35" s="154"/>
      <c r="AJ35" s="154"/>
      <c r="AK35" s="154"/>
      <c r="AL35" s="154"/>
      <c r="AM35" s="154"/>
    </row>
    <row r="36" spans="1:39" x14ac:dyDescent="0.2">
      <c r="A36" s="154"/>
      <c r="B36" s="1375" t="s">
        <v>1462</v>
      </c>
      <c r="C36" s="1568" t="s">
        <v>1463</v>
      </c>
      <c r="D36" s="1569"/>
      <c r="E36" s="149" t="e">
        <f>(VLOOKUP("Prix HT",$C$1:$N$36,E$1,0))-(VLOOKUP("Non margé",$D$1:$N$36,E$1,0))</f>
        <v>#N/A</v>
      </c>
      <c r="F36" s="207" t="e">
        <f>E36/VLOOKUP("Prix HT",$C$1:$N$36,E$1,0)</f>
        <v>#N/A</v>
      </c>
      <c r="G36" s="149">
        <f>(VLOOKUP("Prix HT",$C$1:$N$36,G$1,0))-(VLOOKUP("Non margé",$D$1:$N$36,G$1,0))</f>
        <v>93.776999999999987</v>
      </c>
      <c r="H36" s="207">
        <f>G36/VLOOKUP("Prix HT",$C$1:$N$36,G$1,0)</f>
        <v>0.29726405614533374</v>
      </c>
      <c r="I36" s="149">
        <f>(VLOOKUP("Prix HT",$C$1:$N$36,I$1,0))-(VLOOKUP("Non margé",$D$1:$N$36,I$1,0))</f>
        <v>120.24599999999998</v>
      </c>
      <c r="J36" s="207">
        <f>I36/VLOOKUP("Prix HT",$C$1:$N$36,I$1,0)</f>
        <v>0.30049029652694126</v>
      </c>
      <c r="K36" s="149">
        <f>(VLOOKUP("Prix HT",$C$1:$N$36,K$1,0))-(VLOOKUP("Non margé",$D$1:$N$36,K$1,0))</f>
        <v>125.358</v>
      </c>
      <c r="L36" s="207">
        <f>K36/VLOOKUP("Prix HT",$C$1:$N$36,K$1,0)</f>
        <v>0.27351751404046976</v>
      </c>
      <c r="M36" s="149">
        <f>(VLOOKUP("Prix HT",$C$1:$N$36,M$1,0))-(VLOOKUP("Non margé",$D$1:$N$36,M$1,0))</f>
        <v>174.91800000000001</v>
      </c>
      <c r="N36" s="207">
        <f>M36/VLOOKUP("Prix HT",$C$1:$N$36,M$1,0)</f>
        <v>0.2819993615765834</v>
      </c>
      <c r="O36" s="149">
        <f>(VLOOKUP("Prix HT",$C$1:$AM$36,O$1,0))-(VLOOKUP("Non margé",$D$1:$AM$36,O$1,0))</f>
        <v>194.76</v>
      </c>
      <c r="P36" s="207">
        <f>O36/VLOOKUP("Prix HT",$C$1:$AM$36,O$1,0)</f>
        <v>0.28138002773925103</v>
      </c>
      <c r="Q36" s="149">
        <f>(VLOOKUP("Prix HT",$C$1:$AM$36,Q$1,0))-(VLOOKUP("Non margé",$D$1:$AM$36,Q$1,0))</f>
        <v>274.04999999999995</v>
      </c>
      <c r="R36" s="207">
        <f>Q36/VLOOKUP("Prix HT",$C$1:$AM$36,Q$1,0)</f>
        <v>0.30971351076453635</v>
      </c>
      <c r="S36" s="149">
        <f>(VLOOKUP("Prix HT",$C$1:$AM$36,S$1,0))-(VLOOKUP("Non margé",$D$1:$AM$36,S$1,0))</f>
        <v>271.66200000000003</v>
      </c>
      <c r="T36" s="207">
        <f>S36/VLOOKUP("Prix HT",$C$1:$AM$36,S$1,0)</f>
        <v>0.29070242760315124</v>
      </c>
      <c r="U36" s="149">
        <f>(VLOOKUP("Prix HT",$C$1:$AM$36,U$1,0))-(VLOOKUP("Non margé",$D$1:$AM$36,U$1,0))</f>
        <v>350.952</v>
      </c>
      <c r="V36" s="207">
        <f>U36/VLOOKUP("Prix HT",$C$1:$AM$36,U$1,0)</f>
        <v>0.31135068382316411</v>
      </c>
      <c r="W36" s="149">
        <f>(VLOOKUP("Prix HT",$C$1:$AM$36,W$1,0))-(VLOOKUP("Non margé",$D$1:$AM$36,W$1,0))</f>
        <v>436.42799999999988</v>
      </c>
      <c r="X36" s="207">
        <f>W36/VLOOKUP("Prix HT",$C$1:$AM$36,W$1,0)</f>
        <v>0.30339356324140343</v>
      </c>
      <c r="Y36" s="149" t="e">
        <f>(VLOOKUP("Prix HT",$C$1:$AM$36,Y$1,0))-(VLOOKUP("Non margé",$D$1:$AM$36,Y$1,0))</f>
        <v>#VALUE!</v>
      </c>
      <c r="Z36" s="207" t="e">
        <f>Y36/VLOOKUP("Prix HT",$C$1:$AM$36,Y$1,0)</f>
        <v>#VALUE!</v>
      </c>
      <c r="AA36" s="149">
        <f>(VLOOKUP("Prix HT",$C$1:$AM$36,AA$1,0))-(VLOOKUP("Non margé",$D$1:$AM$36,AA$1,0))</f>
        <v>438.64200000000005</v>
      </c>
      <c r="AB36" s="207">
        <f>AA36/VLOOKUP("Prix HT",$C$1:$AM$36,AA$1,0)</f>
        <v>0.27432578978374988</v>
      </c>
      <c r="AC36" s="149">
        <f>(VLOOKUP("Prix HT",$C$1:$AM$36,AC$1,0))-(VLOOKUP("Non margé",$D$1:$AM$36,AC$1,0))</f>
        <v>506.41200000000003</v>
      </c>
      <c r="AD36" s="207">
        <f>AC36/VLOOKUP("Prix HT",$C$1:$AM$36,AC$1,0)</f>
        <v>0.30383164381983641</v>
      </c>
      <c r="AE36" s="149">
        <f>(VLOOKUP("Prix HT",$C$1:$AM$36,AE$1,0))-(VLOOKUP("Non margé",$D$1:$AM$36,AE$1,0))</f>
        <v>573.78600000000006</v>
      </c>
      <c r="AF36" s="207">
        <f>AE36/VLOOKUP("Prix HT",$C$1:$AM$36,AE$1,0)</f>
        <v>0.30460485871999132</v>
      </c>
      <c r="AG36" s="149">
        <f>(VLOOKUP("Prix HT",$C$1:$AM$36,AG$1,0))-(VLOOKUP("Non margé",$D$1:$AM$36,AG$1,0))</f>
        <v>569.6099999999999</v>
      </c>
      <c r="AH36" s="207">
        <f>AG36/VLOOKUP("Prix HT",$C$1:$AM$36,AG$1,0)</f>
        <v>0.28686902261773456</v>
      </c>
      <c r="AI36" s="149">
        <f>(VLOOKUP("Prix HT",$C$1:$AM$36,AI$1,0))-(VLOOKUP("Non margé",$D$1:$AM$36,AI$1,0))</f>
        <v>569.87999999999988</v>
      </c>
      <c r="AJ36" s="207">
        <f>AI36/VLOOKUP("Prix HT",$C$1:$AM$36,AI$1,0)</f>
        <v>0.2869659798175116</v>
      </c>
      <c r="AK36" s="149">
        <f>(VLOOKUP("Prix HT",$C$1:$AM$36,AK$1,0))-(VLOOKUP("Non margé",$D$1:$AM$36,AK$1,0))</f>
        <v>664.28700000000003</v>
      </c>
      <c r="AL36" s="207">
        <f>AK36/VLOOKUP("Prix HT",$C$1:$AM$36,AK$1,0)</f>
        <v>0.28454886150385067</v>
      </c>
      <c r="AM36" s="149" t="e">
        <f>(VLOOKUP("Prix HT",$C$1:$AM$36,AM$1,0))-(VLOOKUP("Non margé",$D$1:$AM$36,AM$1,0))</f>
        <v>#REF!</v>
      </c>
    </row>
  </sheetData>
  <mergeCells count="41">
    <mergeCell ref="C36:D36"/>
    <mergeCell ref="AE2:AF2"/>
    <mergeCell ref="B2:B3"/>
    <mergeCell ref="C2:C3"/>
    <mergeCell ref="E2:F2"/>
    <mergeCell ref="G2:H2"/>
    <mergeCell ref="I2:J2"/>
    <mergeCell ref="K2:L2"/>
    <mergeCell ref="M2:N2"/>
    <mergeCell ref="O2:P2"/>
    <mergeCell ref="Q2:R2"/>
    <mergeCell ref="S2:T2"/>
    <mergeCell ref="U2:V2"/>
    <mergeCell ref="C34:D34"/>
    <mergeCell ref="E29:F29"/>
    <mergeCell ref="G29:H29"/>
    <mergeCell ref="A4:A17"/>
    <mergeCell ref="A19:A21"/>
    <mergeCell ref="A22:A25"/>
    <mergeCell ref="A26:A27"/>
    <mergeCell ref="B29:B34"/>
    <mergeCell ref="K29:L29"/>
    <mergeCell ref="M29:N29"/>
    <mergeCell ref="O29:P29"/>
    <mergeCell ref="C29:D29"/>
    <mergeCell ref="AK29:AL29"/>
    <mergeCell ref="Q29:R29"/>
    <mergeCell ref="S29:T29"/>
    <mergeCell ref="U29:V29"/>
    <mergeCell ref="W29:X29"/>
    <mergeCell ref="Y29:Z29"/>
    <mergeCell ref="AA29:AB29"/>
    <mergeCell ref="AC29:AD29"/>
    <mergeCell ref="AE29:AF29"/>
    <mergeCell ref="AG29:AH29"/>
    <mergeCell ref="AI29:AJ29"/>
    <mergeCell ref="C30:D30"/>
    <mergeCell ref="C31:D31"/>
    <mergeCell ref="C32:D32"/>
    <mergeCell ref="C33:D33"/>
    <mergeCell ref="I29:J29"/>
  </mergeCells>
  <dataValidations count="8">
    <dataValidation type="list" allowBlank="1" showInputMessage="1" showErrorMessage="1" promptTitle="MINIPELLE" prompt="choisir catégorie" sqref="B26" xr:uid="{00000000-0002-0000-0C00-000000000000}">
      <formula1>CATEGORIE_MP</formula1>
    </dataValidation>
    <dataValidation type="list" allowBlank="1" showInputMessage="1" showErrorMessage="1" promptTitle="MO ATELIER" prompt="choisir catégorie" sqref="B19:B20" xr:uid="{00000000-0002-0000-0C00-000002000000}">
      <formula1>CATEGORIE_MOA</formula1>
    </dataValidation>
    <dataValidation type="list" allowBlank="1" showInputMessage="1" showErrorMessage="1" promptTitle="Main d'oeuvre ATELIER" prompt="choisir la prestation" sqref="C19:C20" xr:uid="{00000000-0002-0000-0C00-000003000000}">
      <formula1>INDIRECT(B19)</formula1>
    </dataValidation>
    <dataValidation type="list" allowBlank="1" showInputMessage="1" promptTitle="MINIPELLE" prompt="choisir la prestation" sqref="C26" xr:uid="{00000000-0002-0000-0C00-000005000000}">
      <formula1>INDIRECT(B26)</formula1>
    </dataValidation>
    <dataValidation type="list" allowBlank="1" showInputMessage="1" showErrorMessage="1" promptTitle="Catégorie MOC" prompt="choisir" sqref="B22:B24" xr:uid="{00000000-0002-0000-0C00-000006000000}">
      <formula1>CATEGORIE_MOC</formula1>
    </dataValidation>
    <dataValidation type="list" allowBlank="1" showInputMessage="1" promptTitle="Main d'oeuvre CHANTIER" prompt="choisir la prestation" sqref="C22:C24" xr:uid="{00000000-0002-0000-0C00-000007000000}">
      <formula1>INDIRECT(B22)</formula1>
    </dataValidation>
    <dataValidation type="list" allowBlank="1" showInputMessage="1" showErrorMessage="1" promptTitle="MATIERES" prompt="choisir catégorie" sqref="B4:B17" xr:uid="{00000000-0002-0000-0C00-000004000000}">
      <formula1>MA_CATEGORIE</formula1>
    </dataValidation>
    <dataValidation type="list" allowBlank="1" showInputMessage="1" showErrorMessage="1" promptTitle="MATIERES" prompt="choisir le produit" sqref="C4:C17" xr:uid="{00000000-0002-0000-0C00-000001000000}">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published="0" codeName="Feuil16"/>
  <dimension ref="A1:AL25"/>
  <sheetViews>
    <sheetView zoomScale="85" zoomScaleNormal="85" workbookViewId="0">
      <pane xSplit="4" ySplit="3" topLeftCell="E16" activePane="bottomRight" state="frozen"/>
      <selection pane="topRight" activeCell="E1" sqref="E1"/>
      <selection pane="bottomLeft" activeCell="A4" sqref="A4"/>
      <selection pane="bottomRight" activeCell="A19" sqref="A19"/>
    </sheetView>
  </sheetViews>
  <sheetFormatPr baseColWidth="10" defaultColWidth="11.125" defaultRowHeight="18" x14ac:dyDescent="0.2"/>
  <cols>
    <col min="1" max="1" width="22.625" style="210" customWidth="1"/>
    <col min="2" max="2" width="23.125" style="405" customWidth="1"/>
    <col min="3" max="3" width="43.125" style="212" customWidth="1"/>
    <col min="4" max="4" width="10.625" style="135" customWidth="1"/>
    <col min="5" max="5" width="0.625" style="390" customWidth="1"/>
    <col min="6" max="6" width="0.5" style="390" customWidth="1"/>
    <col min="7" max="7" width="13.625" style="135" customWidth="1"/>
    <col min="8" max="8" width="18.625" style="135" customWidth="1"/>
    <col min="9" max="9" width="0.625" style="390" customWidth="1"/>
    <col min="10" max="10" width="0.5" style="390" customWidth="1"/>
    <col min="11" max="11" width="12.5" style="135" customWidth="1"/>
    <col min="12" max="12" width="14.5" style="135" customWidth="1"/>
    <col min="13" max="13" width="11" style="135" customWidth="1"/>
    <col min="14" max="14" width="13" style="135" customWidth="1"/>
    <col min="15" max="20" width="0.5" style="390" customWidth="1"/>
    <col min="21" max="21" width="11.625" style="135" customWidth="1"/>
    <col min="22" max="22" width="16.5" style="135" customWidth="1"/>
    <col min="23" max="23" width="11" style="135" customWidth="1"/>
    <col min="24" max="24" width="12" style="135" customWidth="1"/>
    <col min="25" max="36" width="0.5" style="390" customWidth="1"/>
    <col min="37" max="37" width="12.125" style="135" customWidth="1"/>
    <col min="38" max="38" width="12" style="135" customWidth="1"/>
    <col min="39" max="827" width="11.5" customWidth="1"/>
  </cols>
  <sheetData>
    <row r="1" spans="1:38" ht="11.85" customHeight="1" x14ac:dyDescent="0.2">
      <c r="A1" s="535"/>
      <c r="B1" s="536"/>
      <c r="C1" s="539"/>
      <c r="D1" s="535"/>
      <c r="E1" s="540"/>
      <c r="F1" s="540"/>
      <c r="G1" s="535">
        <v>5</v>
      </c>
      <c r="H1" s="535">
        <v>3</v>
      </c>
      <c r="I1" s="540"/>
      <c r="J1" s="540"/>
      <c r="K1" s="535">
        <v>9</v>
      </c>
      <c r="L1" s="535">
        <v>5</v>
      </c>
      <c r="M1" s="535">
        <v>11</v>
      </c>
      <c r="N1" s="535">
        <v>6</v>
      </c>
      <c r="O1" s="540"/>
      <c r="P1" s="540"/>
      <c r="Q1" s="540"/>
      <c r="R1" s="540"/>
      <c r="S1" s="540"/>
      <c r="T1" s="540"/>
      <c r="U1" s="535">
        <v>19</v>
      </c>
      <c r="V1" s="535">
        <v>10</v>
      </c>
      <c r="W1" s="535">
        <v>21</v>
      </c>
      <c r="X1" s="535" t="s">
        <v>460</v>
      </c>
      <c r="Y1" s="540"/>
      <c r="Z1" s="540"/>
      <c r="AA1" s="540"/>
      <c r="AB1" s="540"/>
      <c r="AC1" s="540"/>
      <c r="AD1" s="540"/>
      <c r="AE1" s="540"/>
      <c r="AF1" s="540"/>
      <c r="AG1" s="540"/>
      <c r="AH1" s="540"/>
      <c r="AI1" s="540"/>
      <c r="AJ1" s="540"/>
      <c r="AK1" s="535">
        <v>35</v>
      </c>
      <c r="AL1" s="535" t="s">
        <v>460</v>
      </c>
    </row>
    <row r="2" spans="1:38" ht="35.1" customHeight="1" x14ac:dyDescent="0.2">
      <c r="A2" s="174"/>
      <c r="B2" s="1588" t="s">
        <v>1292</v>
      </c>
      <c r="C2" s="1590" t="s">
        <v>443</v>
      </c>
      <c r="D2" s="406" t="s">
        <v>203</v>
      </c>
      <c r="E2" s="504"/>
      <c r="F2" s="504"/>
      <c r="G2" s="1571">
        <v>3</v>
      </c>
      <c r="H2" s="1571"/>
      <c r="I2" s="504"/>
      <c r="J2" s="504"/>
      <c r="K2" s="1583">
        <v>5</v>
      </c>
      <c r="L2" s="1583"/>
      <c r="M2" s="1583">
        <v>6</v>
      </c>
      <c r="N2" s="1583"/>
      <c r="O2" s="504"/>
      <c r="P2" s="504"/>
      <c r="Q2" s="504"/>
      <c r="R2" s="504"/>
      <c r="S2" s="504"/>
      <c r="T2" s="504"/>
      <c r="U2" s="1583">
        <v>10</v>
      </c>
      <c r="V2" s="1583"/>
      <c r="W2" s="1583">
        <v>12</v>
      </c>
      <c r="X2" s="1583"/>
      <c r="Y2" s="504"/>
      <c r="Z2" s="504"/>
      <c r="AA2" s="504"/>
      <c r="AB2" s="504"/>
      <c r="AC2" s="504"/>
      <c r="AD2" s="504"/>
      <c r="AE2" s="504"/>
      <c r="AF2" s="504"/>
      <c r="AG2" s="504"/>
      <c r="AH2" s="504"/>
      <c r="AI2" s="504"/>
      <c r="AJ2" s="504"/>
      <c r="AK2" s="1614">
        <v>20</v>
      </c>
      <c r="AL2" s="1571"/>
    </row>
    <row r="3" spans="1:38" ht="35.1" customHeight="1" x14ac:dyDescent="0.2">
      <c r="A3" s="174"/>
      <c r="B3" s="1589"/>
      <c r="C3" s="1590"/>
      <c r="D3" s="176" t="s">
        <v>222</v>
      </c>
      <c r="E3" s="505"/>
      <c r="F3" s="505"/>
      <c r="G3" s="236" t="s">
        <v>444</v>
      </c>
      <c r="H3" s="115" t="s">
        <v>445</v>
      </c>
      <c r="I3" s="505"/>
      <c r="J3" s="505"/>
      <c r="K3" s="115" t="s">
        <v>444</v>
      </c>
      <c r="L3" s="115" t="s">
        <v>445</v>
      </c>
      <c r="M3" s="115" t="s">
        <v>444</v>
      </c>
      <c r="N3" s="115" t="s">
        <v>445</v>
      </c>
      <c r="O3" s="505"/>
      <c r="P3" s="505"/>
      <c r="Q3" s="505"/>
      <c r="R3" s="505"/>
      <c r="S3" s="505"/>
      <c r="T3" s="505"/>
      <c r="U3" s="115" t="s">
        <v>444</v>
      </c>
      <c r="V3" s="115" t="s">
        <v>445</v>
      </c>
      <c r="W3" s="115" t="s">
        <v>444</v>
      </c>
      <c r="X3" s="115" t="s">
        <v>445</v>
      </c>
      <c r="Y3" s="115" t="s">
        <v>444</v>
      </c>
      <c r="Z3" s="115" t="s">
        <v>445</v>
      </c>
      <c r="AA3" s="115" t="s">
        <v>444</v>
      </c>
      <c r="AB3" s="115" t="s">
        <v>445</v>
      </c>
      <c r="AC3" s="115" t="s">
        <v>444</v>
      </c>
      <c r="AD3" s="115" t="s">
        <v>445</v>
      </c>
      <c r="AE3" s="115" t="s">
        <v>444</v>
      </c>
      <c r="AF3" s="115" t="s">
        <v>445</v>
      </c>
      <c r="AG3" s="115" t="s">
        <v>444</v>
      </c>
      <c r="AH3" s="115" t="s">
        <v>445</v>
      </c>
      <c r="AI3" s="115" t="s">
        <v>444</v>
      </c>
      <c r="AJ3" s="115" t="s">
        <v>445</v>
      </c>
      <c r="AK3" s="115" t="s">
        <v>444</v>
      </c>
      <c r="AL3" s="115" t="s">
        <v>445</v>
      </c>
    </row>
    <row r="4" spans="1:38" ht="28.35" customHeight="1" x14ac:dyDescent="0.2">
      <c r="A4" s="1616" t="s">
        <v>1078</v>
      </c>
      <c r="B4" s="361" t="s">
        <v>127</v>
      </c>
      <c r="C4" s="313" t="s">
        <v>1113</v>
      </c>
      <c r="D4" s="363" t="str">
        <f>IF($C4="","",VLOOKUP($C4,MATIERES!$A$2:$F$448,5,0))</f>
        <v>t</v>
      </c>
      <c r="E4" s="506"/>
      <c r="F4" s="506"/>
      <c r="G4" s="180">
        <f>0.5*G2*1.6</f>
        <v>2.4000000000000004</v>
      </c>
      <c r="H4" s="181">
        <f>IF($C4="","",G4*VLOOKUP($C4,MATIERES!$A$2:$F$448,4,0))</f>
        <v>72.000000000000014</v>
      </c>
      <c r="I4" s="180">
        <f t="shared" ref="I4" si="0">0.5*I2*1.6</f>
        <v>0</v>
      </c>
      <c r="J4" s="181">
        <f>IF($C4="","",I4*VLOOKUP($C4,MATIERES!$A$2:$F$448,4,0))</f>
        <v>0</v>
      </c>
      <c r="K4" s="180">
        <f t="shared" ref="K4" si="1">0.5*K2*1.6</f>
        <v>4</v>
      </c>
      <c r="L4" s="181">
        <f>IF($C4="","",K4*VLOOKUP($C4,MATIERES!$A$2:$F$448,4,0))</f>
        <v>120</v>
      </c>
      <c r="M4" s="180">
        <f t="shared" ref="M4" si="2">0.5*M2*1.6</f>
        <v>4.8000000000000007</v>
      </c>
      <c r="N4" s="181">
        <f>IF($C4="","",M4*VLOOKUP($C4,MATIERES!$A$2:$F$448,4,0))</f>
        <v>144.00000000000003</v>
      </c>
      <c r="O4" s="180">
        <f t="shared" ref="O4" si="3">0.5*O2*1.6</f>
        <v>0</v>
      </c>
      <c r="P4" s="181">
        <f>IF($C4="","",O4*VLOOKUP($C4,MATIERES!$A$2:$F$448,4,0))</f>
        <v>0</v>
      </c>
      <c r="Q4" s="180">
        <f t="shared" ref="Q4" si="4">0.5*Q2*1.6</f>
        <v>0</v>
      </c>
      <c r="R4" s="181">
        <f>IF($C4="","",Q4*VLOOKUP($C4,MATIERES!$A$2:$F$448,4,0))</f>
        <v>0</v>
      </c>
      <c r="S4" s="180">
        <f t="shared" ref="S4" si="5">0.5*S2*1.6</f>
        <v>0</v>
      </c>
      <c r="T4" s="181">
        <f>IF($C4="","",S4*VLOOKUP($C4,MATIERES!$A$2:$F$448,4,0))</f>
        <v>0</v>
      </c>
      <c r="U4" s="180">
        <f t="shared" ref="U4" si="6">0.5*U2*1.6</f>
        <v>8</v>
      </c>
      <c r="V4" s="181">
        <f>IF($C4="","",U4*VLOOKUP($C4,MATIERES!$A$2:$F$448,4,0))</f>
        <v>240</v>
      </c>
      <c r="W4" s="180">
        <f t="shared" ref="W4" si="7">0.5*W2*1.6</f>
        <v>9.6000000000000014</v>
      </c>
      <c r="X4" s="181">
        <f>IF($C4="","",W4*VLOOKUP($C4,MATIERES!$A$2:$F$448,4,0))</f>
        <v>288.00000000000006</v>
      </c>
      <c r="Y4" s="180">
        <f t="shared" ref="Y4" si="8">0.5*Y2*1.6</f>
        <v>0</v>
      </c>
      <c r="Z4" s="181">
        <f>IF($C4="","",Y4*VLOOKUP($C4,MATIERES!$A$2:$F$448,4,0))</f>
        <v>0</v>
      </c>
      <c r="AA4" s="180">
        <f t="shared" ref="AA4" si="9">0.5*AA2*1.6</f>
        <v>0</v>
      </c>
      <c r="AB4" s="181">
        <f>IF($C4="","",AA4*VLOOKUP($C4,MATIERES!$A$2:$F$448,4,0))</f>
        <v>0</v>
      </c>
      <c r="AC4" s="180">
        <f t="shared" ref="AC4" si="10">0.5*AC2*1.6</f>
        <v>0</v>
      </c>
      <c r="AD4" s="181">
        <f>IF($C4="","",AC4*VLOOKUP($C4,MATIERES!$A$2:$F$448,4,0))</f>
        <v>0</v>
      </c>
      <c r="AE4" s="180">
        <f t="shared" ref="AE4" si="11">0.5*AE2*1.6</f>
        <v>0</v>
      </c>
      <c r="AF4" s="181">
        <f>IF($C4="","",AE4*VLOOKUP($C4,MATIERES!$A$2:$F$448,4,0))</f>
        <v>0</v>
      </c>
      <c r="AG4" s="180">
        <f t="shared" ref="AG4" si="12">0.5*AG2*1.6</f>
        <v>0</v>
      </c>
      <c r="AH4" s="181">
        <f>IF($C4="","",AG4*VLOOKUP($C4,MATIERES!$A$2:$F$448,4,0))</f>
        <v>0</v>
      </c>
      <c r="AI4" s="180">
        <f t="shared" ref="AI4" si="13">0.5*AI2*1.6</f>
        <v>0</v>
      </c>
      <c r="AJ4" s="181">
        <f>IF($C4="","",AI4*VLOOKUP($C4,MATIERES!$A$2:$F$448,4,0))</f>
        <v>0</v>
      </c>
      <c r="AK4" s="180">
        <f t="shared" ref="AK4" si="14">0.5*AK2*1.6</f>
        <v>16</v>
      </c>
      <c r="AL4" s="181">
        <f>IF($C4="","",AK4*VLOOKUP($C4,MATIERES!$A$2:$F$448,4,0))</f>
        <v>480</v>
      </c>
    </row>
    <row r="5" spans="1:38" ht="28.35" customHeight="1" x14ac:dyDescent="0.2">
      <c r="A5" s="1616"/>
      <c r="B5" s="361" t="s">
        <v>127</v>
      </c>
      <c r="C5" s="362" t="s">
        <v>1210</v>
      </c>
      <c r="D5" s="363" t="str">
        <f>IF($C5="","",VLOOKUP($C5,MATIERES!$A$2:$F$448,5,0))</f>
        <v>t</v>
      </c>
      <c r="E5" s="506"/>
      <c r="F5" s="506"/>
      <c r="G5" s="180">
        <f>0.2*G2*1.8</f>
        <v>1.0800000000000003</v>
      </c>
      <c r="H5" s="181">
        <f>IF($C5="","",G5*VLOOKUP($C5,MATIERES!$A$2:$F$448,4,0))</f>
        <v>21.600000000000005</v>
      </c>
      <c r="I5" s="180">
        <f t="shared" ref="I5" si="15">0.2*I2*1.8</f>
        <v>0</v>
      </c>
      <c r="J5" s="181">
        <f>IF($C5="","",I5*VLOOKUP($C5,MATIERES!$A$2:$F$448,4,0))</f>
        <v>0</v>
      </c>
      <c r="K5" s="180">
        <f t="shared" ref="K5" si="16">0.2*K2*1.8</f>
        <v>1.8</v>
      </c>
      <c r="L5" s="181">
        <f>IF($C5="","",K5*VLOOKUP($C5,MATIERES!$A$2:$F$448,4,0))</f>
        <v>36</v>
      </c>
      <c r="M5" s="180">
        <f t="shared" ref="M5" si="17">0.2*M2*1.8</f>
        <v>2.1600000000000006</v>
      </c>
      <c r="N5" s="181">
        <f>IF($C5="","",M5*VLOOKUP($C5,MATIERES!$A$2:$F$448,4,0))</f>
        <v>43.20000000000001</v>
      </c>
      <c r="O5" s="180">
        <f t="shared" ref="O5" si="18">0.2*O2*1.8</f>
        <v>0</v>
      </c>
      <c r="P5" s="181">
        <f>IF($C5="","",O5*VLOOKUP($C5,MATIERES!$A$2:$F$448,4,0))</f>
        <v>0</v>
      </c>
      <c r="Q5" s="180">
        <f t="shared" ref="Q5" si="19">0.2*Q2*1.8</f>
        <v>0</v>
      </c>
      <c r="R5" s="181">
        <f>IF($C5="","",Q5*VLOOKUP($C5,MATIERES!$A$2:$F$448,4,0))</f>
        <v>0</v>
      </c>
      <c r="S5" s="180">
        <f t="shared" ref="S5" si="20">0.2*S2*1.8</f>
        <v>0</v>
      </c>
      <c r="T5" s="181">
        <f>IF($C5="","",S5*VLOOKUP($C5,MATIERES!$A$2:$F$448,4,0))</f>
        <v>0</v>
      </c>
      <c r="U5" s="180">
        <f t="shared" ref="U5" si="21">0.2*U2*1.8</f>
        <v>3.6</v>
      </c>
      <c r="V5" s="181">
        <f>IF($C5="","",U5*VLOOKUP($C5,MATIERES!$A$2:$F$448,4,0))</f>
        <v>72</v>
      </c>
      <c r="W5" s="180">
        <f t="shared" ref="W5" si="22">0.2*W2*1.8</f>
        <v>4.3200000000000012</v>
      </c>
      <c r="X5" s="181">
        <f>IF($C5="","",W5*VLOOKUP($C5,MATIERES!$A$2:$F$448,4,0))</f>
        <v>86.40000000000002</v>
      </c>
      <c r="Y5" s="180">
        <f t="shared" ref="Y5" si="23">0.2*Y2*1.8</f>
        <v>0</v>
      </c>
      <c r="Z5" s="181">
        <f>IF($C5="","",Y5*VLOOKUP($C5,MATIERES!$A$2:$F$448,4,0))</f>
        <v>0</v>
      </c>
      <c r="AA5" s="180">
        <f t="shared" ref="AA5" si="24">0.2*AA2*1.8</f>
        <v>0</v>
      </c>
      <c r="AB5" s="181">
        <f>IF($C5="","",AA5*VLOOKUP($C5,MATIERES!$A$2:$F$448,4,0))</f>
        <v>0</v>
      </c>
      <c r="AC5" s="180">
        <f t="shared" ref="AC5" si="25">0.2*AC2*1.8</f>
        <v>0</v>
      </c>
      <c r="AD5" s="181">
        <f>IF($C5="","",AC5*VLOOKUP($C5,MATIERES!$A$2:$F$448,4,0))</f>
        <v>0</v>
      </c>
      <c r="AE5" s="180">
        <f t="shared" ref="AE5" si="26">0.2*AE2*1.8</f>
        <v>0</v>
      </c>
      <c r="AF5" s="181">
        <f>IF($C5="","",AE5*VLOOKUP($C5,MATIERES!$A$2:$F$448,4,0))</f>
        <v>0</v>
      </c>
      <c r="AG5" s="180">
        <f t="shared" ref="AG5" si="27">0.2*AG2*1.8</f>
        <v>0</v>
      </c>
      <c r="AH5" s="181">
        <f>IF($C5="","",AG5*VLOOKUP($C5,MATIERES!$A$2:$F$448,4,0))</f>
        <v>0</v>
      </c>
      <c r="AI5" s="180">
        <f t="shared" ref="AI5" si="28">0.2*AI2*1.8</f>
        <v>0</v>
      </c>
      <c r="AJ5" s="181">
        <f>IF($C5="","",AI5*VLOOKUP($C5,MATIERES!$A$2:$F$448,4,0))</f>
        <v>0</v>
      </c>
      <c r="AK5" s="180">
        <f t="shared" ref="AK5" si="29">0.2*AK2*1.8</f>
        <v>7.2</v>
      </c>
      <c r="AL5" s="181">
        <f>IF($C5="","",AK5*VLOOKUP($C5,MATIERES!$A$2:$F$448,4,0))</f>
        <v>144</v>
      </c>
    </row>
    <row r="6" spans="1:38" ht="42.6" customHeight="1" x14ac:dyDescent="0.2">
      <c r="A6" s="1616"/>
      <c r="B6" s="456" t="s">
        <v>1173</v>
      </c>
      <c r="C6" s="182" t="s">
        <v>446</v>
      </c>
      <c r="D6" s="183" t="s">
        <v>447</v>
      </c>
      <c r="E6" s="507"/>
      <c r="F6" s="507"/>
      <c r="G6" s="184">
        <f>H6*(1+Simulation!$P$11)</f>
        <v>121.68000000000004</v>
      </c>
      <c r="H6" s="185">
        <f>SUM(H4:H5)</f>
        <v>93.600000000000023</v>
      </c>
      <c r="I6" s="507"/>
      <c r="J6" s="507"/>
      <c r="K6" s="184">
        <f>L6*(1+Simulation!$P$11)</f>
        <v>202.8</v>
      </c>
      <c r="L6" s="185">
        <f>SUM(L4:L5)</f>
        <v>156</v>
      </c>
      <c r="M6" s="184">
        <f>N6*(1+Simulation!$P$11)</f>
        <v>243.36000000000007</v>
      </c>
      <c r="N6" s="185">
        <f>SUM(N4:N5)</f>
        <v>187.20000000000005</v>
      </c>
      <c r="O6" s="507"/>
      <c r="P6" s="507"/>
      <c r="Q6" s="507"/>
      <c r="R6" s="507"/>
      <c r="S6" s="507"/>
      <c r="T6" s="507"/>
      <c r="U6" s="184">
        <f>V6*(1+Simulation!$P$11)</f>
        <v>405.6</v>
      </c>
      <c r="V6" s="185">
        <f>SUM(V4:V5)</f>
        <v>312</v>
      </c>
      <c r="W6" s="184">
        <f>X6*(1+Simulation!$P$11)</f>
        <v>486.72000000000014</v>
      </c>
      <c r="X6" s="185">
        <f>SUM(X4:X5)</f>
        <v>374.40000000000009</v>
      </c>
      <c r="Y6" s="184">
        <f>Z6*(1+Simulation!$P$11)</f>
        <v>0</v>
      </c>
      <c r="Z6" s="185">
        <f t="shared" ref="Z6" si="30">SUM(Z4:Z5)</f>
        <v>0</v>
      </c>
      <c r="AA6" s="184">
        <f>AB6*(1+Simulation!$P$11)</f>
        <v>0</v>
      </c>
      <c r="AB6" s="185">
        <f t="shared" ref="AB6" si="31">SUM(AB4:AB5)</f>
        <v>0</v>
      </c>
      <c r="AC6" s="184">
        <f>AD6*(1+Simulation!$P$11)</f>
        <v>0</v>
      </c>
      <c r="AD6" s="185">
        <f t="shared" ref="AD6" si="32">SUM(AD4:AD5)</f>
        <v>0</v>
      </c>
      <c r="AE6" s="184">
        <f>AF6*(1+Simulation!$P$11)</f>
        <v>0</v>
      </c>
      <c r="AF6" s="185">
        <f t="shared" ref="AF6" si="33">SUM(AF4:AF5)</f>
        <v>0</v>
      </c>
      <c r="AG6" s="184">
        <f>AH6*(1+Simulation!$P$11)</f>
        <v>0</v>
      </c>
      <c r="AH6" s="185">
        <f t="shared" ref="AH6" si="34">SUM(AH4:AH5)</f>
        <v>0</v>
      </c>
      <c r="AI6" s="184">
        <f>AJ6*(1+Simulation!$P$11)</f>
        <v>0</v>
      </c>
      <c r="AJ6" s="185">
        <f t="shared" ref="AJ6" si="35">SUM(AJ4:AJ5)</f>
        <v>0</v>
      </c>
      <c r="AK6" s="184">
        <f>AL6*(1+Simulation!$P$11)</f>
        <v>811.2</v>
      </c>
      <c r="AL6" s="185">
        <f t="shared" ref="AL6" si="36">SUM(AL4:AL5)</f>
        <v>624</v>
      </c>
    </row>
    <row r="7" spans="1:38" ht="28.35" customHeight="1" x14ac:dyDescent="0.2">
      <c r="A7" s="1617" t="s">
        <v>448</v>
      </c>
      <c r="B7" s="414"/>
      <c r="C7" s="313"/>
      <c r="D7" s="179" t="str">
        <f>IF($C7="","",VLOOKUP($C7,ATELIER!$A$2:$E$109,3,0))</f>
        <v/>
      </c>
      <c r="E7" s="506"/>
      <c r="F7" s="506"/>
      <c r="G7" s="180"/>
      <c r="H7" s="186" t="str">
        <f>IF($C7="","",G7*VLOOKUP($C7,ATELIER!$A$2:$F$109,4,0))</f>
        <v/>
      </c>
      <c r="I7" s="506"/>
      <c r="J7" s="506"/>
      <c r="K7" s="180"/>
      <c r="L7" s="186" t="str">
        <f>IF($C7="","",K7*VLOOKUP($C7,ATELIER!$A$2:$F$109,4,0))</f>
        <v/>
      </c>
      <c r="M7" s="180"/>
      <c r="N7" s="186" t="str">
        <f>IF($C7="","",M7*VLOOKUP($C7,ATELIER!$A$2:$F$109,4,0))</f>
        <v/>
      </c>
      <c r="O7" s="506"/>
      <c r="P7" s="506"/>
      <c r="Q7" s="506"/>
      <c r="R7" s="506"/>
      <c r="S7" s="506"/>
      <c r="T7" s="506"/>
      <c r="U7" s="180"/>
      <c r="V7" s="186" t="str">
        <f>IF($C7="","",U7*VLOOKUP($C7,ATELIER!$A$2:$F$109,4,0))</f>
        <v/>
      </c>
      <c r="W7" s="180"/>
      <c r="X7" s="186" t="str">
        <f>IF($C7="","",W7*VLOOKUP($C7,ATELIER!$A$2:$F$109,4,0))</f>
        <v/>
      </c>
      <c r="Y7" s="180"/>
      <c r="Z7" s="186" t="str">
        <f>IF($C7="","",Y7*VLOOKUP($C7,ATELIER!$A$2:$F$109,4,0))</f>
        <v/>
      </c>
      <c r="AA7" s="180"/>
      <c r="AB7" s="186" t="str">
        <f>IF($C7="","",AA7*VLOOKUP($C7,ATELIER!$A$2:$F$109,4,0))</f>
        <v/>
      </c>
      <c r="AC7" s="180"/>
      <c r="AD7" s="186" t="str">
        <f>IF($C7="","",AC7*VLOOKUP($C7,ATELIER!$A$2:$F$109,4,0))</f>
        <v/>
      </c>
      <c r="AE7" s="180"/>
      <c r="AF7" s="186" t="str">
        <f>IF($C7="","",AE7*VLOOKUP($C7,ATELIER!$A$2:$F$109,4,0))</f>
        <v/>
      </c>
      <c r="AG7" s="180"/>
      <c r="AH7" s="186" t="str">
        <f>IF($C7="","",AG7*VLOOKUP($C7,ATELIER!$A$2:$F$109,4,0))</f>
        <v/>
      </c>
      <c r="AI7" s="180"/>
      <c r="AJ7" s="186" t="str">
        <f>IF($C7="","",AI7*VLOOKUP($C7,ATELIER!$A$2:$F$109,4,0))</f>
        <v/>
      </c>
      <c r="AK7" s="180"/>
      <c r="AL7" s="186" t="str">
        <f>IF($C7="","",AK7*VLOOKUP($C7,ATELIER!$A$2:$F$109,4,0))</f>
        <v/>
      </c>
    </row>
    <row r="8" spans="1:38" ht="28.35" customHeight="1" x14ac:dyDescent="0.2">
      <c r="A8" s="1617"/>
      <c r="B8" s="414"/>
      <c r="C8" s="313"/>
      <c r="D8" s="179" t="str">
        <f>IF($C8="","",VLOOKUP($C8,ATELIER!$A$2:$E$109,3,0))</f>
        <v/>
      </c>
      <c r="E8" s="506"/>
      <c r="F8" s="506"/>
      <c r="G8" s="180"/>
      <c r="H8" s="186" t="str">
        <f>IF($C8="","",G8*VLOOKUP($C8,ATELIER!$A$2:$F$109,4,0))</f>
        <v/>
      </c>
      <c r="I8" s="506"/>
      <c r="J8" s="506"/>
      <c r="K8" s="180"/>
      <c r="L8" s="186" t="str">
        <f>IF($C8="","",K8*VLOOKUP($C8,ATELIER!$A$2:$F$109,4,0))</f>
        <v/>
      </c>
      <c r="M8" s="180"/>
      <c r="N8" s="186" t="str">
        <f>IF($C8="","",M8*VLOOKUP($C8,ATELIER!$A$2:$F$109,4,0))</f>
        <v/>
      </c>
      <c r="O8" s="506"/>
      <c r="P8" s="506"/>
      <c r="Q8" s="506"/>
      <c r="R8" s="506"/>
      <c r="S8" s="506"/>
      <c r="T8" s="506"/>
      <c r="U8" s="180"/>
      <c r="V8" s="186" t="str">
        <f>IF($C8="","",U8*VLOOKUP($C8,ATELIER!$A$2:$F$109,4,0))</f>
        <v/>
      </c>
      <c r="W8" s="180"/>
      <c r="X8" s="186" t="str">
        <f>IF($C8="","",W8*VLOOKUP($C8,ATELIER!$A$2:$F$109,4,0))</f>
        <v/>
      </c>
      <c r="Y8" s="180"/>
      <c r="Z8" s="186" t="str">
        <f>IF($C8="","",Y8*VLOOKUP($C8,ATELIER!$A$2:$F$109,4,0))</f>
        <v/>
      </c>
      <c r="AA8" s="180"/>
      <c r="AB8" s="186" t="str">
        <f>IF($C8="","",AA8*VLOOKUP($C8,ATELIER!$A$2:$F$109,4,0))</f>
        <v/>
      </c>
      <c r="AC8" s="180"/>
      <c r="AD8" s="186" t="str">
        <f>IF($C8="","",AC8*VLOOKUP($C8,ATELIER!$A$2:$F$109,4,0))</f>
        <v/>
      </c>
      <c r="AE8" s="180"/>
      <c r="AF8" s="186" t="str">
        <f>IF($C8="","",AE8*VLOOKUP($C8,ATELIER!$A$2:$F$109,4,0))</f>
        <v/>
      </c>
      <c r="AG8" s="180"/>
      <c r="AH8" s="186" t="str">
        <f>IF($C8="","",AG8*VLOOKUP($C8,ATELIER!$A$2:$F$109,4,0))</f>
        <v/>
      </c>
      <c r="AI8" s="180"/>
      <c r="AJ8" s="186" t="str">
        <f>IF($C8="","",AI8*VLOOKUP($C8,ATELIER!$A$2:$F$109,4,0))</f>
        <v/>
      </c>
      <c r="AK8" s="180"/>
      <c r="AL8" s="186" t="str">
        <f>IF($C8="","",AK8*VLOOKUP($C8,ATELIER!$A$2:$F$109,4,0))</f>
        <v/>
      </c>
    </row>
    <row r="9" spans="1:38" ht="45" customHeight="1" x14ac:dyDescent="0.2">
      <c r="A9" s="1617"/>
      <c r="B9" s="415" t="s">
        <v>449</v>
      </c>
      <c r="C9" s="187" t="s">
        <v>450</v>
      </c>
      <c r="D9" s="188" t="s">
        <v>451</v>
      </c>
      <c r="E9" s="508"/>
      <c r="F9" s="508"/>
      <c r="G9" s="189">
        <f>H9*Simulation!$P$8</f>
        <v>0</v>
      </c>
      <c r="H9" s="190">
        <f>SUM(H7:H8)</f>
        <v>0</v>
      </c>
      <c r="I9" s="508"/>
      <c r="J9" s="508"/>
      <c r="K9" s="189">
        <f>L9*Simulation!$P$8</f>
        <v>0</v>
      </c>
      <c r="L9" s="190">
        <f>SUM(L7:L8)</f>
        <v>0</v>
      </c>
      <c r="M9" s="189">
        <f>N9*Simulation!$P$8</f>
        <v>0</v>
      </c>
      <c r="N9" s="190">
        <f>SUM(N7:N8)</f>
        <v>0</v>
      </c>
      <c r="O9" s="508"/>
      <c r="P9" s="508"/>
      <c r="Q9" s="508"/>
      <c r="R9" s="508"/>
      <c r="S9" s="508"/>
      <c r="T9" s="508"/>
      <c r="U9" s="189">
        <f>V9*Simulation!$P$8</f>
        <v>0</v>
      </c>
      <c r="V9" s="190">
        <f>SUM(V7:V8)</f>
        <v>0</v>
      </c>
      <c r="W9" s="189">
        <f>X9*Simulation!$P$8</f>
        <v>0</v>
      </c>
      <c r="X9" s="190">
        <f>SUM(X7:X8)</f>
        <v>0</v>
      </c>
      <c r="Y9" s="189">
        <f>Z9*Simulation!$P$8</f>
        <v>0</v>
      </c>
      <c r="Z9" s="190">
        <f t="shared" ref="Z9" si="37">SUM(Z7:Z8)</f>
        <v>0</v>
      </c>
      <c r="AA9" s="189">
        <f>AB9*Simulation!$P$8</f>
        <v>0</v>
      </c>
      <c r="AB9" s="190">
        <f t="shared" ref="AB9" si="38">SUM(AB7:AB8)</f>
        <v>0</v>
      </c>
      <c r="AC9" s="189">
        <f>AD9*Simulation!$P$8</f>
        <v>0</v>
      </c>
      <c r="AD9" s="190">
        <f t="shared" ref="AD9" si="39">SUM(AD7:AD8)</f>
        <v>0</v>
      </c>
      <c r="AE9" s="189">
        <f>AF9*Simulation!$P$8</f>
        <v>0</v>
      </c>
      <c r="AF9" s="190">
        <f t="shared" ref="AF9" si="40">SUM(AF7:AF8)</f>
        <v>0</v>
      </c>
      <c r="AG9" s="189">
        <f>AH9*Simulation!$P$8</f>
        <v>0</v>
      </c>
      <c r="AH9" s="190">
        <f t="shared" ref="AH9" si="41">SUM(AH7:AH8)</f>
        <v>0</v>
      </c>
      <c r="AI9" s="189">
        <f>AJ9*Simulation!$P$8</f>
        <v>0</v>
      </c>
      <c r="AJ9" s="190">
        <f t="shared" ref="AJ9" si="42">SUM(AJ7:AJ8)</f>
        <v>0</v>
      </c>
      <c r="AK9" s="189">
        <f>AL9*Simulation!$P$8</f>
        <v>0</v>
      </c>
      <c r="AL9" s="190">
        <f t="shared" ref="AL9" si="43">SUM(AL7:AL8)</f>
        <v>0</v>
      </c>
    </row>
    <row r="10" spans="1:38" ht="28.35" customHeight="1" x14ac:dyDescent="0.2">
      <c r="A10" s="1618" t="s">
        <v>452</v>
      </c>
      <c r="B10" s="414"/>
      <c r="C10" s="315"/>
      <c r="D10" s="179" t="str">
        <f>IF(C10="","",VLOOKUP($C10,CHANTIER!$A$2:$C$83,3,0))</f>
        <v/>
      </c>
      <c r="E10" s="506"/>
      <c r="F10" s="506"/>
      <c r="G10" s="180"/>
      <c r="H10" s="186" t="str">
        <f>IF($C10="","",G10*VLOOKUP($C10,CHANTIER!$A$2:$D$83,4,0))</f>
        <v/>
      </c>
      <c r="I10" s="506"/>
      <c r="J10" s="506"/>
      <c r="K10" s="180"/>
      <c r="L10" s="186" t="str">
        <f>IF($C10="","",K10*VLOOKUP($C10,CHANTIER!$A$2:$D$83,4,0))</f>
        <v/>
      </c>
      <c r="M10" s="180"/>
      <c r="N10" s="186" t="str">
        <f>IF($C10="","",M10*VLOOKUP($C10,CHANTIER!$A$2:$D$83,4,0))</f>
        <v/>
      </c>
      <c r="O10" s="506"/>
      <c r="P10" s="506"/>
      <c r="Q10" s="506"/>
      <c r="R10" s="506"/>
      <c r="S10" s="506"/>
      <c r="T10" s="506"/>
      <c r="U10" s="180"/>
      <c r="V10" s="186" t="str">
        <f>IF($C10="","",U10*VLOOKUP($C10,CHANTIER!$A$2:$D$83,4,0))</f>
        <v/>
      </c>
      <c r="W10" s="180"/>
      <c r="X10" s="186" t="str">
        <f>IF($C10="","",W10*VLOOKUP($C10,CHANTIER!$A$2:$D$83,4,0))</f>
        <v/>
      </c>
      <c r="Y10" s="180"/>
      <c r="Z10" s="186" t="str">
        <f>IF($C10="","",Y10*VLOOKUP($C10,CHANTIER!$A$2:$D$83,4,0))</f>
        <v/>
      </c>
      <c r="AA10" s="180"/>
      <c r="AB10" s="186" t="str">
        <f>IF($C10="","",AA10*VLOOKUP($C10,CHANTIER!$A$2:$D$83,4,0))</f>
        <v/>
      </c>
      <c r="AC10" s="180"/>
      <c r="AD10" s="186" t="str">
        <f>IF($C10="","",AC10*VLOOKUP($C10,CHANTIER!$A$2:$D$83,4,0))</f>
        <v/>
      </c>
      <c r="AE10" s="180"/>
      <c r="AF10" s="186" t="str">
        <f>IF($C10="","",AE10*VLOOKUP($C10,CHANTIER!$A$2:$D$83,4,0))</f>
        <v/>
      </c>
      <c r="AG10" s="180"/>
      <c r="AH10" s="186" t="str">
        <f>IF($C10="","",AG10*VLOOKUP($C10,CHANTIER!$A$2:$D$83,4,0))</f>
        <v/>
      </c>
      <c r="AI10" s="180"/>
      <c r="AJ10" s="186" t="str">
        <f>IF($C10="","",AI10*VLOOKUP($C10,CHANTIER!$A$2:$D$83,4,0))</f>
        <v/>
      </c>
      <c r="AK10" s="180"/>
      <c r="AL10" s="186" t="str">
        <f>IF($C10="","",AK10*VLOOKUP($C10,CHANTIER!$A$2:$D$83,4,0))</f>
        <v/>
      </c>
    </row>
    <row r="11" spans="1:38" ht="28.35" customHeight="1" x14ac:dyDescent="0.2">
      <c r="A11" s="1618"/>
      <c r="B11" s="414"/>
      <c r="C11" s="315"/>
      <c r="D11" s="179" t="str">
        <f>IF(C11="","",VLOOKUP($C11,CHANTIER!$A$2:$C$83,3,0))</f>
        <v/>
      </c>
      <c r="E11" s="506"/>
      <c r="F11" s="506"/>
      <c r="G11" s="180"/>
      <c r="H11" s="186" t="str">
        <f>IF($C11="","",G11*VLOOKUP($C11,CHANTIER!$A$2:$D$83,4,0))</f>
        <v/>
      </c>
      <c r="I11" s="506"/>
      <c r="J11" s="506"/>
      <c r="K11" s="180"/>
      <c r="L11" s="186" t="str">
        <f>IF($C11="","",K11*VLOOKUP($C11,CHANTIER!$A$2:$D$83,4,0))</f>
        <v/>
      </c>
      <c r="M11" s="180"/>
      <c r="N11" s="186" t="str">
        <f>IF($C11="","",M11*VLOOKUP($C11,CHANTIER!$A$2:$D$83,4,0))</f>
        <v/>
      </c>
      <c r="O11" s="506"/>
      <c r="P11" s="506"/>
      <c r="Q11" s="506"/>
      <c r="R11" s="506"/>
      <c r="S11" s="506"/>
      <c r="T11" s="506"/>
      <c r="U11" s="180"/>
      <c r="V11" s="186" t="str">
        <f>IF($C11="","",U11*VLOOKUP($C11,CHANTIER!$A$2:$D$83,4,0))</f>
        <v/>
      </c>
      <c r="W11" s="180"/>
      <c r="X11" s="186" t="str">
        <f>IF($C11="","",W11*VLOOKUP($C11,CHANTIER!$A$2:$D$83,4,0))</f>
        <v/>
      </c>
      <c r="Y11" s="180"/>
      <c r="Z11" s="186" t="str">
        <f>IF($C11="","",Y11*VLOOKUP($C11,CHANTIER!$A$2:$D$83,4,0))</f>
        <v/>
      </c>
      <c r="AA11" s="180"/>
      <c r="AB11" s="186" t="str">
        <f>IF($C11="","",AA11*VLOOKUP($C11,CHANTIER!$A$2:$D$83,4,0))</f>
        <v/>
      </c>
      <c r="AC11" s="180"/>
      <c r="AD11" s="186" t="str">
        <f>IF($C11="","",AC11*VLOOKUP($C11,CHANTIER!$A$2:$D$83,4,0))</f>
        <v/>
      </c>
      <c r="AE11" s="180"/>
      <c r="AF11" s="186" t="str">
        <f>IF($C11="","",AE11*VLOOKUP($C11,CHANTIER!$A$2:$D$83,4,0))</f>
        <v/>
      </c>
      <c r="AG11" s="180"/>
      <c r="AH11" s="186" t="str">
        <f>IF($C11="","",AG11*VLOOKUP($C11,CHANTIER!$A$2:$D$83,4,0))</f>
        <v/>
      </c>
      <c r="AI11" s="180"/>
      <c r="AJ11" s="186" t="str">
        <f>IF($C11="","",AI11*VLOOKUP($C11,CHANTIER!$A$2:$D$83,4,0))</f>
        <v/>
      </c>
      <c r="AK11" s="180"/>
      <c r="AL11" s="186" t="str">
        <f>IF($C11="","",AK11*VLOOKUP($C11,CHANTIER!$A$2:$D$83,4,0))</f>
        <v/>
      </c>
    </row>
    <row r="12" spans="1:38" ht="42.75" customHeight="1" x14ac:dyDescent="0.2">
      <c r="A12" s="1618"/>
      <c r="B12" s="416" t="s">
        <v>453</v>
      </c>
      <c r="C12" s="191" t="s">
        <v>450</v>
      </c>
      <c r="D12" s="192" t="s">
        <v>451</v>
      </c>
      <c r="E12" s="509"/>
      <c r="F12" s="509"/>
      <c r="G12" s="193">
        <f>H12*Simulation!$P$9</f>
        <v>0</v>
      </c>
      <c r="H12" s="194">
        <f>SUM(H10:H11)</f>
        <v>0</v>
      </c>
      <c r="I12" s="509"/>
      <c r="J12" s="509"/>
      <c r="K12" s="193">
        <f>L12*Simulation!$P$9</f>
        <v>0</v>
      </c>
      <c r="L12" s="194">
        <f>SUM(L10:L11)</f>
        <v>0</v>
      </c>
      <c r="M12" s="193">
        <f>N12*Simulation!$P$9</f>
        <v>0</v>
      </c>
      <c r="N12" s="194">
        <f>SUM(N10:N11)</f>
        <v>0</v>
      </c>
      <c r="O12" s="509"/>
      <c r="P12" s="509"/>
      <c r="Q12" s="509"/>
      <c r="R12" s="509"/>
      <c r="S12" s="509"/>
      <c r="T12" s="509"/>
      <c r="U12" s="193">
        <f>V12*Simulation!$P$9</f>
        <v>0</v>
      </c>
      <c r="V12" s="194">
        <f>SUM(V10:V11)</f>
        <v>0</v>
      </c>
      <c r="W12" s="193">
        <f>X12*Simulation!$P$9</f>
        <v>0</v>
      </c>
      <c r="X12" s="194">
        <f>SUM(X10:X11)</f>
        <v>0</v>
      </c>
      <c r="Y12" s="193">
        <f>Z12*Simulation!$P$9</f>
        <v>0</v>
      </c>
      <c r="Z12" s="194">
        <f t="shared" ref="Z12" si="44">SUM(Z10:Z11)</f>
        <v>0</v>
      </c>
      <c r="AA12" s="193">
        <f>AB12*Simulation!$P$9</f>
        <v>0</v>
      </c>
      <c r="AB12" s="194">
        <f t="shared" ref="AB12" si="45">SUM(AB10:AB11)</f>
        <v>0</v>
      </c>
      <c r="AC12" s="193">
        <f>AD12*Simulation!$P$9</f>
        <v>0</v>
      </c>
      <c r="AD12" s="194">
        <f t="shared" ref="AD12" si="46">SUM(AD10:AD11)</f>
        <v>0</v>
      </c>
      <c r="AE12" s="193">
        <f>AF12*Simulation!$P$9</f>
        <v>0</v>
      </c>
      <c r="AF12" s="194">
        <f t="shared" ref="AF12" si="47">SUM(AF10:AF11)</f>
        <v>0</v>
      </c>
      <c r="AG12" s="193">
        <f>AH12*Simulation!$P$9</f>
        <v>0</v>
      </c>
      <c r="AH12" s="194">
        <f t="shared" ref="AH12" si="48">SUM(AH10:AH11)</f>
        <v>0</v>
      </c>
      <c r="AI12" s="193">
        <f>AJ12*Simulation!$P$9</f>
        <v>0</v>
      </c>
      <c r="AJ12" s="194">
        <f t="shared" ref="AJ12" si="49">SUM(AJ10:AJ11)</f>
        <v>0</v>
      </c>
      <c r="AK12" s="193">
        <f>AL12*Simulation!$P$9</f>
        <v>0</v>
      </c>
      <c r="AL12" s="194">
        <f t="shared" ref="AL12" si="50">SUM(AL10:AL11)</f>
        <v>0</v>
      </c>
    </row>
    <row r="13" spans="1:38" ht="28.35" customHeight="1" x14ac:dyDescent="0.2">
      <c r="A13" s="1615" t="s">
        <v>4</v>
      </c>
      <c r="B13" s="414" t="s">
        <v>1172</v>
      </c>
      <c r="C13" s="315" t="s">
        <v>102</v>
      </c>
      <c r="D13" s="179" t="str">
        <f>IF(C13="","",VLOOKUP($C13,MINIPELLE!$A$2:$C$28,3,0))</f>
        <v>m3</v>
      </c>
      <c r="E13" s="506"/>
      <c r="F13" s="506"/>
      <c r="G13" s="180">
        <f>G2*0.9*1.1*2</f>
        <v>5.9400000000000013</v>
      </c>
      <c r="H13" s="186">
        <f>IF($C13="","",G13*VLOOKUP($C13,MINIPELLE!$A$2:$D$28,4,0))</f>
        <v>1.4850000000000003</v>
      </c>
      <c r="I13" s="506"/>
      <c r="J13" s="506"/>
      <c r="K13" s="180">
        <f>K2*0.9*1.1*2</f>
        <v>9.9</v>
      </c>
      <c r="L13" s="186">
        <f>IF($C13="","",K13*VLOOKUP($C13,MINIPELLE!$A$2:$D$28,4,0))</f>
        <v>2.4750000000000001</v>
      </c>
      <c r="M13" s="180">
        <f>M2*0.8*1.1*2</f>
        <v>10.560000000000002</v>
      </c>
      <c r="N13" s="186">
        <f>IF($C13="","",M13*VLOOKUP($C13,MINIPELLE!$A$2:$D$28,4,0))</f>
        <v>2.6400000000000006</v>
      </c>
      <c r="O13" s="506"/>
      <c r="P13" s="506"/>
      <c r="Q13" s="506"/>
      <c r="R13" s="506"/>
      <c r="S13" s="506"/>
      <c r="T13" s="506"/>
      <c r="U13" s="180">
        <f>U2*0.9*1.1*2</f>
        <v>19.8</v>
      </c>
      <c r="V13" s="186">
        <f>IF($C13="","",U13*VLOOKUP($C13,MINIPELLE!$A$2:$D$28,4,0))</f>
        <v>4.95</v>
      </c>
      <c r="W13" s="180">
        <f>W2*0.9*1.1*2</f>
        <v>23.760000000000005</v>
      </c>
      <c r="X13" s="186">
        <f>IF($C13="","",W13*VLOOKUP($C13,MINIPELLE!$A$2:$D$28,4,0))</f>
        <v>5.9400000000000013</v>
      </c>
      <c r="Y13" s="180">
        <f t="shared" ref="Y13" si="51">Y2*0.9*1.1*2</f>
        <v>0</v>
      </c>
      <c r="Z13" s="186">
        <f>IF($C13="","",Y13*VLOOKUP($C13,MINIPELLE!$A$2:$D$28,4,0))</f>
        <v>0</v>
      </c>
      <c r="AA13" s="180">
        <f t="shared" ref="AA13" si="52">AA2*0.9*1.1*2</f>
        <v>0</v>
      </c>
      <c r="AB13" s="186">
        <f>IF($C13="","",AA13*VLOOKUP($C13,MINIPELLE!$A$2:$D$28,4,0))</f>
        <v>0</v>
      </c>
      <c r="AC13" s="180">
        <f t="shared" ref="AC13" si="53">AC2*0.9*1.1*2</f>
        <v>0</v>
      </c>
      <c r="AD13" s="186">
        <f>IF($C13="","",AC13*VLOOKUP($C13,MINIPELLE!$A$2:$D$28,4,0))</f>
        <v>0</v>
      </c>
      <c r="AE13" s="180">
        <f t="shared" ref="AE13" si="54">AE2*0.9*1.1*2</f>
        <v>0</v>
      </c>
      <c r="AF13" s="186">
        <f>IF($C13="","",AE13*VLOOKUP($C13,MINIPELLE!$A$2:$D$28,4,0))</f>
        <v>0</v>
      </c>
      <c r="AG13" s="180">
        <f t="shared" ref="AG13" si="55">AG2*0.9*1.1*2</f>
        <v>0</v>
      </c>
      <c r="AH13" s="186">
        <f>IF($C13="","",AG13*VLOOKUP($C13,MINIPELLE!$A$2:$D$28,4,0))</f>
        <v>0</v>
      </c>
      <c r="AI13" s="180">
        <f t="shared" ref="AI13" si="56">AI2*0.9*1.1*2</f>
        <v>0</v>
      </c>
      <c r="AJ13" s="186">
        <f>IF($C13="","",AI13*VLOOKUP($C13,MINIPELLE!$A$2:$D$28,4,0))</f>
        <v>0</v>
      </c>
      <c r="AK13" s="180">
        <f t="shared" ref="AK13" si="57">AK2*0.9*1.1*2</f>
        <v>39.6</v>
      </c>
      <c r="AL13" s="186">
        <f>IF($C13="","",AK13*VLOOKUP($C13,MINIPELLE!$A$2:$D$28,4,0))</f>
        <v>9.9</v>
      </c>
    </row>
    <row r="14" spans="1:38" ht="28.35" customHeight="1" x14ac:dyDescent="0.2">
      <c r="A14" s="1615"/>
      <c r="B14" s="414" t="s">
        <v>1172</v>
      </c>
      <c r="C14" s="315" t="s">
        <v>1245</v>
      </c>
      <c r="D14" s="179" t="str">
        <f>IF(C14="","",VLOOKUP($C14,MINIPELLE!$A$2:$C$28,3,0))</f>
        <v>pc</v>
      </c>
      <c r="E14" s="506"/>
      <c r="F14" s="506"/>
      <c r="G14" s="180">
        <v>1</v>
      </c>
      <c r="H14" s="186">
        <f>IF($C14="","",G14*VLOOKUP($C14,MINIPELLE!$A$2:$D$28,4,0))</f>
        <v>0.5</v>
      </c>
      <c r="I14" s="506"/>
      <c r="J14" s="506"/>
      <c r="K14" s="180">
        <v>2</v>
      </c>
      <c r="L14" s="186">
        <f>IF($C14="","",K14*VLOOKUP($C14,MINIPELLE!$A$2:$D$28,4,0))</f>
        <v>1</v>
      </c>
      <c r="M14" s="180">
        <v>2</v>
      </c>
      <c r="N14" s="186">
        <f>IF($C14="","",M14*VLOOKUP($C14,MINIPELLE!$A$2:$D$28,4,0))</f>
        <v>1</v>
      </c>
      <c r="O14" s="506"/>
      <c r="P14" s="506"/>
      <c r="Q14" s="506"/>
      <c r="R14" s="506"/>
      <c r="S14" s="506"/>
      <c r="T14" s="506"/>
      <c r="U14" s="180">
        <v>4</v>
      </c>
      <c r="V14" s="186">
        <f>IF($C14="","",U14*VLOOKUP($C14,MINIPELLE!$A$2:$D$28,4,0))</f>
        <v>2</v>
      </c>
      <c r="W14" s="180">
        <v>4</v>
      </c>
      <c r="X14" s="186">
        <f>IF($C14="","",W14*VLOOKUP($C14,MINIPELLE!$A$2:$D$28,4,0))</f>
        <v>2</v>
      </c>
      <c r="Y14" s="180">
        <v>5</v>
      </c>
      <c r="Z14" s="186">
        <f>IF($C14="","",Y14*VLOOKUP($C14,MINIPELLE!$A$2:$D$28,4,0))</f>
        <v>2.5</v>
      </c>
      <c r="AA14" s="180">
        <v>6</v>
      </c>
      <c r="AB14" s="186">
        <f>IF($C14="","",AA14*VLOOKUP($C14,MINIPELLE!$A$2:$D$28,4,0))</f>
        <v>3</v>
      </c>
      <c r="AC14" s="180">
        <v>7</v>
      </c>
      <c r="AD14" s="186">
        <f>IF($C14="","",AC14*VLOOKUP($C14,MINIPELLE!$A$2:$D$28,4,0))</f>
        <v>3.5</v>
      </c>
      <c r="AE14" s="180">
        <v>8</v>
      </c>
      <c r="AF14" s="186">
        <f>IF($C14="","",AE14*VLOOKUP($C14,MINIPELLE!$A$2:$D$28,4,0))</f>
        <v>4</v>
      </c>
      <c r="AG14" s="180">
        <v>9</v>
      </c>
      <c r="AH14" s="186">
        <f>IF($C14="","",AG14*VLOOKUP($C14,MINIPELLE!$A$2:$D$28,4,0))</f>
        <v>4.5</v>
      </c>
      <c r="AI14" s="180">
        <v>10</v>
      </c>
      <c r="AJ14" s="186">
        <f>IF($C14="","",AI14*VLOOKUP($C14,MINIPELLE!$A$2:$D$28,4,0))</f>
        <v>5</v>
      </c>
      <c r="AK14" s="180">
        <v>11</v>
      </c>
      <c r="AL14" s="186">
        <f>IF($C14="","",AK14*VLOOKUP($C14,MINIPELLE!$A$2:$D$28,4,0))</f>
        <v>5.5</v>
      </c>
    </row>
    <row r="15" spans="1:38" ht="45" customHeight="1" x14ac:dyDescent="0.2">
      <c r="A15" s="1615"/>
      <c r="B15" s="417" t="s">
        <v>454</v>
      </c>
      <c r="C15" s="195" t="s">
        <v>455</v>
      </c>
      <c r="D15" s="196" t="s">
        <v>451</v>
      </c>
      <c r="E15" s="510"/>
      <c r="F15" s="510"/>
      <c r="G15" s="197">
        <f>H15*Simulation!$P$10</f>
        <v>158.80000000000001</v>
      </c>
      <c r="H15" s="198">
        <f>SUM(H13:H14)</f>
        <v>1.9850000000000003</v>
      </c>
      <c r="I15" s="510"/>
      <c r="J15" s="510"/>
      <c r="K15" s="197">
        <f>L15*Simulation!$P$10</f>
        <v>278</v>
      </c>
      <c r="L15" s="198">
        <f>SUM(L13:L14)</f>
        <v>3.4750000000000001</v>
      </c>
      <c r="M15" s="197">
        <f>N15*Simulation!$P$10</f>
        <v>291.20000000000005</v>
      </c>
      <c r="N15" s="198">
        <f>SUM(N13:N14)</f>
        <v>3.6400000000000006</v>
      </c>
      <c r="O15" s="510"/>
      <c r="P15" s="510"/>
      <c r="Q15" s="510"/>
      <c r="R15" s="510"/>
      <c r="S15" s="510"/>
      <c r="T15" s="510"/>
      <c r="U15" s="197">
        <f>V15*Simulation!$P$10</f>
        <v>556</v>
      </c>
      <c r="V15" s="198">
        <f>SUM(V13:V14)</f>
        <v>6.95</v>
      </c>
      <c r="W15" s="197">
        <f>X15*Simulation!$P$10</f>
        <v>635.20000000000005</v>
      </c>
      <c r="X15" s="198">
        <f>SUM(X13:X14)</f>
        <v>7.9400000000000013</v>
      </c>
      <c r="Y15" s="197">
        <f>Z15*Simulation!$P$10</f>
        <v>200</v>
      </c>
      <c r="Z15" s="198">
        <f t="shared" ref="Z15" si="58">SUM(Z13:Z14)</f>
        <v>2.5</v>
      </c>
      <c r="AA15" s="197">
        <f>AB15*Simulation!$P$10</f>
        <v>240</v>
      </c>
      <c r="AB15" s="198">
        <f t="shared" ref="AB15" si="59">SUM(AB13:AB14)</f>
        <v>3</v>
      </c>
      <c r="AC15" s="197">
        <f>AD15*Simulation!$P$10</f>
        <v>280</v>
      </c>
      <c r="AD15" s="198">
        <f t="shared" ref="AD15" si="60">SUM(AD13:AD14)</f>
        <v>3.5</v>
      </c>
      <c r="AE15" s="197">
        <f>AF15*Simulation!$P$10</f>
        <v>320</v>
      </c>
      <c r="AF15" s="198">
        <f t="shared" ref="AF15" si="61">SUM(AF13:AF14)</f>
        <v>4</v>
      </c>
      <c r="AG15" s="197">
        <f>AH15*Simulation!$P$10</f>
        <v>360</v>
      </c>
      <c r="AH15" s="198">
        <f t="shared" ref="AH15" si="62">SUM(AH13:AH14)</f>
        <v>4.5</v>
      </c>
      <c r="AI15" s="197">
        <f>AJ15*Simulation!$P$10</f>
        <v>400</v>
      </c>
      <c r="AJ15" s="198">
        <f t="shared" ref="AJ15" si="63">SUM(AJ13:AJ14)</f>
        <v>5</v>
      </c>
      <c r="AK15" s="197">
        <f>AL15*Simulation!$P$10</f>
        <v>1232</v>
      </c>
      <c r="AL15" s="198">
        <f t="shared" ref="AL15" si="64">SUM(AL13:AL14)</f>
        <v>15.4</v>
      </c>
    </row>
    <row r="16" spans="1:38" x14ac:dyDescent="0.2">
      <c r="A16" s="199"/>
      <c r="B16" s="172"/>
      <c r="C16" s="200"/>
      <c r="D16" s="201"/>
      <c r="E16" s="511"/>
      <c r="F16" s="511"/>
      <c r="G16" s="202"/>
      <c r="H16" s="203"/>
      <c r="I16" s="511"/>
      <c r="J16" s="511"/>
      <c r="K16" s="202"/>
      <c r="L16" s="203"/>
      <c r="M16" s="202"/>
      <c r="N16" s="203"/>
      <c r="O16" s="511"/>
      <c r="P16" s="511"/>
      <c r="Q16" s="511"/>
      <c r="R16" s="511"/>
      <c r="S16" s="511"/>
      <c r="T16" s="511"/>
      <c r="U16" s="202"/>
      <c r="V16" s="203"/>
      <c r="W16" s="202"/>
      <c r="X16" s="203"/>
      <c r="Y16" s="511"/>
      <c r="Z16" s="511"/>
      <c r="AA16" s="511"/>
      <c r="AB16" s="511"/>
      <c r="AC16" s="511"/>
      <c r="AD16" s="511"/>
      <c r="AE16" s="511"/>
      <c r="AF16" s="511"/>
      <c r="AG16" s="511"/>
      <c r="AH16" s="511"/>
      <c r="AI16" s="511"/>
      <c r="AJ16" s="511"/>
      <c r="AK16" s="202"/>
      <c r="AL16" s="203"/>
    </row>
    <row r="17" spans="1:38" ht="42.6" customHeight="1" x14ac:dyDescent="0.2">
      <c r="A17" s="204"/>
      <c r="B17" s="234" t="s">
        <v>456</v>
      </c>
      <c r="C17" s="1564" t="s">
        <v>445</v>
      </c>
      <c r="D17" s="1564"/>
      <c r="E17" s="512"/>
      <c r="F17" s="512"/>
      <c r="G17" s="1547">
        <f>G15+G12+G9+G6</f>
        <v>280.48</v>
      </c>
      <c r="H17" s="1547"/>
      <c r="I17" s="512"/>
      <c r="J17" s="512"/>
      <c r="K17" s="1547">
        <f>K15+K12+K9+K6</f>
        <v>480.8</v>
      </c>
      <c r="L17" s="1547"/>
      <c r="M17" s="1547">
        <f>M15+M12+M9+M6</f>
        <v>534.56000000000017</v>
      </c>
      <c r="N17" s="1547"/>
      <c r="O17" s="512"/>
      <c r="P17" s="512"/>
      <c r="Q17" s="512"/>
      <c r="R17" s="512"/>
      <c r="S17" s="512"/>
      <c r="T17" s="512"/>
      <c r="U17" s="1547">
        <f>U15+U12+U9+U6</f>
        <v>961.6</v>
      </c>
      <c r="V17" s="1547"/>
      <c r="W17" s="1547">
        <f>W15+W12+W9+W6</f>
        <v>1121.92</v>
      </c>
      <c r="X17" s="1547"/>
      <c r="Y17" s="512"/>
      <c r="Z17" s="512"/>
      <c r="AA17" s="512"/>
      <c r="AB17" s="512"/>
      <c r="AC17" s="512"/>
      <c r="AD17" s="512"/>
      <c r="AE17" s="512"/>
      <c r="AF17" s="512"/>
      <c r="AG17" s="512"/>
      <c r="AH17" s="512"/>
      <c r="AI17" s="512"/>
      <c r="AJ17" s="512"/>
      <c r="AK17" s="1374">
        <f>AK15+AK12+AK9+AK6</f>
        <v>2043.2</v>
      </c>
      <c r="AL17"/>
    </row>
    <row r="18" spans="1:38" ht="42.6" customHeight="1" x14ac:dyDescent="0.2">
      <c r="A18" s="154"/>
      <c r="B18" s="206"/>
      <c r="C18" s="1565" t="s">
        <v>457</v>
      </c>
      <c r="D18" s="1565"/>
      <c r="E18" s="513"/>
      <c r="F18" s="513"/>
      <c r="G18" s="149">
        <f>G6-H6</f>
        <v>28.080000000000013</v>
      </c>
      <c r="H18" s="207">
        <f>G18/G$17</f>
        <v>0.10011409013120369</v>
      </c>
      <c r="I18" s="513"/>
      <c r="J18" s="513"/>
      <c r="K18" s="149">
        <f>K6-L6</f>
        <v>46.800000000000011</v>
      </c>
      <c r="L18" s="207">
        <f>K18/K$17</f>
        <v>9.7337770382695532E-2</v>
      </c>
      <c r="M18" s="149">
        <f>M6-N6</f>
        <v>56.160000000000025</v>
      </c>
      <c r="N18" s="207">
        <f>M18/M$17</f>
        <v>0.10505836575875488</v>
      </c>
      <c r="O18" s="513"/>
      <c r="P18" s="513"/>
      <c r="Q18" s="513"/>
      <c r="R18" s="513"/>
      <c r="S18" s="513"/>
      <c r="T18" s="513"/>
      <c r="U18" s="149">
        <f>U6-V6</f>
        <v>93.600000000000023</v>
      </c>
      <c r="V18" s="207">
        <f>U18/U$17</f>
        <v>9.7337770382695532E-2</v>
      </c>
      <c r="W18" s="149">
        <f>W6-X6</f>
        <v>112.32000000000005</v>
      </c>
      <c r="X18" s="207">
        <f>W18/W$17</f>
        <v>0.10011409013120369</v>
      </c>
      <c r="Y18" s="513"/>
      <c r="Z18" s="513"/>
      <c r="AA18" s="513"/>
      <c r="AB18" s="513"/>
      <c r="AC18" s="513"/>
      <c r="AD18" s="513"/>
      <c r="AE18" s="513"/>
      <c r="AF18" s="513"/>
      <c r="AG18" s="513"/>
      <c r="AH18" s="513"/>
      <c r="AI18" s="513"/>
      <c r="AJ18" s="513"/>
      <c r="AK18" s="149" t="e">
        <f>AK6-#REF!</f>
        <v>#REF!</v>
      </c>
      <c r="AL18" s="207" t="e">
        <f>AK18/AK$17</f>
        <v>#REF!</v>
      </c>
    </row>
    <row r="19" spans="1:38" ht="42.6" customHeight="1" x14ac:dyDescent="0.2">
      <c r="A19" s="154"/>
      <c r="B19" s="206"/>
      <c r="C19" s="1565" t="s">
        <v>9</v>
      </c>
      <c r="D19" s="1565"/>
      <c r="E19" s="513"/>
      <c r="F19" s="513"/>
      <c r="G19" s="149">
        <f>G6</f>
        <v>121.68000000000004</v>
      </c>
      <c r="H19" s="207">
        <f>G19/G$17</f>
        <v>0.43382772390188257</v>
      </c>
      <c r="I19" s="513"/>
      <c r="J19" s="513"/>
      <c r="K19" s="149">
        <f>K6</f>
        <v>202.8</v>
      </c>
      <c r="L19" s="207">
        <f>K19/K$17</f>
        <v>0.42179700499168055</v>
      </c>
      <c r="M19" s="149">
        <f>M6</f>
        <v>243.36000000000007</v>
      </c>
      <c r="N19" s="207">
        <f>M19/M$17</f>
        <v>0.45525291828793774</v>
      </c>
      <c r="O19" s="513"/>
      <c r="P19" s="513"/>
      <c r="Q19" s="513"/>
      <c r="R19" s="513"/>
      <c r="S19" s="513"/>
      <c r="T19" s="513"/>
      <c r="U19" s="149">
        <f>U6</f>
        <v>405.6</v>
      </c>
      <c r="V19" s="207">
        <f>U19/U$17</f>
        <v>0.42179700499168055</v>
      </c>
      <c r="W19" s="149">
        <f>W6</f>
        <v>486.72000000000014</v>
      </c>
      <c r="X19" s="207">
        <f>W19/W$17</f>
        <v>0.43382772390188257</v>
      </c>
      <c r="Y19" s="513"/>
      <c r="Z19" s="513"/>
      <c r="AA19" s="513"/>
      <c r="AB19" s="513"/>
      <c r="AC19" s="513"/>
      <c r="AD19" s="513"/>
      <c r="AE19" s="513"/>
      <c r="AF19" s="513"/>
      <c r="AG19" s="513"/>
      <c r="AH19" s="513"/>
      <c r="AI19" s="513"/>
      <c r="AJ19" s="513"/>
      <c r="AK19" s="149">
        <f>AK6</f>
        <v>811.2</v>
      </c>
      <c r="AL19" s="207">
        <f>AK19/AK$17</f>
        <v>0.39702427564604542</v>
      </c>
    </row>
    <row r="20" spans="1:38" ht="42.6" customHeight="1" x14ac:dyDescent="0.2">
      <c r="A20" s="154"/>
      <c r="B20" s="206"/>
      <c r="C20" s="1565" t="s">
        <v>458</v>
      </c>
      <c r="D20" s="1565"/>
      <c r="E20" s="513"/>
      <c r="F20" s="513"/>
      <c r="G20" s="149">
        <f>G9</f>
        <v>0</v>
      </c>
      <c r="H20" s="207">
        <f>G20/G$17</f>
        <v>0</v>
      </c>
      <c r="I20" s="513"/>
      <c r="J20" s="513"/>
      <c r="K20" s="149">
        <f>K9</f>
        <v>0</v>
      </c>
      <c r="L20" s="207">
        <f>K20/K$17</f>
        <v>0</v>
      </c>
      <c r="M20" s="149">
        <f>M9</f>
        <v>0</v>
      </c>
      <c r="N20" s="207">
        <f>M20/M$17</f>
        <v>0</v>
      </c>
      <c r="O20" s="513"/>
      <c r="P20" s="513"/>
      <c r="Q20" s="513"/>
      <c r="R20" s="513"/>
      <c r="S20" s="513"/>
      <c r="T20" s="513"/>
      <c r="U20" s="149">
        <f>U9</f>
        <v>0</v>
      </c>
      <c r="V20" s="207">
        <f>U20/U$17</f>
        <v>0</v>
      </c>
      <c r="W20" s="149">
        <f>W9</f>
        <v>0</v>
      </c>
      <c r="X20" s="207">
        <f>W20/W$17</f>
        <v>0</v>
      </c>
      <c r="Y20" s="513"/>
      <c r="Z20" s="513"/>
      <c r="AA20" s="513"/>
      <c r="AB20" s="513"/>
      <c r="AC20" s="513"/>
      <c r="AD20" s="513"/>
      <c r="AE20" s="513"/>
      <c r="AF20" s="513"/>
      <c r="AG20" s="513"/>
      <c r="AH20" s="513"/>
      <c r="AI20" s="513"/>
      <c r="AJ20" s="513"/>
      <c r="AK20" s="149">
        <f>AK9</f>
        <v>0</v>
      </c>
      <c r="AL20" s="207">
        <f>AK20/AK$17</f>
        <v>0</v>
      </c>
    </row>
    <row r="21" spans="1:38" ht="42.6" customHeight="1" x14ac:dyDescent="0.2">
      <c r="A21" s="154"/>
      <c r="B21" s="206"/>
      <c r="C21" s="1565" t="s">
        <v>459</v>
      </c>
      <c r="D21" s="1565"/>
      <c r="E21" s="513"/>
      <c r="F21" s="513"/>
      <c r="G21" s="149">
        <f>G12</f>
        <v>0</v>
      </c>
      <c r="H21" s="207">
        <f>G21/G$17</f>
        <v>0</v>
      </c>
      <c r="I21" s="513"/>
      <c r="J21" s="513"/>
      <c r="K21" s="149">
        <f>K12</f>
        <v>0</v>
      </c>
      <c r="L21" s="207">
        <f>K21/K$17</f>
        <v>0</v>
      </c>
      <c r="M21" s="149">
        <f>M12</f>
        <v>0</v>
      </c>
      <c r="N21" s="207">
        <f>M21/M$17</f>
        <v>0</v>
      </c>
      <c r="O21" s="513"/>
      <c r="P21" s="513"/>
      <c r="Q21" s="513"/>
      <c r="R21" s="513"/>
      <c r="S21" s="513"/>
      <c r="T21" s="513"/>
      <c r="U21" s="149">
        <f>U12</f>
        <v>0</v>
      </c>
      <c r="V21" s="207">
        <f>U21/U$17</f>
        <v>0</v>
      </c>
      <c r="W21" s="149">
        <f>W12</f>
        <v>0</v>
      </c>
      <c r="X21" s="207">
        <f>W21/W$17</f>
        <v>0</v>
      </c>
      <c r="Y21" s="513"/>
      <c r="Z21" s="513"/>
      <c r="AA21" s="513"/>
      <c r="AB21" s="513"/>
      <c r="AC21" s="513"/>
      <c r="AD21" s="513"/>
      <c r="AE21" s="513"/>
      <c r="AF21" s="513"/>
      <c r="AG21" s="513"/>
      <c r="AH21" s="513"/>
      <c r="AI21" s="513"/>
      <c r="AJ21" s="513"/>
      <c r="AK21" s="149">
        <f>AK12</f>
        <v>0</v>
      </c>
      <c r="AL21" s="207">
        <f>AK21/AK$17</f>
        <v>0</v>
      </c>
    </row>
    <row r="22" spans="1:38" ht="42.6" customHeight="1" x14ac:dyDescent="0.2">
      <c r="A22" s="154"/>
      <c r="B22" s="208"/>
      <c r="C22" s="1565" t="s">
        <v>5</v>
      </c>
      <c r="D22" s="1565"/>
      <c r="E22" s="513"/>
      <c r="F22" s="513"/>
      <c r="G22" s="149">
        <f>G15</f>
        <v>158.80000000000001</v>
      </c>
      <c r="H22" s="207">
        <f>G22/G$17</f>
        <v>0.56617227609811749</v>
      </c>
      <c r="I22" s="513"/>
      <c r="J22" s="513"/>
      <c r="K22" s="149">
        <f>K15</f>
        <v>278</v>
      </c>
      <c r="L22" s="207">
        <f>K22/K$17</f>
        <v>0.57820299500831951</v>
      </c>
      <c r="M22" s="149">
        <f>M15</f>
        <v>291.20000000000005</v>
      </c>
      <c r="N22" s="207">
        <f>M22/M$17</f>
        <v>0.54474708171206221</v>
      </c>
      <c r="O22" s="513"/>
      <c r="P22" s="513"/>
      <c r="Q22" s="513"/>
      <c r="R22" s="513"/>
      <c r="S22" s="513"/>
      <c r="T22" s="513"/>
      <c r="U22" s="149">
        <f>U15</f>
        <v>556</v>
      </c>
      <c r="V22" s="207">
        <f>U22/U$17</f>
        <v>0.57820299500831951</v>
      </c>
      <c r="W22" s="149">
        <f>W15</f>
        <v>635.20000000000005</v>
      </c>
      <c r="X22" s="207">
        <f>W22/W$17</f>
        <v>0.56617227609811749</v>
      </c>
      <c r="Y22" s="513"/>
      <c r="Z22" s="513"/>
      <c r="AA22" s="513"/>
      <c r="AB22" s="513"/>
      <c r="AC22" s="513"/>
      <c r="AD22" s="513"/>
      <c r="AE22" s="513"/>
      <c r="AF22" s="513"/>
      <c r="AG22" s="513"/>
      <c r="AH22" s="513"/>
      <c r="AI22" s="513"/>
      <c r="AJ22" s="513"/>
      <c r="AK22" s="149">
        <f>AK15</f>
        <v>1232</v>
      </c>
      <c r="AL22" s="207">
        <f>AK22/AK$17</f>
        <v>0.60297572435395452</v>
      </c>
    </row>
    <row r="23" spans="1:38" x14ac:dyDescent="0.2">
      <c r="A23" s="154"/>
      <c r="B23" s="172"/>
      <c r="C23" s="154"/>
      <c r="G23" s="209"/>
      <c r="H23" s="154"/>
      <c r="K23" s="154"/>
      <c r="L23" s="154"/>
      <c r="M23" s="154"/>
      <c r="N23" s="154"/>
      <c r="U23" s="154"/>
      <c r="V23" s="154"/>
      <c r="W23" s="154"/>
      <c r="X23" s="154"/>
      <c r="AK23" s="154"/>
      <c r="AL23" s="154"/>
    </row>
    <row r="24" spans="1:38" x14ac:dyDescent="0.2">
      <c r="A24" s="154"/>
      <c r="B24" s="172"/>
      <c r="C24" s="173"/>
      <c r="D24" s="154"/>
      <c r="E24" s="393"/>
      <c r="F24" s="393"/>
      <c r="G24" s="154"/>
      <c r="H24" s="154"/>
      <c r="I24" s="393"/>
      <c r="J24" s="393"/>
      <c r="K24" s="154"/>
      <c r="L24" s="154"/>
      <c r="M24" s="154"/>
      <c r="N24" s="154"/>
      <c r="O24" s="393"/>
      <c r="P24" s="393"/>
      <c r="Q24" s="393"/>
      <c r="R24" s="393"/>
      <c r="S24" s="393"/>
      <c r="T24" s="393"/>
      <c r="U24" s="154"/>
      <c r="V24" s="154"/>
      <c r="W24" s="154"/>
      <c r="X24" s="154"/>
      <c r="Y24" s="393"/>
      <c r="Z24" s="393"/>
      <c r="AA24" s="393"/>
      <c r="AB24" s="393"/>
      <c r="AC24" s="393"/>
      <c r="AD24" s="393"/>
      <c r="AE24" s="393"/>
      <c r="AF24" s="393"/>
      <c r="AG24" s="393"/>
      <c r="AH24" s="393"/>
      <c r="AI24" s="393"/>
      <c r="AJ24" s="393"/>
      <c r="AK24" s="154"/>
      <c r="AL24" s="154"/>
    </row>
    <row r="25" spans="1:38" ht="36" x14ac:dyDescent="0.2">
      <c r="A25" s="154"/>
      <c r="B25" s="1375" t="s">
        <v>1462</v>
      </c>
      <c r="C25" s="1568" t="s">
        <v>1463</v>
      </c>
      <c r="D25" s="1569"/>
      <c r="E25" s="149" t="e">
        <f>(VLOOKUP("Prix HT",$C$1:$N$25,E$1,0))-(VLOOKUP("Non margé",$D$1:$N$25,E$1,0))</f>
        <v>#VALUE!</v>
      </c>
      <c r="F25" s="207" t="e">
        <f>E25/VLOOKUP("Prix HT",$C$1:$N$25,E$1,0)</f>
        <v>#VALUE!</v>
      </c>
      <c r="G25" s="149">
        <f>(VLOOKUP("Prix HT",$C$1:$N$25,G$1,0))-(VLOOKUP("Non margé",$D$1:$N$25,G$1,0))</f>
        <v>186.88</v>
      </c>
      <c r="H25" s="207">
        <f>G25/VLOOKUP("Prix HT",$C$1:$N$25,G$1,0)</f>
        <v>0.66628636622932114</v>
      </c>
      <c r="I25" s="149" t="e">
        <f>(VLOOKUP("Prix HT",$C$1:$N$25,I$1,0))-(VLOOKUP("Non margé",$D$1:$N$25,I$1,0))</f>
        <v>#VALUE!</v>
      </c>
      <c r="J25" s="207" t="e">
        <f>I25/VLOOKUP("Prix HT",$C$1:$N$25,I$1,0)</f>
        <v>#VALUE!</v>
      </c>
      <c r="K25" s="149">
        <f>(VLOOKUP("Prix HT",$C$1:$N$25,K$1,0))-(VLOOKUP("Non margé",$D$1:$N$25,K$1,0))</f>
        <v>324.8</v>
      </c>
      <c r="L25" s="207">
        <f>K25/VLOOKUP("Prix HT",$C$1:$N$25,K$1,0)</f>
        <v>0.67554076539101493</v>
      </c>
      <c r="M25" s="149">
        <f>(VLOOKUP("Prix HT",$C$1:$N$25,M$1,0))-(VLOOKUP("Non margé",$D$1:$N$25,M$1,0))</f>
        <v>347.36000000000013</v>
      </c>
      <c r="N25" s="207">
        <f>M25/VLOOKUP("Prix HT",$C$1:$N$25,M$1,0)</f>
        <v>0.64980544747081714</v>
      </c>
      <c r="O25" s="149" t="e">
        <f>(VLOOKUP("Prix HT",$C$1:$AK$25,O$1,0))-(VLOOKUP("Non margé",$D$1:$AK$25,O$1,0))</f>
        <v>#VALUE!</v>
      </c>
      <c r="P25" s="207" t="e">
        <f>O25/VLOOKUP("Prix HT",$C$1:$AK$25,O$1,0)</f>
        <v>#VALUE!</v>
      </c>
      <c r="Q25" s="149" t="e">
        <f>(VLOOKUP("Prix HT",$C$1:$AK$25,Q$1,0))-(VLOOKUP("Non margé",$D$1:$AK$25,Q$1,0))</f>
        <v>#VALUE!</v>
      </c>
      <c r="R25" s="207" t="e">
        <f>Q25/VLOOKUP("Prix HT",$C$1:$AK$25,Q$1,0)</f>
        <v>#VALUE!</v>
      </c>
      <c r="S25" s="149" t="e">
        <f>(VLOOKUP("Prix HT",$C$1:$AK$25,S$1,0))-(VLOOKUP("Non margé",$D$1:$AK$25,S$1,0))</f>
        <v>#VALUE!</v>
      </c>
      <c r="T25" s="207" t="e">
        <f>S25/VLOOKUP("Prix HT",$C$1:$AK$25,S$1,0)</f>
        <v>#VALUE!</v>
      </c>
      <c r="U25" s="149">
        <f>(VLOOKUP("Prix HT",$C$1:$AK$25,U$1,0))-(VLOOKUP("Non margé",$D$1:$AK$25,U$1,0))</f>
        <v>649.6</v>
      </c>
      <c r="V25" s="207">
        <f>U25/VLOOKUP("Prix HT",$C$1:$AK$25,U$1,0)</f>
        <v>0.67554076539101493</v>
      </c>
      <c r="W25" s="149">
        <f>(VLOOKUP("Prix HT",$C$1:$AK$25,W$1,0))-(VLOOKUP("Non margé",$D$1:$AK$25,W$1,0))</f>
        <v>747.52</v>
      </c>
      <c r="X25" s="207">
        <f>W25/VLOOKUP("Prix HT",$C$1:$AK$25,W$1,0)</f>
        <v>0.66628636622932114</v>
      </c>
      <c r="Y25" s="149" t="e">
        <f>(VLOOKUP("Prix HT",$C$1:$AK$25,Y$1,0))-(VLOOKUP("Non margé",$D$1:$AK$25,Y$1,0))</f>
        <v>#VALUE!</v>
      </c>
      <c r="Z25" s="207" t="e">
        <f>Y25/VLOOKUP("Prix HT",$C$1:$AK$25,Y$1,0)</f>
        <v>#VALUE!</v>
      </c>
      <c r="AA25" s="149" t="e">
        <f>(VLOOKUP("Prix HT",$C$1:$AK$25,AA$1,0))-(VLOOKUP("Non margé",$D$1:$AK$25,AA$1,0))</f>
        <v>#VALUE!</v>
      </c>
      <c r="AB25" s="207" t="e">
        <f>AA25/VLOOKUP("Prix HT",$C$1:$AK$25,AA$1,0)</f>
        <v>#VALUE!</v>
      </c>
      <c r="AC25" s="149" t="e">
        <f>(VLOOKUP("Prix HT",$C$1:$AK$25,AC$1,0))-(VLOOKUP("Non margé",$D$1:$AK$25,AC$1,0))</f>
        <v>#VALUE!</v>
      </c>
      <c r="AD25" s="207" t="e">
        <f>AC25/VLOOKUP("Prix HT",$C$1:$AK$25,AC$1,0)</f>
        <v>#VALUE!</v>
      </c>
      <c r="AE25" s="149" t="e">
        <f>(VLOOKUP("Prix HT",$C$1:$AK$25,AE$1,0))-(VLOOKUP("Non margé",$D$1:$AK$25,AE$1,0))</f>
        <v>#VALUE!</v>
      </c>
      <c r="AF25" s="207" t="e">
        <f>AE25/VLOOKUP("Prix HT",$C$1:$AK$25,AE$1,0)</f>
        <v>#VALUE!</v>
      </c>
      <c r="AG25" s="149" t="e">
        <f>(VLOOKUP("Prix HT",$C$1:$AK$25,AG$1,0))-(VLOOKUP("Non margé",$D$1:$AK$25,AG$1,0))</f>
        <v>#VALUE!</v>
      </c>
      <c r="AH25" s="207" t="e">
        <f>AG25/VLOOKUP("Prix HT",$C$1:$AK$25,AG$1,0)</f>
        <v>#VALUE!</v>
      </c>
      <c r="AI25" s="149" t="e">
        <f>(VLOOKUP("Prix HT",$C$1:$AK$25,AI$1,0))-(VLOOKUP("Non margé",$D$1:$AK$25,AI$1,0))</f>
        <v>#VALUE!</v>
      </c>
      <c r="AJ25" s="207" t="e">
        <f>AI25/VLOOKUP("Prix HT",$C$1:$AK$25,AI$1,0)</f>
        <v>#VALUE!</v>
      </c>
      <c r="AK25" s="149" t="e">
        <f>(VLOOKUP("Prix HT",$C$1:$AK$25,AK$1,0))-(VLOOKUP("Non margé",$D$1:$AK$25,AK$1,0))</f>
        <v>#REF!</v>
      </c>
      <c r="AL25" s="207" t="e">
        <f>AK25/VLOOKUP("Prix HT",$C$1:$AK$25,AK$1,0)</f>
        <v>#REF!</v>
      </c>
    </row>
  </sheetData>
  <mergeCells count="24">
    <mergeCell ref="U17:V17"/>
    <mergeCell ref="W17:X17"/>
    <mergeCell ref="C25:D25"/>
    <mergeCell ref="C22:D22"/>
    <mergeCell ref="C17:D17"/>
    <mergeCell ref="G17:H17"/>
    <mergeCell ref="K17:L17"/>
    <mergeCell ref="M17:N17"/>
    <mergeCell ref="C18:D18"/>
    <mergeCell ref="C19:D19"/>
    <mergeCell ref="C20:D20"/>
    <mergeCell ref="C21:D21"/>
    <mergeCell ref="AK2:AL2"/>
    <mergeCell ref="A13:A15"/>
    <mergeCell ref="B2:B3"/>
    <mergeCell ref="C2:C3"/>
    <mergeCell ref="G2:H2"/>
    <mergeCell ref="K2:L2"/>
    <mergeCell ref="W2:X2"/>
    <mergeCell ref="A4:A6"/>
    <mergeCell ref="A7:A9"/>
    <mergeCell ref="A10:A12"/>
    <mergeCell ref="M2:N2"/>
    <mergeCell ref="U2:V2"/>
  </mergeCells>
  <dataValidations count="8">
    <dataValidation type="list" allowBlank="1" showInputMessage="1" showErrorMessage="1" promptTitle="MINIPELLE" prompt="choisir catégorie" sqref="B13:B14" xr:uid="{00000000-0002-0000-0D00-000000000000}">
      <formula1>CATEGORIE_MP</formula1>
    </dataValidation>
    <dataValidation type="list" allowBlank="1" showInputMessage="1" promptTitle="MINIPELLE" prompt="choisir la prestation" sqref="C13:C14" xr:uid="{00000000-0002-0000-0D00-000001000000}">
      <formula1>INDIRECT(B13)</formula1>
    </dataValidation>
    <dataValidation type="list" allowBlank="1" showInputMessage="1" showErrorMessage="1" promptTitle="Catégorie MOC" prompt="choisir" sqref="B10:B11" xr:uid="{00000000-0002-0000-0D00-000002000000}">
      <formula1>CATEGORIE_MOC</formula1>
    </dataValidation>
    <dataValidation type="list" allowBlank="1" showInputMessage="1" promptTitle="Main d'oeuvre CHANTIER" prompt="choisir la prestation" sqref="C10:C11" xr:uid="{00000000-0002-0000-0D00-000003000000}">
      <formula1>INDIRECT(B10)</formula1>
    </dataValidation>
    <dataValidation type="list" allowBlank="1" showInputMessage="1" showErrorMessage="1" promptTitle="Main d'oeuvre ATELIER" prompt="choisir la prestation" sqref="C7:C8" xr:uid="{00000000-0002-0000-0D00-000004000000}">
      <formula1>INDIRECT(B7)</formula1>
    </dataValidation>
    <dataValidation type="list" allowBlank="1" showInputMessage="1" showErrorMessage="1" promptTitle="MATIERES" prompt="choisir catégorie" sqref="B4:B5" xr:uid="{00000000-0002-0000-0D00-000005000000}">
      <formula1>MOA_ALIM</formula1>
    </dataValidation>
    <dataValidation type="list" allowBlank="1" showInputMessage="1" showErrorMessage="1" promptTitle="MATIERES" prompt="choisir le produit" sqref="C4:C5" xr:uid="{00000000-0002-0000-0D00-000006000000}">
      <formula1>INDIRECT(B4)</formula1>
    </dataValidation>
    <dataValidation type="list" allowBlank="1" showInputMessage="1" showErrorMessage="1" promptTitle="MO ATELIER" prompt="choisir catégorie" sqref="B7:B8" xr:uid="{00000000-0002-0000-0D00-000007000000}">
      <formula1>CATEGORIE_MOA</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published="0" codeName="Feuil15"/>
  <dimension ref="A1:AL1048576"/>
  <sheetViews>
    <sheetView zoomScale="55" zoomScaleNormal="55" workbookViewId="0">
      <pane xSplit="4" ySplit="3" topLeftCell="L4" activePane="bottomRight" state="frozen"/>
      <selection pane="topRight" activeCell="E1" sqref="E1"/>
      <selection pane="bottomLeft" activeCell="A4" sqref="A4"/>
      <selection pane="bottomRight" activeCell="AM6" sqref="AM6"/>
    </sheetView>
  </sheetViews>
  <sheetFormatPr baseColWidth="10" defaultRowHeight="18" x14ac:dyDescent="0.2"/>
  <cols>
    <col min="1" max="1" width="22.625" style="210" customWidth="1"/>
    <col min="2" max="2" width="23.125" style="233" customWidth="1"/>
    <col min="3" max="3" width="43.125" style="212" customWidth="1"/>
    <col min="4" max="4" width="10.625" style="135" customWidth="1"/>
    <col min="5" max="6" width="0.5" style="390" customWidth="1"/>
    <col min="7" max="7" width="13.625" style="135" customWidth="1"/>
    <col min="8" max="8" width="18.625" style="135" customWidth="1"/>
    <col min="9" max="10" width="0.5" style="390" customWidth="1"/>
    <col min="11" max="11" width="12.5" style="135" customWidth="1"/>
    <col min="12" max="12" width="14.5" style="135" customWidth="1"/>
    <col min="13" max="13" width="11" style="135" customWidth="1"/>
    <col min="14" max="14" width="13" style="135" customWidth="1"/>
    <col min="15" max="20" width="0.5" style="390" customWidth="1"/>
    <col min="21" max="21" width="11.625" style="135" customWidth="1"/>
    <col min="22" max="22" width="16.5" style="135" customWidth="1"/>
    <col min="23" max="23" width="11" style="135" customWidth="1"/>
    <col min="24" max="24" width="12" style="135" customWidth="1"/>
    <col min="25" max="36" width="0.5" style="390" customWidth="1"/>
    <col min="37" max="37" width="12.125" style="135" customWidth="1"/>
    <col min="38" max="38" width="12" style="135" customWidth="1"/>
    <col min="39" max="827" width="11.5" customWidth="1"/>
  </cols>
  <sheetData>
    <row r="1" spans="1:38" ht="11.85" customHeight="1" x14ac:dyDescent="0.2">
      <c r="A1" s="535"/>
      <c r="B1" s="536"/>
      <c r="C1" s="539"/>
      <c r="D1" s="535"/>
      <c r="E1" s="540"/>
      <c r="F1" s="540"/>
      <c r="G1" s="535">
        <v>5</v>
      </c>
      <c r="H1" s="535">
        <v>3</v>
      </c>
      <c r="I1" s="540"/>
      <c r="J1" s="540"/>
      <c r="K1" s="535">
        <v>9</v>
      </c>
      <c r="L1" s="535">
        <v>5</v>
      </c>
      <c r="M1" s="535">
        <v>11</v>
      </c>
      <c r="N1" s="535">
        <v>6</v>
      </c>
      <c r="O1" s="540"/>
      <c r="P1" s="540"/>
      <c r="Q1" s="540"/>
      <c r="R1" s="540"/>
      <c r="S1" s="540"/>
      <c r="T1" s="540"/>
      <c r="U1" s="535">
        <v>19</v>
      </c>
      <c r="V1" s="535">
        <v>10</v>
      </c>
      <c r="W1" s="535">
        <v>21</v>
      </c>
      <c r="X1" s="535" t="s">
        <v>460</v>
      </c>
      <c r="Y1" s="540"/>
      <c r="Z1" s="540"/>
      <c r="AA1" s="540"/>
      <c r="AB1" s="540"/>
      <c r="AC1" s="540"/>
      <c r="AD1" s="540"/>
      <c r="AE1" s="540"/>
      <c r="AF1" s="540"/>
      <c r="AG1" s="540"/>
      <c r="AH1" s="540"/>
      <c r="AI1" s="540"/>
      <c r="AJ1" s="540"/>
      <c r="AK1" s="535">
        <v>35</v>
      </c>
      <c r="AL1" s="535" t="s">
        <v>460</v>
      </c>
    </row>
    <row r="2" spans="1:38" ht="35.1" customHeight="1" x14ac:dyDescent="0.2">
      <c r="A2" s="174"/>
      <c r="B2" s="1588" t="s">
        <v>961</v>
      </c>
      <c r="C2" s="1590" t="s">
        <v>443</v>
      </c>
      <c r="D2" s="214" t="s">
        <v>203</v>
      </c>
      <c r="E2" s="504"/>
      <c r="F2" s="504"/>
      <c r="G2" s="1571">
        <v>3</v>
      </c>
      <c r="H2" s="1571"/>
      <c r="I2" s="504"/>
      <c r="J2" s="504"/>
      <c r="K2" s="1583">
        <v>5</v>
      </c>
      <c r="L2" s="1583"/>
      <c r="M2" s="1583">
        <v>6</v>
      </c>
      <c r="N2" s="1583"/>
      <c r="O2" s="504"/>
      <c r="P2" s="504"/>
      <c r="Q2" s="504"/>
      <c r="R2" s="504"/>
      <c r="S2" s="504"/>
      <c r="T2" s="504"/>
      <c r="U2" s="1583">
        <v>10</v>
      </c>
      <c r="V2" s="1583"/>
      <c r="W2" s="1583">
        <v>12</v>
      </c>
      <c r="X2" s="1583"/>
      <c r="Y2" s="504"/>
      <c r="Z2" s="504"/>
      <c r="AA2" s="504"/>
      <c r="AB2" s="504"/>
      <c r="AC2" s="504"/>
      <c r="AD2" s="504"/>
      <c r="AE2" s="504"/>
      <c r="AF2" s="504"/>
      <c r="AG2" s="504"/>
      <c r="AH2" s="504"/>
      <c r="AI2" s="504"/>
      <c r="AJ2" s="504"/>
      <c r="AK2" s="1619">
        <v>20</v>
      </c>
      <c r="AL2" s="1620"/>
    </row>
    <row r="3" spans="1:38" ht="35.1" customHeight="1" x14ac:dyDescent="0.2">
      <c r="A3" s="174"/>
      <c r="B3" s="1589"/>
      <c r="C3" s="1590"/>
      <c r="D3" s="176" t="s">
        <v>222</v>
      </c>
      <c r="E3" s="505"/>
      <c r="F3" s="505"/>
      <c r="G3" s="236" t="s">
        <v>444</v>
      </c>
      <c r="H3" s="115" t="s">
        <v>445</v>
      </c>
      <c r="I3" s="505"/>
      <c r="J3" s="505"/>
      <c r="K3" s="115" t="s">
        <v>444</v>
      </c>
      <c r="L3" s="115" t="s">
        <v>445</v>
      </c>
      <c r="M3" s="115" t="s">
        <v>444</v>
      </c>
      <c r="N3" s="115" t="s">
        <v>445</v>
      </c>
      <c r="O3" s="505"/>
      <c r="P3" s="505"/>
      <c r="Q3" s="505"/>
      <c r="R3" s="505"/>
      <c r="S3" s="505"/>
      <c r="T3" s="505"/>
      <c r="U3" s="115" t="s">
        <v>444</v>
      </c>
      <c r="V3" s="115" t="s">
        <v>445</v>
      </c>
      <c r="W3" s="115" t="s">
        <v>444</v>
      </c>
      <c r="X3" s="115" t="s">
        <v>445</v>
      </c>
      <c r="Y3" s="505"/>
      <c r="Z3" s="505"/>
      <c r="AA3" s="505"/>
      <c r="AB3" s="505"/>
      <c r="AC3" s="505"/>
      <c r="AD3" s="505"/>
      <c r="AE3" s="505"/>
      <c r="AF3" s="505"/>
      <c r="AG3" s="505"/>
      <c r="AH3" s="505"/>
      <c r="AI3" s="505"/>
      <c r="AJ3" s="505"/>
      <c r="AK3" s="115" t="s">
        <v>444</v>
      </c>
      <c r="AL3" s="115" t="s">
        <v>445</v>
      </c>
    </row>
    <row r="4" spans="1:38" ht="28.35" customHeight="1" x14ac:dyDescent="0.2">
      <c r="A4" s="1616" t="s">
        <v>1078</v>
      </c>
      <c r="B4" s="361" t="s">
        <v>127</v>
      </c>
      <c r="C4" s="313" t="s">
        <v>1113</v>
      </c>
      <c r="D4" s="363" t="str">
        <f>IF($C4="","",VLOOKUP($C4,MATIERES!$A$2:$F$448,5,0))</f>
        <v>t</v>
      </c>
      <c r="E4" s="506"/>
      <c r="F4" s="506"/>
      <c r="G4" s="180">
        <f>0.25*G2*1.6</f>
        <v>1.2000000000000002</v>
      </c>
      <c r="H4" s="181">
        <f>IF($C4="","",G4*VLOOKUP($C4,MATIERES!$A$2:$F$448,4,0))</f>
        <v>36.000000000000007</v>
      </c>
      <c r="I4" s="180">
        <f t="shared" ref="I4" si="0">0.25*I2*1.6</f>
        <v>0</v>
      </c>
      <c r="J4" s="181">
        <f>IF($C4="","",I4*VLOOKUP($C4,MATIERES!$A$2:$F$448,4,0))</f>
        <v>0</v>
      </c>
      <c r="K4" s="180">
        <f t="shared" ref="K4" si="1">0.25*K2*1.6</f>
        <v>2</v>
      </c>
      <c r="L4" s="181">
        <f>IF($C4="","",K4*VLOOKUP($C4,MATIERES!$A$2:$F$448,4,0))</f>
        <v>60</v>
      </c>
      <c r="M4" s="180">
        <f t="shared" ref="M4" si="2">0.25*M2*1.6</f>
        <v>2.4000000000000004</v>
      </c>
      <c r="N4" s="181">
        <f>IF($C4="","",M4*VLOOKUP($C4,MATIERES!$A$2:$F$448,4,0))</f>
        <v>72.000000000000014</v>
      </c>
      <c r="O4" s="180">
        <f t="shared" ref="O4" si="3">0.25*O2*1.6</f>
        <v>0</v>
      </c>
      <c r="P4" s="181">
        <f>IF($C4="","",O4*VLOOKUP($C4,MATIERES!$A$2:$F$448,4,0))</f>
        <v>0</v>
      </c>
      <c r="Q4" s="180">
        <f t="shared" ref="Q4" si="4">0.25*Q2*1.6</f>
        <v>0</v>
      </c>
      <c r="R4" s="181">
        <f>IF($C4="","",Q4*VLOOKUP($C4,MATIERES!$A$2:$F$448,4,0))</f>
        <v>0</v>
      </c>
      <c r="S4" s="180">
        <f t="shared" ref="S4" si="5">0.25*S2*1.6</f>
        <v>0</v>
      </c>
      <c r="T4" s="181">
        <f>IF($C4="","",S4*VLOOKUP($C4,MATIERES!$A$2:$F$448,4,0))</f>
        <v>0</v>
      </c>
      <c r="U4" s="180">
        <f t="shared" ref="U4" si="6">0.25*U2*1.6</f>
        <v>4</v>
      </c>
      <c r="V4" s="181">
        <f>IF($C4="","",U4*VLOOKUP($C4,MATIERES!$A$2:$F$448,4,0))</f>
        <v>120</v>
      </c>
      <c r="W4" s="180">
        <f t="shared" ref="W4" si="7">0.25*W2*1.6</f>
        <v>4.8000000000000007</v>
      </c>
      <c r="X4" s="181">
        <f>IF($C4="","",W4*VLOOKUP($C4,MATIERES!$A$2:$F$448,4,0))</f>
        <v>144.00000000000003</v>
      </c>
      <c r="Y4" s="180">
        <f t="shared" ref="Y4" si="8">0.25*Y2*1.6</f>
        <v>0</v>
      </c>
      <c r="Z4" s="181">
        <f>IF($C4="","",Y4*VLOOKUP($C4,MATIERES!$A$2:$F$448,4,0))</f>
        <v>0</v>
      </c>
      <c r="AA4" s="180">
        <f t="shared" ref="AA4" si="9">0.25*AA2*1.6</f>
        <v>0</v>
      </c>
      <c r="AB4" s="181">
        <f>IF($C4="","",AA4*VLOOKUP($C4,MATIERES!$A$2:$F$448,4,0))</f>
        <v>0</v>
      </c>
      <c r="AC4" s="180">
        <f t="shared" ref="AC4" si="10">0.25*AC2*1.6</f>
        <v>0</v>
      </c>
      <c r="AD4" s="181">
        <f>IF($C4="","",AC4*VLOOKUP($C4,MATIERES!$A$2:$F$448,4,0))</f>
        <v>0</v>
      </c>
      <c r="AE4" s="180">
        <f t="shared" ref="AE4" si="11">0.25*AE2*1.6</f>
        <v>0</v>
      </c>
      <c r="AF4" s="181">
        <f>IF($C4="","",AE4*VLOOKUP($C4,MATIERES!$A$2:$F$448,4,0))</f>
        <v>0</v>
      </c>
      <c r="AG4" s="180">
        <f t="shared" ref="AG4" si="12">0.25*AG2*1.6</f>
        <v>0</v>
      </c>
      <c r="AH4" s="181">
        <f>IF($C4="","",AG4*VLOOKUP($C4,MATIERES!$A$2:$F$448,4,0))</f>
        <v>0</v>
      </c>
      <c r="AI4" s="180">
        <f t="shared" ref="AI4" si="13">0.25*AI2*1.6</f>
        <v>0</v>
      </c>
      <c r="AJ4" s="181">
        <f>IF($C4="","",AI4*VLOOKUP($C4,MATIERES!$A$2:$F$448,4,0))</f>
        <v>0</v>
      </c>
      <c r="AK4" s="180">
        <f t="shared" ref="AK4" si="14">0.25*AK2*1.6</f>
        <v>8</v>
      </c>
      <c r="AL4" s="181">
        <f>IF($C4="","",AK4*VLOOKUP($C4,MATIERES!$A$2:$F$448,4,0))</f>
        <v>240</v>
      </c>
    </row>
    <row r="5" spans="1:38" ht="28.35" customHeight="1" x14ac:dyDescent="0.2">
      <c r="A5" s="1616"/>
      <c r="B5" s="361" t="s">
        <v>127</v>
      </c>
      <c r="C5" s="362" t="s">
        <v>1210</v>
      </c>
      <c r="D5" s="363" t="str">
        <f>IF($C5="","",VLOOKUP($C5,MATIERES!$A$2:$F$448,5,0))</f>
        <v>t</v>
      </c>
      <c r="E5" s="506"/>
      <c r="F5" s="506"/>
      <c r="G5" s="180">
        <f>0.1*G2*1.8</f>
        <v>0.54000000000000015</v>
      </c>
      <c r="H5" s="181">
        <f>IF($C5="","",G5*VLOOKUP($C5,MATIERES!$A$2:$F$448,4,0))</f>
        <v>10.800000000000002</v>
      </c>
      <c r="I5" s="180">
        <f t="shared" ref="I5" si="15">0.1*I2*1.8</f>
        <v>0</v>
      </c>
      <c r="J5" s="181">
        <f>IF($C5="","",I5*VLOOKUP($C5,MATIERES!$A$2:$F$448,4,0))</f>
        <v>0</v>
      </c>
      <c r="K5" s="180">
        <f t="shared" ref="K5" si="16">0.1*K2*1.8</f>
        <v>0.9</v>
      </c>
      <c r="L5" s="181">
        <f>IF($C5="","",K5*VLOOKUP($C5,MATIERES!$A$2:$F$448,4,0))</f>
        <v>18</v>
      </c>
      <c r="M5" s="180">
        <f t="shared" ref="M5" si="17">0.1*M2*1.8</f>
        <v>1.0800000000000003</v>
      </c>
      <c r="N5" s="181">
        <f>IF($C5="","",M5*VLOOKUP($C5,MATIERES!$A$2:$F$448,4,0))</f>
        <v>21.600000000000005</v>
      </c>
      <c r="O5" s="180">
        <f t="shared" ref="O5" si="18">0.1*O2*1.8</f>
        <v>0</v>
      </c>
      <c r="P5" s="181">
        <f>IF($C5="","",O5*VLOOKUP($C5,MATIERES!$A$2:$F$448,4,0))</f>
        <v>0</v>
      </c>
      <c r="Q5" s="180">
        <f t="shared" ref="Q5" si="19">0.1*Q2*1.8</f>
        <v>0</v>
      </c>
      <c r="R5" s="181">
        <f>IF($C5="","",Q5*VLOOKUP($C5,MATIERES!$A$2:$F$448,4,0))</f>
        <v>0</v>
      </c>
      <c r="S5" s="180">
        <f t="shared" ref="S5" si="20">0.1*S2*1.8</f>
        <v>0</v>
      </c>
      <c r="T5" s="181">
        <f>IF($C5="","",S5*VLOOKUP($C5,MATIERES!$A$2:$F$448,4,0))</f>
        <v>0</v>
      </c>
      <c r="U5" s="180">
        <f t="shared" ref="U5" si="21">0.1*U2*1.8</f>
        <v>1.8</v>
      </c>
      <c r="V5" s="181">
        <f>IF($C5="","",U5*VLOOKUP($C5,MATIERES!$A$2:$F$448,4,0))</f>
        <v>36</v>
      </c>
      <c r="W5" s="180">
        <f t="shared" ref="W5" si="22">0.1*W2*1.8</f>
        <v>2.1600000000000006</v>
      </c>
      <c r="X5" s="181">
        <f>IF($C5="","",W5*VLOOKUP($C5,MATIERES!$A$2:$F$448,4,0))</f>
        <v>43.20000000000001</v>
      </c>
      <c r="Y5" s="180">
        <f t="shared" ref="Y5" si="23">0.1*Y2*1.8</f>
        <v>0</v>
      </c>
      <c r="Z5" s="181">
        <f>IF($C5="","",Y5*VLOOKUP($C5,MATIERES!$A$2:$F$448,4,0))</f>
        <v>0</v>
      </c>
      <c r="AA5" s="180">
        <f t="shared" ref="AA5" si="24">0.1*AA2*1.8</f>
        <v>0</v>
      </c>
      <c r="AB5" s="181">
        <f>IF($C5="","",AA5*VLOOKUP($C5,MATIERES!$A$2:$F$448,4,0))</f>
        <v>0</v>
      </c>
      <c r="AC5" s="180">
        <f t="shared" ref="AC5" si="25">0.1*AC2*1.8</f>
        <v>0</v>
      </c>
      <c r="AD5" s="181">
        <f>IF($C5="","",AC5*VLOOKUP($C5,MATIERES!$A$2:$F$448,4,0))</f>
        <v>0</v>
      </c>
      <c r="AE5" s="180">
        <f t="shared" ref="AE5" si="26">0.1*AE2*1.8</f>
        <v>0</v>
      </c>
      <c r="AF5" s="181">
        <f>IF($C5="","",AE5*VLOOKUP($C5,MATIERES!$A$2:$F$448,4,0))</f>
        <v>0</v>
      </c>
      <c r="AG5" s="180">
        <f t="shared" ref="AG5" si="27">0.1*AG2*1.8</f>
        <v>0</v>
      </c>
      <c r="AH5" s="181">
        <f>IF($C5="","",AG5*VLOOKUP($C5,MATIERES!$A$2:$F$448,4,0))</f>
        <v>0</v>
      </c>
      <c r="AI5" s="180">
        <f t="shared" ref="AI5" si="28">0.1*AI2*1.8</f>
        <v>0</v>
      </c>
      <c r="AJ5" s="181">
        <f>IF($C5="","",AI5*VLOOKUP($C5,MATIERES!$A$2:$F$448,4,0))</f>
        <v>0</v>
      </c>
      <c r="AK5" s="180">
        <f t="shared" ref="AK5" si="29">0.1*AK2*1.8</f>
        <v>3.6</v>
      </c>
      <c r="AL5" s="181">
        <f>IF($C5="","",AK5*VLOOKUP($C5,MATIERES!$A$2:$F$448,4,0))</f>
        <v>72</v>
      </c>
    </row>
    <row r="6" spans="1:38" ht="57" customHeight="1" x14ac:dyDescent="0.2">
      <c r="A6" s="1616"/>
      <c r="B6" s="414"/>
      <c r="C6" s="182" t="s">
        <v>446</v>
      </c>
      <c r="D6" s="183" t="s">
        <v>447</v>
      </c>
      <c r="E6" s="507"/>
      <c r="F6" s="507"/>
      <c r="G6" s="184">
        <f>H6*(1+Simulation!$P$11)</f>
        <v>60.840000000000018</v>
      </c>
      <c r="H6" s="185">
        <f>SUM(H4:H5)</f>
        <v>46.800000000000011</v>
      </c>
      <c r="I6" s="507"/>
      <c r="J6" s="507"/>
      <c r="K6" s="184">
        <f>L6*(1+Simulation!$P$11)</f>
        <v>101.4</v>
      </c>
      <c r="L6" s="185">
        <f>SUM(L4:L5)</f>
        <v>78</v>
      </c>
      <c r="M6" s="184">
        <f>N6*(1+Simulation!$P$11)</f>
        <v>121.68000000000004</v>
      </c>
      <c r="N6" s="185">
        <f>SUM(N4:N5)</f>
        <v>93.600000000000023</v>
      </c>
      <c r="O6" s="507"/>
      <c r="P6" s="507"/>
      <c r="Q6" s="507"/>
      <c r="R6" s="507"/>
      <c r="S6" s="507"/>
      <c r="T6" s="507"/>
      <c r="U6" s="184">
        <f>V6*(1+Simulation!$P$11)</f>
        <v>202.8</v>
      </c>
      <c r="V6" s="185">
        <f>SUM(V4:V5)</f>
        <v>156</v>
      </c>
      <c r="W6" s="184">
        <f>X6*(1+Simulation!$P$11)</f>
        <v>243.36000000000007</v>
      </c>
      <c r="X6" s="185">
        <f>SUM(X4:X5)</f>
        <v>187.20000000000005</v>
      </c>
      <c r="Y6" s="507"/>
      <c r="Z6" s="507"/>
      <c r="AA6" s="507"/>
      <c r="AB6" s="507"/>
      <c r="AC6" s="507"/>
      <c r="AD6" s="507"/>
      <c r="AE6" s="507"/>
      <c r="AF6" s="507"/>
      <c r="AG6" s="507"/>
      <c r="AH6" s="507"/>
      <c r="AI6" s="507"/>
      <c r="AJ6" s="507"/>
      <c r="AK6" s="184">
        <f>AL6*(1+Simulation!$P$11)</f>
        <v>405.6</v>
      </c>
      <c r="AL6" s="185">
        <f>SUM(AL4:AL5)</f>
        <v>312</v>
      </c>
    </row>
    <row r="7" spans="1:38" ht="28.35" customHeight="1" x14ac:dyDescent="0.2">
      <c r="A7" s="1617" t="s">
        <v>448</v>
      </c>
      <c r="B7" s="414" t="s">
        <v>1079</v>
      </c>
      <c r="C7" s="313"/>
      <c r="D7" s="179" t="str">
        <f>IF($C7="","",VLOOKUP($C7,ATELIER!$A$2:$E$109,3,0))</f>
        <v/>
      </c>
      <c r="E7" s="506"/>
      <c r="F7" s="506"/>
      <c r="G7" s="180"/>
      <c r="H7" s="186" t="str">
        <f>IF($C7="","",G7*VLOOKUP($C7,ATELIER!$A$2:$F$109,4,0))</f>
        <v/>
      </c>
      <c r="I7" s="506"/>
      <c r="J7" s="506"/>
      <c r="K7" s="180"/>
      <c r="L7" s="186" t="str">
        <f>IF($C7="","",K7*VLOOKUP($C7,ATELIER!$A$2:$F$109,4,0))</f>
        <v/>
      </c>
      <c r="M7" s="180"/>
      <c r="N7" s="186" t="str">
        <f>IF($C7="","",M7*VLOOKUP($C7,ATELIER!$A$2:$F$109,4,0))</f>
        <v/>
      </c>
      <c r="O7" s="506"/>
      <c r="P7" s="506"/>
      <c r="Q7" s="506"/>
      <c r="R7" s="506"/>
      <c r="S7" s="506"/>
      <c r="T7" s="506"/>
      <c r="U7" s="180"/>
      <c r="V7" s="186" t="str">
        <f>IF($C7="","",U7*VLOOKUP($C7,ATELIER!$A$2:$F$109,4,0))</f>
        <v/>
      </c>
      <c r="W7" s="180"/>
      <c r="X7" s="186" t="str">
        <f>IF($C7="","",W7*VLOOKUP($C7,ATELIER!$A$2:$F$109,4,0))</f>
        <v/>
      </c>
      <c r="Y7" s="506"/>
      <c r="Z7" s="506"/>
      <c r="AA7" s="506"/>
      <c r="AB7" s="506"/>
      <c r="AC7" s="506"/>
      <c r="AD7" s="506"/>
      <c r="AE7" s="506"/>
      <c r="AF7" s="506"/>
      <c r="AG7" s="506"/>
      <c r="AH7" s="506"/>
      <c r="AI7" s="506"/>
      <c r="AJ7" s="506"/>
      <c r="AK7" s="180"/>
      <c r="AL7" s="186" t="str">
        <f>IF($C7="","",AK7*VLOOKUP($C7,ATELIER!$A$2:$F$109,4,0))</f>
        <v/>
      </c>
    </row>
    <row r="8" spans="1:38" ht="28.35" customHeight="1" x14ac:dyDescent="0.2">
      <c r="A8" s="1617"/>
      <c r="B8" s="414"/>
      <c r="C8" s="313"/>
      <c r="D8" s="179" t="str">
        <f>IF($C8="","",VLOOKUP($C8,ATELIER!$A$2:$E$109,3,0))</f>
        <v/>
      </c>
      <c r="E8" s="506"/>
      <c r="F8" s="506"/>
      <c r="G8" s="180"/>
      <c r="H8" s="186" t="str">
        <f>IF($C8="","",G8*VLOOKUP($C8,ATELIER!$A$2:$F$109,4,0))</f>
        <v/>
      </c>
      <c r="I8" s="506"/>
      <c r="J8" s="506"/>
      <c r="K8" s="180"/>
      <c r="L8" s="186" t="str">
        <f>IF($C8="","",K8*VLOOKUP($C8,ATELIER!$A$2:$F$109,4,0))</f>
        <v/>
      </c>
      <c r="M8" s="180"/>
      <c r="N8" s="186" t="str">
        <f>IF($C8="","",M8*VLOOKUP($C8,ATELIER!$A$2:$F$109,4,0))</f>
        <v/>
      </c>
      <c r="O8" s="506"/>
      <c r="P8" s="506"/>
      <c r="Q8" s="506"/>
      <c r="R8" s="506"/>
      <c r="S8" s="506"/>
      <c r="T8" s="506"/>
      <c r="U8" s="180"/>
      <c r="V8" s="186" t="str">
        <f>IF($C8="","",U8*VLOOKUP($C8,ATELIER!$A$2:$F$109,4,0))</f>
        <v/>
      </c>
      <c r="W8" s="180"/>
      <c r="X8" s="186" t="str">
        <f>IF($C8="","",W8*VLOOKUP($C8,ATELIER!$A$2:$F$109,4,0))</f>
        <v/>
      </c>
      <c r="Y8" s="506"/>
      <c r="Z8" s="506"/>
      <c r="AA8" s="506"/>
      <c r="AB8" s="506"/>
      <c r="AC8" s="506"/>
      <c r="AD8" s="506"/>
      <c r="AE8" s="506"/>
      <c r="AF8" s="506"/>
      <c r="AG8" s="506"/>
      <c r="AH8" s="506"/>
      <c r="AI8" s="506"/>
      <c r="AJ8" s="506"/>
      <c r="AK8" s="180"/>
      <c r="AL8" s="186" t="str">
        <f>IF($C8="","",AK8*VLOOKUP($C8,ATELIER!$A$2:$F$109,4,0))</f>
        <v/>
      </c>
    </row>
    <row r="9" spans="1:38" ht="53.25" customHeight="1" x14ac:dyDescent="0.2">
      <c r="A9" s="1617"/>
      <c r="B9" s="415" t="s">
        <v>449</v>
      </c>
      <c r="C9" s="187" t="s">
        <v>450</v>
      </c>
      <c r="D9" s="188" t="s">
        <v>451</v>
      </c>
      <c r="E9" s="508"/>
      <c r="F9" s="508"/>
      <c r="G9" s="189">
        <f>H9*Simulation!$P$8</f>
        <v>0</v>
      </c>
      <c r="H9" s="190">
        <f>SUM(H7:H8)</f>
        <v>0</v>
      </c>
      <c r="I9" s="508"/>
      <c r="J9" s="508"/>
      <c r="K9" s="189">
        <f>L9*Simulation!$P$8</f>
        <v>0</v>
      </c>
      <c r="L9" s="190">
        <f>SUM(L7:L8)</f>
        <v>0</v>
      </c>
      <c r="M9" s="189">
        <f>N9*Simulation!$P$8</f>
        <v>0</v>
      </c>
      <c r="N9" s="190">
        <f>SUM(N7:N8)</f>
        <v>0</v>
      </c>
      <c r="O9" s="508"/>
      <c r="P9" s="508"/>
      <c r="Q9" s="508"/>
      <c r="R9" s="508"/>
      <c r="S9" s="508"/>
      <c r="T9" s="508"/>
      <c r="U9" s="189">
        <f>V9*Simulation!$P$8</f>
        <v>0</v>
      </c>
      <c r="V9" s="190">
        <f>SUM(V7:V8)</f>
        <v>0</v>
      </c>
      <c r="W9" s="189">
        <f>X9*Simulation!$P$8</f>
        <v>0</v>
      </c>
      <c r="X9" s="190">
        <f>SUM(X7:X8)</f>
        <v>0</v>
      </c>
      <c r="Y9" s="508"/>
      <c r="Z9" s="508"/>
      <c r="AA9" s="508"/>
      <c r="AB9" s="508"/>
      <c r="AC9" s="508"/>
      <c r="AD9" s="508"/>
      <c r="AE9" s="508"/>
      <c r="AF9" s="508"/>
      <c r="AG9" s="508"/>
      <c r="AH9" s="508"/>
      <c r="AI9" s="508"/>
      <c r="AJ9" s="508"/>
      <c r="AK9" s="189">
        <f>AL9*Simulation!$P$8</f>
        <v>0</v>
      </c>
      <c r="AL9" s="190">
        <f>SUM(AL7:AL8)</f>
        <v>0</v>
      </c>
    </row>
    <row r="10" spans="1:38" ht="28.35" customHeight="1" x14ac:dyDescent="0.2">
      <c r="A10" s="1618" t="s">
        <v>452</v>
      </c>
      <c r="B10" s="414"/>
      <c r="C10" s="315"/>
      <c r="D10" s="179" t="str">
        <f>IF(C10="","",VLOOKUP($C10,CHANTIER!$A$2:$C$83,3,0))</f>
        <v/>
      </c>
      <c r="E10" s="506"/>
      <c r="F10" s="506"/>
      <c r="G10" s="180"/>
      <c r="H10" s="186" t="str">
        <f>IF($C10="","",G10*VLOOKUP($C10,CHANTIER!$A$2:$D$83,4,0))</f>
        <v/>
      </c>
      <c r="I10" s="506"/>
      <c r="J10" s="506"/>
      <c r="K10" s="180"/>
      <c r="L10" s="186" t="str">
        <f>IF($C10="","",K10*VLOOKUP($C10,CHANTIER!$A$2:$D$83,4,0))</f>
        <v/>
      </c>
      <c r="M10" s="180"/>
      <c r="N10" s="186" t="str">
        <f>IF($C10="","",M10*VLOOKUP($C10,CHANTIER!$A$2:$D$83,4,0))</f>
        <v/>
      </c>
      <c r="O10" s="506"/>
      <c r="P10" s="506"/>
      <c r="Q10" s="506"/>
      <c r="R10" s="506"/>
      <c r="S10" s="506"/>
      <c r="T10" s="506"/>
      <c r="U10" s="180"/>
      <c r="V10" s="186" t="str">
        <f>IF($C10="","",U10*VLOOKUP($C10,CHANTIER!$A$2:$D$83,4,0))</f>
        <v/>
      </c>
      <c r="W10" s="180"/>
      <c r="X10" s="186" t="str">
        <f>IF($C10="","",W10*VLOOKUP($C10,CHANTIER!$A$2:$D$83,4,0))</f>
        <v/>
      </c>
      <c r="Y10" s="506"/>
      <c r="Z10" s="506"/>
      <c r="AA10" s="506"/>
      <c r="AB10" s="506"/>
      <c r="AC10" s="506"/>
      <c r="AD10" s="506"/>
      <c r="AE10" s="506"/>
      <c r="AF10" s="506"/>
      <c r="AG10" s="506"/>
      <c r="AH10" s="506"/>
      <c r="AI10" s="506"/>
      <c r="AJ10" s="506"/>
      <c r="AK10" s="180"/>
      <c r="AL10" s="186" t="str">
        <f>IF($C10="","",AK10*VLOOKUP($C10,CHANTIER!$A$2:$D$83,4,0))</f>
        <v/>
      </c>
    </row>
    <row r="11" spans="1:38" ht="28.35" customHeight="1" x14ac:dyDescent="0.2">
      <c r="A11" s="1618"/>
      <c r="B11" s="414" t="s">
        <v>1160</v>
      </c>
      <c r="C11" s="315"/>
      <c r="D11" s="179" t="str">
        <f>IF(C11="","",VLOOKUP($C11,CHANTIER!$A$2:$C$83,3,0))</f>
        <v/>
      </c>
      <c r="E11" s="506"/>
      <c r="F11" s="506"/>
      <c r="G11" s="180"/>
      <c r="H11" s="186" t="str">
        <f>IF($C11="","",G11*VLOOKUP($C11,CHANTIER!$A$2:$D$83,4,0))</f>
        <v/>
      </c>
      <c r="I11" s="506"/>
      <c r="J11" s="506"/>
      <c r="K11" s="180"/>
      <c r="L11" s="186" t="str">
        <f>IF($C11="","",K11*VLOOKUP($C11,CHANTIER!$A$2:$D$83,4,0))</f>
        <v/>
      </c>
      <c r="M11" s="180"/>
      <c r="N11" s="186" t="str">
        <f>IF($C11="","",M11*VLOOKUP($C11,CHANTIER!$A$2:$D$83,4,0))</f>
        <v/>
      </c>
      <c r="O11" s="506"/>
      <c r="P11" s="506"/>
      <c r="Q11" s="506"/>
      <c r="R11" s="506"/>
      <c r="S11" s="506"/>
      <c r="T11" s="506"/>
      <c r="U11" s="180"/>
      <c r="V11" s="186" t="str">
        <f>IF($C11="","",U11*VLOOKUP($C11,CHANTIER!$A$2:$D$83,4,0))</f>
        <v/>
      </c>
      <c r="W11" s="180"/>
      <c r="X11" s="186" t="str">
        <f>IF($C11="","",W11*VLOOKUP($C11,CHANTIER!$A$2:$D$83,4,0))</f>
        <v/>
      </c>
      <c r="Y11" s="506"/>
      <c r="Z11" s="506"/>
      <c r="AA11" s="506"/>
      <c r="AB11" s="506"/>
      <c r="AC11" s="506"/>
      <c r="AD11" s="506"/>
      <c r="AE11" s="506"/>
      <c r="AF11" s="506"/>
      <c r="AG11" s="506"/>
      <c r="AH11" s="506"/>
      <c r="AI11" s="506"/>
      <c r="AJ11" s="506"/>
      <c r="AK11" s="180"/>
      <c r="AL11" s="186" t="str">
        <f>IF($C11="","",AK11*VLOOKUP($C11,CHANTIER!$A$2:$D$83,4,0))</f>
        <v/>
      </c>
    </row>
    <row r="12" spans="1:38" ht="42.75" customHeight="1" x14ac:dyDescent="0.2">
      <c r="A12" s="1618"/>
      <c r="B12" s="416" t="s">
        <v>453</v>
      </c>
      <c r="C12" s="191" t="s">
        <v>450</v>
      </c>
      <c r="D12" s="192" t="s">
        <v>451</v>
      </c>
      <c r="E12" s="509"/>
      <c r="F12" s="509"/>
      <c r="G12" s="193">
        <f>H12*Simulation!$P$9</f>
        <v>0</v>
      </c>
      <c r="H12" s="194">
        <f>SUM(H10:H11)</f>
        <v>0</v>
      </c>
      <c r="I12" s="509"/>
      <c r="J12" s="509"/>
      <c r="K12" s="193">
        <f>L12*Simulation!$P$9</f>
        <v>0</v>
      </c>
      <c r="L12" s="194">
        <f>SUM(L10:L11)</f>
        <v>0</v>
      </c>
      <c r="M12" s="193">
        <f>N12*Simulation!$P$9</f>
        <v>0</v>
      </c>
      <c r="N12" s="194">
        <f>SUM(N10:N11)</f>
        <v>0</v>
      </c>
      <c r="O12" s="509"/>
      <c r="P12" s="509"/>
      <c r="Q12" s="509"/>
      <c r="R12" s="509"/>
      <c r="S12" s="509"/>
      <c r="T12" s="509"/>
      <c r="U12" s="193">
        <f>V12*Simulation!$P$9</f>
        <v>0</v>
      </c>
      <c r="V12" s="194">
        <f>SUM(V10:V11)</f>
        <v>0</v>
      </c>
      <c r="W12" s="193">
        <f>X12*Simulation!$P$9</f>
        <v>0</v>
      </c>
      <c r="X12" s="194">
        <f>SUM(X10:X11)</f>
        <v>0</v>
      </c>
      <c r="Y12" s="509"/>
      <c r="Z12" s="509"/>
      <c r="AA12" s="509"/>
      <c r="AB12" s="509"/>
      <c r="AC12" s="509"/>
      <c r="AD12" s="509"/>
      <c r="AE12" s="509"/>
      <c r="AF12" s="509"/>
      <c r="AG12" s="509"/>
      <c r="AH12" s="509"/>
      <c r="AI12" s="509"/>
      <c r="AJ12" s="509"/>
      <c r="AK12" s="193">
        <f>AL12*Simulation!$P$9</f>
        <v>0</v>
      </c>
      <c r="AL12" s="194">
        <f>SUM(AL10:AL11)</f>
        <v>0</v>
      </c>
    </row>
    <row r="13" spans="1:38" ht="28.35" customHeight="1" x14ac:dyDescent="0.2">
      <c r="A13" s="1615" t="s">
        <v>4</v>
      </c>
      <c r="B13" s="414" t="s">
        <v>1172</v>
      </c>
      <c r="C13" s="315" t="s">
        <v>102</v>
      </c>
      <c r="D13" s="179" t="str">
        <f>IF(C13="","",VLOOKUP($C13,MINIPELLE!$A$2:$C$28,3,0))</f>
        <v>m3</v>
      </c>
      <c r="E13" s="506"/>
      <c r="F13" s="506"/>
      <c r="G13" s="180">
        <f>G2*0.8*1.1*2/2</f>
        <v>2.6400000000000006</v>
      </c>
      <c r="H13" s="186">
        <f>IF($C13="","",G13*VLOOKUP($C13,MINIPELLE!$A$2:$D$28,4,0))</f>
        <v>0.66000000000000014</v>
      </c>
      <c r="I13" s="506"/>
      <c r="J13" s="506"/>
      <c r="K13" s="180">
        <f>K2*0.8*1.1</f>
        <v>4.4000000000000004</v>
      </c>
      <c r="L13" s="186">
        <f>IF($C13="","",K13*VLOOKUP($C13,MINIPELLE!$A$2:$D$28,4,0))</f>
        <v>1.1000000000000001</v>
      </c>
      <c r="M13" s="180">
        <f>M2*0.8*1.1</f>
        <v>5.2800000000000011</v>
      </c>
      <c r="N13" s="186">
        <f>IF($C13="","",M13*VLOOKUP($C13,MINIPELLE!$A$2:$D$28,4,0))</f>
        <v>1.3200000000000003</v>
      </c>
      <c r="O13" s="506"/>
      <c r="P13" s="506"/>
      <c r="Q13" s="506"/>
      <c r="R13" s="506"/>
      <c r="S13" s="506"/>
      <c r="T13" s="506"/>
      <c r="U13" s="180">
        <f>U2*0.8*1.1</f>
        <v>8.8000000000000007</v>
      </c>
      <c r="V13" s="186">
        <f>IF($C13="","",U13*VLOOKUP($C13,MINIPELLE!$A$2:$D$28,4,0))</f>
        <v>2.2000000000000002</v>
      </c>
      <c r="W13" s="180">
        <f>W2*0.8*1.1</f>
        <v>10.560000000000002</v>
      </c>
      <c r="X13" s="186">
        <f>IF($C13="","",W13*VLOOKUP($C13,MINIPELLE!$A$2:$D$28,4,0))</f>
        <v>2.6400000000000006</v>
      </c>
      <c r="Y13" s="506"/>
      <c r="Z13" s="506"/>
      <c r="AA13" s="506"/>
      <c r="AB13" s="506"/>
      <c r="AC13" s="506"/>
      <c r="AD13" s="506"/>
      <c r="AE13" s="506"/>
      <c r="AF13" s="506"/>
      <c r="AG13" s="506"/>
      <c r="AH13" s="506"/>
      <c r="AI13" s="506"/>
      <c r="AJ13" s="506"/>
      <c r="AK13" s="180">
        <f>AK2*0.8*1.1</f>
        <v>17.600000000000001</v>
      </c>
      <c r="AL13" s="186">
        <f>IF($C13="","",AK13*VLOOKUP($C13,MINIPELLE!$A$2:$D$28,4,0))</f>
        <v>4.4000000000000004</v>
      </c>
    </row>
    <row r="14" spans="1:38" s="345" customFormat="1" ht="28.35" customHeight="1" x14ac:dyDescent="0.2">
      <c r="A14" s="1615"/>
      <c r="B14" s="414" t="s">
        <v>1172</v>
      </c>
      <c r="C14" s="315" t="s">
        <v>1203</v>
      </c>
      <c r="D14" s="179" t="str">
        <f>IF(C14="","",VLOOKUP($C14,MINIPELLE!$A$2:$C$28,3,0))</f>
        <v>ml</v>
      </c>
      <c r="E14" s="506"/>
      <c r="F14" s="506"/>
      <c r="G14" s="180">
        <f>'Outils de calculs'!G29</f>
        <v>11</v>
      </c>
      <c r="H14" s="186">
        <f>IF($C14="","",G14*VLOOKUP($C14,MINIPELLE!$A$2:$D$28,4,0))</f>
        <v>0.55000000000000004</v>
      </c>
      <c r="I14" s="1390"/>
      <c r="J14" s="391"/>
      <c r="K14" s="180">
        <f>'Outils de calculs'!K29</f>
        <v>16</v>
      </c>
      <c r="L14" s="186">
        <f>IF($C14="","",K14*VLOOKUP($C14,MINIPELLE!$A$2:$D$28,4,0))</f>
        <v>0.8</v>
      </c>
      <c r="M14" s="180">
        <f>'Outils de calculs'!M29</f>
        <v>17</v>
      </c>
      <c r="N14" s="186">
        <f>IF($C14="","",M14*VLOOKUP($C14,MINIPELLE!$A$2:$D$28,4,0))</f>
        <v>0.85000000000000009</v>
      </c>
      <c r="O14" s="1390"/>
      <c r="P14" s="391"/>
      <c r="Q14" s="1390"/>
      <c r="R14" s="391"/>
      <c r="S14" s="1390"/>
      <c r="T14" s="391"/>
      <c r="U14" s="180">
        <f>'Outils de calculs'!U29</f>
        <v>22</v>
      </c>
      <c r="V14" s="186">
        <f>IF($C14="","",U14*VLOOKUP($C14,MINIPELLE!$A$2:$D$28,4,0))</f>
        <v>1.1000000000000001</v>
      </c>
      <c r="W14" s="180">
        <f>'Outils de calculs'!W29</f>
        <v>24</v>
      </c>
      <c r="X14" s="186">
        <f>IF($C14="","",W14*VLOOKUP($C14,MINIPELLE!$A$2:$D$28,4,0))</f>
        <v>1.2000000000000002</v>
      </c>
      <c r="Y14" s="1390"/>
      <c r="Z14" s="391"/>
      <c r="AA14" s="1390"/>
      <c r="AB14" s="391"/>
      <c r="AC14" s="1390"/>
      <c r="AD14" s="391"/>
      <c r="AE14" s="1390"/>
      <c r="AF14" s="391"/>
      <c r="AG14" s="1390"/>
      <c r="AH14" s="391"/>
      <c r="AI14" s="1390"/>
      <c r="AJ14" s="391"/>
      <c r="AK14" s="180">
        <f>'Outils de calculs'!AK29</f>
        <v>35</v>
      </c>
      <c r="AL14" s="186">
        <f>IF($C14="","",AK14*VLOOKUP($C14,MINIPELLE!$A$2:$D$28,4,0))</f>
        <v>1.75</v>
      </c>
    </row>
    <row r="15" spans="1:38" ht="28.35" customHeight="1" x14ac:dyDescent="0.2">
      <c r="A15" s="1615"/>
      <c r="B15" s="414" t="s">
        <v>1172</v>
      </c>
      <c r="C15" s="315" t="s">
        <v>1245</v>
      </c>
      <c r="D15" s="179" t="str">
        <f>IF(C15="","",VLOOKUP($C15,MINIPELLE!$A$2:$C$28,3,0))</f>
        <v>pc</v>
      </c>
      <c r="E15" s="506"/>
      <c r="F15" s="506"/>
      <c r="G15" s="180">
        <f>0.5*1</f>
        <v>0.5</v>
      </c>
      <c r="H15" s="186">
        <f>IF($C15="","",G15*VLOOKUP($C15,MINIPELLE!$A$2:$D$28,4,0))</f>
        <v>0.25</v>
      </c>
      <c r="I15" s="506"/>
      <c r="J15" s="506"/>
      <c r="K15" s="180">
        <v>1</v>
      </c>
      <c r="L15" s="186">
        <f>IF($C15="","",K15*VLOOKUP($C15,MINIPELLE!$A$2:$D$28,4,0))</f>
        <v>0.5</v>
      </c>
      <c r="M15" s="180">
        <v>1</v>
      </c>
      <c r="N15" s="186">
        <f>IF($C15="","",M15*VLOOKUP($C15,MINIPELLE!$A$2:$D$28,4,0))</f>
        <v>0.5</v>
      </c>
      <c r="O15" s="506"/>
      <c r="P15" s="506"/>
      <c r="Q15" s="506"/>
      <c r="R15" s="506"/>
      <c r="S15" s="506"/>
      <c r="T15" s="506"/>
      <c r="U15" s="180">
        <v>2</v>
      </c>
      <c r="V15" s="186">
        <f>IF($C15="","",U15*VLOOKUP($C15,MINIPELLE!$A$2:$D$28,4,0))</f>
        <v>1</v>
      </c>
      <c r="W15" s="180">
        <v>2</v>
      </c>
      <c r="X15" s="186">
        <f>IF($C15="","",W15*VLOOKUP($C15,MINIPELLE!$A$2:$D$28,4,0))</f>
        <v>1</v>
      </c>
      <c r="Y15" s="506"/>
      <c r="Z15" s="506"/>
      <c r="AA15" s="506"/>
      <c r="AB15" s="506"/>
      <c r="AC15" s="506"/>
      <c r="AD15" s="506"/>
      <c r="AE15" s="506"/>
      <c r="AF15" s="506"/>
      <c r="AG15" s="506"/>
      <c r="AH15" s="506"/>
      <c r="AI15" s="506"/>
      <c r="AJ15" s="506"/>
      <c r="AK15" s="180">
        <v>4</v>
      </c>
      <c r="AL15" s="186">
        <f>IF($C15="","",AK15*VLOOKUP($C15,MINIPELLE!$A$2:$D$28,4,0))</f>
        <v>2</v>
      </c>
    </row>
    <row r="16" spans="1:38" ht="45" customHeight="1" x14ac:dyDescent="0.2">
      <c r="A16" s="1615"/>
      <c r="B16" s="417" t="s">
        <v>454</v>
      </c>
      <c r="C16" s="195" t="s">
        <v>455</v>
      </c>
      <c r="D16" s="196" t="s">
        <v>451</v>
      </c>
      <c r="E16" s="510"/>
      <c r="F16" s="510"/>
      <c r="G16" s="197">
        <f>H16*Simulation!$P$10</f>
        <v>116.80000000000001</v>
      </c>
      <c r="H16" s="198">
        <f>SUM(H13:H15)</f>
        <v>1.4600000000000002</v>
      </c>
      <c r="I16" s="510"/>
      <c r="J16" s="510"/>
      <c r="K16" s="197">
        <f>L16*Simulation!$P$10</f>
        <v>192.00000000000003</v>
      </c>
      <c r="L16" s="198">
        <f>SUM(L13:L15)</f>
        <v>2.4000000000000004</v>
      </c>
      <c r="M16" s="197">
        <f>N16*Simulation!$P$10</f>
        <v>213.60000000000002</v>
      </c>
      <c r="N16" s="198">
        <f>SUM(N13:N15)</f>
        <v>2.6700000000000004</v>
      </c>
      <c r="O16" s="510"/>
      <c r="P16" s="510"/>
      <c r="Q16" s="510"/>
      <c r="R16" s="510"/>
      <c r="S16" s="510"/>
      <c r="T16" s="510"/>
      <c r="U16" s="197">
        <f>V16*Simulation!$P$10</f>
        <v>344.00000000000006</v>
      </c>
      <c r="V16" s="198">
        <f>SUM(V13:V15)</f>
        <v>4.3000000000000007</v>
      </c>
      <c r="W16" s="197">
        <f>X16*Simulation!$P$10</f>
        <v>387.20000000000005</v>
      </c>
      <c r="X16" s="198">
        <f>SUM(X13:X15)</f>
        <v>4.8400000000000007</v>
      </c>
      <c r="Y16" s="510"/>
      <c r="Z16" s="510"/>
      <c r="AA16" s="510"/>
      <c r="AB16" s="510"/>
      <c r="AC16" s="510"/>
      <c r="AD16" s="510"/>
      <c r="AE16" s="510"/>
      <c r="AF16" s="510"/>
      <c r="AG16" s="510"/>
      <c r="AH16" s="510"/>
      <c r="AI16" s="510"/>
      <c r="AJ16" s="510"/>
      <c r="AK16" s="197">
        <f>AL16*Simulation!$P$10</f>
        <v>652</v>
      </c>
      <c r="AL16" s="198">
        <f>SUM(AL13:AL15)</f>
        <v>8.15</v>
      </c>
    </row>
    <row r="17" spans="1:38" x14ac:dyDescent="0.2">
      <c r="A17" s="199"/>
      <c r="B17" s="172"/>
      <c r="C17" s="200"/>
      <c r="D17" s="201"/>
      <c r="E17" s="511"/>
      <c r="F17" s="511"/>
      <c r="G17" s="202"/>
      <c r="H17" s="203"/>
      <c r="I17" s="511"/>
      <c r="J17" s="511"/>
      <c r="K17" s="202"/>
      <c r="L17" s="203"/>
      <c r="M17" s="202"/>
      <c r="N17" s="203"/>
      <c r="O17" s="511"/>
      <c r="P17" s="511"/>
      <c r="Q17" s="511"/>
      <c r="R17" s="511"/>
      <c r="S17" s="511"/>
      <c r="T17" s="511"/>
      <c r="U17" s="202"/>
      <c r="V17" s="203"/>
      <c r="W17" s="202"/>
      <c r="X17" s="203"/>
      <c r="Y17" s="511"/>
      <c r="Z17" s="511"/>
      <c r="AA17" s="511"/>
      <c r="AB17" s="511"/>
      <c r="AC17" s="511"/>
      <c r="AD17" s="511"/>
      <c r="AE17" s="511"/>
      <c r="AF17" s="511"/>
      <c r="AG17" s="511"/>
      <c r="AH17" s="511"/>
      <c r="AI17" s="511"/>
      <c r="AJ17" s="511"/>
      <c r="AK17" s="202"/>
      <c r="AL17" s="203"/>
    </row>
    <row r="18" spans="1:38" ht="42.6" customHeight="1" x14ac:dyDescent="0.2">
      <c r="A18" s="204"/>
      <c r="B18" s="234" t="s">
        <v>456</v>
      </c>
      <c r="C18" s="1564" t="s">
        <v>445</v>
      </c>
      <c r="D18" s="1564"/>
      <c r="E18" s="512"/>
      <c r="F18" s="512"/>
      <c r="G18" s="1547">
        <f>G16+G12+G9+G6</f>
        <v>177.64000000000004</v>
      </c>
      <c r="H18" s="1547"/>
      <c r="I18" s="512"/>
      <c r="J18" s="512"/>
      <c r="K18" s="1547">
        <f>K16+K12+K9+K6</f>
        <v>293.40000000000003</v>
      </c>
      <c r="L18" s="1547"/>
      <c r="M18" s="1547">
        <f>M16+M12+M9+M6</f>
        <v>335.28000000000009</v>
      </c>
      <c r="N18" s="1547"/>
      <c r="O18" s="512"/>
      <c r="P18" s="512"/>
      <c r="Q18" s="512"/>
      <c r="R18" s="512"/>
      <c r="S18" s="512"/>
      <c r="T18" s="512"/>
      <c r="U18" s="1547">
        <f>U16+U12+U9+U6</f>
        <v>546.80000000000007</v>
      </c>
      <c r="V18" s="1547"/>
      <c r="W18" s="1547">
        <f>W16+W12+W9+W6</f>
        <v>630.56000000000017</v>
      </c>
      <c r="X18" s="1547"/>
      <c r="Y18" s="512"/>
      <c r="Z18" s="512"/>
      <c r="AA18" s="512"/>
      <c r="AB18" s="512"/>
      <c r="AC18" s="512"/>
      <c r="AD18" s="512"/>
      <c r="AE18" s="512"/>
      <c r="AF18" s="512"/>
      <c r="AG18" s="512"/>
      <c r="AH18" s="512"/>
      <c r="AI18" s="512"/>
      <c r="AJ18" s="512"/>
      <c r="AK18" s="1576">
        <f>AK16+AK12+AK9+AK6</f>
        <v>1057.5999999999999</v>
      </c>
      <c r="AL18" s="1621"/>
    </row>
    <row r="19" spans="1:38" ht="42.6" customHeight="1" x14ac:dyDescent="0.2">
      <c r="A19" s="154"/>
      <c r="B19" s="206"/>
      <c r="C19" s="1565" t="s">
        <v>457</v>
      </c>
      <c r="D19" s="1565"/>
      <c r="E19" s="513"/>
      <c r="F19" s="513"/>
      <c r="G19" s="149">
        <f>G6-H6</f>
        <v>14.040000000000006</v>
      </c>
      <c r="H19" s="207">
        <f>G19/G$18</f>
        <v>7.9036253096149534E-2</v>
      </c>
      <c r="I19" s="513"/>
      <c r="J19" s="513"/>
      <c r="K19" s="149">
        <f>K6-L6</f>
        <v>23.400000000000006</v>
      </c>
      <c r="L19" s="207">
        <f>K19/K$18</f>
        <v>7.9754601226993876E-2</v>
      </c>
      <c r="M19" s="149">
        <f>M6-N6</f>
        <v>28.080000000000013</v>
      </c>
      <c r="N19" s="207">
        <f>M19/M$18</f>
        <v>8.3750894774516832E-2</v>
      </c>
      <c r="O19" s="513"/>
      <c r="P19" s="513"/>
      <c r="Q19" s="513"/>
      <c r="R19" s="513"/>
      <c r="S19" s="513"/>
      <c r="T19" s="513"/>
      <c r="U19" s="149">
        <f>U6-V6</f>
        <v>46.800000000000011</v>
      </c>
      <c r="V19" s="207">
        <f>U19/U$18</f>
        <v>8.5588880760790062E-2</v>
      </c>
      <c r="W19" s="149">
        <f>W6-X6</f>
        <v>56.160000000000025</v>
      </c>
      <c r="X19" s="207">
        <f>W19/W$18</f>
        <v>8.9063689418929226E-2</v>
      </c>
      <c r="Y19" s="149">
        <f t="shared" ref="Y19" si="30">Y6-Z6</f>
        <v>0</v>
      </c>
      <c r="Z19" s="207" t="e">
        <f t="shared" ref="Z19" si="31">Y19/Y$18</f>
        <v>#DIV/0!</v>
      </c>
      <c r="AA19" s="149">
        <f t="shared" ref="AA19" si="32">AA6-AB6</f>
        <v>0</v>
      </c>
      <c r="AB19" s="207" t="e">
        <f t="shared" ref="AB19" si="33">AA19/AA$18</f>
        <v>#DIV/0!</v>
      </c>
      <c r="AC19" s="149">
        <f t="shared" ref="AC19" si="34">AC6-AD6</f>
        <v>0</v>
      </c>
      <c r="AD19" s="207" t="e">
        <f t="shared" ref="AD19" si="35">AC19/AC$18</f>
        <v>#DIV/0!</v>
      </c>
      <c r="AE19" s="149">
        <f t="shared" ref="AE19" si="36">AE6-AF6</f>
        <v>0</v>
      </c>
      <c r="AF19" s="207" t="e">
        <f t="shared" ref="AF19" si="37">AE19/AE$18</f>
        <v>#DIV/0!</v>
      </c>
      <c r="AG19" s="149">
        <f t="shared" ref="AG19" si="38">AG6-AH6</f>
        <v>0</v>
      </c>
      <c r="AH19" s="207" t="e">
        <f t="shared" ref="AH19" si="39">AG19/AG$18</f>
        <v>#DIV/0!</v>
      </c>
      <c r="AI19" s="149">
        <f t="shared" ref="AI19" si="40">AI6-AJ6</f>
        <v>0</v>
      </c>
      <c r="AJ19" s="207" t="e">
        <f t="shared" ref="AJ19" si="41">AI19/AI$18</f>
        <v>#DIV/0!</v>
      </c>
      <c r="AK19" s="149">
        <f t="shared" ref="AK19" si="42">AK6-AL6</f>
        <v>93.600000000000023</v>
      </c>
      <c r="AL19" s="207">
        <f t="shared" ref="AL19:AL23" si="43">AK19/AK$18</f>
        <v>8.8502269288956159E-2</v>
      </c>
    </row>
    <row r="20" spans="1:38" ht="42.6" customHeight="1" x14ac:dyDescent="0.2">
      <c r="A20" s="154"/>
      <c r="B20" s="206"/>
      <c r="C20" s="1565" t="s">
        <v>9</v>
      </c>
      <c r="D20" s="1565"/>
      <c r="E20" s="513"/>
      <c r="F20" s="513"/>
      <c r="G20" s="149">
        <f>G6</f>
        <v>60.840000000000018</v>
      </c>
      <c r="H20" s="207">
        <f>G20/G$18</f>
        <v>0.34249043008331459</v>
      </c>
      <c r="I20" s="513"/>
      <c r="J20" s="513"/>
      <c r="K20" s="149">
        <f>K6</f>
        <v>101.4</v>
      </c>
      <c r="L20" s="207">
        <f>K20/K$18</f>
        <v>0.34560327198364005</v>
      </c>
      <c r="M20" s="149">
        <f>M6</f>
        <v>121.68000000000004</v>
      </c>
      <c r="N20" s="207">
        <f>M20/M$18</f>
        <v>0.36292054402290624</v>
      </c>
      <c r="O20" s="513"/>
      <c r="P20" s="513"/>
      <c r="Q20" s="513"/>
      <c r="R20" s="513"/>
      <c r="S20" s="513"/>
      <c r="T20" s="513"/>
      <c r="U20" s="149">
        <f>U6</f>
        <v>202.8</v>
      </c>
      <c r="V20" s="207">
        <f>U20/U$18</f>
        <v>0.37088514996342353</v>
      </c>
      <c r="W20" s="149">
        <f>W6</f>
        <v>243.36000000000007</v>
      </c>
      <c r="X20" s="207">
        <f>W20/W$18</f>
        <v>0.38594265414869322</v>
      </c>
      <c r="Y20" s="149">
        <f t="shared" ref="Y20" si="44">Y6</f>
        <v>0</v>
      </c>
      <c r="Z20" s="207" t="e">
        <f t="shared" ref="Z20" si="45">Y20/Y$18</f>
        <v>#DIV/0!</v>
      </c>
      <c r="AA20" s="149">
        <f t="shared" ref="AA20" si="46">AA6</f>
        <v>0</v>
      </c>
      <c r="AB20" s="207" t="e">
        <f t="shared" ref="AB20" si="47">AA20/AA$18</f>
        <v>#DIV/0!</v>
      </c>
      <c r="AC20" s="149">
        <f t="shared" ref="AC20" si="48">AC6</f>
        <v>0</v>
      </c>
      <c r="AD20" s="207" t="e">
        <f t="shared" ref="AD20" si="49">AC20/AC$18</f>
        <v>#DIV/0!</v>
      </c>
      <c r="AE20" s="149">
        <f t="shared" ref="AE20" si="50">AE6</f>
        <v>0</v>
      </c>
      <c r="AF20" s="207" t="e">
        <f t="shared" ref="AF20" si="51">AE20/AE$18</f>
        <v>#DIV/0!</v>
      </c>
      <c r="AG20" s="149">
        <f t="shared" ref="AG20" si="52">AG6</f>
        <v>0</v>
      </c>
      <c r="AH20" s="207" t="e">
        <f t="shared" ref="AH20" si="53">AG20/AG$18</f>
        <v>#DIV/0!</v>
      </c>
      <c r="AI20" s="149">
        <f t="shared" ref="AI20" si="54">AI6</f>
        <v>0</v>
      </c>
      <c r="AJ20" s="207" t="e">
        <f t="shared" ref="AJ20" si="55">AI20/AI$18</f>
        <v>#DIV/0!</v>
      </c>
      <c r="AK20" s="149">
        <f t="shared" ref="AK20" si="56">AK6</f>
        <v>405.6</v>
      </c>
      <c r="AL20" s="207">
        <f t="shared" si="43"/>
        <v>0.38350983358547658</v>
      </c>
    </row>
    <row r="21" spans="1:38" ht="42.6" customHeight="1" x14ac:dyDescent="0.2">
      <c r="A21" s="154"/>
      <c r="B21" s="206"/>
      <c r="C21" s="1565" t="s">
        <v>458</v>
      </c>
      <c r="D21" s="1565"/>
      <c r="E21" s="513"/>
      <c r="F21" s="513"/>
      <c r="G21" s="149">
        <f>G9</f>
        <v>0</v>
      </c>
      <c r="H21" s="207">
        <f>G21/G$18</f>
        <v>0</v>
      </c>
      <c r="I21" s="513"/>
      <c r="J21" s="513"/>
      <c r="K21" s="149">
        <f>K9</f>
        <v>0</v>
      </c>
      <c r="L21" s="207">
        <f>K21/K$18</f>
        <v>0</v>
      </c>
      <c r="M21" s="149">
        <f>M9</f>
        <v>0</v>
      </c>
      <c r="N21" s="207">
        <f>M21/M$18</f>
        <v>0</v>
      </c>
      <c r="O21" s="513"/>
      <c r="P21" s="513"/>
      <c r="Q21" s="513"/>
      <c r="R21" s="513"/>
      <c r="S21" s="513"/>
      <c r="T21" s="513"/>
      <c r="U21" s="149">
        <f>U9</f>
        <v>0</v>
      </c>
      <c r="V21" s="207">
        <f>U21/U$18</f>
        <v>0</v>
      </c>
      <c r="W21" s="149">
        <f>W9</f>
        <v>0</v>
      </c>
      <c r="X21" s="207">
        <f>W21/W$18</f>
        <v>0</v>
      </c>
      <c r="Y21" s="149">
        <f t="shared" ref="Y21" si="57">Y9</f>
        <v>0</v>
      </c>
      <c r="Z21" s="207" t="e">
        <f t="shared" ref="Z21" si="58">Y21/Y$18</f>
        <v>#DIV/0!</v>
      </c>
      <c r="AA21" s="149">
        <f t="shared" ref="AA21" si="59">AA9</f>
        <v>0</v>
      </c>
      <c r="AB21" s="207" t="e">
        <f t="shared" ref="AB21" si="60">AA21/AA$18</f>
        <v>#DIV/0!</v>
      </c>
      <c r="AC21" s="149">
        <f t="shared" ref="AC21" si="61">AC9</f>
        <v>0</v>
      </c>
      <c r="AD21" s="207" t="e">
        <f t="shared" ref="AD21" si="62">AC21/AC$18</f>
        <v>#DIV/0!</v>
      </c>
      <c r="AE21" s="149">
        <f t="shared" ref="AE21" si="63">AE9</f>
        <v>0</v>
      </c>
      <c r="AF21" s="207" t="e">
        <f t="shared" ref="AF21" si="64">AE21/AE$18</f>
        <v>#DIV/0!</v>
      </c>
      <c r="AG21" s="149">
        <f t="shared" ref="AG21" si="65">AG9</f>
        <v>0</v>
      </c>
      <c r="AH21" s="207" t="e">
        <f t="shared" ref="AH21" si="66">AG21/AG$18</f>
        <v>#DIV/0!</v>
      </c>
      <c r="AI21" s="149">
        <f t="shared" ref="AI21" si="67">AI9</f>
        <v>0</v>
      </c>
      <c r="AJ21" s="207" t="e">
        <f t="shared" ref="AJ21" si="68">AI21/AI$18</f>
        <v>#DIV/0!</v>
      </c>
      <c r="AK21" s="149">
        <f t="shared" ref="AK21" si="69">AK9</f>
        <v>0</v>
      </c>
      <c r="AL21" s="207">
        <f t="shared" si="43"/>
        <v>0</v>
      </c>
    </row>
    <row r="22" spans="1:38" ht="42.6" customHeight="1" x14ac:dyDescent="0.2">
      <c r="A22" s="154"/>
      <c r="B22" s="206"/>
      <c r="C22" s="1565" t="s">
        <v>459</v>
      </c>
      <c r="D22" s="1565"/>
      <c r="E22" s="513"/>
      <c r="F22" s="513"/>
      <c r="G22" s="149">
        <f>G12</f>
        <v>0</v>
      </c>
      <c r="H22" s="207">
        <f>G22/G$18</f>
        <v>0</v>
      </c>
      <c r="I22" s="513"/>
      <c r="J22" s="513"/>
      <c r="K22" s="149">
        <f>K12</f>
        <v>0</v>
      </c>
      <c r="L22" s="207">
        <f>K22/K$18</f>
        <v>0</v>
      </c>
      <c r="M22" s="149">
        <f>M12</f>
        <v>0</v>
      </c>
      <c r="N22" s="207">
        <f>M22/M$18</f>
        <v>0</v>
      </c>
      <c r="O22" s="513"/>
      <c r="P22" s="513"/>
      <c r="Q22" s="513"/>
      <c r="R22" s="513"/>
      <c r="S22" s="513"/>
      <c r="T22" s="513"/>
      <c r="U22" s="149">
        <f>U12</f>
        <v>0</v>
      </c>
      <c r="V22" s="207">
        <f>U22/U$18</f>
        <v>0</v>
      </c>
      <c r="W22" s="149">
        <f>W12</f>
        <v>0</v>
      </c>
      <c r="X22" s="207">
        <f>W22/W$18</f>
        <v>0</v>
      </c>
      <c r="Y22" s="149">
        <f t="shared" ref="Y22" si="70">Y12</f>
        <v>0</v>
      </c>
      <c r="Z22" s="207" t="e">
        <f t="shared" ref="Z22" si="71">Y22/Y$18</f>
        <v>#DIV/0!</v>
      </c>
      <c r="AA22" s="149">
        <f t="shared" ref="AA22" si="72">AA12</f>
        <v>0</v>
      </c>
      <c r="AB22" s="207" t="e">
        <f t="shared" ref="AB22" si="73">AA22/AA$18</f>
        <v>#DIV/0!</v>
      </c>
      <c r="AC22" s="149">
        <f t="shared" ref="AC22" si="74">AC12</f>
        <v>0</v>
      </c>
      <c r="AD22" s="207" t="e">
        <f t="shared" ref="AD22" si="75">AC22/AC$18</f>
        <v>#DIV/0!</v>
      </c>
      <c r="AE22" s="149">
        <f t="shared" ref="AE22" si="76">AE12</f>
        <v>0</v>
      </c>
      <c r="AF22" s="207" t="e">
        <f t="shared" ref="AF22" si="77">AE22/AE$18</f>
        <v>#DIV/0!</v>
      </c>
      <c r="AG22" s="149">
        <f t="shared" ref="AG22" si="78">AG12</f>
        <v>0</v>
      </c>
      <c r="AH22" s="207" t="e">
        <f t="shared" ref="AH22" si="79">AG22/AG$18</f>
        <v>#DIV/0!</v>
      </c>
      <c r="AI22" s="149">
        <f t="shared" ref="AI22" si="80">AI12</f>
        <v>0</v>
      </c>
      <c r="AJ22" s="207" t="e">
        <f t="shared" ref="AJ22" si="81">AI22/AI$18</f>
        <v>#DIV/0!</v>
      </c>
      <c r="AK22" s="149">
        <f t="shared" ref="AK22" si="82">AK12</f>
        <v>0</v>
      </c>
      <c r="AL22" s="207">
        <f t="shared" si="43"/>
        <v>0</v>
      </c>
    </row>
    <row r="23" spans="1:38" ht="42.6" customHeight="1" x14ac:dyDescent="0.2">
      <c r="A23" s="154"/>
      <c r="B23" s="208"/>
      <c r="C23" s="1565" t="s">
        <v>5</v>
      </c>
      <c r="D23" s="1565"/>
      <c r="E23" s="513"/>
      <c r="F23" s="513"/>
      <c r="G23" s="149">
        <f>G16</f>
        <v>116.80000000000001</v>
      </c>
      <c r="H23" s="207">
        <f>G23/G$18</f>
        <v>0.6575095699166853</v>
      </c>
      <c r="I23" s="513"/>
      <c r="J23" s="513"/>
      <c r="K23" s="149">
        <f>K16</f>
        <v>192.00000000000003</v>
      </c>
      <c r="L23" s="207">
        <f>K23/K$18</f>
        <v>0.65439672801635995</v>
      </c>
      <c r="M23" s="149">
        <f>M16</f>
        <v>213.60000000000002</v>
      </c>
      <c r="N23" s="207">
        <f>M23/M$18</f>
        <v>0.6370794559770937</v>
      </c>
      <c r="O23" s="513"/>
      <c r="P23" s="513"/>
      <c r="Q23" s="513"/>
      <c r="R23" s="513"/>
      <c r="S23" s="513"/>
      <c r="T23" s="513"/>
      <c r="U23" s="149">
        <f>U16</f>
        <v>344.00000000000006</v>
      </c>
      <c r="V23" s="207">
        <f>U23/U$18</f>
        <v>0.62911485003657652</v>
      </c>
      <c r="W23" s="149">
        <f>W16</f>
        <v>387.20000000000005</v>
      </c>
      <c r="X23" s="207">
        <f>W23/W$18</f>
        <v>0.61405734585130667</v>
      </c>
      <c r="Y23" s="149">
        <f t="shared" ref="Y23" si="83">Y16</f>
        <v>0</v>
      </c>
      <c r="Z23" s="207" t="e">
        <f t="shared" ref="Z23" si="84">Y23/Y$18</f>
        <v>#DIV/0!</v>
      </c>
      <c r="AA23" s="149">
        <f t="shared" ref="AA23" si="85">AA16</f>
        <v>0</v>
      </c>
      <c r="AB23" s="207" t="e">
        <f t="shared" ref="AB23" si="86">AA23/AA$18</f>
        <v>#DIV/0!</v>
      </c>
      <c r="AC23" s="149">
        <f t="shared" ref="AC23" si="87">AC16</f>
        <v>0</v>
      </c>
      <c r="AD23" s="207" t="e">
        <f t="shared" ref="AD23" si="88">AC23/AC$18</f>
        <v>#DIV/0!</v>
      </c>
      <c r="AE23" s="149">
        <f t="shared" ref="AE23" si="89">AE16</f>
        <v>0</v>
      </c>
      <c r="AF23" s="207" t="e">
        <f t="shared" ref="AF23" si="90">AE23/AE$18</f>
        <v>#DIV/0!</v>
      </c>
      <c r="AG23" s="149">
        <f t="shared" ref="AG23" si="91">AG16</f>
        <v>0</v>
      </c>
      <c r="AH23" s="207" t="e">
        <f t="shared" ref="AH23" si="92">AG23/AG$18</f>
        <v>#DIV/0!</v>
      </c>
      <c r="AI23" s="149">
        <f t="shared" ref="AI23" si="93">AI16</f>
        <v>0</v>
      </c>
      <c r="AJ23" s="207" t="e">
        <f t="shared" ref="AJ23" si="94">AI23/AI$18</f>
        <v>#DIV/0!</v>
      </c>
      <c r="AK23" s="149">
        <f t="shared" ref="AK23" si="95">AK16</f>
        <v>652</v>
      </c>
      <c r="AL23" s="207">
        <f t="shared" si="43"/>
        <v>0.61649016641452348</v>
      </c>
    </row>
    <row r="24" spans="1:38" x14ac:dyDescent="0.2">
      <c r="A24" s="154"/>
      <c r="B24" s="172"/>
      <c r="C24" s="154"/>
      <c r="G24" s="209"/>
      <c r="H24" s="154"/>
      <c r="K24" s="154"/>
      <c r="L24" s="154"/>
      <c r="M24" s="154"/>
      <c r="N24" s="154"/>
      <c r="U24" s="154"/>
      <c r="V24" s="154"/>
      <c r="W24" s="154"/>
      <c r="X24" s="154"/>
      <c r="AK24" s="154"/>
      <c r="AL24" s="154"/>
    </row>
    <row r="25" spans="1:38" ht="36" x14ac:dyDescent="0.2">
      <c r="A25" s="154"/>
      <c r="B25" s="1375" t="s">
        <v>1462</v>
      </c>
      <c r="C25" s="1568" t="s">
        <v>1463</v>
      </c>
      <c r="D25" s="1569"/>
      <c r="E25" s="149" t="e">
        <f>(VLOOKUP("Prix HT",$C$1:$N$25,E$1,0))-(VLOOKUP("Non margé",$D$1:$N$25,E$1,0))</f>
        <v>#VALUE!</v>
      </c>
      <c r="F25" s="207" t="e">
        <f>E25/VLOOKUP("Prix HT",$C$1:$N$25,E$1,0)</f>
        <v>#VALUE!</v>
      </c>
      <c r="G25" s="149">
        <f>(VLOOKUP("Prix HT",$C$1:$N$25,G$1,0))-(VLOOKUP("Non margé",$D$1:$N$25,G$1,0))</f>
        <v>130.84000000000003</v>
      </c>
      <c r="H25" s="207">
        <f>G25/VLOOKUP("Prix HT",$C$1:$N$25,G$1,0)</f>
        <v>0.736545823012835</v>
      </c>
      <c r="I25" s="149" t="e">
        <f>(VLOOKUP("Prix HT",$C$1:$N$25,I$1,0))-(VLOOKUP("Non margé",$D$1:$N$25,I$1,0))</f>
        <v>#VALUE!</v>
      </c>
      <c r="J25" s="207" t="e">
        <f>I25/VLOOKUP("Prix HT",$C$1:$N$25,I$1,0)</f>
        <v>#VALUE!</v>
      </c>
      <c r="K25" s="149">
        <f>(VLOOKUP("Prix HT",$C$1:$N$25,K$1,0))-(VLOOKUP("Non margé",$D$1:$N$25,K$1,0))</f>
        <v>215.40000000000003</v>
      </c>
      <c r="L25" s="207">
        <f>K25/VLOOKUP("Prix HT",$C$1:$N$25,K$1,0)</f>
        <v>0.7341513292433538</v>
      </c>
      <c r="M25" s="149">
        <f>(VLOOKUP("Prix HT",$C$1:$N$25,M$1,0))-(VLOOKUP("Non margé",$D$1:$N$25,M$1,0))</f>
        <v>241.68000000000006</v>
      </c>
      <c r="N25" s="207">
        <f>M25/VLOOKUP("Prix HT",$C$1:$N$25,M$1,0)</f>
        <v>0.72083035075161062</v>
      </c>
      <c r="O25" s="149" t="e">
        <f>(VLOOKUP("Prix HT",$C$1:$AK$25,O$1,0))-(VLOOKUP("Non margé",$D$1:$AK$25,O$1,0))</f>
        <v>#VALUE!</v>
      </c>
      <c r="P25" s="207" t="e">
        <f>O25/VLOOKUP("Prix HT",$C$1:$AK$25,O$1,0)</f>
        <v>#VALUE!</v>
      </c>
      <c r="Q25" s="149" t="e">
        <f>(VLOOKUP("Prix HT",$C$1:$AK$25,Q$1,0))-(VLOOKUP("Non margé",$D$1:$AK$25,Q$1,0))</f>
        <v>#VALUE!</v>
      </c>
      <c r="R25" s="207" t="e">
        <f>Q25/VLOOKUP("Prix HT",$C$1:$AK$25,Q$1,0)</f>
        <v>#VALUE!</v>
      </c>
      <c r="S25" s="149" t="e">
        <f>(VLOOKUP("Prix HT",$C$1:$AK$25,S$1,0))-(VLOOKUP("Non margé",$D$1:$AK$25,S$1,0))</f>
        <v>#VALUE!</v>
      </c>
      <c r="T25" s="207" t="e">
        <f>S25/VLOOKUP("Prix HT",$C$1:$AK$25,S$1,0)</f>
        <v>#VALUE!</v>
      </c>
      <c r="U25" s="149">
        <f>(VLOOKUP("Prix HT",$C$1:$AK$25,U$1,0))-(VLOOKUP("Non margé",$D$1:$AK$25,U$1,0))</f>
        <v>390.80000000000007</v>
      </c>
      <c r="V25" s="207">
        <f>U25/VLOOKUP("Prix HT",$C$1:$AK$25,U$1,0)</f>
        <v>0.71470373079736649</v>
      </c>
      <c r="W25" s="149">
        <f>(VLOOKUP("Prix HT",$C$1:$AK$25,W$1,0))-(VLOOKUP("Non margé",$D$1:$AK$25,W$1,0))</f>
        <v>443.36000000000013</v>
      </c>
      <c r="X25" s="207">
        <f>W25/VLOOKUP("Prix HT",$C$1:$AK$25,W$1,0)</f>
        <v>0.70312103527023595</v>
      </c>
      <c r="Y25" s="207" t="e">
        <f t="shared" ref="Y25:AL25" si="96">X25/VLOOKUP("Prix HT",$C$1:$AK$25,X$1,0)</f>
        <v>#REF!</v>
      </c>
      <c r="Z25" s="207" t="e">
        <f t="shared" si="96"/>
        <v>#REF!</v>
      </c>
      <c r="AA25" s="207" t="e">
        <f t="shared" si="96"/>
        <v>#REF!</v>
      </c>
      <c r="AB25" s="207" t="e">
        <f t="shared" si="96"/>
        <v>#REF!</v>
      </c>
      <c r="AC25" s="207" t="e">
        <f t="shared" si="96"/>
        <v>#REF!</v>
      </c>
      <c r="AD25" s="207" t="e">
        <f t="shared" si="96"/>
        <v>#REF!</v>
      </c>
      <c r="AE25" s="207" t="e">
        <f t="shared" si="96"/>
        <v>#REF!</v>
      </c>
      <c r="AF25" s="207" t="e">
        <f t="shared" si="96"/>
        <v>#REF!</v>
      </c>
      <c r="AG25" s="207" t="e">
        <f t="shared" si="96"/>
        <v>#REF!</v>
      </c>
      <c r="AH25" s="207" t="e">
        <f t="shared" si="96"/>
        <v>#REF!</v>
      </c>
      <c r="AI25" s="207" t="e">
        <f t="shared" si="96"/>
        <v>#REF!</v>
      </c>
      <c r="AJ25" s="207" t="e">
        <f t="shared" si="96"/>
        <v>#REF!</v>
      </c>
      <c r="AK25" s="207" t="e">
        <f t="shared" si="96"/>
        <v>#REF!</v>
      </c>
      <c r="AL25" s="207" t="e">
        <f t="shared" si="96"/>
        <v>#REF!</v>
      </c>
    </row>
    <row r="26" spans="1:38" x14ac:dyDescent="0.2">
      <c r="A26" s="1391"/>
      <c r="B26" s="1392"/>
      <c r="C26" s="1393"/>
    </row>
    <row r="27" spans="1:38" x14ac:dyDescent="0.2">
      <c r="A27" s="1391"/>
      <c r="B27" s="1392"/>
      <c r="C27" s="1393"/>
    </row>
    <row r="28" spans="1:38" x14ac:dyDescent="0.2">
      <c r="A28" s="1391"/>
      <c r="B28" s="1392"/>
      <c r="C28" s="1393"/>
    </row>
    <row r="29" spans="1:38" ht="13.35" customHeight="1" x14ac:dyDescent="0.2">
      <c r="A29" s="1391"/>
      <c r="B29" s="1392"/>
      <c r="C29" s="1393"/>
    </row>
    <row r="30" spans="1:38" x14ac:dyDescent="0.2">
      <c r="A30" s="1391"/>
      <c r="B30" s="1392"/>
      <c r="C30" s="1393"/>
    </row>
    <row r="31" spans="1:38" x14ac:dyDescent="0.2">
      <c r="A31" s="1391"/>
      <c r="B31" s="1392"/>
      <c r="C31" s="1393"/>
    </row>
    <row r="32" spans="1:38" x14ac:dyDescent="0.2">
      <c r="A32" s="1391"/>
      <c r="B32" s="1392"/>
      <c r="C32" s="1393"/>
    </row>
    <row r="33" spans="1:3" x14ac:dyDescent="0.2">
      <c r="A33" s="1391"/>
      <c r="B33" s="1392"/>
      <c r="C33" s="1393"/>
    </row>
    <row r="34" spans="1:3" x14ac:dyDescent="0.2">
      <c r="A34" s="1391"/>
      <c r="B34" s="1392"/>
      <c r="C34" s="1393"/>
    </row>
    <row r="35" spans="1:3" x14ac:dyDescent="0.2">
      <c r="A35" s="1391"/>
      <c r="B35" s="1392"/>
      <c r="C35" s="1393"/>
    </row>
    <row r="36" spans="1:3" x14ac:dyDescent="0.2">
      <c r="A36" s="1391"/>
      <c r="B36" s="1392"/>
      <c r="C36" s="1393"/>
    </row>
    <row r="37" spans="1:3" x14ac:dyDescent="0.2">
      <c r="A37" s="1391"/>
      <c r="B37" s="1392"/>
      <c r="C37" s="1393"/>
    </row>
    <row r="38" spans="1:3" x14ac:dyDescent="0.2">
      <c r="A38" s="1391"/>
      <c r="B38" s="1392"/>
      <c r="C38" s="1393"/>
    </row>
    <row r="39" spans="1:3" x14ac:dyDescent="0.2">
      <c r="A39" s="1391"/>
      <c r="B39" s="1392"/>
      <c r="C39" s="1393"/>
    </row>
    <row r="40" spans="1:3" x14ac:dyDescent="0.2">
      <c r="A40" s="1391"/>
      <c r="B40" s="1392"/>
      <c r="C40" s="1393"/>
    </row>
    <row r="41" spans="1:3" x14ac:dyDescent="0.2">
      <c r="A41" s="1391"/>
      <c r="B41" s="1392"/>
      <c r="C41" s="1393"/>
    </row>
    <row r="42" spans="1:3" x14ac:dyDescent="0.2">
      <c r="A42" s="1391"/>
      <c r="B42" s="1392"/>
      <c r="C42" s="1393"/>
    </row>
    <row r="43" spans="1:3" x14ac:dyDescent="0.2">
      <c r="A43" s="1391"/>
      <c r="B43" s="1392"/>
      <c r="C43" s="1393"/>
    </row>
    <row r="44" spans="1:3" x14ac:dyDescent="0.2">
      <c r="A44" s="1391"/>
      <c r="B44" s="1392"/>
      <c r="C44" s="1393"/>
    </row>
    <row r="45" spans="1:3" x14ac:dyDescent="0.2">
      <c r="A45" s="1391"/>
      <c r="B45" s="1392"/>
      <c r="C45" s="1393"/>
    </row>
    <row r="46" spans="1:3" x14ac:dyDescent="0.2">
      <c r="A46" s="1391"/>
      <c r="B46" s="1392"/>
      <c r="C46" s="1393"/>
    </row>
    <row r="47" spans="1:3" x14ac:dyDescent="0.2">
      <c r="A47" s="1391"/>
      <c r="B47" s="1392"/>
      <c r="C47" s="1393"/>
    </row>
    <row r="48" spans="1:3" x14ac:dyDescent="0.2">
      <c r="A48" s="1391"/>
      <c r="B48" s="1392"/>
      <c r="C48" s="1393"/>
    </row>
    <row r="49" spans="1:3" x14ac:dyDescent="0.2">
      <c r="A49" s="1391"/>
      <c r="B49" s="1392"/>
      <c r="C49" s="1393"/>
    </row>
    <row r="50" spans="1:3" x14ac:dyDescent="0.2">
      <c r="A50" s="1391"/>
      <c r="B50" s="1392"/>
      <c r="C50" s="1393"/>
    </row>
    <row r="51" spans="1:3" x14ac:dyDescent="0.2">
      <c r="A51" s="1391"/>
      <c r="B51" s="1392"/>
      <c r="C51" s="1393"/>
    </row>
    <row r="52" spans="1:3" x14ac:dyDescent="0.2">
      <c r="A52" s="1391"/>
      <c r="B52" s="1392"/>
      <c r="C52" s="1393"/>
    </row>
    <row r="53" spans="1:3" x14ac:dyDescent="0.2">
      <c r="A53" s="1391"/>
      <c r="B53" s="1392"/>
      <c r="C53" s="1393"/>
    </row>
    <row r="54" spans="1:3" x14ac:dyDescent="0.2">
      <c r="A54" s="1391"/>
      <c r="B54" s="1392"/>
      <c r="C54" s="1393"/>
    </row>
    <row r="55" spans="1:3" x14ac:dyDescent="0.2">
      <c r="A55" s="1391"/>
      <c r="B55" s="1392"/>
      <c r="C55" s="1393"/>
    </row>
    <row r="56" spans="1:3" x14ac:dyDescent="0.2">
      <c r="A56" s="1391"/>
      <c r="B56" s="1392"/>
      <c r="C56" s="1393"/>
    </row>
    <row r="57" spans="1:3" x14ac:dyDescent="0.2">
      <c r="A57" s="1391"/>
      <c r="B57" s="1392"/>
      <c r="C57" s="1393"/>
    </row>
    <row r="58" spans="1:3" x14ac:dyDescent="0.2">
      <c r="A58" s="1391"/>
      <c r="B58" s="1392"/>
      <c r="C58" s="1393"/>
    </row>
    <row r="59" spans="1:3" x14ac:dyDescent="0.2">
      <c r="A59" s="1391"/>
      <c r="B59" s="1392"/>
      <c r="C59" s="1393"/>
    </row>
    <row r="60" spans="1:3" x14ac:dyDescent="0.2">
      <c r="A60" s="1391"/>
      <c r="B60" s="1392"/>
      <c r="C60" s="1393"/>
    </row>
    <row r="61" spans="1:3" x14ac:dyDescent="0.2">
      <c r="A61" s="1391"/>
      <c r="B61" s="1392"/>
      <c r="C61" s="1393"/>
    </row>
    <row r="62" spans="1:3" x14ac:dyDescent="0.2">
      <c r="A62" s="1391"/>
      <c r="B62" s="1392"/>
      <c r="C62" s="1393"/>
    </row>
    <row r="63" spans="1:3" x14ac:dyDescent="0.2">
      <c r="A63" s="1391"/>
      <c r="B63" s="1392"/>
      <c r="C63" s="1393"/>
    </row>
    <row r="64" spans="1:3" x14ac:dyDescent="0.2">
      <c r="A64" s="1391"/>
      <c r="B64" s="1392"/>
      <c r="C64" s="1393"/>
    </row>
    <row r="65" spans="1:3" x14ac:dyDescent="0.2">
      <c r="A65" s="1391"/>
      <c r="B65" s="1392"/>
      <c r="C65" s="1393"/>
    </row>
    <row r="66" spans="1:3" x14ac:dyDescent="0.2">
      <c r="A66" s="1391"/>
      <c r="B66" s="1392"/>
      <c r="C66" s="1393"/>
    </row>
    <row r="67" spans="1:3" x14ac:dyDescent="0.2">
      <c r="A67" s="1391"/>
      <c r="B67" s="1392"/>
      <c r="C67" s="1393"/>
    </row>
    <row r="68" spans="1:3" x14ac:dyDescent="0.2">
      <c r="A68" s="1391"/>
      <c r="B68" s="1392"/>
      <c r="C68" s="1393"/>
    </row>
    <row r="69" spans="1:3" x14ac:dyDescent="0.2">
      <c r="A69" s="1391"/>
      <c r="B69" s="1392"/>
      <c r="C69" s="1393"/>
    </row>
    <row r="70" spans="1:3" x14ac:dyDescent="0.2">
      <c r="A70" s="1391"/>
      <c r="B70" s="1392"/>
      <c r="C70" s="1393"/>
    </row>
    <row r="71" spans="1:3" x14ac:dyDescent="0.2">
      <c r="A71" s="1391"/>
      <c r="B71" s="1392"/>
      <c r="C71" s="1393"/>
    </row>
    <row r="72" spans="1:3" x14ac:dyDescent="0.2">
      <c r="A72" s="1391"/>
      <c r="B72" s="1392"/>
      <c r="C72" s="1393"/>
    </row>
    <row r="73" spans="1:3" x14ac:dyDescent="0.2">
      <c r="A73" s="1391"/>
      <c r="B73" s="1392"/>
      <c r="C73" s="1393"/>
    </row>
    <row r="74" spans="1:3" x14ac:dyDescent="0.2">
      <c r="A74" s="1391"/>
      <c r="B74" s="1392"/>
      <c r="C74" s="1393"/>
    </row>
    <row r="75" spans="1:3" x14ac:dyDescent="0.2">
      <c r="A75" s="1391"/>
      <c r="B75" s="1392"/>
      <c r="C75" s="1393"/>
    </row>
    <row r="76" spans="1:3" x14ac:dyDescent="0.2">
      <c r="A76" s="1391"/>
      <c r="B76" s="1392"/>
      <c r="C76" s="1393"/>
    </row>
    <row r="77" spans="1:3" x14ac:dyDescent="0.2">
      <c r="A77" s="1391"/>
      <c r="B77" s="1392"/>
      <c r="C77" s="1393"/>
    </row>
    <row r="78" spans="1:3" x14ac:dyDescent="0.2">
      <c r="A78" s="1391"/>
      <c r="B78" s="1392"/>
      <c r="C78" s="1393"/>
    </row>
    <row r="79" spans="1:3" x14ac:dyDescent="0.2">
      <c r="A79" s="1391"/>
      <c r="B79" s="1392"/>
      <c r="C79" s="1393"/>
    </row>
    <row r="80" spans="1:3" x14ac:dyDescent="0.2">
      <c r="A80" s="1391"/>
      <c r="B80" s="1392"/>
      <c r="C80" s="1393"/>
    </row>
    <row r="81" spans="1:3" x14ac:dyDescent="0.2">
      <c r="A81" s="1391"/>
      <c r="B81" s="1392"/>
      <c r="C81" s="1393"/>
    </row>
    <row r="82" spans="1:3" x14ac:dyDescent="0.2">
      <c r="A82" s="1391"/>
      <c r="B82" s="1392"/>
      <c r="C82" s="1393"/>
    </row>
    <row r="83" spans="1:3" x14ac:dyDescent="0.2">
      <c r="A83" s="1391"/>
      <c r="B83" s="1392"/>
      <c r="C83" s="1393"/>
    </row>
    <row r="84" spans="1:3" x14ac:dyDescent="0.2">
      <c r="A84" s="1391"/>
      <c r="B84" s="1392"/>
      <c r="C84" s="1393"/>
    </row>
    <row r="85" spans="1:3" x14ac:dyDescent="0.2">
      <c r="A85" s="1391"/>
      <c r="B85" s="1392"/>
      <c r="C85" s="1393"/>
    </row>
    <row r="86" spans="1:3" x14ac:dyDescent="0.2">
      <c r="A86" s="1391"/>
      <c r="B86" s="1392"/>
      <c r="C86" s="1393"/>
    </row>
    <row r="87" spans="1:3" x14ac:dyDescent="0.2">
      <c r="A87" s="1391"/>
      <c r="B87" s="1392"/>
      <c r="C87" s="1393"/>
    </row>
    <row r="88" spans="1:3" x14ac:dyDescent="0.2">
      <c r="A88" s="1391"/>
      <c r="B88" s="1392"/>
      <c r="C88" s="1393"/>
    </row>
    <row r="89" spans="1:3" x14ac:dyDescent="0.2">
      <c r="A89" s="1391"/>
      <c r="B89" s="1392"/>
      <c r="C89" s="1393"/>
    </row>
    <row r="90" spans="1:3" x14ac:dyDescent="0.2">
      <c r="A90" s="1391"/>
      <c r="B90" s="1392"/>
      <c r="C90" s="1393"/>
    </row>
    <row r="91" spans="1:3" x14ac:dyDescent="0.2">
      <c r="A91" s="1391"/>
      <c r="B91" s="1392"/>
      <c r="C91" s="1393"/>
    </row>
    <row r="92" spans="1:3" x14ac:dyDescent="0.2">
      <c r="A92" s="1391"/>
      <c r="B92" s="1392"/>
      <c r="C92" s="1393"/>
    </row>
    <row r="93" spans="1:3" x14ac:dyDescent="0.2">
      <c r="A93" s="1391"/>
      <c r="B93" s="1392"/>
      <c r="C93" s="1393"/>
    </row>
    <row r="94" spans="1:3" x14ac:dyDescent="0.2">
      <c r="A94" s="1391"/>
      <c r="B94" s="1392"/>
      <c r="C94" s="1393"/>
    </row>
    <row r="95" spans="1:3" x14ac:dyDescent="0.2">
      <c r="A95" s="1391"/>
      <c r="B95" s="1392"/>
      <c r="C95" s="1393"/>
    </row>
    <row r="96" spans="1:3" x14ac:dyDescent="0.2">
      <c r="A96" s="1391"/>
      <c r="B96" s="1392"/>
      <c r="C96" s="1393"/>
    </row>
    <row r="97" spans="1:3" x14ac:dyDescent="0.2">
      <c r="A97" s="1391"/>
      <c r="B97" s="1392"/>
      <c r="C97" s="1393"/>
    </row>
    <row r="98" spans="1:3" x14ac:dyDescent="0.2">
      <c r="A98" s="1391"/>
      <c r="B98" s="1392"/>
      <c r="C98" s="1393"/>
    </row>
    <row r="99" spans="1:3" x14ac:dyDescent="0.2">
      <c r="A99" s="1391"/>
      <c r="B99" s="1392"/>
      <c r="C99" s="1393"/>
    </row>
    <row r="100" spans="1:3" x14ac:dyDescent="0.2">
      <c r="A100" s="1391"/>
      <c r="B100" s="1392"/>
      <c r="C100" s="1393"/>
    </row>
    <row r="101" spans="1:3" x14ac:dyDescent="0.2">
      <c r="A101" s="1391"/>
      <c r="B101" s="1392"/>
      <c r="C101" s="1393"/>
    </row>
    <row r="102" spans="1:3" x14ac:dyDescent="0.2">
      <c r="A102" s="1391"/>
      <c r="B102" s="1392"/>
      <c r="C102" s="1393"/>
    </row>
    <row r="103" spans="1:3" x14ac:dyDescent="0.2">
      <c r="A103" s="1391"/>
      <c r="B103" s="1392"/>
      <c r="C103" s="1393"/>
    </row>
    <row r="104" spans="1:3" x14ac:dyDescent="0.2">
      <c r="A104" s="1391"/>
      <c r="B104" s="1392"/>
      <c r="C104" s="1393"/>
    </row>
    <row r="105" spans="1:3" x14ac:dyDescent="0.2">
      <c r="A105" s="1391"/>
      <c r="B105" s="1392"/>
      <c r="C105" s="1393"/>
    </row>
    <row r="106" spans="1:3" x14ac:dyDescent="0.2">
      <c r="A106" s="1391"/>
      <c r="B106" s="1392"/>
      <c r="C106" s="1393"/>
    </row>
    <row r="107" spans="1:3" x14ac:dyDescent="0.2">
      <c r="A107" s="1391"/>
      <c r="B107" s="1392"/>
      <c r="C107" s="1393"/>
    </row>
    <row r="108" spans="1:3" x14ac:dyDescent="0.2">
      <c r="A108" s="1391"/>
      <c r="B108" s="1392"/>
      <c r="C108" s="1393"/>
    </row>
    <row r="109" spans="1:3" x14ac:dyDescent="0.2">
      <c r="A109" s="1391"/>
      <c r="B109" s="1392"/>
      <c r="C109" s="1393"/>
    </row>
    <row r="110" spans="1:3" x14ac:dyDescent="0.2">
      <c r="A110" s="1391"/>
      <c r="B110" s="1392"/>
      <c r="C110" s="1393"/>
    </row>
    <row r="111" spans="1:3" x14ac:dyDescent="0.2">
      <c r="A111" s="1391"/>
      <c r="B111" s="1392"/>
      <c r="C111" s="1393"/>
    </row>
    <row r="112" spans="1:3" x14ac:dyDescent="0.2">
      <c r="A112" s="1391"/>
      <c r="B112" s="1392"/>
      <c r="C112" s="1393"/>
    </row>
    <row r="113" spans="1:3" x14ac:dyDescent="0.2">
      <c r="A113" s="1391"/>
      <c r="B113" s="1392"/>
      <c r="C113" s="1393"/>
    </row>
    <row r="114" spans="1:3" x14ac:dyDescent="0.2">
      <c r="A114" s="1391"/>
      <c r="B114" s="1392"/>
      <c r="C114" s="1393"/>
    </row>
    <row r="115" spans="1:3" x14ac:dyDescent="0.2">
      <c r="A115" s="1391"/>
      <c r="B115" s="1392"/>
      <c r="C115" s="1393"/>
    </row>
    <row r="116" spans="1:3" x14ac:dyDescent="0.2">
      <c r="A116" s="1391"/>
      <c r="B116" s="1392"/>
      <c r="C116" s="1393"/>
    </row>
    <row r="117" spans="1:3" x14ac:dyDescent="0.2">
      <c r="A117" s="1391"/>
      <c r="B117" s="1392"/>
      <c r="C117" s="1393"/>
    </row>
    <row r="118" spans="1:3" x14ac:dyDescent="0.2">
      <c r="A118" s="1391"/>
      <c r="B118" s="1392"/>
      <c r="C118" s="1393"/>
    </row>
    <row r="119" spans="1:3" x14ac:dyDescent="0.2">
      <c r="A119" s="1391"/>
      <c r="B119" s="1392"/>
      <c r="C119" s="1393"/>
    </row>
    <row r="1046862" spans="1:3" ht="14.25" x14ac:dyDescent="0.2">
      <c r="A1046862"/>
      <c r="B1046862"/>
      <c r="C1046862"/>
    </row>
    <row r="1046863" spans="1:3" ht="14.25" x14ac:dyDescent="0.2">
      <c r="A1046863"/>
      <c r="B1046863"/>
      <c r="C1046863"/>
    </row>
    <row r="1046864" spans="1:3" ht="14.25" x14ac:dyDescent="0.2">
      <c r="A1046864"/>
      <c r="B1046864"/>
      <c r="C1046864"/>
    </row>
    <row r="1046865" spans="1:3" ht="14.25" x14ac:dyDescent="0.2">
      <c r="A1046865"/>
      <c r="B1046865"/>
      <c r="C1046865"/>
    </row>
    <row r="1046866" spans="1:3" ht="14.25" x14ac:dyDescent="0.2">
      <c r="A1046866"/>
      <c r="B1046866"/>
      <c r="C1046866"/>
    </row>
    <row r="1046867" spans="1:3" ht="14.25" x14ac:dyDescent="0.2">
      <c r="A1046867"/>
      <c r="B1046867"/>
      <c r="C1046867"/>
    </row>
    <row r="1046868" spans="1:3" ht="14.25" x14ac:dyDescent="0.2">
      <c r="A1046868"/>
      <c r="B1046868"/>
      <c r="C1046868"/>
    </row>
    <row r="1046869" spans="1:3" ht="14.25" x14ac:dyDescent="0.2">
      <c r="A1046869"/>
      <c r="B1046869"/>
      <c r="C1046869"/>
    </row>
    <row r="1046870" spans="1:3" ht="14.25" x14ac:dyDescent="0.2">
      <c r="A1046870"/>
      <c r="B1046870"/>
      <c r="C1046870"/>
    </row>
    <row r="1046871" spans="1:3" ht="14.25" x14ac:dyDescent="0.2">
      <c r="A1046871"/>
      <c r="B1046871"/>
      <c r="C1046871"/>
    </row>
    <row r="1046872" spans="1:3" ht="14.25" x14ac:dyDescent="0.2">
      <c r="A1046872"/>
      <c r="B1046872"/>
      <c r="C1046872"/>
    </row>
    <row r="1046873" spans="1:3" ht="14.25" x14ac:dyDescent="0.2">
      <c r="A1046873"/>
      <c r="B1046873"/>
      <c r="C1046873"/>
    </row>
    <row r="1046874" spans="1:3" ht="14.25" x14ac:dyDescent="0.2">
      <c r="A1046874"/>
      <c r="B1046874"/>
      <c r="C1046874"/>
    </row>
    <row r="1046875" spans="1:3" ht="14.25" x14ac:dyDescent="0.2">
      <c r="A1046875"/>
      <c r="B1046875"/>
      <c r="C1046875"/>
    </row>
    <row r="1046876" spans="1:3" ht="14.25" x14ac:dyDescent="0.2">
      <c r="A1046876"/>
      <c r="B1046876"/>
      <c r="C1046876"/>
    </row>
    <row r="1046877" spans="1:3" ht="14.25" x14ac:dyDescent="0.2">
      <c r="A1046877"/>
      <c r="B1046877"/>
      <c r="C1046877"/>
    </row>
    <row r="1046878" spans="1:3" ht="14.25" x14ac:dyDescent="0.2">
      <c r="A1046878"/>
      <c r="B1046878"/>
      <c r="C1046878"/>
    </row>
    <row r="1046879" spans="1:3" ht="14.25" x14ac:dyDescent="0.2">
      <c r="A1046879"/>
      <c r="B1046879"/>
      <c r="C1046879"/>
    </row>
    <row r="1046880" spans="1:3" ht="14.25" x14ac:dyDescent="0.2">
      <c r="A1046880"/>
      <c r="B1046880"/>
      <c r="C1046880"/>
    </row>
    <row r="1046881" spans="1:3" ht="14.25" x14ac:dyDescent="0.2">
      <c r="A1046881"/>
      <c r="B1046881"/>
      <c r="C1046881"/>
    </row>
    <row r="1046882" spans="1:3" ht="14.25" x14ac:dyDescent="0.2">
      <c r="A1046882"/>
      <c r="B1046882"/>
      <c r="C1046882"/>
    </row>
    <row r="1046883" spans="1:3" ht="14.25" x14ac:dyDescent="0.2">
      <c r="A1046883"/>
      <c r="B1046883"/>
      <c r="C1046883"/>
    </row>
    <row r="1046884" spans="1:3" ht="14.25" x14ac:dyDescent="0.2">
      <c r="A1046884"/>
      <c r="B1046884"/>
      <c r="C1046884"/>
    </row>
    <row r="1046885" spans="1:3" ht="14.25" x14ac:dyDescent="0.2">
      <c r="A1046885"/>
      <c r="B1046885"/>
      <c r="C1046885"/>
    </row>
    <row r="1046886" spans="1:3" ht="14.25" x14ac:dyDescent="0.2">
      <c r="A1046886"/>
      <c r="B1046886"/>
      <c r="C1046886"/>
    </row>
    <row r="1046887" spans="1:3" ht="14.25" x14ac:dyDescent="0.2">
      <c r="A1046887"/>
      <c r="B1046887"/>
      <c r="C1046887"/>
    </row>
    <row r="1046888" spans="1:3" ht="14.25" x14ac:dyDescent="0.2">
      <c r="A1046888"/>
      <c r="B1046888"/>
      <c r="C1046888"/>
    </row>
    <row r="1046889" spans="1:3" ht="14.25" x14ac:dyDescent="0.2">
      <c r="A1046889"/>
      <c r="B1046889"/>
      <c r="C1046889"/>
    </row>
    <row r="1046890" spans="1:3" ht="14.25" x14ac:dyDescent="0.2">
      <c r="A1046890"/>
      <c r="B1046890"/>
      <c r="C1046890"/>
    </row>
    <row r="1046891" spans="1:3" ht="14.25" x14ac:dyDescent="0.2">
      <c r="A1046891"/>
      <c r="B1046891"/>
      <c r="C1046891"/>
    </row>
    <row r="1046892" spans="1:3" ht="14.25" x14ac:dyDescent="0.2">
      <c r="A1046892"/>
      <c r="B1046892"/>
      <c r="C1046892"/>
    </row>
    <row r="1046893" spans="1:3" ht="14.25" x14ac:dyDescent="0.2">
      <c r="A1046893"/>
      <c r="B1046893"/>
      <c r="C1046893"/>
    </row>
    <row r="1046894" spans="1:3" ht="14.25" x14ac:dyDescent="0.2">
      <c r="A1046894"/>
      <c r="B1046894"/>
      <c r="C1046894"/>
    </row>
    <row r="1046895" spans="1:3" ht="14.25" x14ac:dyDescent="0.2">
      <c r="A1046895"/>
      <c r="B1046895"/>
      <c r="C1046895"/>
    </row>
    <row r="1046896" spans="1:3" ht="14.25" x14ac:dyDescent="0.2">
      <c r="A1046896"/>
      <c r="B1046896"/>
      <c r="C1046896"/>
    </row>
    <row r="1046897" spans="1:3" ht="14.25" x14ac:dyDescent="0.2">
      <c r="A1046897"/>
      <c r="B1046897"/>
      <c r="C1046897"/>
    </row>
    <row r="1046898" spans="1:3" ht="14.25" x14ac:dyDescent="0.2">
      <c r="A1046898"/>
      <c r="B1046898"/>
      <c r="C1046898"/>
    </row>
    <row r="1046899" spans="1:3" ht="14.25" x14ac:dyDescent="0.2">
      <c r="A1046899"/>
      <c r="B1046899"/>
      <c r="C1046899"/>
    </row>
    <row r="1046900" spans="1:3" ht="14.25" x14ac:dyDescent="0.2">
      <c r="A1046900"/>
      <c r="B1046900"/>
      <c r="C1046900"/>
    </row>
    <row r="1046901" spans="1:3" ht="14.25" x14ac:dyDescent="0.2">
      <c r="A1046901"/>
      <c r="B1046901"/>
      <c r="C1046901"/>
    </row>
    <row r="1046902" spans="1:3" ht="14.25" x14ac:dyDescent="0.2">
      <c r="A1046902"/>
      <c r="B1046902"/>
      <c r="C1046902"/>
    </row>
    <row r="1046903" spans="1:3" ht="14.25" x14ac:dyDescent="0.2">
      <c r="A1046903"/>
      <c r="B1046903"/>
      <c r="C1046903"/>
    </row>
    <row r="1046904" spans="1:3" ht="14.25" x14ac:dyDescent="0.2">
      <c r="A1046904"/>
      <c r="B1046904"/>
      <c r="C1046904"/>
    </row>
    <row r="1046905" spans="1:3" ht="14.25" x14ac:dyDescent="0.2">
      <c r="A1046905"/>
      <c r="B1046905"/>
      <c r="C1046905"/>
    </row>
    <row r="1046906" spans="1:3" ht="14.25" x14ac:dyDescent="0.2">
      <c r="A1046906"/>
      <c r="B1046906"/>
      <c r="C1046906"/>
    </row>
    <row r="1046907" spans="1:3" ht="14.25" x14ac:dyDescent="0.2">
      <c r="A1046907"/>
      <c r="B1046907"/>
      <c r="C1046907"/>
    </row>
    <row r="1046908" spans="1:3" ht="14.25" x14ac:dyDescent="0.2">
      <c r="A1046908"/>
      <c r="B1046908"/>
      <c r="C1046908"/>
    </row>
    <row r="1046909" spans="1:3" ht="14.25" x14ac:dyDescent="0.2">
      <c r="A1046909"/>
      <c r="B1046909"/>
      <c r="C1046909"/>
    </row>
    <row r="1046910" spans="1:3" ht="14.25" x14ac:dyDescent="0.2">
      <c r="A1046910"/>
      <c r="B1046910"/>
      <c r="C1046910"/>
    </row>
    <row r="1046911" spans="1:3" ht="14.25" x14ac:dyDescent="0.2">
      <c r="A1046911"/>
      <c r="B1046911"/>
      <c r="C1046911"/>
    </row>
    <row r="1046912" spans="1:3" ht="14.25" x14ac:dyDescent="0.2">
      <c r="A1046912"/>
      <c r="B1046912"/>
      <c r="C1046912"/>
    </row>
    <row r="1046913" spans="1:3" ht="14.25" x14ac:dyDescent="0.2">
      <c r="A1046913"/>
      <c r="B1046913"/>
      <c r="C1046913"/>
    </row>
    <row r="1046914" spans="1:3" ht="14.25" x14ac:dyDescent="0.2">
      <c r="A1046914"/>
      <c r="B1046914"/>
      <c r="C1046914"/>
    </row>
    <row r="1046915" spans="1:3" ht="14.25" x14ac:dyDescent="0.2">
      <c r="A1046915"/>
      <c r="B1046915"/>
      <c r="C1046915"/>
    </row>
    <row r="1046916" spans="1:3" ht="14.25" x14ac:dyDescent="0.2">
      <c r="A1046916"/>
      <c r="B1046916"/>
      <c r="C1046916"/>
    </row>
    <row r="1046917" spans="1:3" ht="14.25" x14ac:dyDescent="0.2">
      <c r="A1046917"/>
      <c r="B1046917"/>
      <c r="C1046917"/>
    </row>
    <row r="1046918" spans="1:3" ht="14.25" x14ac:dyDescent="0.2">
      <c r="A1046918"/>
      <c r="B1046918"/>
      <c r="C1046918"/>
    </row>
    <row r="1046919" spans="1:3" ht="14.25" x14ac:dyDescent="0.2">
      <c r="A1046919"/>
      <c r="B1046919"/>
      <c r="C1046919"/>
    </row>
    <row r="1046920" spans="1:3" ht="14.25" x14ac:dyDescent="0.2">
      <c r="A1046920"/>
      <c r="B1046920"/>
      <c r="C1046920"/>
    </row>
    <row r="1046921" spans="1:3" ht="14.25" x14ac:dyDescent="0.2">
      <c r="A1046921"/>
      <c r="B1046921"/>
      <c r="C1046921"/>
    </row>
    <row r="1046922" spans="1:3" ht="14.25" x14ac:dyDescent="0.2">
      <c r="A1046922"/>
      <c r="B1046922"/>
      <c r="C1046922"/>
    </row>
    <row r="1046923" spans="1:3" ht="14.25" x14ac:dyDescent="0.2">
      <c r="A1046923"/>
      <c r="B1046923"/>
      <c r="C1046923"/>
    </row>
    <row r="1046924" spans="1:3" ht="14.25" x14ac:dyDescent="0.2">
      <c r="A1046924"/>
      <c r="B1046924"/>
      <c r="C1046924"/>
    </row>
    <row r="1046925" spans="1:3" ht="14.25" x14ac:dyDescent="0.2">
      <c r="A1046925"/>
      <c r="B1046925"/>
      <c r="C1046925"/>
    </row>
    <row r="1046926" spans="1:3" ht="14.25" x14ac:dyDescent="0.2">
      <c r="A1046926"/>
      <c r="B1046926"/>
      <c r="C1046926"/>
    </row>
    <row r="1046927" spans="1:3" ht="14.25" x14ac:dyDescent="0.2">
      <c r="A1046927"/>
      <c r="B1046927"/>
      <c r="C1046927"/>
    </row>
    <row r="1046928" spans="1:3" ht="14.25" x14ac:dyDescent="0.2">
      <c r="A1046928"/>
      <c r="B1046928"/>
      <c r="C1046928"/>
    </row>
    <row r="1046929" spans="1:3" ht="14.25" x14ac:dyDescent="0.2">
      <c r="A1046929"/>
      <c r="B1046929"/>
      <c r="C1046929"/>
    </row>
    <row r="1046930" spans="1:3" ht="14.25" x14ac:dyDescent="0.2">
      <c r="A1046930"/>
      <c r="B1046930"/>
      <c r="C1046930"/>
    </row>
    <row r="1046931" spans="1:3" ht="14.25" x14ac:dyDescent="0.2">
      <c r="A1046931"/>
      <c r="B1046931"/>
      <c r="C1046931"/>
    </row>
    <row r="1046932" spans="1:3" ht="14.25" x14ac:dyDescent="0.2">
      <c r="A1046932"/>
      <c r="B1046932"/>
      <c r="C1046932"/>
    </row>
    <row r="1046933" spans="1:3" ht="14.25" x14ac:dyDescent="0.2">
      <c r="A1046933"/>
      <c r="B1046933"/>
      <c r="C1046933"/>
    </row>
    <row r="1046934" spans="1:3" ht="14.25" x14ac:dyDescent="0.2">
      <c r="A1046934"/>
      <c r="B1046934"/>
      <c r="C1046934"/>
    </row>
    <row r="1046935" spans="1:3" ht="14.25" x14ac:dyDescent="0.2">
      <c r="A1046935"/>
      <c r="B1046935"/>
      <c r="C1046935"/>
    </row>
    <row r="1046936" spans="1:3" ht="14.25" x14ac:dyDescent="0.2">
      <c r="A1046936"/>
      <c r="B1046936"/>
      <c r="C1046936"/>
    </row>
    <row r="1046937" spans="1:3" ht="14.25" x14ac:dyDescent="0.2">
      <c r="A1046937"/>
      <c r="B1046937"/>
      <c r="C1046937"/>
    </row>
    <row r="1046938" spans="1:3" ht="14.25" x14ac:dyDescent="0.2">
      <c r="A1046938"/>
      <c r="B1046938"/>
      <c r="C1046938"/>
    </row>
    <row r="1046939" spans="1:3" ht="14.25" x14ac:dyDescent="0.2">
      <c r="A1046939"/>
      <c r="B1046939"/>
      <c r="C1046939"/>
    </row>
    <row r="1046940" spans="1:3" ht="14.25" x14ac:dyDescent="0.2">
      <c r="A1046940"/>
      <c r="B1046940"/>
      <c r="C1046940"/>
    </row>
    <row r="1046941" spans="1:3" ht="14.25" x14ac:dyDescent="0.2">
      <c r="A1046941"/>
      <c r="B1046941"/>
      <c r="C1046941"/>
    </row>
    <row r="1046942" spans="1:3" ht="14.25" x14ac:dyDescent="0.2">
      <c r="A1046942"/>
      <c r="B1046942"/>
      <c r="C1046942"/>
    </row>
    <row r="1046943" spans="1:3" ht="14.25" x14ac:dyDescent="0.2">
      <c r="A1046943"/>
      <c r="B1046943"/>
      <c r="C1046943"/>
    </row>
    <row r="1046944" spans="1:3" ht="14.25" x14ac:dyDescent="0.2">
      <c r="A1046944"/>
      <c r="B1046944"/>
      <c r="C1046944"/>
    </row>
    <row r="1046945" spans="1:3" ht="14.25" x14ac:dyDescent="0.2">
      <c r="A1046945"/>
      <c r="B1046945"/>
      <c r="C1046945"/>
    </row>
    <row r="1046946" spans="1:3" ht="14.25" x14ac:dyDescent="0.2">
      <c r="A1046946"/>
      <c r="B1046946"/>
      <c r="C1046946"/>
    </row>
    <row r="1046947" spans="1:3" ht="14.25" x14ac:dyDescent="0.2">
      <c r="A1046947"/>
      <c r="B1046947"/>
      <c r="C1046947"/>
    </row>
    <row r="1046948" spans="1:3" ht="14.25" x14ac:dyDescent="0.2">
      <c r="A1046948"/>
      <c r="B1046948"/>
      <c r="C1046948"/>
    </row>
    <row r="1046949" spans="1:3" ht="14.25" x14ac:dyDescent="0.2">
      <c r="A1046949"/>
      <c r="B1046949"/>
      <c r="C1046949"/>
    </row>
    <row r="1046950" spans="1:3" ht="14.25" x14ac:dyDescent="0.2">
      <c r="A1046950"/>
      <c r="B1046950"/>
      <c r="C1046950"/>
    </row>
    <row r="1046951" spans="1:3" ht="14.25" x14ac:dyDescent="0.2">
      <c r="A1046951"/>
      <c r="B1046951"/>
      <c r="C1046951"/>
    </row>
    <row r="1046952" spans="1:3" ht="14.25" x14ac:dyDescent="0.2">
      <c r="A1046952"/>
      <c r="B1046952"/>
      <c r="C1046952"/>
    </row>
    <row r="1046953" spans="1:3" ht="14.25" x14ac:dyDescent="0.2">
      <c r="A1046953"/>
      <c r="B1046953"/>
      <c r="C1046953"/>
    </row>
    <row r="1046954" spans="1:3" ht="14.25" x14ac:dyDescent="0.2">
      <c r="A1046954"/>
      <c r="B1046954"/>
      <c r="C1046954"/>
    </row>
    <row r="1046955" spans="1:3" ht="14.25" x14ac:dyDescent="0.2">
      <c r="A1046955"/>
      <c r="B1046955"/>
      <c r="C1046955"/>
    </row>
    <row r="1046956" spans="1:3" ht="14.25" x14ac:dyDescent="0.2">
      <c r="A1046956"/>
      <c r="B1046956"/>
      <c r="C1046956"/>
    </row>
    <row r="1046957" spans="1:3" ht="14.25" x14ac:dyDescent="0.2">
      <c r="A1046957"/>
      <c r="B1046957"/>
      <c r="C1046957"/>
    </row>
    <row r="1046958" spans="1:3" ht="14.25" x14ac:dyDescent="0.2">
      <c r="A1046958"/>
      <c r="B1046958"/>
      <c r="C1046958"/>
    </row>
    <row r="1046959" spans="1:3" ht="14.25" x14ac:dyDescent="0.2">
      <c r="A1046959"/>
      <c r="B1046959"/>
      <c r="C1046959"/>
    </row>
    <row r="1046960" spans="1:3" ht="14.25" x14ac:dyDescent="0.2">
      <c r="A1046960"/>
      <c r="B1046960"/>
      <c r="C1046960"/>
    </row>
    <row r="1046961" spans="1:3" ht="14.25" x14ac:dyDescent="0.2">
      <c r="A1046961"/>
      <c r="B1046961"/>
      <c r="C1046961"/>
    </row>
    <row r="1046962" spans="1:3" ht="14.25" x14ac:dyDescent="0.2">
      <c r="A1046962"/>
      <c r="B1046962"/>
      <c r="C1046962"/>
    </row>
    <row r="1046963" spans="1:3" ht="14.25" x14ac:dyDescent="0.2">
      <c r="A1046963"/>
      <c r="B1046963"/>
      <c r="C1046963"/>
    </row>
    <row r="1046964" spans="1:3" ht="14.25" x14ac:dyDescent="0.2">
      <c r="A1046964"/>
      <c r="B1046964"/>
      <c r="C1046964"/>
    </row>
    <row r="1046965" spans="1:3" ht="14.25" x14ac:dyDescent="0.2">
      <c r="A1046965"/>
      <c r="B1046965"/>
      <c r="C1046965"/>
    </row>
    <row r="1046966" spans="1:3" ht="14.25" x14ac:dyDescent="0.2">
      <c r="A1046966"/>
      <c r="B1046966"/>
      <c r="C1046966"/>
    </row>
    <row r="1046967" spans="1:3" ht="14.25" x14ac:dyDescent="0.2">
      <c r="A1046967"/>
      <c r="B1046967"/>
      <c r="C1046967"/>
    </row>
    <row r="1046968" spans="1:3" ht="14.25" x14ac:dyDescent="0.2">
      <c r="A1046968"/>
      <c r="B1046968"/>
      <c r="C1046968"/>
    </row>
    <row r="1046969" spans="1:3" ht="14.25" x14ac:dyDescent="0.2">
      <c r="A1046969"/>
      <c r="B1046969"/>
      <c r="C1046969"/>
    </row>
    <row r="1046970" spans="1:3" ht="14.25" x14ac:dyDescent="0.2">
      <c r="A1046970"/>
      <c r="B1046970"/>
      <c r="C1046970"/>
    </row>
    <row r="1046971" spans="1:3" ht="14.25" x14ac:dyDescent="0.2">
      <c r="A1046971"/>
      <c r="B1046971"/>
      <c r="C1046971"/>
    </row>
    <row r="1046972" spans="1:3" ht="14.25" x14ac:dyDescent="0.2">
      <c r="A1046972"/>
      <c r="B1046972"/>
      <c r="C1046972"/>
    </row>
    <row r="1046973" spans="1:3" ht="14.25" x14ac:dyDescent="0.2">
      <c r="A1046973"/>
      <c r="B1046973"/>
      <c r="C1046973"/>
    </row>
    <row r="1046974" spans="1:3" ht="14.25" x14ac:dyDescent="0.2">
      <c r="A1046974"/>
      <c r="B1046974"/>
      <c r="C1046974"/>
    </row>
    <row r="1046975" spans="1:3" ht="14.25" x14ac:dyDescent="0.2">
      <c r="A1046975"/>
      <c r="B1046975"/>
      <c r="C1046975"/>
    </row>
    <row r="1046976" spans="1:3" ht="14.25" x14ac:dyDescent="0.2">
      <c r="A1046976"/>
      <c r="B1046976"/>
      <c r="C1046976"/>
    </row>
    <row r="1046977" spans="1:3" ht="14.25" x14ac:dyDescent="0.2">
      <c r="A1046977"/>
      <c r="B1046977"/>
      <c r="C1046977"/>
    </row>
    <row r="1046978" spans="1:3" ht="14.25" x14ac:dyDescent="0.2">
      <c r="A1046978"/>
      <c r="B1046978"/>
      <c r="C1046978"/>
    </row>
    <row r="1046979" spans="1:3" ht="14.25" x14ac:dyDescent="0.2">
      <c r="A1046979"/>
      <c r="B1046979"/>
      <c r="C1046979"/>
    </row>
    <row r="1046980" spans="1:3" ht="14.25" x14ac:dyDescent="0.2">
      <c r="A1046980"/>
      <c r="B1046980"/>
      <c r="C1046980"/>
    </row>
    <row r="1046981" spans="1:3" ht="14.25" x14ac:dyDescent="0.2">
      <c r="A1046981"/>
      <c r="B1046981"/>
      <c r="C1046981"/>
    </row>
    <row r="1046982" spans="1:3" ht="14.25" x14ac:dyDescent="0.2">
      <c r="A1046982"/>
      <c r="B1046982"/>
      <c r="C1046982"/>
    </row>
    <row r="1046983" spans="1:3" ht="14.25" x14ac:dyDescent="0.2">
      <c r="A1046983"/>
      <c r="B1046983"/>
      <c r="C1046983"/>
    </row>
    <row r="1046984" spans="1:3" ht="14.25" x14ac:dyDescent="0.2">
      <c r="A1046984"/>
      <c r="B1046984"/>
      <c r="C1046984"/>
    </row>
    <row r="1046985" spans="1:3" ht="14.25" x14ac:dyDescent="0.2">
      <c r="A1046985"/>
      <c r="B1046985"/>
      <c r="C1046985"/>
    </row>
    <row r="1046986" spans="1:3" ht="14.25" x14ac:dyDescent="0.2">
      <c r="A1046986"/>
      <c r="B1046986"/>
      <c r="C1046986"/>
    </row>
    <row r="1046987" spans="1:3" ht="14.25" x14ac:dyDescent="0.2">
      <c r="A1046987"/>
      <c r="B1046987"/>
      <c r="C1046987"/>
    </row>
    <row r="1046988" spans="1:3" ht="14.25" x14ac:dyDescent="0.2">
      <c r="A1046988"/>
      <c r="B1046988"/>
      <c r="C1046988"/>
    </row>
    <row r="1046989" spans="1:3" ht="14.25" x14ac:dyDescent="0.2">
      <c r="A1046989"/>
      <c r="B1046989"/>
      <c r="C1046989"/>
    </row>
    <row r="1046990" spans="1:3" ht="14.25" x14ac:dyDescent="0.2">
      <c r="A1046990"/>
      <c r="B1046990"/>
      <c r="C1046990"/>
    </row>
    <row r="1046991" spans="1:3" ht="14.25" x14ac:dyDescent="0.2">
      <c r="A1046991"/>
      <c r="B1046991"/>
      <c r="C1046991"/>
    </row>
    <row r="1046992" spans="1:3" ht="14.25" x14ac:dyDescent="0.2">
      <c r="A1046992"/>
      <c r="B1046992"/>
      <c r="C1046992"/>
    </row>
    <row r="1046993" spans="1:3" ht="14.25" x14ac:dyDescent="0.2">
      <c r="A1046993"/>
      <c r="B1046993"/>
      <c r="C1046993"/>
    </row>
    <row r="1046994" spans="1:3" ht="14.25" x14ac:dyDescent="0.2">
      <c r="A1046994"/>
      <c r="B1046994"/>
      <c r="C1046994"/>
    </row>
    <row r="1046995" spans="1:3" ht="14.25" x14ac:dyDescent="0.2">
      <c r="A1046995"/>
      <c r="B1046995"/>
      <c r="C1046995"/>
    </row>
    <row r="1046996" spans="1:3" ht="14.25" x14ac:dyDescent="0.2">
      <c r="A1046996"/>
      <c r="B1046996"/>
      <c r="C1046996"/>
    </row>
    <row r="1046997" spans="1:3" ht="14.25" x14ac:dyDescent="0.2">
      <c r="A1046997"/>
      <c r="B1046997"/>
      <c r="C1046997"/>
    </row>
    <row r="1046998" spans="1:3" ht="14.25" x14ac:dyDescent="0.2">
      <c r="A1046998"/>
      <c r="B1046998"/>
      <c r="C1046998"/>
    </row>
    <row r="1046999" spans="1:3" ht="14.25" x14ac:dyDescent="0.2">
      <c r="A1046999"/>
      <c r="B1046999"/>
      <c r="C1046999"/>
    </row>
    <row r="1047000" spans="1:3" ht="14.25" x14ac:dyDescent="0.2">
      <c r="A1047000"/>
      <c r="B1047000"/>
      <c r="C1047000"/>
    </row>
    <row r="1047001" spans="1:3" ht="14.25" x14ac:dyDescent="0.2">
      <c r="A1047001"/>
      <c r="B1047001"/>
      <c r="C1047001"/>
    </row>
    <row r="1047002" spans="1:3" ht="14.25" x14ac:dyDescent="0.2">
      <c r="A1047002"/>
      <c r="B1047002"/>
      <c r="C1047002"/>
    </row>
    <row r="1047003" spans="1:3" ht="14.25" x14ac:dyDescent="0.2">
      <c r="A1047003"/>
      <c r="B1047003"/>
      <c r="C1047003"/>
    </row>
    <row r="1047004" spans="1:3" ht="14.25" x14ac:dyDescent="0.2">
      <c r="A1047004"/>
      <c r="B1047004"/>
      <c r="C1047004"/>
    </row>
    <row r="1047005" spans="1:3" ht="14.25" x14ac:dyDescent="0.2">
      <c r="A1047005"/>
      <c r="B1047005"/>
      <c r="C1047005"/>
    </row>
    <row r="1047006" spans="1:3" ht="14.25" x14ac:dyDescent="0.2">
      <c r="A1047006"/>
      <c r="B1047006"/>
      <c r="C1047006"/>
    </row>
    <row r="1047007" spans="1:3" ht="14.25" x14ac:dyDescent="0.2">
      <c r="A1047007"/>
      <c r="B1047007"/>
      <c r="C1047007"/>
    </row>
    <row r="1047008" spans="1:3" ht="14.25" x14ac:dyDescent="0.2">
      <c r="A1047008"/>
      <c r="B1047008"/>
      <c r="C1047008"/>
    </row>
    <row r="1047009" spans="1:3" ht="14.25" x14ac:dyDescent="0.2">
      <c r="A1047009"/>
      <c r="B1047009"/>
      <c r="C1047009"/>
    </row>
    <row r="1047010" spans="1:3" ht="14.25" x14ac:dyDescent="0.2">
      <c r="A1047010"/>
      <c r="B1047010"/>
      <c r="C1047010"/>
    </row>
    <row r="1047011" spans="1:3" ht="14.25" x14ac:dyDescent="0.2">
      <c r="A1047011"/>
      <c r="B1047011"/>
      <c r="C1047011"/>
    </row>
    <row r="1047012" spans="1:3" ht="14.25" x14ac:dyDescent="0.2">
      <c r="A1047012"/>
      <c r="B1047012"/>
      <c r="C1047012"/>
    </row>
    <row r="1047013" spans="1:3" ht="14.25" x14ac:dyDescent="0.2">
      <c r="A1047013"/>
      <c r="B1047013"/>
      <c r="C1047013"/>
    </row>
    <row r="1047014" spans="1:3" ht="14.25" x14ac:dyDescent="0.2">
      <c r="A1047014"/>
      <c r="B1047014"/>
      <c r="C1047014"/>
    </row>
    <row r="1047015" spans="1:3" ht="14.25" x14ac:dyDescent="0.2">
      <c r="A1047015"/>
      <c r="B1047015"/>
      <c r="C1047015"/>
    </row>
    <row r="1047016" spans="1:3" ht="14.25" x14ac:dyDescent="0.2">
      <c r="A1047016"/>
      <c r="B1047016"/>
      <c r="C1047016"/>
    </row>
    <row r="1047017" spans="1:3" ht="14.25" x14ac:dyDescent="0.2">
      <c r="A1047017"/>
      <c r="B1047017"/>
      <c r="C1047017"/>
    </row>
    <row r="1047018" spans="1:3" ht="14.25" x14ac:dyDescent="0.2">
      <c r="A1047018"/>
      <c r="B1047018"/>
      <c r="C1047018"/>
    </row>
    <row r="1047019" spans="1:3" ht="14.25" x14ac:dyDescent="0.2">
      <c r="A1047019"/>
      <c r="B1047019"/>
      <c r="C1047019"/>
    </row>
    <row r="1047020" spans="1:3" ht="14.25" x14ac:dyDescent="0.2">
      <c r="A1047020"/>
      <c r="B1047020"/>
      <c r="C1047020"/>
    </row>
    <row r="1047021" spans="1:3" ht="14.25" x14ac:dyDescent="0.2">
      <c r="A1047021"/>
      <c r="B1047021"/>
      <c r="C1047021"/>
    </row>
    <row r="1047022" spans="1:3" ht="14.25" x14ac:dyDescent="0.2">
      <c r="A1047022"/>
      <c r="B1047022"/>
      <c r="C1047022"/>
    </row>
    <row r="1047023" spans="1:3" ht="14.25" x14ac:dyDescent="0.2">
      <c r="A1047023"/>
      <c r="B1047023"/>
      <c r="C1047023"/>
    </row>
    <row r="1047024" spans="1:3" ht="14.25" x14ac:dyDescent="0.2">
      <c r="A1047024"/>
      <c r="B1047024"/>
      <c r="C1047024"/>
    </row>
    <row r="1047025" spans="1:3" ht="14.25" x14ac:dyDescent="0.2">
      <c r="A1047025"/>
      <c r="B1047025"/>
      <c r="C1047025"/>
    </row>
    <row r="1047026" spans="1:3" ht="14.25" x14ac:dyDescent="0.2">
      <c r="A1047026"/>
      <c r="B1047026"/>
      <c r="C1047026"/>
    </row>
    <row r="1047027" spans="1:3" ht="14.25" x14ac:dyDescent="0.2">
      <c r="A1047027"/>
      <c r="B1047027"/>
      <c r="C1047027"/>
    </row>
    <row r="1047028" spans="1:3" ht="14.25" x14ac:dyDescent="0.2">
      <c r="A1047028"/>
      <c r="B1047028"/>
      <c r="C1047028"/>
    </row>
    <row r="1047029" spans="1:3" ht="14.25" x14ac:dyDescent="0.2">
      <c r="A1047029"/>
      <c r="B1047029"/>
      <c r="C1047029"/>
    </row>
    <row r="1047030" spans="1:3" ht="14.25" x14ac:dyDescent="0.2">
      <c r="A1047030"/>
      <c r="B1047030"/>
      <c r="C1047030"/>
    </row>
    <row r="1047031" spans="1:3" ht="14.25" x14ac:dyDescent="0.2">
      <c r="A1047031"/>
      <c r="B1047031"/>
      <c r="C1047031"/>
    </row>
    <row r="1047032" spans="1:3" ht="14.25" x14ac:dyDescent="0.2">
      <c r="A1047032"/>
      <c r="B1047032"/>
      <c r="C1047032"/>
    </row>
    <row r="1047033" spans="1:3" ht="14.25" x14ac:dyDescent="0.2">
      <c r="A1047033"/>
      <c r="B1047033"/>
      <c r="C1047033"/>
    </row>
    <row r="1047034" spans="1:3" ht="14.25" x14ac:dyDescent="0.2">
      <c r="A1047034"/>
      <c r="B1047034"/>
      <c r="C1047034"/>
    </row>
    <row r="1047035" spans="1:3" ht="14.25" x14ac:dyDescent="0.2">
      <c r="A1047035"/>
      <c r="B1047035"/>
      <c r="C1047035"/>
    </row>
    <row r="1047036" spans="1:3" ht="14.25" x14ac:dyDescent="0.2">
      <c r="A1047036"/>
      <c r="B1047036"/>
      <c r="C1047036"/>
    </row>
    <row r="1047037" spans="1:3" ht="14.25" x14ac:dyDescent="0.2">
      <c r="A1047037"/>
      <c r="B1047037"/>
      <c r="C1047037"/>
    </row>
    <row r="1047038" spans="1:3" ht="14.25" x14ac:dyDescent="0.2">
      <c r="A1047038"/>
      <c r="B1047038"/>
      <c r="C1047038"/>
    </row>
    <row r="1047039" spans="1:3" ht="14.25" x14ac:dyDescent="0.2">
      <c r="A1047039"/>
      <c r="B1047039"/>
      <c r="C1047039"/>
    </row>
    <row r="1047040" spans="1:3" ht="14.25" x14ac:dyDescent="0.2">
      <c r="A1047040"/>
      <c r="B1047040"/>
      <c r="C1047040"/>
    </row>
    <row r="1047041" spans="1:3" ht="14.25" x14ac:dyDescent="0.2">
      <c r="A1047041"/>
      <c r="B1047041"/>
      <c r="C1047041"/>
    </row>
    <row r="1047042" spans="1:3" ht="14.25" x14ac:dyDescent="0.2">
      <c r="A1047042"/>
      <c r="B1047042"/>
      <c r="C1047042"/>
    </row>
    <row r="1047043" spans="1:3" ht="14.25" x14ac:dyDescent="0.2">
      <c r="A1047043"/>
      <c r="B1047043"/>
      <c r="C1047043"/>
    </row>
    <row r="1047044" spans="1:3" ht="14.25" x14ac:dyDescent="0.2">
      <c r="A1047044"/>
      <c r="B1047044"/>
      <c r="C1047044"/>
    </row>
    <row r="1047045" spans="1:3" ht="14.25" x14ac:dyDescent="0.2">
      <c r="A1047045"/>
      <c r="B1047045"/>
      <c r="C1047045"/>
    </row>
    <row r="1047046" spans="1:3" ht="14.25" x14ac:dyDescent="0.2">
      <c r="A1047046"/>
      <c r="B1047046"/>
      <c r="C1047046"/>
    </row>
    <row r="1047047" spans="1:3" ht="14.25" x14ac:dyDescent="0.2">
      <c r="A1047047"/>
      <c r="B1047047"/>
      <c r="C1047047"/>
    </row>
    <row r="1047048" spans="1:3" ht="14.25" x14ac:dyDescent="0.2">
      <c r="A1047048"/>
      <c r="B1047048"/>
      <c r="C1047048"/>
    </row>
    <row r="1047049" spans="1:3" ht="14.25" x14ac:dyDescent="0.2">
      <c r="A1047049"/>
      <c r="B1047049"/>
      <c r="C1047049"/>
    </row>
    <row r="1047050" spans="1:3" ht="14.25" x14ac:dyDescent="0.2">
      <c r="A1047050"/>
      <c r="B1047050"/>
      <c r="C1047050"/>
    </row>
    <row r="1047051" spans="1:3" ht="14.25" x14ac:dyDescent="0.2">
      <c r="A1047051"/>
      <c r="B1047051"/>
      <c r="C1047051"/>
    </row>
    <row r="1047052" spans="1:3" ht="14.25" x14ac:dyDescent="0.2">
      <c r="A1047052"/>
      <c r="B1047052"/>
      <c r="C1047052"/>
    </row>
    <row r="1047053" spans="1:3" ht="14.25" x14ac:dyDescent="0.2">
      <c r="A1047053"/>
      <c r="B1047053"/>
      <c r="C1047053"/>
    </row>
    <row r="1047054" spans="1:3" ht="14.25" x14ac:dyDescent="0.2">
      <c r="A1047054"/>
      <c r="B1047054"/>
      <c r="C1047054"/>
    </row>
    <row r="1047055" spans="1:3" ht="14.25" x14ac:dyDescent="0.2">
      <c r="A1047055"/>
      <c r="B1047055"/>
      <c r="C1047055"/>
    </row>
    <row r="1047056" spans="1:3" ht="14.25" x14ac:dyDescent="0.2">
      <c r="A1047056"/>
      <c r="B1047056"/>
      <c r="C1047056"/>
    </row>
    <row r="1047057" spans="1:3" ht="14.25" x14ac:dyDescent="0.2">
      <c r="A1047057"/>
      <c r="B1047057"/>
      <c r="C1047057"/>
    </row>
    <row r="1047058" spans="1:3" ht="14.25" x14ac:dyDescent="0.2">
      <c r="A1047058"/>
      <c r="B1047058"/>
      <c r="C1047058"/>
    </row>
    <row r="1047059" spans="1:3" ht="14.25" x14ac:dyDescent="0.2">
      <c r="A1047059"/>
      <c r="B1047059"/>
      <c r="C1047059"/>
    </row>
    <row r="1047060" spans="1:3" ht="14.25" x14ac:dyDescent="0.2">
      <c r="A1047060"/>
      <c r="B1047060"/>
      <c r="C1047060"/>
    </row>
    <row r="1047061" spans="1:3" ht="14.25" x14ac:dyDescent="0.2">
      <c r="A1047061"/>
      <c r="B1047061"/>
      <c r="C1047061"/>
    </row>
    <row r="1047062" spans="1:3" ht="14.25" x14ac:dyDescent="0.2">
      <c r="A1047062"/>
      <c r="B1047062"/>
      <c r="C1047062"/>
    </row>
    <row r="1047063" spans="1:3" ht="14.25" x14ac:dyDescent="0.2">
      <c r="A1047063"/>
      <c r="B1047063"/>
      <c r="C1047063"/>
    </row>
    <row r="1047064" spans="1:3" ht="14.25" x14ac:dyDescent="0.2">
      <c r="A1047064"/>
      <c r="B1047064"/>
      <c r="C1047064"/>
    </row>
    <row r="1047065" spans="1:3" ht="14.25" x14ac:dyDescent="0.2">
      <c r="A1047065"/>
      <c r="B1047065"/>
      <c r="C1047065"/>
    </row>
    <row r="1047066" spans="1:3" ht="14.25" x14ac:dyDescent="0.2">
      <c r="A1047066"/>
      <c r="B1047066"/>
      <c r="C1047066"/>
    </row>
    <row r="1047067" spans="1:3" ht="14.25" x14ac:dyDescent="0.2">
      <c r="A1047067"/>
      <c r="B1047067"/>
      <c r="C1047067"/>
    </row>
    <row r="1047068" spans="1:3" ht="14.25" x14ac:dyDescent="0.2">
      <c r="A1047068"/>
      <c r="B1047068"/>
      <c r="C1047068"/>
    </row>
    <row r="1047069" spans="1:3" ht="14.25" x14ac:dyDescent="0.2">
      <c r="A1047069"/>
      <c r="B1047069"/>
      <c r="C1047069"/>
    </row>
    <row r="1047070" spans="1:3" ht="14.25" x14ac:dyDescent="0.2">
      <c r="A1047070"/>
      <c r="B1047070"/>
      <c r="C1047070"/>
    </row>
    <row r="1047071" spans="1:3" ht="14.25" x14ac:dyDescent="0.2">
      <c r="A1047071"/>
      <c r="B1047071"/>
      <c r="C1047071"/>
    </row>
    <row r="1047072" spans="1:3" ht="14.25" x14ac:dyDescent="0.2">
      <c r="A1047072"/>
      <c r="B1047072"/>
      <c r="C1047072"/>
    </row>
    <row r="1047073" spans="1:3" ht="14.25" x14ac:dyDescent="0.2">
      <c r="A1047073"/>
      <c r="B1047073"/>
      <c r="C1047073"/>
    </row>
    <row r="1047074" spans="1:3" ht="14.25" x14ac:dyDescent="0.2">
      <c r="A1047074"/>
      <c r="B1047074"/>
      <c r="C1047074"/>
    </row>
    <row r="1047075" spans="1:3" ht="14.25" x14ac:dyDescent="0.2">
      <c r="A1047075"/>
      <c r="B1047075"/>
      <c r="C1047075"/>
    </row>
    <row r="1047076" spans="1:3" ht="14.25" x14ac:dyDescent="0.2">
      <c r="A1047076"/>
      <c r="B1047076"/>
      <c r="C1047076"/>
    </row>
    <row r="1047077" spans="1:3" ht="14.25" x14ac:dyDescent="0.2">
      <c r="A1047077"/>
      <c r="B1047077"/>
      <c r="C1047077"/>
    </row>
    <row r="1047078" spans="1:3" ht="14.25" x14ac:dyDescent="0.2">
      <c r="A1047078"/>
      <c r="B1047078"/>
      <c r="C1047078"/>
    </row>
    <row r="1047079" spans="1:3" ht="14.25" x14ac:dyDescent="0.2">
      <c r="A1047079"/>
      <c r="B1047079"/>
      <c r="C1047079"/>
    </row>
    <row r="1047080" spans="1:3" ht="14.25" x14ac:dyDescent="0.2">
      <c r="A1047080"/>
      <c r="B1047080"/>
      <c r="C1047080"/>
    </row>
    <row r="1047081" spans="1:3" ht="14.25" x14ac:dyDescent="0.2">
      <c r="A1047081"/>
      <c r="B1047081"/>
      <c r="C1047081"/>
    </row>
    <row r="1047082" spans="1:3" ht="14.25" x14ac:dyDescent="0.2">
      <c r="A1047082"/>
      <c r="B1047082"/>
      <c r="C1047082"/>
    </row>
    <row r="1047083" spans="1:3" ht="14.25" x14ac:dyDescent="0.2">
      <c r="A1047083"/>
      <c r="B1047083"/>
      <c r="C1047083"/>
    </row>
    <row r="1047084" spans="1:3" ht="14.25" x14ac:dyDescent="0.2">
      <c r="A1047084"/>
      <c r="B1047084"/>
      <c r="C1047084"/>
    </row>
    <row r="1047085" spans="1:3" ht="14.25" x14ac:dyDescent="0.2">
      <c r="A1047085"/>
      <c r="B1047085"/>
      <c r="C1047085"/>
    </row>
    <row r="1047086" spans="1:3" ht="14.25" x14ac:dyDescent="0.2">
      <c r="A1047086"/>
      <c r="B1047086"/>
      <c r="C1047086"/>
    </row>
    <row r="1047087" spans="1:3" ht="14.25" x14ac:dyDescent="0.2">
      <c r="A1047087"/>
      <c r="B1047087"/>
      <c r="C1047087"/>
    </row>
    <row r="1047088" spans="1:3" ht="14.25" x14ac:dyDescent="0.2">
      <c r="A1047088"/>
      <c r="B1047088"/>
      <c r="C1047088"/>
    </row>
    <row r="1047089" spans="1:3" ht="14.25" x14ac:dyDescent="0.2">
      <c r="A1047089"/>
      <c r="B1047089"/>
      <c r="C1047089"/>
    </row>
    <row r="1047090" spans="1:3" ht="14.25" x14ac:dyDescent="0.2">
      <c r="A1047090"/>
      <c r="B1047090"/>
      <c r="C1047090"/>
    </row>
    <row r="1047091" spans="1:3" ht="14.25" x14ac:dyDescent="0.2">
      <c r="A1047091"/>
      <c r="B1047091"/>
      <c r="C1047091"/>
    </row>
    <row r="1047092" spans="1:3" ht="14.25" x14ac:dyDescent="0.2">
      <c r="A1047092"/>
      <c r="B1047092"/>
      <c r="C1047092"/>
    </row>
    <row r="1047093" spans="1:3" ht="14.25" x14ac:dyDescent="0.2">
      <c r="A1047093"/>
      <c r="B1047093"/>
      <c r="C1047093"/>
    </row>
    <row r="1047094" spans="1:3" ht="14.25" x14ac:dyDescent="0.2">
      <c r="A1047094"/>
      <c r="B1047094"/>
      <c r="C1047094"/>
    </row>
    <row r="1047095" spans="1:3" ht="14.25" x14ac:dyDescent="0.2">
      <c r="A1047095"/>
      <c r="B1047095"/>
      <c r="C1047095"/>
    </row>
    <row r="1047096" spans="1:3" ht="14.25" x14ac:dyDescent="0.2">
      <c r="A1047096"/>
      <c r="B1047096"/>
      <c r="C1047096"/>
    </row>
    <row r="1047097" spans="1:3" ht="14.25" x14ac:dyDescent="0.2">
      <c r="A1047097"/>
      <c r="B1047097"/>
      <c r="C1047097"/>
    </row>
    <row r="1047098" spans="1:3" ht="14.25" x14ac:dyDescent="0.2">
      <c r="A1047098"/>
      <c r="B1047098"/>
      <c r="C1047098"/>
    </row>
    <row r="1047099" spans="1:3" ht="14.25" x14ac:dyDescent="0.2">
      <c r="A1047099"/>
      <c r="B1047099"/>
      <c r="C1047099"/>
    </row>
    <row r="1047100" spans="1:3" ht="14.25" x14ac:dyDescent="0.2">
      <c r="A1047100"/>
      <c r="B1047100"/>
      <c r="C1047100"/>
    </row>
    <row r="1047101" spans="1:3" ht="14.25" x14ac:dyDescent="0.2">
      <c r="A1047101"/>
      <c r="B1047101"/>
      <c r="C1047101"/>
    </row>
    <row r="1047102" spans="1:3" ht="14.25" x14ac:dyDescent="0.2">
      <c r="A1047102"/>
      <c r="B1047102"/>
      <c r="C1047102"/>
    </row>
    <row r="1047103" spans="1:3" ht="14.25" x14ac:dyDescent="0.2">
      <c r="A1047103"/>
      <c r="B1047103"/>
      <c r="C1047103"/>
    </row>
    <row r="1047104" spans="1:3" ht="14.25" x14ac:dyDescent="0.2">
      <c r="A1047104"/>
      <c r="B1047104"/>
      <c r="C1047104"/>
    </row>
    <row r="1047105" spans="1:3" ht="14.25" x14ac:dyDescent="0.2">
      <c r="A1047105"/>
      <c r="B1047105"/>
      <c r="C1047105"/>
    </row>
    <row r="1047106" spans="1:3" ht="14.25" x14ac:dyDescent="0.2">
      <c r="A1047106"/>
      <c r="B1047106"/>
      <c r="C1047106"/>
    </row>
    <row r="1047107" spans="1:3" ht="14.25" x14ac:dyDescent="0.2">
      <c r="A1047107"/>
      <c r="B1047107"/>
      <c r="C1047107"/>
    </row>
    <row r="1047108" spans="1:3" ht="14.25" x14ac:dyDescent="0.2">
      <c r="A1047108"/>
      <c r="B1047108"/>
      <c r="C1047108"/>
    </row>
    <row r="1047109" spans="1:3" ht="14.25" x14ac:dyDescent="0.2">
      <c r="A1047109"/>
      <c r="B1047109"/>
      <c r="C1047109"/>
    </row>
    <row r="1047110" spans="1:3" ht="14.25" x14ac:dyDescent="0.2">
      <c r="A1047110"/>
      <c r="B1047110"/>
      <c r="C1047110"/>
    </row>
    <row r="1047111" spans="1:3" ht="14.25" x14ac:dyDescent="0.2">
      <c r="A1047111"/>
      <c r="B1047111"/>
      <c r="C1047111"/>
    </row>
    <row r="1047112" spans="1:3" ht="14.25" x14ac:dyDescent="0.2">
      <c r="A1047112"/>
      <c r="B1047112"/>
      <c r="C1047112"/>
    </row>
    <row r="1047113" spans="1:3" ht="14.25" x14ac:dyDescent="0.2">
      <c r="A1047113"/>
      <c r="B1047113"/>
      <c r="C1047113"/>
    </row>
    <row r="1047114" spans="1:3" ht="14.25" x14ac:dyDescent="0.2">
      <c r="A1047114"/>
      <c r="B1047114"/>
      <c r="C1047114"/>
    </row>
    <row r="1047115" spans="1:3" ht="14.25" x14ac:dyDescent="0.2">
      <c r="A1047115"/>
      <c r="B1047115"/>
      <c r="C1047115"/>
    </row>
    <row r="1047116" spans="1:3" ht="14.25" x14ac:dyDescent="0.2">
      <c r="A1047116"/>
      <c r="B1047116"/>
      <c r="C1047116"/>
    </row>
    <row r="1047117" spans="1:3" ht="14.25" x14ac:dyDescent="0.2">
      <c r="A1047117"/>
      <c r="B1047117"/>
      <c r="C1047117"/>
    </row>
    <row r="1047118" spans="1:3" ht="14.25" x14ac:dyDescent="0.2">
      <c r="A1047118"/>
      <c r="B1047118"/>
      <c r="C1047118"/>
    </row>
    <row r="1047119" spans="1:3" ht="14.25" x14ac:dyDescent="0.2">
      <c r="A1047119"/>
      <c r="B1047119"/>
      <c r="C1047119"/>
    </row>
    <row r="1047120" spans="1:3" ht="14.25" x14ac:dyDescent="0.2">
      <c r="A1047120"/>
      <c r="B1047120"/>
      <c r="C1047120"/>
    </row>
    <row r="1047121" spans="1:3" ht="14.25" x14ac:dyDescent="0.2">
      <c r="A1047121"/>
      <c r="B1047121"/>
      <c r="C1047121"/>
    </row>
    <row r="1047122" spans="1:3" ht="14.25" x14ac:dyDescent="0.2">
      <c r="A1047122"/>
      <c r="B1047122"/>
      <c r="C1047122"/>
    </row>
    <row r="1047123" spans="1:3" ht="14.25" x14ac:dyDescent="0.2">
      <c r="A1047123"/>
      <c r="B1047123"/>
      <c r="C1047123"/>
    </row>
    <row r="1047124" spans="1:3" ht="14.25" x14ac:dyDescent="0.2">
      <c r="A1047124"/>
      <c r="B1047124"/>
      <c r="C1047124"/>
    </row>
    <row r="1047125" spans="1:3" ht="14.25" x14ac:dyDescent="0.2">
      <c r="A1047125"/>
      <c r="B1047125"/>
      <c r="C1047125"/>
    </row>
    <row r="1047126" spans="1:3" ht="14.25" x14ac:dyDescent="0.2">
      <c r="A1047126"/>
      <c r="B1047126"/>
      <c r="C1047126"/>
    </row>
    <row r="1047127" spans="1:3" ht="14.25" x14ac:dyDescent="0.2">
      <c r="A1047127"/>
      <c r="B1047127"/>
      <c r="C1047127"/>
    </row>
    <row r="1047128" spans="1:3" ht="14.25" x14ac:dyDescent="0.2">
      <c r="A1047128"/>
      <c r="B1047128"/>
      <c r="C1047128"/>
    </row>
    <row r="1047129" spans="1:3" ht="14.25" x14ac:dyDescent="0.2">
      <c r="A1047129"/>
      <c r="B1047129"/>
      <c r="C1047129"/>
    </row>
    <row r="1047130" spans="1:3" ht="14.25" x14ac:dyDescent="0.2">
      <c r="A1047130"/>
      <c r="B1047130"/>
      <c r="C1047130"/>
    </row>
    <row r="1047131" spans="1:3" ht="14.25" x14ac:dyDescent="0.2">
      <c r="A1047131"/>
      <c r="B1047131"/>
      <c r="C1047131"/>
    </row>
    <row r="1047132" spans="1:3" ht="14.25" x14ac:dyDescent="0.2">
      <c r="A1047132"/>
      <c r="B1047132"/>
      <c r="C1047132"/>
    </row>
    <row r="1047133" spans="1:3" ht="14.25" x14ac:dyDescent="0.2">
      <c r="A1047133"/>
      <c r="B1047133"/>
      <c r="C1047133"/>
    </row>
    <row r="1047134" spans="1:3" ht="14.25" x14ac:dyDescent="0.2">
      <c r="A1047134"/>
      <c r="B1047134"/>
      <c r="C1047134"/>
    </row>
    <row r="1047135" spans="1:3" ht="14.25" x14ac:dyDescent="0.2">
      <c r="A1047135"/>
      <c r="B1047135"/>
      <c r="C1047135"/>
    </row>
    <row r="1047136" spans="1:3" ht="14.25" x14ac:dyDescent="0.2">
      <c r="A1047136"/>
      <c r="B1047136"/>
      <c r="C1047136"/>
    </row>
    <row r="1047137" spans="1:3" ht="14.25" x14ac:dyDescent="0.2">
      <c r="A1047137"/>
      <c r="B1047137"/>
      <c r="C1047137"/>
    </row>
    <row r="1047138" spans="1:3" ht="14.25" x14ac:dyDescent="0.2">
      <c r="A1047138"/>
      <c r="B1047138"/>
      <c r="C1047138"/>
    </row>
    <row r="1047139" spans="1:3" ht="14.25" x14ac:dyDescent="0.2">
      <c r="A1047139"/>
      <c r="B1047139"/>
      <c r="C1047139"/>
    </row>
    <row r="1047140" spans="1:3" ht="14.25" x14ac:dyDescent="0.2">
      <c r="A1047140"/>
      <c r="B1047140"/>
      <c r="C1047140"/>
    </row>
    <row r="1047141" spans="1:3" ht="14.25" x14ac:dyDescent="0.2">
      <c r="A1047141"/>
      <c r="B1047141"/>
      <c r="C1047141"/>
    </row>
    <row r="1047142" spans="1:3" ht="14.25" x14ac:dyDescent="0.2">
      <c r="A1047142"/>
      <c r="B1047142"/>
      <c r="C1047142"/>
    </row>
    <row r="1047143" spans="1:3" ht="14.25" x14ac:dyDescent="0.2">
      <c r="A1047143"/>
      <c r="B1047143"/>
      <c r="C1047143"/>
    </row>
    <row r="1047144" spans="1:3" ht="14.25" x14ac:dyDescent="0.2">
      <c r="A1047144"/>
      <c r="B1047144"/>
      <c r="C1047144"/>
    </row>
    <row r="1047145" spans="1:3" ht="14.25" x14ac:dyDescent="0.2">
      <c r="A1047145"/>
      <c r="B1047145"/>
      <c r="C1047145"/>
    </row>
    <row r="1047146" spans="1:3" ht="14.25" x14ac:dyDescent="0.2">
      <c r="A1047146"/>
      <c r="B1047146"/>
      <c r="C1047146"/>
    </row>
    <row r="1047147" spans="1:3" ht="14.25" x14ac:dyDescent="0.2">
      <c r="A1047147"/>
      <c r="B1047147"/>
      <c r="C1047147"/>
    </row>
    <row r="1047148" spans="1:3" ht="14.25" x14ac:dyDescent="0.2">
      <c r="A1047148"/>
      <c r="B1047148"/>
      <c r="C1047148"/>
    </row>
    <row r="1047149" spans="1:3" ht="14.25" x14ac:dyDescent="0.2">
      <c r="A1047149"/>
      <c r="B1047149"/>
      <c r="C1047149"/>
    </row>
    <row r="1047150" spans="1:3" ht="14.25" x14ac:dyDescent="0.2">
      <c r="A1047150"/>
      <c r="B1047150"/>
      <c r="C1047150"/>
    </row>
    <row r="1047151" spans="1:3" ht="14.25" x14ac:dyDescent="0.2">
      <c r="A1047151"/>
      <c r="B1047151"/>
      <c r="C1047151"/>
    </row>
    <row r="1047152" spans="1:3" ht="14.25" x14ac:dyDescent="0.2">
      <c r="A1047152"/>
      <c r="B1047152"/>
      <c r="C1047152"/>
    </row>
    <row r="1047153" spans="1:3" ht="14.25" x14ac:dyDescent="0.2">
      <c r="A1047153"/>
      <c r="B1047153"/>
      <c r="C1047153"/>
    </row>
    <row r="1047154" spans="1:3" ht="14.25" x14ac:dyDescent="0.2">
      <c r="A1047154"/>
      <c r="B1047154"/>
      <c r="C1047154"/>
    </row>
    <row r="1047155" spans="1:3" ht="14.25" x14ac:dyDescent="0.2">
      <c r="A1047155"/>
      <c r="B1047155"/>
      <c r="C1047155"/>
    </row>
    <row r="1047156" spans="1:3" ht="14.25" x14ac:dyDescent="0.2">
      <c r="A1047156"/>
      <c r="B1047156"/>
      <c r="C1047156"/>
    </row>
    <row r="1047157" spans="1:3" ht="14.25" x14ac:dyDescent="0.2">
      <c r="A1047157"/>
      <c r="B1047157"/>
      <c r="C1047157"/>
    </row>
    <row r="1047158" spans="1:3" ht="14.25" x14ac:dyDescent="0.2">
      <c r="A1047158"/>
      <c r="B1047158"/>
      <c r="C1047158"/>
    </row>
    <row r="1047159" spans="1:3" ht="14.25" x14ac:dyDescent="0.2">
      <c r="A1047159"/>
      <c r="B1047159"/>
      <c r="C1047159"/>
    </row>
    <row r="1047160" spans="1:3" ht="14.25" x14ac:dyDescent="0.2">
      <c r="A1047160"/>
      <c r="B1047160"/>
      <c r="C1047160"/>
    </row>
    <row r="1047161" spans="1:3" ht="14.25" x14ac:dyDescent="0.2">
      <c r="A1047161"/>
      <c r="B1047161"/>
      <c r="C1047161"/>
    </row>
    <row r="1047162" spans="1:3" ht="14.25" x14ac:dyDescent="0.2">
      <c r="A1047162"/>
      <c r="B1047162"/>
      <c r="C1047162"/>
    </row>
    <row r="1047163" spans="1:3" ht="14.25" x14ac:dyDescent="0.2">
      <c r="A1047163"/>
      <c r="B1047163"/>
      <c r="C1047163"/>
    </row>
    <row r="1047164" spans="1:3" ht="14.25" x14ac:dyDescent="0.2">
      <c r="A1047164"/>
      <c r="B1047164"/>
      <c r="C1047164"/>
    </row>
    <row r="1047165" spans="1:3" ht="14.25" x14ac:dyDescent="0.2">
      <c r="A1047165"/>
      <c r="B1047165"/>
      <c r="C1047165"/>
    </row>
    <row r="1047166" spans="1:3" ht="14.25" x14ac:dyDescent="0.2">
      <c r="A1047166"/>
      <c r="B1047166"/>
      <c r="C1047166"/>
    </row>
    <row r="1047167" spans="1:3" ht="14.25" x14ac:dyDescent="0.2">
      <c r="A1047167"/>
      <c r="B1047167"/>
      <c r="C1047167"/>
    </row>
    <row r="1047168" spans="1:3" ht="14.25" x14ac:dyDescent="0.2">
      <c r="A1047168"/>
      <c r="B1047168"/>
      <c r="C1047168"/>
    </row>
    <row r="1047169" spans="1:3" ht="14.25" x14ac:dyDescent="0.2">
      <c r="A1047169"/>
      <c r="B1047169"/>
      <c r="C1047169"/>
    </row>
    <row r="1047170" spans="1:3" ht="14.25" x14ac:dyDescent="0.2">
      <c r="A1047170"/>
      <c r="B1047170"/>
      <c r="C1047170"/>
    </row>
    <row r="1047171" spans="1:3" ht="14.25" x14ac:dyDescent="0.2">
      <c r="A1047171"/>
      <c r="B1047171"/>
      <c r="C1047171"/>
    </row>
    <row r="1047172" spans="1:3" ht="14.25" x14ac:dyDescent="0.2">
      <c r="A1047172"/>
      <c r="B1047172"/>
      <c r="C1047172"/>
    </row>
    <row r="1047173" spans="1:3" ht="14.25" x14ac:dyDescent="0.2">
      <c r="A1047173"/>
      <c r="B1047173"/>
      <c r="C1047173"/>
    </row>
    <row r="1047174" spans="1:3" ht="14.25" x14ac:dyDescent="0.2">
      <c r="A1047174"/>
      <c r="B1047174"/>
      <c r="C1047174"/>
    </row>
    <row r="1047175" spans="1:3" ht="14.25" x14ac:dyDescent="0.2">
      <c r="A1047175"/>
      <c r="B1047175"/>
      <c r="C1047175"/>
    </row>
    <row r="1047176" spans="1:3" ht="14.25" x14ac:dyDescent="0.2">
      <c r="A1047176"/>
      <c r="B1047176"/>
      <c r="C1047176"/>
    </row>
    <row r="1047177" spans="1:3" ht="14.25" x14ac:dyDescent="0.2">
      <c r="A1047177"/>
      <c r="B1047177"/>
      <c r="C1047177"/>
    </row>
    <row r="1047178" spans="1:3" ht="14.25" x14ac:dyDescent="0.2">
      <c r="A1047178"/>
      <c r="B1047178"/>
      <c r="C1047178"/>
    </row>
    <row r="1047179" spans="1:3" ht="14.25" x14ac:dyDescent="0.2">
      <c r="A1047179"/>
      <c r="B1047179"/>
      <c r="C1047179"/>
    </row>
    <row r="1047180" spans="1:3" ht="14.25" x14ac:dyDescent="0.2">
      <c r="A1047180"/>
      <c r="B1047180"/>
      <c r="C1047180"/>
    </row>
    <row r="1047181" spans="1:3" ht="14.25" x14ac:dyDescent="0.2">
      <c r="A1047181"/>
      <c r="B1047181"/>
      <c r="C1047181"/>
    </row>
    <row r="1047182" spans="1:3" ht="14.25" x14ac:dyDescent="0.2">
      <c r="A1047182"/>
      <c r="B1047182"/>
      <c r="C1047182"/>
    </row>
    <row r="1047183" spans="1:3" ht="14.25" x14ac:dyDescent="0.2">
      <c r="A1047183"/>
      <c r="B1047183"/>
      <c r="C1047183"/>
    </row>
    <row r="1047184" spans="1:3" ht="14.25" x14ac:dyDescent="0.2">
      <c r="A1047184"/>
      <c r="B1047184"/>
      <c r="C1047184"/>
    </row>
    <row r="1047185" spans="1:3" ht="14.25" x14ac:dyDescent="0.2">
      <c r="A1047185"/>
      <c r="B1047185"/>
      <c r="C1047185"/>
    </row>
    <row r="1047186" spans="1:3" ht="14.25" x14ac:dyDescent="0.2">
      <c r="A1047186"/>
      <c r="B1047186"/>
      <c r="C1047186"/>
    </row>
    <row r="1047187" spans="1:3" ht="14.25" x14ac:dyDescent="0.2">
      <c r="A1047187"/>
      <c r="B1047187"/>
      <c r="C1047187"/>
    </row>
    <row r="1047188" spans="1:3" ht="14.25" x14ac:dyDescent="0.2">
      <c r="A1047188"/>
      <c r="B1047188"/>
      <c r="C1047188"/>
    </row>
    <row r="1047189" spans="1:3" ht="14.25" x14ac:dyDescent="0.2">
      <c r="A1047189"/>
      <c r="B1047189"/>
      <c r="C1047189"/>
    </row>
    <row r="1047190" spans="1:3" ht="14.25" x14ac:dyDescent="0.2">
      <c r="A1047190"/>
      <c r="B1047190"/>
      <c r="C1047190"/>
    </row>
    <row r="1047191" spans="1:3" ht="14.25" x14ac:dyDescent="0.2">
      <c r="A1047191"/>
      <c r="B1047191"/>
      <c r="C1047191"/>
    </row>
    <row r="1047192" spans="1:3" ht="14.25" x14ac:dyDescent="0.2">
      <c r="A1047192"/>
      <c r="B1047192"/>
      <c r="C1047192"/>
    </row>
    <row r="1047193" spans="1:3" ht="14.25" x14ac:dyDescent="0.2">
      <c r="A1047193"/>
      <c r="B1047193"/>
      <c r="C1047193"/>
    </row>
    <row r="1047194" spans="1:3" ht="14.25" x14ac:dyDescent="0.2">
      <c r="A1047194"/>
      <c r="B1047194"/>
      <c r="C1047194"/>
    </row>
    <row r="1047195" spans="1:3" ht="14.25" x14ac:dyDescent="0.2">
      <c r="A1047195"/>
      <c r="B1047195"/>
      <c r="C1047195"/>
    </row>
    <row r="1047196" spans="1:3" ht="14.25" x14ac:dyDescent="0.2">
      <c r="A1047196"/>
      <c r="B1047196"/>
      <c r="C1047196"/>
    </row>
    <row r="1047197" spans="1:3" ht="14.25" x14ac:dyDescent="0.2">
      <c r="A1047197"/>
      <c r="B1047197"/>
      <c r="C1047197"/>
    </row>
    <row r="1047198" spans="1:3" ht="14.25" x14ac:dyDescent="0.2">
      <c r="A1047198"/>
      <c r="B1047198"/>
      <c r="C1047198"/>
    </row>
    <row r="1047199" spans="1:3" ht="14.25" x14ac:dyDescent="0.2">
      <c r="A1047199"/>
      <c r="B1047199"/>
      <c r="C1047199"/>
    </row>
    <row r="1047200" spans="1:3" ht="14.25" x14ac:dyDescent="0.2">
      <c r="A1047200"/>
      <c r="B1047200"/>
      <c r="C1047200"/>
    </row>
    <row r="1047201" spans="1:3" ht="14.25" x14ac:dyDescent="0.2">
      <c r="A1047201"/>
      <c r="B1047201"/>
      <c r="C1047201"/>
    </row>
    <row r="1047202" spans="1:3" ht="14.25" x14ac:dyDescent="0.2">
      <c r="A1047202"/>
      <c r="B1047202"/>
      <c r="C1047202"/>
    </row>
    <row r="1047203" spans="1:3" ht="14.25" x14ac:dyDescent="0.2">
      <c r="A1047203"/>
      <c r="B1047203"/>
      <c r="C1047203"/>
    </row>
    <row r="1047204" spans="1:3" ht="14.25" x14ac:dyDescent="0.2">
      <c r="A1047204"/>
      <c r="B1047204"/>
      <c r="C1047204"/>
    </row>
    <row r="1047205" spans="1:3" ht="14.25" x14ac:dyDescent="0.2">
      <c r="A1047205"/>
      <c r="B1047205"/>
      <c r="C1047205"/>
    </row>
    <row r="1047206" spans="1:3" ht="14.25" x14ac:dyDescent="0.2">
      <c r="A1047206"/>
      <c r="B1047206"/>
      <c r="C1047206"/>
    </row>
    <row r="1047207" spans="1:3" ht="14.25" x14ac:dyDescent="0.2">
      <c r="A1047207"/>
      <c r="B1047207"/>
      <c r="C1047207"/>
    </row>
    <row r="1047208" spans="1:3" ht="14.25" x14ac:dyDescent="0.2">
      <c r="A1047208"/>
      <c r="B1047208"/>
      <c r="C1047208"/>
    </row>
    <row r="1047209" spans="1:3" ht="14.25" x14ac:dyDescent="0.2">
      <c r="A1047209"/>
      <c r="B1047209"/>
      <c r="C1047209"/>
    </row>
    <row r="1047210" spans="1:3" ht="14.25" x14ac:dyDescent="0.2">
      <c r="A1047210"/>
      <c r="B1047210"/>
      <c r="C1047210"/>
    </row>
    <row r="1047211" spans="1:3" ht="14.25" x14ac:dyDescent="0.2">
      <c r="A1047211"/>
      <c r="B1047211"/>
      <c r="C1047211"/>
    </row>
    <row r="1047212" spans="1:3" ht="14.25" x14ac:dyDescent="0.2">
      <c r="A1047212"/>
      <c r="B1047212"/>
      <c r="C1047212"/>
    </row>
    <row r="1047213" spans="1:3" ht="14.25" x14ac:dyDescent="0.2">
      <c r="A1047213"/>
      <c r="B1047213"/>
      <c r="C1047213"/>
    </row>
    <row r="1047214" spans="1:3" ht="14.25" x14ac:dyDescent="0.2">
      <c r="A1047214"/>
      <c r="B1047214"/>
      <c r="C1047214"/>
    </row>
    <row r="1047215" spans="1:3" ht="14.25" x14ac:dyDescent="0.2">
      <c r="A1047215"/>
      <c r="B1047215"/>
      <c r="C1047215"/>
    </row>
    <row r="1047216" spans="1:3" ht="14.25" x14ac:dyDescent="0.2">
      <c r="A1047216"/>
      <c r="B1047216"/>
      <c r="C1047216"/>
    </row>
    <row r="1047217" spans="1:3" ht="14.25" x14ac:dyDescent="0.2">
      <c r="A1047217"/>
      <c r="B1047217"/>
      <c r="C1047217"/>
    </row>
    <row r="1047218" spans="1:3" ht="14.25" x14ac:dyDescent="0.2">
      <c r="A1047218"/>
      <c r="B1047218"/>
      <c r="C1047218"/>
    </row>
    <row r="1047219" spans="1:3" ht="14.25" x14ac:dyDescent="0.2">
      <c r="A1047219"/>
      <c r="B1047219"/>
      <c r="C1047219"/>
    </row>
    <row r="1047220" spans="1:3" ht="14.25" x14ac:dyDescent="0.2">
      <c r="A1047220"/>
      <c r="B1047220"/>
      <c r="C1047220"/>
    </row>
    <row r="1047221" spans="1:3" ht="14.25" x14ac:dyDescent="0.2">
      <c r="A1047221"/>
      <c r="B1047221"/>
      <c r="C1047221"/>
    </row>
    <row r="1047222" spans="1:3" ht="14.25" x14ac:dyDescent="0.2">
      <c r="A1047222"/>
      <c r="B1047222"/>
      <c r="C1047222"/>
    </row>
    <row r="1047223" spans="1:3" ht="14.25" x14ac:dyDescent="0.2">
      <c r="A1047223"/>
      <c r="B1047223"/>
      <c r="C1047223"/>
    </row>
    <row r="1047224" spans="1:3" ht="14.25" x14ac:dyDescent="0.2">
      <c r="A1047224"/>
      <c r="B1047224"/>
      <c r="C1047224"/>
    </row>
    <row r="1047225" spans="1:3" ht="14.25" x14ac:dyDescent="0.2">
      <c r="A1047225"/>
      <c r="B1047225"/>
      <c r="C1047225"/>
    </row>
    <row r="1047226" spans="1:3" ht="14.25" x14ac:dyDescent="0.2">
      <c r="A1047226"/>
      <c r="B1047226"/>
      <c r="C1047226"/>
    </row>
    <row r="1047227" spans="1:3" ht="14.25" x14ac:dyDescent="0.2">
      <c r="A1047227"/>
      <c r="B1047227"/>
      <c r="C1047227"/>
    </row>
    <row r="1047228" spans="1:3" ht="14.25" x14ac:dyDescent="0.2">
      <c r="A1047228"/>
      <c r="B1047228"/>
      <c r="C1047228"/>
    </row>
    <row r="1047229" spans="1:3" ht="14.25" x14ac:dyDescent="0.2">
      <c r="A1047229"/>
      <c r="B1047229"/>
      <c r="C1047229"/>
    </row>
    <row r="1047230" spans="1:3" ht="14.25" x14ac:dyDescent="0.2">
      <c r="A1047230"/>
      <c r="B1047230"/>
      <c r="C1047230"/>
    </row>
    <row r="1047231" spans="1:3" ht="14.25" x14ac:dyDescent="0.2">
      <c r="A1047231"/>
      <c r="B1047231"/>
      <c r="C1047231"/>
    </row>
    <row r="1047232" spans="1:3" ht="14.25" x14ac:dyDescent="0.2">
      <c r="A1047232"/>
      <c r="B1047232"/>
      <c r="C1047232"/>
    </row>
    <row r="1047233" spans="1:3" ht="14.25" x14ac:dyDescent="0.2">
      <c r="A1047233"/>
      <c r="B1047233"/>
      <c r="C1047233"/>
    </row>
    <row r="1047234" spans="1:3" ht="14.25" x14ac:dyDescent="0.2">
      <c r="A1047234"/>
      <c r="B1047234"/>
      <c r="C1047234"/>
    </row>
    <row r="1047235" spans="1:3" ht="14.25" x14ac:dyDescent="0.2">
      <c r="A1047235"/>
      <c r="B1047235"/>
      <c r="C1047235"/>
    </row>
    <row r="1047236" spans="1:3" ht="14.25" x14ac:dyDescent="0.2">
      <c r="A1047236"/>
      <c r="B1047236"/>
      <c r="C1047236"/>
    </row>
    <row r="1047237" spans="1:3" ht="14.25" x14ac:dyDescent="0.2">
      <c r="A1047237"/>
      <c r="B1047237"/>
      <c r="C1047237"/>
    </row>
    <row r="1047238" spans="1:3" ht="14.25" x14ac:dyDescent="0.2">
      <c r="A1047238"/>
      <c r="B1047238"/>
      <c r="C1047238"/>
    </row>
    <row r="1047239" spans="1:3" ht="14.25" x14ac:dyDescent="0.2">
      <c r="A1047239"/>
      <c r="B1047239"/>
      <c r="C1047239"/>
    </row>
    <row r="1047240" spans="1:3" ht="14.25" x14ac:dyDescent="0.2">
      <c r="A1047240"/>
      <c r="B1047240"/>
      <c r="C1047240"/>
    </row>
    <row r="1047241" spans="1:3" ht="14.25" x14ac:dyDescent="0.2">
      <c r="A1047241"/>
      <c r="B1047241"/>
      <c r="C1047241"/>
    </row>
    <row r="1047242" spans="1:3" ht="14.25" x14ac:dyDescent="0.2">
      <c r="A1047242"/>
      <c r="B1047242"/>
      <c r="C1047242"/>
    </row>
    <row r="1047243" spans="1:3" ht="14.25" x14ac:dyDescent="0.2">
      <c r="A1047243"/>
      <c r="B1047243"/>
      <c r="C1047243"/>
    </row>
    <row r="1047244" spans="1:3" ht="14.25" x14ac:dyDescent="0.2">
      <c r="A1047244"/>
      <c r="B1047244"/>
      <c r="C1047244"/>
    </row>
    <row r="1047245" spans="1:3" ht="14.25" x14ac:dyDescent="0.2">
      <c r="A1047245"/>
      <c r="B1047245"/>
      <c r="C1047245"/>
    </row>
    <row r="1047246" spans="1:3" ht="14.25" x14ac:dyDescent="0.2">
      <c r="A1047246"/>
      <c r="B1047246"/>
      <c r="C1047246"/>
    </row>
    <row r="1047247" spans="1:3" ht="14.25" x14ac:dyDescent="0.2">
      <c r="A1047247"/>
      <c r="B1047247"/>
      <c r="C1047247"/>
    </row>
    <row r="1047248" spans="1:3" ht="14.25" x14ac:dyDescent="0.2">
      <c r="A1047248"/>
      <c r="B1047248"/>
      <c r="C1047248"/>
    </row>
    <row r="1047249" spans="1:3" ht="14.25" x14ac:dyDescent="0.2">
      <c r="A1047249"/>
      <c r="B1047249"/>
      <c r="C1047249"/>
    </row>
    <row r="1047250" spans="1:3" ht="14.25" x14ac:dyDescent="0.2">
      <c r="A1047250"/>
      <c r="B1047250"/>
      <c r="C1047250"/>
    </row>
    <row r="1047251" spans="1:3" ht="14.25" x14ac:dyDescent="0.2">
      <c r="A1047251"/>
      <c r="B1047251"/>
      <c r="C1047251"/>
    </row>
    <row r="1047252" spans="1:3" ht="14.25" x14ac:dyDescent="0.2">
      <c r="A1047252"/>
      <c r="B1047252"/>
      <c r="C1047252"/>
    </row>
    <row r="1047253" spans="1:3" ht="14.25" x14ac:dyDescent="0.2">
      <c r="A1047253"/>
      <c r="B1047253"/>
      <c r="C1047253"/>
    </row>
    <row r="1047254" spans="1:3" ht="14.25" x14ac:dyDescent="0.2">
      <c r="A1047254"/>
      <c r="B1047254"/>
      <c r="C1047254"/>
    </row>
    <row r="1047255" spans="1:3" ht="14.25" x14ac:dyDescent="0.2">
      <c r="A1047255"/>
      <c r="B1047255"/>
      <c r="C1047255"/>
    </row>
    <row r="1047256" spans="1:3" ht="14.25" x14ac:dyDescent="0.2">
      <c r="A1047256"/>
      <c r="B1047256"/>
      <c r="C1047256"/>
    </row>
    <row r="1047257" spans="1:3" ht="14.25" x14ac:dyDescent="0.2">
      <c r="A1047257"/>
      <c r="B1047257"/>
      <c r="C1047257"/>
    </row>
    <row r="1047258" spans="1:3" ht="14.25" x14ac:dyDescent="0.2">
      <c r="A1047258"/>
      <c r="B1047258"/>
      <c r="C1047258"/>
    </row>
    <row r="1047259" spans="1:3" ht="14.25" x14ac:dyDescent="0.2">
      <c r="A1047259"/>
      <c r="B1047259"/>
      <c r="C1047259"/>
    </row>
    <row r="1047260" spans="1:3" ht="14.25" x14ac:dyDescent="0.2">
      <c r="A1047260"/>
      <c r="B1047260"/>
      <c r="C1047260"/>
    </row>
    <row r="1047261" spans="1:3" ht="14.25" x14ac:dyDescent="0.2">
      <c r="A1047261"/>
      <c r="B1047261"/>
      <c r="C1047261"/>
    </row>
    <row r="1047262" spans="1:3" ht="14.25" x14ac:dyDescent="0.2">
      <c r="A1047262"/>
      <c r="B1047262"/>
      <c r="C1047262"/>
    </row>
    <row r="1047263" spans="1:3" ht="14.25" x14ac:dyDescent="0.2">
      <c r="A1047263"/>
      <c r="B1047263"/>
      <c r="C1047263"/>
    </row>
    <row r="1047264" spans="1:3" ht="14.25" x14ac:dyDescent="0.2">
      <c r="A1047264"/>
      <c r="B1047264"/>
      <c r="C1047264"/>
    </row>
    <row r="1047265" spans="1:3" ht="14.25" x14ac:dyDescent="0.2">
      <c r="A1047265"/>
      <c r="B1047265"/>
      <c r="C1047265"/>
    </row>
    <row r="1047266" spans="1:3" ht="14.25" x14ac:dyDescent="0.2">
      <c r="A1047266"/>
      <c r="B1047266"/>
      <c r="C1047266"/>
    </row>
    <row r="1047267" spans="1:3" ht="14.25" x14ac:dyDescent="0.2">
      <c r="A1047267"/>
      <c r="B1047267"/>
      <c r="C1047267"/>
    </row>
    <row r="1047268" spans="1:3" ht="14.25" x14ac:dyDescent="0.2">
      <c r="A1047268"/>
      <c r="B1047268"/>
      <c r="C1047268"/>
    </row>
    <row r="1047269" spans="1:3" ht="14.25" x14ac:dyDescent="0.2">
      <c r="A1047269"/>
      <c r="B1047269"/>
      <c r="C1047269"/>
    </row>
    <row r="1047270" spans="1:3" ht="14.25" x14ac:dyDescent="0.2">
      <c r="A1047270"/>
      <c r="B1047270"/>
      <c r="C1047270"/>
    </row>
    <row r="1047271" spans="1:3" ht="14.25" x14ac:dyDescent="0.2">
      <c r="A1047271"/>
      <c r="B1047271"/>
      <c r="C1047271"/>
    </row>
    <row r="1047272" spans="1:3" ht="14.25" x14ac:dyDescent="0.2">
      <c r="A1047272"/>
      <c r="B1047272"/>
      <c r="C1047272"/>
    </row>
    <row r="1047273" spans="1:3" ht="14.25" x14ac:dyDescent="0.2">
      <c r="A1047273"/>
      <c r="B1047273"/>
      <c r="C1047273"/>
    </row>
    <row r="1047274" spans="1:3" ht="14.25" x14ac:dyDescent="0.2">
      <c r="A1047274"/>
      <c r="B1047274"/>
      <c r="C1047274"/>
    </row>
    <row r="1047275" spans="1:3" ht="14.25" x14ac:dyDescent="0.2">
      <c r="A1047275"/>
      <c r="B1047275"/>
      <c r="C1047275"/>
    </row>
    <row r="1047276" spans="1:3" ht="14.25" x14ac:dyDescent="0.2">
      <c r="A1047276"/>
      <c r="B1047276"/>
      <c r="C1047276"/>
    </row>
    <row r="1047277" spans="1:3" ht="14.25" x14ac:dyDescent="0.2">
      <c r="A1047277"/>
      <c r="B1047277"/>
      <c r="C1047277"/>
    </row>
    <row r="1047278" spans="1:3" ht="14.25" x14ac:dyDescent="0.2">
      <c r="A1047278"/>
      <c r="B1047278"/>
      <c r="C1047278"/>
    </row>
    <row r="1047279" spans="1:3" ht="14.25" x14ac:dyDescent="0.2">
      <c r="A1047279"/>
      <c r="B1047279"/>
      <c r="C1047279"/>
    </row>
    <row r="1047280" spans="1:3" ht="14.25" x14ac:dyDescent="0.2">
      <c r="A1047280"/>
      <c r="B1047280"/>
      <c r="C1047280"/>
    </row>
    <row r="1047281" spans="1:3" ht="14.25" x14ac:dyDescent="0.2">
      <c r="A1047281"/>
      <c r="B1047281"/>
      <c r="C1047281"/>
    </row>
    <row r="1047282" spans="1:3" ht="14.25" x14ac:dyDescent="0.2">
      <c r="A1047282"/>
      <c r="B1047282"/>
      <c r="C1047282"/>
    </row>
    <row r="1047283" spans="1:3" ht="14.25" x14ac:dyDescent="0.2">
      <c r="A1047283"/>
      <c r="B1047283"/>
      <c r="C1047283"/>
    </row>
    <row r="1047284" spans="1:3" ht="14.25" x14ac:dyDescent="0.2">
      <c r="A1047284"/>
      <c r="B1047284"/>
      <c r="C1047284"/>
    </row>
    <row r="1047285" spans="1:3" ht="14.25" x14ac:dyDescent="0.2">
      <c r="A1047285"/>
      <c r="B1047285"/>
      <c r="C1047285"/>
    </row>
    <row r="1047286" spans="1:3" ht="14.25" x14ac:dyDescent="0.2">
      <c r="A1047286"/>
      <c r="B1047286"/>
      <c r="C1047286"/>
    </row>
    <row r="1047287" spans="1:3" ht="14.25" x14ac:dyDescent="0.2">
      <c r="A1047287"/>
      <c r="B1047287"/>
      <c r="C1047287"/>
    </row>
    <row r="1047288" spans="1:3" ht="14.25" x14ac:dyDescent="0.2">
      <c r="A1047288"/>
      <c r="B1047288"/>
      <c r="C1047288"/>
    </row>
    <row r="1047289" spans="1:3" ht="14.25" x14ac:dyDescent="0.2">
      <c r="A1047289"/>
      <c r="B1047289"/>
      <c r="C1047289"/>
    </row>
    <row r="1047290" spans="1:3" ht="14.25" x14ac:dyDescent="0.2">
      <c r="A1047290"/>
      <c r="B1047290"/>
      <c r="C1047290"/>
    </row>
    <row r="1047291" spans="1:3" ht="14.25" x14ac:dyDescent="0.2">
      <c r="A1047291"/>
      <c r="B1047291"/>
      <c r="C1047291"/>
    </row>
    <row r="1047292" spans="1:3" ht="14.25" x14ac:dyDescent="0.2">
      <c r="A1047292"/>
      <c r="B1047292"/>
      <c r="C1047292"/>
    </row>
    <row r="1047293" spans="1:3" ht="14.25" x14ac:dyDescent="0.2">
      <c r="A1047293"/>
      <c r="B1047293"/>
      <c r="C1047293"/>
    </row>
    <row r="1047294" spans="1:3" ht="14.25" x14ac:dyDescent="0.2">
      <c r="A1047294"/>
      <c r="B1047294"/>
      <c r="C1047294"/>
    </row>
    <row r="1047295" spans="1:3" ht="14.25" x14ac:dyDescent="0.2">
      <c r="A1047295"/>
      <c r="B1047295"/>
      <c r="C1047295"/>
    </row>
    <row r="1047296" spans="1:3" ht="14.25" x14ac:dyDescent="0.2">
      <c r="A1047296"/>
      <c r="B1047296"/>
      <c r="C1047296"/>
    </row>
    <row r="1047297" spans="1:3" ht="14.25" x14ac:dyDescent="0.2">
      <c r="A1047297"/>
      <c r="B1047297"/>
      <c r="C1047297"/>
    </row>
    <row r="1047298" spans="1:3" ht="14.25" x14ac:dyDescent="0.2">
      <c r="A1047298"/>
      <c r="B1047298"/>
      <c r="C1047298"/>
    </row>
    <row r="1047299" spans="1:3" ht="14.25" x14ac:dyDescent="0.2">
      <c r="A1047299"/>
      <c r="B1047299"/>
      <c r="C1047299"/>
    </row>
    <row r="1047300" spans="1:3" ht="14.25" x14ac:dyDescent="0.2">
      <c r="A1047300"/>
      <c r="B1047300"/>
      <c r="C1047300"/>
    </row>
    <row r="1047301" spans="1:3" ht="14.25" x14ac:dyDescent="0.2">
      <c r="A1047301"/>
      <c r="B1047301"/>
      <c r="C1047301"/>
    </row>
    <row r="1047302" spans="1:3" ht="14.25" x14ac:dyDescent="0.2">
      <c r="A1047302"/>
      <c r="B1047302"/>
      <c r="C1047302"/>
    </row>
    <row r="1047303" spans="1:3" ht="14.25" x14ac:dyDescent="0.2">
      <c r="A1047303"/>
      <c r="B1047303"/>
      <c r="C1047303"/>
    </row>
    <row r="1047304" spans="1:3" ht="14.25" x14ac:dyDescent="0.2">
      <c r="A1047304"/>
      <c r="B1047304"/>
      <c r="C1047304"/>
    </row>
    <row r="1047305" spans="1:3" ht="14.25" x14ac:dyDescent="0.2">
      <c r="A1047305"/>
      <c r="B1047305"/>
      <c r="C1047305"/>
    </row>
    <row r="1047306" spans="1:3" ht="14.25" x14ac:dyDescent="0.2">
      <c r="A1047306"/>
      <c r="B1047306"/>
      <c r="C1047306"/>
    </row>
    <row r="1047307" spans="1:3" ht="14.25" x14ac:dyDescent="0.2">
      <c r="A1047307"/>
      <c r="B1047307"/>
      <c r="C1047307"/>
    </row>
    <row r="1047308" spans="1:3" ht="14.25" x14ac:dyDescent="0.2">
      <c r="A1047308"/>
      <c r="B1047308"/>
      <c r="C1047308"/>
    </row>
    <row r="1047309" spans="1:3" ht="14.25" x14ac:dyDescent="0.2">
      <c r="A1047309"/>
      <c r="B1047309"/>
      <c r="C1047309"/>
    </row>
    <row r="1047310" spans="1:3" ht="14.25" x14ac:dyDescent="0.2">
      <c r="A1047310"/>
      <c r="B1047310"/>
      <c r="C1047310"/>
    </row>
    <row r="1047311" spans="1:3" ht="14.25" x14ac:dyDescent="0.2">
      <c r="A1047311"/>
      <c r="B1047311"/>
      <c r="C1047311"/>
    </row>
    <row r="1047312" spans="1:3" ht="14.25" x14ac:dyDescent="0.2">
      <c r="A1047312"/>
      <c r="B1047312"/>
      <c r="C1047312"/>
    </row>
    <row r="1047313" spans="1:3" ht="14.25" x14ac:dyDescent="0.2">
      <c r="A1047313"/>
      <c r="B1047313"/>
      <c r="C1047313"/>
    </row>
    <row r="1047314" spans="1:3" ht="14.25" x14ac:dyDescent="0.2">
      <c r="A1047314"/>
      <c r="B1047314"/>
      <c r="C1047314"/>
    </row>
    <row r="1047315" spans="1:3" ht="14.25" x14ac:dyDescent="0.2">
      <c r="A1047315"/>
      <c r="B1047315"/>
      <c r="C1047315"/>
    </row>
    <row r="1047316" spans="1:3" ht="14.25" x14ac:dyDescent="0.2">
      <c r="A1047316"/>
      <c r="B1047316"/>
      <c r="C1047316"/>
    </row>
    <row r="1047317" spans="1:3" ht="14.25" x14ac:dyDescent="0.2">
      <c r="A1047317"/>
      <c r="B1047317"/>
      <c r="C1047317"/>
    </row>
    <row r="1047318" spans="1:3" ht="14.25" x14ac:dyDescent="0.2">
      <c r="A1047318"/>
      <c r="B1047318"/>
      <c r="C1047318"/>
    </row>
    <row r="1047319" spans="1:3" ht="14.25" x14ac:dyDescent="0.2">
      <c r="A1047319"/>
      <c r="B1047319"/>
      <c r="C1047319"/>
    </row>
    <row r="1047320" spans="1:3" ht="14.25" x14ac:dyDescent="0.2">
      <c r="A1047320"/>
      <c r="B1047320"/>
      <c r="C1047320"/>
    </row>
    <row r="1047321" spans="1:3" ht="14.25" x14ac:dyDescent="0.2">
      <c r="A1047321"/>
      <c r="B1047321"/>
      <c r="C1047321"/>
    </row>
    <row r="1047322" spans="1:3" ht="14.25" x14ac:dyDescent="0.2">
      <c r="A1047322"/>
      <c r="B1047322"/>
      <c r="C1047322"/>
    </row>
    <row r="1047323" spans="1:3" ht="14.25" x14ac:dyDescent="0.2">
      <c r="A1047323"/>
      <c r="B1047323"/>
      <c r="C1047323"/>
    </row>
    <row r="1047324" spans="1:3" ht="14.25" x14ac:dyDescent="0.2">
      <c r="A1047324"/>
      <c r="B1047324"/>
      <c r="C1047324"/>
    </row>
    <row r="1047325" spans="1:3" ht="14.25" x14ac:dyDescent="0.2">
      <c r="A1047325"/>
      <c r="B1047325"/>
      <c r="C1047325"/>
    </row>
    <row r="1047326" spans="1:3" ht="14.25" x14ac:dyDescent="0.2">
      <c r="A1047326"/>
      <c r="B1047326"/>
      <c r="C1047326"/>
    </row>
    <row r="1047327" spans="1:3" ht="14.25" x14ac:dyDescent="0.2">
      <c r="A1047327"/>
      <c r="B1047327"/>
      <c r="C1047327"/>
    </row>
    <row r="1047328" spans="1:3" ht="14.25" x14ac:dyDescent="0.2">
      <c r="A1047328"/>
      <c r="B1047328"/>
      <c r="C1047328"/>
    </row>
    <row r="1047329" spans="1:3" ht="14.25" x14ac:dyDescent="0.2">
      <c r="A1047329"/>
      <c r="B1047329"/>
      <c r="C1047329"/>
    </row>
    <row r="1047330" spans="1:3" ht="14.25" x14ac:dyDescent="0.2">
      <c r="A1047330"/>
      <c r="B1047330"/>
      <c r="C1047330"/>
    </row>
    <row r="1047331" spans="1:3" ht="14.25" x14ac:dyDescent="0.2">
      <c r="A1047331"/>
      <c r="B1047331"/>
      <c r="C1047331"/>
    </row>
    <row r="1047332" spans="1:3" ht="14.25" x14ac:dyDescent="0.2">
      <c r="A1047332"/>
      <c r="B1047332"/>
      <c r="C1047332"/>
    </row>
    <row r="1047333" spans="1:3" ht="14.25" x14ac:dyDescent="0.2">
      <c r="A1047333"/>
      <c r="B1047333"/>
      <c r="C1047333"/>
    </row>
    <row r="1047334" spans="1:3" ht="14.25" x14ac:dyDescent="0.2">
      <c r="A1047334"/>
      <c r="B1047334"/>
      <c r="C1047334"/>
    </row>
    <row r="1047335" spans="1:3" ht="14.25" x14ac:dyDescent="0.2">
      <c r="A1047335"/>
      <c r="B1047335"/>
      <c r="C1047335"/>
    </row>
    <row r="1047336" spans="1:3" ht="14.25" x14ac:dyDescent="0.2">
      <c r="A1047336"/>
      <c r="B1047336"/>
      <c r="C1047336"/>
    </row>
    <row r="1047337" spans="1:3" ht="14.25" x14ac:dyDescent="0.2">
      <c r="A1047337"/>
      <c r="B1047337"/>
      <c r="C1047337"/>
    </row>
    <row r="1047338" spans="1:3" ht="14.25" x14ac:dyDescent="0.2">
      <c r="A1047338"/>
      <c r="B1047338"/>
      <c r="C1047338"/>
    </row>
    <row r="1047339" spans="1:3" ht="14.25" x14ac:dyDescent="0.2">
      <c r="A1047339"/>
      <c r="B1047339"/>
      <c r="C1047339"/>
    </row>
    <row r="1047340" spans="1:3" ht="14.25" x14ac:dyDescent="0.2">
      <c r="A1047340"/>
      <c r="B1047340"/>
      <c r="C1047340"/>
    </row>
    <row r="1047341" spans="1:3" ht="14.25" x14ac:dyDescent="0.2">
      <c r="A1047341"/>
      <c r="B1047341"/>
      <c r="C1047341"/>
    </row>
    <row r="1047342" spans="1:3" ht="14.25" x14ac:dyDescent="0.2">
      <c r="A1047342"/>
      <c r="B1047342"/>
      <c r="C1047342"/>
    </row>
    <row r="1047343" spans="1:3" ht="14.25" x14ac:dyDescent="0.2">
      <c r="A1047343"/>
      <c r="B1047343"/>
      <c r="C1047343"/>
    </row>
    <row r="1047344" spans="1:3" ht="14.25" x14ac:dyDescent="0.2">
      <c r="A1047344"/>
      <c r="B1047344"/>
      <c r="C1047344"/>
    </row>
    <row r="1047345" spans="1:3" ht="14.25" x14ac:dyDescent="0.2">
      <c r="A1047345"/>
      <c r="B1047345"/>
      <c r="C1047345"/>
    </row>
    <row r="1047346" spans="1:3" ht="14.25" x14ac:dyDescent="0.2">
      <c r="A1047346"/>
      <c r="B1047346"/>
      <c r="C1047346"/>
    </row>
    <row r="1047347" spans="1:3" ht="14.25" x14ac:dyDescent="0.2">
      <c r="A1047347"/>
      <c r="B1047347"/>
      <c r="C1047347"/>
    </row>
    <row r="1047348" spans="1:3" ht="14.25" x14ac:dyDescent="0.2">
      <c r="A1047348"/>
      <c r="B1047348"/>
      <c r="C1047348"/>
    </row>
    <row r="1047349" spans="1:3" ht="14.25" x14ac:dyDescent="0.2">
      <c r="A1047349"/>
      <c r="B1047349"/>
      <c r="C1047349"/>
    </row>
    <row r="1047350" spans="1:3" ht="14.25" x14ac:dyDescent="0.2">
      <c r="A1047350"/>
      <c r="B1047350"/>
      <c r="C1047350"/>
    </row>
    <row r="1047351" spans="1:3" ht="14.25" x14ac:dyDescent="0.2">
      <c r="A1047351"/>
      <c r="B1047351"/>
      <c r="C1047351"/>
    </row>
    <row r="1047352" spans="1:3" ht="14.25" x14ac:dyDescent="0.2">
      <c r="A1047352"/>
      <c r="B1047352"/>
      <c r="C1047352"/>
    </row>
    <row r="1047353" spans="1:3" ht="14.25" x14ac:dyDescent="0.2">
      <c r="A1047353"/>
      <c r="B1047353"/>
      <c r="C1047353"/>
    </row>
    <row r="1047354" spans="1:3" ht="14.25" x14ac:dyDescent="0.2">
      <c r="A1047354"/>
      <c r="B1047354"/>
      <c r="C1047354"/>
    </row>
    <row r="1047355" spans="1:3" ht="14.25" x14ac:dyDescent="0.2">
      <c r="A1047355"/>
      <c r="B1047355"/>
      <c r="C1047355"/>
    </row>
    <row r="1047356" spans="1:3" ht="14.25" x14ac:dyDescent="0.2">
      <c r="A1047356"/>
      <c r="B1047356"/>
      <c r="C1047356"/>
    </row>
    <row r="1047357" spans="1:3" ht="14.25" x14ac:dyDescent="0.2">
      <c r="A1047357"/>
      <c r="B1047357"/>
      <c r="C1047357"/>
    </row>
    <row r="1047358" spans="1:3" ht="14.25" x14ac:dyDescent="0.2">
      <c r="A1047358"/>
      <c r="B1047358"/>
      <c r="C1047358"/>
    </row>
    <row r="1047359" spans="1:3" ht="14.25" x14ac:dyDescent="0.2">
      <c r="A1047359"/>
      <c r="B1047359"/>
      <c r="C1047359"/>
    </row>
    <row r="1047360" spans="1:3" ht="14.25" x14ac:dyDescent="0.2">
      <c r="A1047360"/>
      <c r="B1047360"/>
      <c r="C1047360"/>
    </row>
    <row r="1047361" spans="1:3" ht="14.25" x14ac:dyDescent="0.2">
      <c r="A1047361"/>
      <c r="B1047361"/>
      <c r="C1047361"/>
    </row>
    <row r="1047362" spans="1:3" ht="14.25" x14ac:dyDescent="0.2">
      <c r="A1047362"/>
      <c r="B1047362"/>
      <c r="C1047362"/>
    </row>
    <row r="1047363" spans="1:3" ht="14.25" x14ac:dyDescent="0.2">
      <c r="A1047363"/>
      <c r="B1047363"/>
      <c r="C1047363"/>
    </row>
    <row r="1047364" spans="1:3" ht="14.25" x14ac:dyDescent="0.2">
      <c r="A1047364"/>
      <c r="B1047364"/>
      <c r="C1047364"/>
    </row>
    <row r="1047365" spans="1:3" ht="14.25" x14ac:dyDescent="0.2">
      <c r="A1047365"/>
      <c r="B1047365"/>
      <c r="C1047365"/>
    </row>
    <row r="1047366" spans="1:3" ht="14.25" x14ac:dyDescent="0.2">
      <c r="A1047366"/>
      <c r="B1047366"/>
      <c r="C1047366"/>
    </row>
    <row r="1047367" spans="1:3" ht="14.25" x14ac:dyDescent="0.2">
      <c r="A1047367"/>
      <c r="B1047367"/>
      <c r="C1047367"/>
    </row>
    <row r="1047368" spans="1:3" ht="14.25" x14ac:dyDescent="0.2">
      <c r="A1047368"/>
      <c r="B1047368"/>
      <c r="C1047368"/>
    </row>
    <row r="1047369" spans="1:3" ht="14.25" x14ac:dyDescent="0.2">
      <c r="A1047369"/>
      <c r="B1047369"/>
      <c r="C1047369"/>
    </row>
    <row r="1047370" spans="1:3" ht="14.25" x14ac:dyDescent="0.2">
      <c r="A1047370"/>
      <c r="B1047370"/>
      <c r="C1047370"/>
    </row>
    <row r="1047371" spans="1:3" ht="14.25" x14ac:dyDescent="0.2">
      <c r="A1047371"/>
      <c r="B1047371"/>
      <c r="C1047371"/>
    </row>
    <row r="1047372" spans="1:3" ht="14.25" x14ac:dyDescent="0.2">
      <c r="A1047372"/>
      <c r="B1047372"/>
      <c r="C1047372"/>
    </row>
    <row r="1047373" spans="1:3" ht="14.25" x14ac:dyDescent="0.2">
      <c r="A1047373"/>
      <c r="B1047373"/>
      <c r="C1047373"/>
    </row>
    <row r="1047374" spans="1:3" ht="14.25" x14ac:dyDescent="0.2">
      <c r="A1047374"/>
      <c r="B1047374"/>
      <c r="C1047374"/>
    </row>
    <row r="1047375" spans="1:3" ht="14.25" x14ac:dyDescent="0.2">
      <c r="A1047375"/>
      <c r="B1047375"/>
      <c r="C1047375"/>
    </row>
    <row r="1047376" spans="1:3" ht="14.25" x14ac:dyDescent="0.2">
      <c r="A1047376"/>
      <c r="B1047376"/>
      <c r="C1047376"/>
    </row>
    <row r="1047377" spans="1:3" ht="14.25" x14ac:dyDescent="0.2">
      <c r="A1047377"/>
      <c r="B1047377"/>
      <c r="C1047377"/>
    </row>
    <row r="1047378" spans="1:3" ht="14.25" x14ac:dyDescent="0.2">
      <c r="A1047378"/>
      <c r="B1047378"/>
      <c r="C1047378"/>
    </row>
    <row r="1047379" spans="1:3" ht="14.25" x14ac:dyDescent="0.2">
      <c r="A1047379"/>
      <c r="B1047379"/>
      <c r="C1047379"/>
    </row>
    <row r="1047380" spans="1:3" ht="14.25" x14ac:dyDescent="0.2">
      <c r="A1047380"/>
      <c r="B1047380"/>
      <c r="C1047380"/>
    </row>
    <row r="1047381" spans="1:3" ht="14.25" x14ac:dyDescent="0.2">
      <c r="A1047381"/>
      <c r="B1047381"/>
      <c r="C1047381"/>
    </row>
    <row r="1047382" spans="1:3" ht="14.25" x14ac:dyDescent="0.2">
      <c r="A1047382"/>
      <c r="B1047382"/>
      <c r="C1047382"/>
    </row>
    <row r="1047383" spans="1:3" ht="14.25" x14ac:dyDescent="0.2">
      <c r="A1047383"/>
      <c r="B1047383"/>
      <c r="C1047383"/>
    </row>
    <row r="1047384" spans="1:3" ht="14.25" x14ac:dyDescent="0.2">
      <c r="A1047384"/>
      <c r="B1047384"/>
      <c r="C1047384"/>
    </row>
    <row r="1047385" spans="1:3" ht="14.25" x14ac:dyDescent="0.2">
      <c r="A1047385"/>
      <c r="B1047385"/>
      <c r="C1047385"/>
    </row>
    <row r="1047386" spans="1:3" ht="14.25" x14ac:dyDescent="0.2">
      <c r="A1047386"/>
      <c r="B1047386"/>
      <c r="C1047386"/>
    </row>
    <row r="1047387" spans="1:3" ht="14.25" x14ac:dyDescent="0.2">
      <c r="A1047387"/>
      <c r="B1047387"/>
      <c r="C1047387"/>
    </row>
    <row r="1047388" spans="1:3" ht="14.25" x14ac:dyDescent="0.2">
      <c r="A1047388"/>
      <c r="B1047388"/>
      <c r="C1047388"/>
    </row>
    <row r="1047389" spans="1:3" ht="14.25" x14ac:dyDescent="0.2">
      <c r="A1047389"/>
      <c r="B1047389"/>
      <c r="C1047389"/>
    </row>
    <row r="1047390" spans="1:3" ht="14.25" x14ac:dyDescent="0.2">
      <c r="A1047390"/>
      <c r="B1047390"/>
      <c r="C1047390"/>
    </row>
    <row r="1047391" spans="1:3" ht="14.25" x14ac:dyDescent="0.2">
      <c r="A1047391"/>
      <c r="B1047391"/>
      <c r="C1047391"/>
    </row>
    <row r="1047392" spans="1:3" ht="14.25" x14ac:dyDescent="0.2">
      <c r="A1047392"/>
      <c r="B1047392"/>
      <c r="C1047392"/>
    </row>
    <row r="1047393" spans="1:3" ht="14.25" x14ac:dyDescent="0.2">
      <c r="A1047393"/>
      <c r="B1047393"/>
      <c r="C1047393"/>
    </row>
    <row r="1047394" spans="1:3" ht="14.25" x14ac:dyDescent="0.2">
      <c r="A1047394"/>
      <c r="B1047394"/>
      <c r="C1047394"/>
    </row>
    <row r="1047395" spans="1:3" ht="14.25" x14ac:dyDescent="0.2">
      <c r="A1047395"/>
      <c r="B1047395"/>
      <c r="C1047395"/>
    </row>
    <row r="1047396" spans="1:3" ht="14.25" x14ac:dyDescent="0.2">
      <c r="A1047396"/>
      <c r="B1047396"/>
      <c r="C1047396"/>
    </row>
    <row r="1047397" spans="1:3" ht="14.25" x14ac:dyDescent="0.2">
      <c r="A1047397"/>
      <c r="B1047397"/>
      <c r="C1047397"/>
    </row>
    <row r="1047398" spans="1:3" ht="14.25" x14ac:dyDescent="0.2">
      <c r="A1047398"/>
      <c r="B1047398"/>
      <c r="C1047398"/>
    </row>
    <row r="1047399" spans="1:3" ht="14.25" x14ac:dyDescent="0.2">
      <c r="A1047399"/>
      <c r="B1047399"/>
      <c r="C1047399"/>
    </row>
    <row r="1047400" spans="1:3" ht="14.25" x14ac:dyDescent="0.2">
      <c r="A1047400"/>
      <c r="B1047400"/>
      <c r="C1047400"/>
    </row>
    <row r="1047401" spans="1:3" ht="14.25" x14ac:dyDescent="0.2">
      <c r="A1047401"/>
      <c r="B1047401"/>
      <c r="C1047401"/>
    </row>
    <row r="1047402" spans="1:3" ht="14.25" x14ac:dyDescent="0.2">
      <c r="A1047402"/>
      <c r="B1047402"/>
      <c r="C1047402"/>
    </row>
    <row r="1047403" spans="1:3" ht="14.25" x14ac:dyDescent="0.2">
      <c r="A1047403"/>
      <c r="B1047403"/>
      <c r="C1047403"/>
    </row>
    <row r="1047404" spans="1:3" ht="14.25" x14ac:dyDescent="0.2">
      <c r="A1047404"/>
      <c r="B1047404"/>
      <c r="C1047404"/>
    </row>
    <row r="1047405" spans="1:3" ht="14.25" x14ac:dyDescent="0.2">
      <c r="A1047405"/>
      <c r="B1047405"/>
      <c r="C1047405"/>
    </row>
    <row r="1047406" spans="1:3" ht="14.25" x14ac:dyDescent="0.2">
      <c r="A1047406"/>
      <c r="B1047406"/>
      <c r="C1047406"/>
    </row>
    <row r="1047407" spans="1:3" ht="14.25" x14ac:dyDescent="0.2">
      <c r="A1047407"/>
      <c r="B1047407"/>
      <c r="C1047407"/>
    </row>
    <row r="1047408" spans="1:3" ht="14.25" x14ac:dyDescent="0.2">
      <c r="A1047408"/>
      <c r="B1047408"/>
      <c r="C1047408"/>
    </row>
    <row r="1047409" spans="1:3" ht="14.25" x14ac:dyDescent="0.2">
      <c r="A1047409"/>
      <c r="B1047409"/>
      <c r="C1047409"/>
    </row>
    <row r="1047410" spans="1:3" ht="14.25" x14ac:dyDescent="0.2">
      <c r="A1047410"/>
      <c r="B1047410"/>
      <c r="C1047410"/>
    </row>
    <row r="1047411" spans="1:3" ht="14.25" x14ac:dyDescent="0.2">
      <c r="A1047411"/>
      <c r="B1047411"/>
      <c r="C1047411"/>
    </row>
    <row r="1047412" spans="1:3" ht="14.25" x14ac:dyDescent="0.2">
      <c r="A1047412"/>
      <c r="B1047412"/>
      <c r="C1047412"/>
    </row>
    <row r="1047413" spans="1:3" ht="14.25" x14ac:dyDescent="0.2">
      <c r="A1047413"/>
      <c r="B1047413"/>
      <c r="C1047413"/>
    </row>
    <row r="1047414" spans="1:3" ht="14.25" x14ac:dyDescent="0.2">
      <c r="A1047414"/>
      <c r="B1047414"/>
      <c r="C1047414"/>
    </row>
    <row r="1047415" spans="1:3" ht="14.25" x14ac:dyDescent="0.2">
      <c r="A1047415"/>
      <c r="B1047415"/>
      <c r="C1047415"/>
    </row>
    <row r="1047416" spans="1:3" ht="14.25" x14ac:dyDescent="0.2">
      <c r="A1047416"/>
      <c r="B1047416"/>
      <c r="C1047416"/>
    </row>
    <row r="1047417" spans="1:3" ht="14.25" x14ac:dyDescent="0.2">
      <c r="A1047417"/>
      <c r="B1047417"/>
      <c r="C1047417"/>
    </row>
    <row r="1047418" spans="1:3" ht="14.25" x14ac:dyDescent="0.2">
      <c r="A1047418"/>
      <c r="B1047418"/>
      <c r="C1047418"/>
    </row>
    <row r="1047419" spans="1:3" ht="14.25" x14ac:dyDescent="0.2">
      <c r="A1047419"/>
      <c r="B1047419"/>
      <c r="C1047419"/>
    </row>
    <row r="1047420" spans="1:3" ht="14.25" x14ac:dyDescent="0.2">
      <c r="A1047420"/>
      <c r="B1047420"/>
      <c r="C1047420"/>
    </row>
    <row r="1047421" spans="1:3" ht="14.25" x14ac:dyDescent="0.2">
      <c r="A1047421"/>
      <c r="B1047421"/>
      <c r="C1047421"/>
    </row>
    <row r="1047422" spans="1:3" ht="14.25" x14ac:dyDescent="0.2">
      <c r="A1047422"/>
      <c r="B1047422"/>
      <c r="C1047422"/>
    </row>
    <row r="1047423" spans="1:3" ht="14.25" x14ac:dyDescent="0.2">
      <c r="A1047423"/>
      <c r="B1047423"/>
      <c r="C1047423"/>
    </row>
    <row r="1047424" spans="1:3" ht="14.25" x14ac:dyDescent="0.2">
      <c r="A1047424"/>
      <c r="B1047424"/>
      <c r="C1047424"/>
    </row>
    <row r="1047425" spans="1:3" ht="14.25" x14ac:dyDescent="0.2">
      <c r="A1047425"/>
      <c r="B1047425"/>
      <c r="C1047425"/>
    </row>
    <row r="1047426" spans="1:3" ht="14.25" x14ac:dyDescent="0.2">
      <c r="A1047426"/>
      <c r="B1047426"/>
      <c r="C1047426"/>
    </row>
    <row r="1047427" spans="1:3" ht="14.25" x14ac:dyDescent="0.2">
      <c r="A1047427"/>
      <c r="B1047427"/>
      <c r="C1047427"/>
    </row>
    <row r="1047428" spans="1:3" ht="14.25" x14ac:dyDescent="0.2">
      <c r="A1047428"/>
      <c r="B1047428"/>
      <c r="C1047428"/>
    </row>
    <row r="1047429" spans="1:3" ht="14.25" x14ac:dyDescent="0.2">
      <c r="A1047429"/>
      <c r="B1047429"/>
      <c r="C1047429"/>
    </row>
    <row r="1047430" spans="1:3" ht="14.25" x14ac:dyDescent="0.2">
      <c r="A1047430"/>
      <c r="B1047430"/>
      <c r="C1047430"/>
    </row>
    <row r="1047431" spans="1:3" ht="14.25" x14ac:dyDescent="0.2">
      <c r="A1047431"/>
      <c r="B1047431"/>
      <c r="C1047431"/>
    </row>
    <row r="1047432" spans="1:3" ht="14.25" x14ac:dyDescent="0.2">
      <c r="A1047432"/>
      <c r="B1047432"/>
      <c r="C1047432"/>
    </row>
    <row r="1047433" spans="1:3" ht="14.25" x14ac:dyDescent="0.2">
      <c r="A1047433"/>
      <c r="B1047433"/>
      <c r="C1047433"/>
    </row>
    <row r="1047434" spans="1:3" ht="14.25" x14ac:dyDescent="0.2">
      <c r="A1047434"/>
      <c r="B1047434"/>
      <c r="C1047434"/>
    </row>
    <row r="1047435" spans="1:3" ht="14.25" x14ac:dyDescent="0.2">
      <c r="A1047435"/>
      <c r="B1047435"/>
      <c r="C1047435"/>
    </row>
    <row r="1047436" spans="1:3" ht="14.25" x14ac:dyDescent="0.2">
      <c r="A1047436"/>
      <c r="B1047436"/>
      <c r="C1047436"/>
    </row>
    <row r="1047437" spans="1:3" ht="14.25" x14ac:dyDescent="0.2">
      <c r="A1047437"/>
      <c r="B1047437"/>
      <c r="C1047437"/>
    </row>
    <row r="1047438" spans="1:3" ht="14.25" x14ac:dyDescent="0.2">
      <c r="A1047438"/>
      <c r="B1047438"/>
      <c r="C1047438"/>
    </row>
    <row r="1047439" spans="1:3" ht="14.25" x14ac:dyDescent="0.2">
      <c r="A1047439"/>
      <c r="B1047439"/>
      <c r="C1047439"/>
    </row>
    <row r="1047440" spans="1:3" ht="14.25" x14ac:dyDescent="0.2">
      <c r="A1047440"/>
      <c r="B1047440"/>
      <c r="C1047440"/>
    </row>
    <row r="1047441" spans="1:3" ht="14.25" x14ac:dyDescent="0.2">
      <c r="A1047441"/>
      <c r="B1047441"/>
      <c r="C1047441"/>
    </row>
    <row r="1047442" spans="1:3" ht="14.25" x14ac:dyDescent="0.2">
      <c r="A1047442"/>
      <c r="B1047442"/>
      <c r="C1047442"/>
    </row>
    <row r="1047443" spans="1:3" ht="14.25" x14ac:dyDescent="0.2">
      <c r="A1047443"/>
      <c r="B1047443"/>
      <c r="C1047443"/>
    </row>
    <row r="1047444" spans="1:3" ht="14.25" x14ac:dyDescent="0.2">
      <c r="A1047444"/>
      <c r="B1047444"/>
      <c r="C1047444"/>
    </row>
    <row r="1047445" spans="1:3" ht="14.25" x14ac:dyDescent="0.2">
      <c r="A1047445"/>
      <c r="B1047445"/>
      <c r="C1047445"/>
    </row>
    <row r="1047446" spans="1:3" ht="14.25" x14ac:dyDescent="0.2">
      <c r="A1047446"/>
      <c r="B1047446"/>
      <c r="C1047446"/>
    </row>
    <row r="1047447" spans="1:3" ht="14.25" x14ac:dyDescent="0.2">
      <c r="A1047447"/>
      <c r="B1047447"/>
      <c r="C1047447"/>
    </row>
    <row r="1047448" spans="1:3" ht="14.25" x14ac:dyDescent="0.2">
      <c r="A1047448"/>
      <c r="B1047448"/>
      <c r="C1047448"/>
    </row>
    <row r="1047449" spans="1:3" ht="14.25" x14ac:dyDescent="0.2">
      <c r="A1047449"/>
      <c r="B1047449"/>
      <c r="C1047449"/>
    </row>
    <row r="1047450" spans="1:3" ht="14.25" x14ac:dyDescent="0.2">
      <c r="A1047450"/>
      <c r="B1047450"/>
      <c r="C1047450"/>
    </row>
    <row r="1047451" spans="1:3" ht="14.25" x14ac:dyDescent="0.2">
      <c r="A1047451"/>
      <c r="B1047451"/>
      <c r="C1047451"/>
    </row>
    <row r="1047452" spans="1:3" ht="14.25" x14ac:dyDescent="0.2">
      <c r="A1047452"/>
      <c r="B1047452"/>
      <c r="C1047452"/>
    </row>
    <row r="1047453" spans="1:3" ht="14.25" x14ac:dyDescent="0.2">
      <c r="A1047453"/>
      <c r="B1047453"/>
      <c r="C1047453"/>
    </row>
    <row r="1047454" spans="1:3" ht="14.25" x14ac:dyDescent="0.2">
      <c r="A1047454"/>
      <c r="B1047454"/>
      <c r="C1047454"/>
    </row>
    <row r="1047455" spans="1:3" ht="14.25" x14ac:dyDescent="0.2">
      <c r="A1047455"/>
      <c r="B1047455"/>
      <c r="C1047455"/>
    </row>
    <row r="1047456" spans="1:3" ht="14.25" x14ac:dyDescent="0.2">
      <c r="A1047456"/>
      <c r="B1047456"/>
      <c r="C1047456"/>
    </row>
    <row r="1047457" spans="1:3" ht="14.25" x14ac:dyDescent="0.2">
      <c r="A1047457"/>
      <c r="B1047457"/>
      <c r="C1047457"/>
    </row>
    <row r="1047458" spans="1:3" ht="14.25" x14ac:dyDescent="0.2">
      <c r="A1047458"/>
      <c r="B1047458"/>
      <c r="C1047458"/>
    </row>
    <row r="1047459" spans="1:3" ht="14.25" x14ac:dyDescent="0.2">
      <c r="A1047459"/>
      <c r="B1047459"/>
      <c r="C1047459"/>
    </row>
    <row r="1047460" spans="1:3" ht="14.25" x14ac:dyDescent="0.2">
      <c r="A1047460"/>
      <c r="B1047460"/>
      <c r="C1047460"/>
    </row>
    <row r="1047461" spans="1:3" ht="14.25" x14ac:dyDescent="0.2">
      <c r="A1047461"/>
      <c r="B1047461"/>
      <c r="C1047461"/>
    </row>
    <row r="1047462" spans="1:3" ht="14.25" x14ac:dyDescent="0.2">
      <c r="A1047462"/>
      <c r="B1047462"/>
      <c r="C1047462"/>
    </row>
    <row r="1047463" spans="1:3" ht="14.25" x14ac:dyDescent="0.2">
      <c r="A1047463"/>
      <c r="B1047463"/>
      <c r="C1047463"/>
    </row>
    <row r="1047464" spans="1:3" ht="14.25" x14ac:dyDescent="0.2">
      <c r="A1047464"/>
      <c r="B1047464"/>
      <c r="C1047464"/>
    </row>
    <row r="1047465" spans="1:3" ht="14.25" x14ac:dyDescent="0.2">
      <c r="A1047465"/>
      <c r="B1047465"/>
      <c r="C1047465"/>
    </row>
    <row r="1047466" spans="1:3" ht="14.25" x14ac:dyDescent="0.2">
      <c r="A1047466"/>
      <c r="B1047466"/>
      <c r="C1047466"/>
    </row>
    <row r="1047467" spans="1:3" ht="14.25" x14ac:dyDescent="0.2">
      <c r="A1047467"/>
      <c r="B1047467"/>
      <c r="C1047467"/>
    </row>
    <row r="1047468" spans="1:3" ht="14.25" x14ac:dyDescent="0.2">
      <c r="A1047468"/>
      <c r="B1047468"/>
      <c r="C1047468"/>
    </row>
    <row r="1047469" spans="1:3" ht="14.25" x14ac:dyDescent="0.2">
      <c r="A1047469"/>
      <c r="B1047469"/>
      <c r="C1047469"/>
    </row>
    <row r="1047470" spans="1:3" ht="14.25" x14ac:dyDescent="0.2">
      <c r="A1047470"/>
      <c r="B1047470"/>
      <c r="C1047470"/>
    </row>
    <row r="1047471" spans="1:3" ht="14.25" x14ac:dyDescent="0.2">
      <c r="A1047471"/>
      <c r="B1047471"/>
      <c r="C1047471"/>
    </row>
    <row r="1047472" spans="1:3" ht="14.25" x14ac:dyDescent="0.2">
      <c r="A1047472"/>
      <c r="B1047472"/>
      <c r="C1047472"/>
    </row>
    <row r="1047473" spans="1:3" ht="14.25" x14ac:dyDescent="0.2">
      <c r="A1047473"/>
      <c r="B1047473"/>
      <c r="C1047473"/>
    </row>
    <row r="1047474" spans="1:3" ht="14.25" x14ac:dyDescent="0.2">
      <c r="A1047474"/>
      <c r="B1047474"/>
      <c r="C1047474"/>
    </row>
    <row r="1047475" spans="1:3" ht="14.25" x14ac:dyDescent="0.2">
      <c r="A1047475"/>
      <c r="B1047475"/>
      <c r="C1047475"/>
    </row>
    <row r="1047476" spans="1:3" ht="14.25" x14ac:dyDescent="0.2">
      <c r="A1047476"/>
      <c r="B1047476"/>
      <c r="C1047476"/>
    </row>
    <row r="1047477" spans="1:3" ht="14.25" x14ac:dyDescent="0.2">
      <c r="A1047477"/>
      <c r="B1047477"/>
      <c r="C1047477"/>
    </row>
    <row r="1047478" spans="1:3" ht="14.25" x14ac:dyDescent="0.2">
      <c r="A1047478"/>
      <c r="B1047478"/>
      <c r="C1047478"/>
    </row>
    <row r="1047479" spans="1:3" ht="14.25" x14ac:dyDescent="0.2">
      <c r="A1047479"/>
      <c r="B1047479"/>
      <c r="C1047479"/>
    </row>
    <row r="1047480" spans="1:3" ht="14.25" x14ac:dyDescent="0.2">
      <c r="A1047480"/>
      <c r="B1047480"/>
      <c r="C1047480"/>
    </row>
    <row r="1047481" spans="1:3" ht="14.25" x14ac:dyDescent="0.2">
      <c r="A1047481"/>
      <c r="B1047481"/>
      <c r="C1047481"/>
    </row>
    <row r="1047482" spans="1:3" ht="14.25" x14ac:dyDescent="0.2">
      <c r="A1047482"/>
      <c r="B1047482"/>
      <c r="C1047482"/>
    </row>
    <row r="1047483" spans="1:3" ht="14.25" x14ac:dyDescent="0.2">
      <c r="A1047483"/>
      <c r="B1047483"/>
      <c r="C1047483"/>
    </row>
    <row r="1047484" spans="1:3" ht="14.25" x14ac:dyDescent="0.2">
      <c r="A1047484"/>
      <c r="B1047484"/>
      <c r="C1047484"/>
    </row>
    <row r="1047485" spans="1:3" ht="14.25" x14ac:dyDescent="0.2">
      <c r="A1047485"/>
      <c r="B1047485"/>
      <c r="C1047485"/>
    </row>
    <row r="1047486" spans="1:3" ht="14.25" x14ac:dyDescent="0.2">
      <c r="A1047486"/>
      <c r="B1047486"/>
      <c r="C1047486"/>
    </row>
    <row r="1047487" spans="1:3" ht="14.25" x14ac:dyDescent="0.2">
      <c r="A1047487"/>
      <c r="B1047487"/>
      <c r="C1047487"/>
    </row>
    <row r="1047488" spans="1:3" ht="14.25" x14ac:dyDescent="0.2">
      <c r="A1047488"/>
      <c r="B1047488"/>
      <c r="C1047488"/>
    </row>
    <row r="1047489" spans="1:3" ht="14.25" x14ac:dyDescent="0.2">
      <c r="A1047489"/>
      <c r="B1047489"/>
      <c r="C1047489"/>
    </row>
    <row r="1047490" spans="1:3" ht="14.25" x14ac:dyDescent="0.2">
      <c r="A1047490"/>
      <c r="B1047490"/>
      <c r="C1047490"/>
    </row>
    <row r="1047491" spans="1:3" ht="14.25" x14ac:dyDescent="0.2">
      <c r="A1047491"/>
      <c r="B1047491"/>
      <c r="C1047491"/>
    </row>
    <row r="1047492" spans="1:3" ht="14.25" x14ac:dyDescent="0.2">
      <c r="A1047492"/>
      <c r="B1047492"/>
      <c r="C1047492"/>
    </row>
    <row r="1047493" spans="1:3" ht="14.25" x14ac:dyDescent="0.2">
      <c r="A1047493"/>
      <c r="B1047493"/>
      <c r="C1047493"/>
    </row>
    <row r="1047494" spans="1:3" ht="14.25" x14ac:dyDescent="0.2">
      <c r="A1047494"/>
      <c r="B1047494"/>
      <c r="C1047494"/>
    </row>
    <row r="1047495" spans="1:3" ht="14.25" x14ac:dyDescent="0.2">
      <c r="A1047495"/>
      <c r="B1047495"/>
      <c r="C1047495"/>
    </row>
    <row r="1047496" spans="1:3" ht="14.25" x14ac:dyDescent="0.2">
      <c r="A1047496"/>
      <c r="B1047496"/>
      <c r="C1047496"/>
    </row>
    <row r="1047497" spans="1:3" ht="14.25" x14ac:dyDescent="0.2">
      <c r="A1047497"/>
      <c r="B1047497"/>
      <c r="C1047497"/>
    </row>
    <row r="1047498" spans="1:3" ht="14.25" x14ac:dyDescent="0.2">
      <c r="A1047498"/>
      <c r="B1047498"/>
      <c r="C1047498"/>
    </row>
    <row r="1047499" spans="1:3" ht="14.25" x14ac:dyDescent="0.2">
      <c r="A1047499"/>
      <c r="B1047499"/>
      <c r="C1047499"/>
    </row>
    <row r="1047500" spans="1:3" ht="14.25" x14ac:dyDescent="0.2">
      <c r="A1047500"/>
      <c r="B1047500"/>
      <c r="C1047500"/>
    </row>
    <row r="1047501" spans="1:3" ht="14.25" x14ac:dyDescent="0.2">
      <c r="A1047501"/>
      <c r="B1047501"/>
      <c r="C1047501"/>
    </row>
    <row r="1047502" spans="1:3" ht="14.25" x14ac:dyDescent="0.2">
      <c r="A1047502"/>
      <c r="B1047502"/>
      <c r="C1047502"/>
    </row>
    <row r="1047503" spans="1:3" ht="14.25" x14ac:dyDescent="0.2">
      <c r="A1047503"/>
      <c r="B1047503"/>
      <c r="C1047503"/>
    </row>
    <row r="1047504" spans="1:3" ht="14.25" x14ac:dyDescent="0.2">
      <c r="A1047504"/>
      <c r="B1047504"/>
      <c r="C1047504"/>
    </row>
    <row r="1047505" spans="1:3" ht="14.25" x14ac:dyDescent="0.2">
      <c r="A1047505"/>
      <c r="B1047505"/>
      <c r="C1047505"/>
    </row>
    <row r="1047506" spans="1:3" ht="14.25" x14ac:dyDescent="0.2">
      <c r="A1047506"/>
      <c r="B1047506"/>
      <c r="C1047506"/>
    </row>
    <row r="1047507" spans="1:3" ht="14.25" x14ac:dyDescent="0.2">
      <c r="A1047507"/>
      <c r="B1047507"/>
      <c r="C1047507"/>
    </row>
    <row r="1047508" spans="1:3" ht="14.25" x14ac:dyDescent="0.2">
      <c r="A1047508"/>
      <c r="B1047508"/>
      <c r="C1047508"/>
    </row>
    <row r="1047509" spans="1:3" ht="14.25" x14ac:dyDescent="0.2">
      <c r="A1047509"/>
      <c r="B1047509"/>
      <c r="C1047509"/>
    </row>
    <row r="1047510" spans="1:3" ht="14.25" x14ac:dyDescent="0.2">
      <c r="A1047510"/>
      <c r="B1047510"/>
      <c r="C1047510"/>
    </row>
    <row r="1047511" spans="1:3" ht="14.25" x14ac:dyDescent="0.2">
      <c r="A1047511"/>
      <c r="B1047511"/>
      <c r="C1047511"/>
    </row>
    <row r="1047512" spans="1:3" ht="14.25" x14ac:dyDescent="0.2">
      <c r="A1047512"/>
      <c r="B1047512"/>
      <c r="C1047512"/>
    </row>
    <row r="1047513" spans="1:3" ht="14.25" x14ac:dyDescent="0.2">
      <c r="A1047513"/>
      <c r="B1047513"/>
      <c r="C1047513"/>
    </row>
    <row r="1047514" spans="1:3" ht="14.25" x14ac:dyDescent="0.2">
      <c r="A1047514"/>
      <c r="B1047514"/>
      <c r="C1047514"/>
    </row>
    <row r="1047515" spans="1:3" ht="14.25" x14ac:dyDescent="0.2">
      <c r="A1047515"/>
      <c r="B1047515"/>
      <c r="C1047515"/>
    </row>
    <row r="1047516" spans="1:3" ht="14.25" x14ac:dyDescent="0.2">
      <c r="A1047516"/>
      <c r="B1047516"/>
      <c r="C1047516"/>
    </row>
    <row r="1047517" spans="1:3" ht="14.25" x14ac:dyDescent="0.2">
      <c r="A1047517"/>
      <c r="B1047517"/>
      <c r="C1047517"/>
    </row>
    <row r="1047518" spans="1:3" ht="14.25" x14ac:dyDescent="0.2">
      <c r="A1047518"/>
      <c r="B1047518"/>
      <c r="C1047518"/>
    </row>
    <row r="1047519" spans="1:3" ht="14.25" x14ac:dyDescent="0.2">
      <c r="A1047519"/>
      <c r="B1047519"/>
      <c r="C1047519"/>
    </row>
    <row r="1047520" spans="1:3" ht="14.25" x14ac:dyDescent="0.2">
      <c r="A1047520"/>
      <c r="B1047520"/>
      <c r="C1047520"/>
    </row>
    <row r="1047521" spans="1:3" ht="14.25" x14ac:dyDescent="0.2">
      <c r="A1047521"/>
      <c r="B1047521"/>
      <c r="C1047521"/>
    </row>
    <row r="1047522" spans="1:3" ht="14.25" x14ac:dyDescent="0.2">
      <c r="A1047522"/>
      <c r="B1047522"/>
      <c r="C1047522"/>
    </row>
    <row r="1047523" spans="1:3" ht="14.25" x14ac:dyDescent="0.2">
      <c r="A1047523"/>
      <c r="B1047523"/>
      <c r="C1047523"/>
    </row>
    <row r="1047524" spans="1:3" ht="14.25" x14ac:dyDescent="0.2">
      <c r="A1047524"/>
      <c r="B1047524"/>
      <c r="C1047524"/>
    </row>
    <row r="1047525" spans="1:3" ht="14.25" x14ac:dyDescent="0.2">
      <c r="A1047525"/>
      <c r="B1047525"/>
      <c r="C1047525"/>
    </row>
    <row r="1047526" spans="1:3" ht="14.25" x14ac:dyDescent="0.2">
      <c r="A1047526"/>
      <c r="B1047526"/>
      <c r="C1047526"/>
    </row>
    <row r="1047527" spans="1:3" ht="14.25" x14ac:dyDescent="0.2">
      <c r="A1047527"/>
      <c r="B1047527"/>
      <c r="C1047527"/>
    </row>
    <row r="1047528" spans="1:3" ht="14.25" x14ac:dyDescent="0.2">
      <c r="A1047528"/>
      <c r="B1047528"/>
      <c r="C1047528"/>
    </row>
    <row r="1047529" spans="1:3" ht="14.25" x14ac:dyDescent="0.2">
      <c r="A1047529"/>
      <c r="B1047529"/>
      <c r="C1047529"/>
    </row>
    <row r="1047530" spans="1:3" ht="14.25" x14ac:dyDescent="0.2">
      <c r="A1047530"/>
      <c r="B1047530"/>
      <c r="C1047530"/>
    </row>
    <row r="1047531" spans="1:3" ht="14.25" x14ac:dyDescent="0.2">
      <c r="A1047531"/>
      <c r="B1047531"/>
      <c r="C1047531"/>
    </row>
    <row r="1047532" spans="1:3" ht="14.25" x14ac:dyDescent="0.2">
      <c r="A1047532"/>
      <c r="B1047532"/>
      <c r="C1047532"/>
    </row>
    <row r="1047533" spans="1:3" ht="14.25" x14ac:dyDescent="0.2">
      <c r="A1047533"/>
      <c r="B1047533"/>
      <c r="C1047533"/>
    </row>
    <row r="1047534" spans="1:3" ht="14.25" x14ac:dyDescent="0.2">
      <c r="A1047534"/>
      <c r="B1047534"/>
      <c r="C1047534"/>
    </row>
    <row r="1047535" spans="1:3" ht="14.25" x14ac:dyDescent="0.2">
      <c r="A1047535"/>
      <c r="B1047535"/>
      <c r="C1047535"/>
    </row>
    <row r="1047536" spans="1:3" ht="14.25" x14ac:dyDescent="0.2">
      <c r="A1047536"/>
      <c r="B1047536"/>
      <c r="C1047536"/>
    </row>
    <row r="1047537" spans="1:3" ht="14.25" x14ac:dyDescent="0.2">
      <c r="A1047537"/>
      <c r="B1047537"/>
      <c r="C1047537"/>
    </row>
    <row r="1047538" spans="1:3" ht="14.25" x14ac:dyDescent="0.2">
      <c r="A1047538"/>
      <c r="B1047538"/>
      <c r="C1047538"/>
    </row>
    <row r="1047539" spans="1:3" ht="14.25" x14ac:dyDescent="0.2">
      <c r="A1047539"/>
      <c r="B1047539"/>
      <c r="C1047539"/>
    </row>
    <row r="1047540" spans="1:3" ht="14.25" x14ac:dyDescent="0.2">
      <c r="A1047540"/>
      <c r="B1047540"/>
      <c r="C1047540"/>
    </row>
    <row r="1047541" spans="1:3" ht="14.25" x14ac:dyDescent="0.2">
      <c r="A1047541"/>
      <c r="B1047541"/>
      <c r="C1047541"/>
    </row>
    <row r="1047542" spans="1:3" ht="14.25" x14ac:dyDescent="0.2">
      <c r="A1047542"/>
      <c r="B1047542"/>
      <c r="C1047542"/>
    </row>
    <row r="1047543" spans="1:3" ht="14.25" x14ac:dyDescent="0.2">
      <c r="A1047543"/>
      <c r="B1047543"/>
      <c r="C1047543"/>
    </row>
    <row r="1047544" spans="1:3" ht="14.25" x14ac:dyDescent="0.2">
      <c r="A1047544"/>
      <c r="B1047544"/>
      <c r="C1047544"/>
    </row>
    <row r="1047545" spans="1:3" ht="14.25" x14ac:dyDescent="0.2">
      <c r="A1047545"/>
      <c r="B1047545"/>
      <c r="C1047545"/>
    </row>
    <row r="1047546" spans="1:3" ht="14.25" x14ac:dyDescent="0.2">
      <c r="A1047546"/>
      <c r="B1047546"/>
      <c r="C1047546"/>
    </row>
    <row r="1047547" spans="1:3" ht="14.25" x14ac:dyDescent="0.2">
      <c r="A1047547"/>
      <c r="B1047547"/>
      <c r="C1047547"/>
    </row>
    <row r="1047548" spans="1:3" ht="14.25" x14ac:dyDescent="0.2">
      <c r="A1047548"/>
      <c r="B1047548"/>
      <c r="C1047548"/>
    </row>
    <row r="1047549" spans="1:3" ht="14.25" x14ac:dyDescent="0.2">
      <c r="A1047549"/>
      <c r="B1047549"/>
      <c r="C1047549"/>
    </row>
    <row r="1047550" spans="1:3" ht="14.25" x14ac:dyDescent="0.2">
      <c r="A1047550"/>
      <c r="B1047550"/>
      <c r="C1047550"/>
    </row>
    <row r="1047551" spans="1:3" ht="14.25" x14ac:dyDescent="0.2">
      <c r="A1047551"/>
      <c r="B1047551"/>
      <c r="C1047551"/>
    </row>
    <row r="1047552" spans="1:3" ht="14.25" x14ac:dyDescent="0.2">
      <c r="A1047552"/>
      <c r="B1047552"/>
      <c r="C1047552"/>
    </row>
    <row r="1047553" spans="1:3" ht="14.25" x14ac:dyDescent="0.2">
      <c r="A1047553"/>
      <c r="B1047553"/>
      <c r="C1047553"/>
    </row>
    <row r="1047554" spans="1:3" ht="14.25" x14ac:dyDescent="0.2">
      <c r="A1047554"/>
      <c r="B1047554"/>
      <c r="C1047554"/>
    </row>
    <row r="1047555" spans="1:3" ht="14.25" x14ac:dyDescent="0.2">
      <c r="A1047555"/>
      <c r="B1047555"/>
      <c r="C1047555"/>
    </row>
    <row r="1047556" spans="1:3" ht="14.25" x14ac:dyDescent="0.2">
      <c r="A1047556"/>
      <c r="B1047556"/>
      <c r="C1047556"/>
    </row>
    <row r="1047557" spans="1:3" ht="14.25" x14ac:dyDescent="0.2">
      <c r="A1047557"/>
      <c r="B1047557"/>
      <c r="C1047557"/>
    </row>
    <row r="1047558" spans="1:3" ht="14.25" x14ac:dyDescent="0.2">
      <c r="A1047558"/>
      <c r="B1047558"/>
      <c r="C1047558"/>
    </row>
    <row r="1047559" spans="1:3" ht="14.25" x14ac:dyDescent="0.2">
      <c r="A1047559"/>
      <c r="B1047559"/>
      <c r="C1047559"/>
    </row>
    <row r="1047560" spans="1:3" ht="14.25" x14ac:dyDescent="0.2">
      <c r="A1047560"/>
      <c r="B1047560"/>
      <c r="C1047560"/>
    </row>
    <row r="1047561" spans="1:3" ht="14.25" x14ac:dyDescent="0.2">
      <c r="A1047561"/>
      <c r="B1047561"/>
      <c r="C1047561"/>
    </row>
    <row r="1047562" spans="1:3" ht="14.25" x14ac:dyDescent="0.2">
      <c r="A1047562"/>
      <c r="B1047562"/>
      <c r="C1047562"/>
    </row>
    <row r="1047563" spans="1:3" ht="14.25" x14ac:dyDescent="0.2">
      <c r="A1047563"/>
      <c r="B1047563"/>
      <c r="C1047563"/>
    </row>
    <row r="1047564" spans="1:3" ht="14.25" x14ac:dyDescent="0.2">
      <c r="A1047564"/>
      <c r="B1047564"/>
      <c r="C1047564"/>
    </row>
    <row r="1047565" spans="1:3" ht="14.25" x14ac:dyDescent="0.2">
      <c r="A1047565"/>
      <c r="B1047565"/>
      <c r="C1047565"/>
    </row>
    <row r="1047566" spans="1:3" ht="14.25" x14ac:dyDescent="0.2">
      <c r="A1047566"/>
      <c r="B1047566"/>
      <c r="C1047566"/>
    </row>
    <row r="1047567" spans="1:3" ht="14.25" x14ac:dyDescent="0.2">
      <c r="A1047567"/>
      <c r="B1047567"/>
      <c r="C1047567"/>
    </row>
    <row r="1047568" spans="1:3" ht="14.25" x14ac:dyDescent="0.2">
      <c r="A1047568"/>
      <c r="B1047568"/>
      <c r="C1047568"/>
    </row>
    <row r="1047569" spans="1:3" ht="14.25" x14ac:dyDescent="0.2">
      <c r="A1047569"/>
      <c r="B1047569"/>
      <c r="C1047569"/>
    </row>
    <row r="1047570" spans="1:3" ht="14.25" x14ac:dyDescent="0.2">
      <c r="A1047570"/>
      <c r="B1047570"/>
      <c r="C1047570"/>
    </row>
    <row r="1047571" spans="1:3" ht="14.25" x14ac:dyDescent="0.2">
      <c r="A1047571"/>
      <c r="B1047571"/>
      <c r="C1047571"/>
    </row>
    <row r="1047572" spans="1:3" ht="14.25" x14ac:dyDescent="0.2">
      <c r="A1047572"/>
      <c r="B1047572"/>
      <c r="C1047572"/>
    </row>
    <row r="1047573" spans="1:3" ht="14.25" x14ac:dyDescent="0.2">
      <c r="A1047573"/>
      <c r="B1047573"/>
      <c r="C1047573"/>
    </row>
    <row r="1047574" spans="1:3" ht="14.25" x14ac:dyDescent="0.2">
      <c r="A1047574"/>
      <c r="B1047574"/>
      <c r="C1047574"/>
    </row>
    <row r="1047575" spans="1:3" ht="14.25" x14ac:dyDescent="0.2">
      <c r="A1047575"/>
      <c r="B1047575"/>
      <c r="C1047575"/>
    </row>
    <row r="1047576" spans="1:3" ht="14.25" x14ac:dyDescent="0.2">
      <c r="A1047576"/>
      <c r="B1047576"/>
      <c r="C1047576"/>
    </row>
    <row r="1047577" spans="1:3" ht="14.25" x14ac:dyDescent="0.2">
      <c r="A1047577"/>
      <c r="B1047577"/>
      <c r="C1047577"/>
    </row>
    <row r="1047578" spans="1:3" ht="14.25" x14ac:dyDescent="0.2">
      <c r="A1047578"/>
      <c r="B1047578"/>
      <c r="C1047578"/>
    </row>
    <row r="1047579" spans="1:3" ht="14.25" x14ac:dyDescent="0.2">
      <c r="A1047579"/>
      <c r="B1047579"/>
      <c r="C1047579"/>
    </row>
    <row r="1047580" spans="1:3" ht="14.25" x14ac:dyDescent="0.2">
      <c r="A1047580"/>
      <c r="B1047580"/>
      <c r="C1047580"/>
    </row>
    <row r="1047581" spans="1:3" ht="14.25" x14ac:dyDescent="0.2">
      <c r="A1047581"/>
      <c r="B1047581"/>
      <c r="C1047581"/>
    </row>
    <row r="1047582" spans="1:3" ht="14.25" x14ac:dyDescent="0.2">
      <c r="A1047582"/>
      <c r="B1047582"/>
      <c r="C1047582"/>
    </row>
    <row r="1047583" spans="1:3" ht="14.25" x14ac:dyDescent="0.2">
      <c r="A1047583"/>
      <c r="B1047583"/>
      <c r="C1047583"/>
    </row>
    <row r="1047584" spans="1:3" ht="14.25" x14ac:dyDescent="0.2">
      <c r="A1047584"/>
      <c r="B1047584"/>
      <c r="C1047584"/>
    </row>
    <row r="1047585" spans="1:3" ht="14.25" x14ac:dyDescent="0.2">
      <c r="A1047585"/>
      <c r="B1047585"/>
      <c r="C1047585"/>
    </row>
    <row r="1047586" spans="1:3" ht="14.25" x14ac:dyDescent="0.2">
      <c r="A1047586"/>
      <c r="B1047586"/>
      <c r="C1047586"/>
    </row>
    <row r="1047587" spans="1:3" ht="14.25" x14ac:dyDescent="0.2">
      <c r="A1047587"/>
      <c r="B1047587"/>
      <c r="C1047587"/>
    </row>
    <row r="1047588" spans="1:3" ht="14.25" x14ac:dyDescent="0.2">
      <c r="A1047588"/>
      <c r="B1047588"/>
      <c r="C1047588"/>
    </row>
    <row r="1047589" spans="1:3" ht="14.25" x14ac:dyDescent="0.2">
      <c r="A1047589"/>
      <c r="B1047589"/>
      <c r="C1047589"/>
    </row>
    <row r="1047590" spans="1:3" ht="14.25" x14ac:dyDescent="0.2">
      <c r="A1047590"/>
      <c r="B1047590"/>
      <c r="C1047590"/>
    </row>
    <row r="1047591" spans="1:3" ht="14.25" x14ac:dyDescent="0.2">
      <c r="A1047591"/>
      <c r="B1047591"/>
      <c r="C1047591"/>
    </row>
    <row r="1047592" spans="1:3" ht="14.25" x14ac:dyDescent="0.2">
      <c r="A1047592"/>
      <c r="B1047592"/>
      <c r="C1047592"/>
    </row>
    <row r="1047593" spans="1:3" ht="14.25" x14ac:dyDescent="0.2">
      <c r="A1047593"/>
      <c r="B1047593"/>
      <c r="C1047593"/>
    </row>
    <row r="1047594" spans="1:3" ht="14.25" x14ac:dyDescent="0.2">
      <c r="A1047594"/>
      <c r="B1047594"/>
      <c r="C1047594"/>
    </row>
    <row r="1047595" spans="1:3" ht="14.25" x14ac:dyDescent="0.2">
      <c r="A1047595"/>
      <c r="B1047595"/>
      <c r="C1047595"/>
    </row>
    <row r="1047596" spans="1:3" ht="14.25" x14ac:dyDescent="0.2">
      <c r="A1047596"/>
      <c r="B1047596"/>
      <c r="C1047596"/>
    </row>
    <row r="1047597" spans="1:3" ht="14.25" x14ac:dyDescent="0.2">
      <c r="A1047597"/>
      <c r="B1047597"/>
      <c r="C1047597"/>
    </row>
    <row r="1047598" spans="1:3" ht="14.25" x14ac:dyDescent="0.2">
      <c r="A1047598"/>
      <c r="B1047598"/>
      <c r="C1047598"/>
    </row>
    <row r="1047599" spans="1:3" ht="14.25" x14ac:dyDescent="0.2">
      <c r="A1047599"/>
      <c r="B1047599"/>
      <c r="C1047599"/>
    </row>
    <row r="1047600" spans="1:3" ht="14.25" x14ac:dyDescent="0.2">
      <c r="A1047600"/>
      <c r="B1047600"/>
      <c r="C1047600"/>
    </row>
    <row r="1047601" spans="1:3" ht="14.25" x14ac:dyDescent="0.2">
      <c r="A1047601"/>
      <c r="B1047601"/>
      <c r="C1047601"/>
    </row>
    <row r="1047602" spans="1:3" ht="14.25" x14ac:dyDescent="0.2">
      <c r="A1047602"/>
      <c r="B1047602"/>
      <c r="C1047602"/>
    </row>
    <row r="1047603" spans="1:3" ht="14.25" x14ac:dyDescent="0.2">
      <c r="A1047603"/>
      <c r="B1047603"/>
      <c r="C1047603"/>
    </row>
    <row r="1047604" spans="1:3" ht="14.25" x14ac:dyDescent="0.2">
      <c r="A1047604"/>
      <c r="B1047604"/>
      <c r="C1047604"/>
    </row>
    <row r="1047605" spans="1:3" ht="14.25" x14ac:dyDescent="0.2">
      <c r="A1047605"/>
      <c r="B1047605"/>
      <c r="C1047605"/>
    </row>
    <row r="1047606" spans="1:3" ht="14.25" x14ac:dyDescent="0.2">
      <c r="A1047606"/>
      <c r="B1047606"/>
      <c r="C1047606"/>
    </row>
    <row r="1047607" spans="1:3" ht="14.25" x14ac:dyDescent="0.2">
      <c r="A1047607"/>
      <c r="B1047607"/>
      <c r="C1047607"/>
    </row>
    <row r="1047608" spans="1:3" ht="14.25" x14ac:dyDescent="0.2">
      <c r="A1047608"/>
      <c r="B1047608"/>
      <c r="C1047608"/>
    </row>
    <row r="1047609" spans="1:3" ht="14.25" x14ac:dyDescent="0.2">
      <c r="A1047609"/>
      <c r="B1047609"/>
      <c r="C1047609"/>
    </row>
    <row r="1047610" spans="1:3" ht="14.25" x14ac:dyDescent="0.2">
      <c r="A1047610"/>
      <c r="B1047610"/>
      <c r="C1047610"/>
    </row>
    <row r="1047611" spans="1:3" ht="14.25" x14ac:dyDescent="0.2">
      <c r="A1047611"/>
      <c r="B1047611"/>
      <c r="C1047611"/>
    </row>
    <row r="1047612" spans="1:3" ht="14.25" x14ac:dyDescent="0.2">
      <c r="A1047612"/>
      <c r="B1047612"/>
      <c r="C1047612"/>
    </row>
    <row r="1047613" spans="1:3" ht="14.25" x14ac:dyDescent="0.2">
      <c r="A1047613"/>
      <c r="B1047613"/>
      <c r="C1047613"/>
    </row>
    <row r="1047614" spans="1:3" ht="14.25" x14ac:dyDescent="0.2">
      <c r="A1047614"/>
      <c r="B1047614"/>
      <c r="C1047614"/>
    </row>
    <row r="1047615" spans="1:3" ht="14.25" x14ac:dyDescent="0.2">
      <c r="A1047615"/>
      <c r="B1047615"/>
      <c r="C1047615"/>
    </row>
    <row r="1047616" spans="1:3" ht="14.25" x14ac:dyDescent="0.2">
      <c r="A1047616"/>
      <c r="B1047616"/>
      <c r="C1047616"/>
    </row>
    <row r="1047617" spans="1:3" ht="14.25" x14ac:dyDescent="0.2">
      <c r="A1047617"/>
      <c r="B1047617"/>
      <c r="C1047617"/>
    </row>
    <row r="1047618" spans="1:3" ht="14.25" x14ac:dyDescent="0.2">
      <c r="A1047618"/>
      <c r="B1047618"/>
      <c r="C1047618"/>
    </row>
    <row r="1047619" spans="1:3" ht="14.25" x14ac:dyDescent="0.2">
      <c r="A1047619"/>
      <c r="B1047619"/>
      <c r="C1047619"/>
    </row>
    <row r="1047620" spans="1:3" ht="14.25" x14ac:dyDescent="0.2">
      <c r="A1047620"/>
      <c r="B1047620"/>
      <c r="C1047620"/>
    </row>
    <row r="1047621" spans="1:3" ht="14.25" x14ac:dyDescent="0.2">
      <c r="A1047621"/>
      <c r="B1047621"/>
      <c r="C1047621"/>
    </row>
    <row r="1047622" spans="1:3" ht="14.25" x14ac:dyDescent="0.2">
      <c r="A1047622"/>
      <c r="B1047622"/>
      <c r="C1047622"/>
    </row>
    <row r="1047623" spans="1:3" ht="14.25" x14ac:dyDescent="0.2">
      <c r="A1047623"/>
      <c r="B1047623"/>
      <c r="C1047623"/>
    </row>
    <row r="1047624" spans="1:3" ht="14.25" x14ac:dyDescent="0.2">
      <c r="A1047624"/>
      <c r="B1047624"/>
      <c r="C1047624"/>
    </row>
    <row r="1047625" spans="1:3" ht="14.25" x14ac:dyDescent="0.2">
      <c r="A1047625"/>
      <c r="B1047625"/>
      <c r="C1047625"/>
    </row>
    <row r="1047626" spans="1:3" ht="14.25" x14ac:dyDescent="0.2">
      <c r="A1047626"/>
      <c r="B1047626"/>
      <c r="C1047626"/>
    </row>
    <row r="1047627" spans="1:3" ht="14.25" x14ac:dyDescent="0.2">
      <c r="A1047627"/>
      <c r="B1047627"/>
      <c r="C1047627"/>
    </row>
    <row r="1047628" spans="1:3" ht="14.25" x14ac:dyDescent="0.2">
      <c r="A1047628"/>
      <c r="B1047628"/>
      <c r="C1047628"/>
    </row>
    <row r="1047629" spans="1:3" ht="14.25" x14ac:dyDescent="0.2">
      <c r="A1047629"/>
      <c r="B1047629"/>
      <c r="C1047629"/>
    </row>
    <row r="1047630" spans="1:3" ht="14.25" x14ac:dyDescent="0.2">
      <c r="A1047630"/>
      <c r="B1047630"/>
      <c r="C1047630"/>
    </row>
    <row r="1047631" spans="1:3" ht="14.25" x14ac:dyDescent="0.2">
      <c r="A1047631"/>
      <c r="B1047631"/>
      <c r="C1047631"/>
    </row>
    <row r="1047632" spans="1:3" ht="14.25" x14ac:dyDescent="0.2">
      <c r="A1047632"/>
      <c r="B1047632"/>
      <c r="C1047632"/>
    </row>
    <row r="1047633" spans="1:3" ht="14.25" x14ac:dyDescent="0.2">
      <c r="A1047633"/>
      <c r="B1047633"/>
      <c r="C1047633"/>
    </row>
    <row r="1047634" spans="1:3" ht="14.25" x14ac:dyDescent="0.2">
      <c r="A1047634"/>
      <c r="B1047634"/>
      <c r="C1047634"/>
    </row>
    <row r="1047635" spans="1:3" ht="14.25" x14ac:dyDescent="0.2">
      <c r="A1047635"/>
      <c r="B1047635"/>
      <c r="C1047635"/>
    </row>
    <row r="1047636" spans="1:3" ht="14.25" x14ac:dyDescent="0.2">
      <c r="A1047636"/>
      <c r="B1047636"/>
      <c r="C1047636"/>
    </row>
    <row r="1047637" spans="1:3" ht="14.25" x14ac:dyDescent="0.2">
      <c r="A1047637"/>
      <c r="B1047637"/>
      <c r="C1047637"/>
    </row>
    <row r="1047638" spans="1:3" ht="14.25" x14ac:dyDescent="0.2">
      <c r="A1047638"/>
      <c r="B1047638"/>
      <c r="C1047638"/>
    </row>
    <row r="1047639" spans="1:3" ht="14.25" x14ac:dyDescent="0.2">
      <c r="A1047639"/>
      <c r="B1047639"/>
      <c r="C1047639"/>
    </row>
    <row r="1047640" spans="1:3" ht="14.25" x14ac:dyDescent="0.2">
      <c r="A1047640"/>
      <c r="B1047640"/>
      <c r="C1047640"/>
    </row>
    <row r="1047641" spans="1:3" ht="14.25" x14ac:dyDescent="0.2">
      <c r="A1047641"/>
      <c r="B1047641"/>
      <c r="C1047641"/>
    </row>
    <row r="1047642" spans="1:3" ht="14.25" x14ac:dyDescent="0.2">
      <c r="A1047642"/>
      <c r="B1047642"/>
      <c r="C1047642"/>
    </row>
    <row r="1047643" spans="1:3" ht="14.25" x14ac:dyDescent="0.2">
      <c r="A1047643"/>
      <c r="B1047643"/>
      <c r="C1047643"/>
    </row>
    <row r="1047644" spans="1:3" ht="14.25" x14ac:dyDescent="0.2">
      <c r="A1047644"/>
      <c r="B1047644"/>
      <c r="C1047644"/>
    </row>
    <row r="1047645" spans="1:3" ht="14.25" x14ac:dyDescent="0.2">
      <c r="A1047645"/>
      <c r="B1047645"/>
      <c r="C1047645"/>
    </row>
    <row r="1047646" spans="1:3" ht="14.25" x14ac:dyDescent="0.2">
      <c r="A1047646"/>
      <c r="B1047646"/>
      <c r="C1047646"/>
    </row>
    <row r="1047647" spans="1:3" ht="14.25" x14ac:dyDescent="0.2">
      <c r="A1047647"/>
      <c r="B1047647"/>
      <c r="C1047647"/>
    </row>
    <row r="1047648" spans="1:3" ht="14.25" x14ac:dyDescent="0.2">
      <c r="A1047648"/>
      <c r="B1047648"/>
      <c r="C1047648"/>
    </row>
    <row r="1047649" spans="1:3" ht="14.25" x14ac:dyDescent="0.2">
      <c r="A1047649"/>
      <c r="B1047649"/>
      <c r="C1047649"/>
    </row>
    <row r="1047650" spans="1:3" ht="14.25" x14ac:dyDescent="0.2">
      <c r="A1047650"/>
      <c r="B1047650"/>
      <c r="C1047650"/>
    </row>
    <row r="1047651" spans="1:3" ht="14.25" x14ac:dyDescent="0.2">
      <c r="A1047651"/>
      <c r="B1047651"/>
      <c r="C1047651"/>
    </row>
    <row r="1047652" spans="1:3" ht="14.25" x14ac:dyDescent="0.2">
      <c r="A1047652"/>
      <c r="B1047652"/>
      <c r="C1047652"/>
    </row>
    <row r="1047653" spans="1:3" ht="14.25" x14ac:dyDescent="0.2">
      <c r="A1047653"/>
      <c r="B1047653"/>
      <c r="C1047653"/>
    </row>
    <row r="1047654" spans="1:3" ht="14.25" x14ac:dyDescent="0.2">
      <c r="A1047654"/>
      <c r="B1047654"/>
      <c r="C1047654"/>
    </row>
    <row r="1047655" spans="1:3" ht="14.25" x14ac:dyDescent="0.2">
      <c r="A1047655"/>
      <c r="B1047655"/>
      <c r="C1047655"/>
    </row>
    <row r="1047656" spans="1:3" ht="14.25" x14ac:dyDescent="0.2">
      <c r="A1047656"/>
      <c r="B1047656"/>
      <c r="C1047656"/>
    </row>
    <row r="1047657" spans="1:3" ht="14.25" x14ac:dyDescent="0.2">
      <c r="A1047657"/>
      <c r="B1047657"/>
      <c r="C1047657"/>
    </row>
    <row r="1047658" spans="1:3" ht="14.25" x14ac:dyDescent="0.2">
      <c r="A1047658"/>
      <c r="B1047658"/>
      <c r="C1047658"/>
    </row>
    <row r="1047659" spans="1:3" ht="14.25" x14ac:dyDescent="0.2">
      <c r="A1047659"/>
      <c r="B1047659"/>
      <c r="C1047659"/>
    </row>
    <row r="1047660" spans="1:3" ht="14.25" x14ac:dyDescent="0.2">
      <c r="A1047660"/>
      <c r="B1047660"/>
      <c r="C1047660"/>
    </row>
    <row r="1047661" spans="1:3" ht="14.25" x14ac:dyDescent="0.2">
      <c r="A1047661"/>
      <c r="B1047661"/>
      <c r="C1047661"/>
    </row>
    <row r="1047662" spans="1:3" ht="14.25" x14ac:dyDescent="0.2">
      <c r="A1047662"/>
      <c r="B1047662"/>
      <c r="C1047662"/>
    </row>
    <row r="1047663" spans="1:3" ht="14.25" x14ac:dyDescent="0.2">
      <c r="A1047663"/>
      <c r="B1047663"/>
      <c r="C1047663"/>
    </row>
    <row r="1047664" spans="1:3" ht="14.25" x14ac:dyDescent="0.2">
      <c r="A1047664"/>
      <c r="B1047664"/>
      <c r="C1047664"/>
    </row>
    <row r="1047665" spans="1:3" ht="14.25" x14ac:dyDescent="0.2">
      <c r="A1047665"/>
      <c r="B1047665"/>
      <c r="C1047665"/>
    </row>
    <row r="1047666" spans="1:3" ht="14.25" x14ac:dyDescent="0.2">
      <c r="A1047666"/>
      <c r="B1047666"/>
      <c r="C1047666"/>
    </row>
    <row r="1047667" spans="1:3" ht="14.25" x14ac:dyDescent="0.2">
      <c r="A1047667"/>
      <c r="B1047667"/>
      <c r="C1047667"/>
    </row>
    <row r="1047668" spans="1:3" ht="14.25" x14ac:dyDescent="0.2">
      <c r="A1047668"/>
      <c r="B1047668"/>
      <c r="C1047668"/>
    </row>
    <row r="1047669" spans="1:3" ht="14.25" x14ac:dyDescent="0.2">
      <c r="A1047669"/>
      <c r="B1047669"/>
      <c r="C1047669"/>
    </row>
    <row r="1047670" spans="1:3" ht="14.25" x14ac:dyDescent="0.2">
      <c r="A1047670"/>
      <c r="B1047670"/>
      <c r="C1047670"/>
    </row>
    <row r="1047671" spans="1:3" ht="14.25" x14ac:dyDescent="0.2">
      <c r="A1047671"/>
      <c r="B1047671"/>
      <c r="C1047671"/>
    </row>
    <row r="1047672" spans="1:3" ht="14.25" x14ac:dyDescent="0.2">
      <c r="A1047672"/>
      <c r="B1047672"/>
      <c r="C1047672"/>
    </row>
    <row r="1047673" spans="1:3" ht="14.25" x14ac:dyDescent="0.2">
      <c r="A1047673"/>
      <c r="B1047673"/>
      <c r="C1047673"/>
    </row>
    <row r="1047674" spans="1:3" ht="14.25" x14ac:dyDescent="0.2">
      <c r="A1047674"/>
      <c r="B1047674"/>
      <c r="C1047674"/>
    </row>
    <row r="1047675" spans="1:3" ht="14.25" x14ac:dyDescent="0.2">
      <c r="A1047675"/>
      <c r="B1047675"/>
      <c r="C1047675"/>
    </row>
    <row r="1047676" spans="1:3" ht="14.25" x14ac:dyDescent="0.2">
      <c r="A1047676"/>
      <c r="B1047676"/>
      <c r="C1047676"/>
    </row>
    <row r="1047677" spans="1:3" ht="14.25" x14ac:dyDescent="0.2">
      <c r="A1047677"/>
      <c r="B1047677"/>
      <c r="C1047677"/>
    </row>
    <row r="1047678" spans="1:3" ht="14.25" x14ac:dyDescent="0.2">
      <c r="A1047678"/>
      <c r="B1047678"/>
      <c r="C1047678"/>
    </row>
    <row r="1047679" spans="1:3" ht="14.25" x14ac:dyDescent="0.2">
      <c r="A1047679"/>
      <c r="B1047679"/>
      <c r="C1047679"/>
    </row>
    <row r="1047680" spans="1:3" ht="14.25" x14ac:dyDescent="0.2">
      <c r="A1047680"/>
      <c r="B1047680"/>
      <c r="C1047680"/>
    </row>
    <row r="1047681" spans="1:3" ht="14.25" x14ac:dyDescent="0.2">
      <c r="A1047681"/>
      <c r="B1047681"/>
      <c r="C1047681"/>
    </row>
    <row r="1047682" spans="1:3" ht="14.25" x14ac:dyDescent="0.2">
      <c r="A1047682"/>
      <c r="B1047682"/>
      <c r="C1047682"/>
    </row>
    <row r="1047683" spans="1:3" ht="14.25" x14ac:dyDescent="0.2">
      <c r="A1047683"/>
      <c r="B1047683"/>
      <c r="C1047683"/>
    </row>
    <row r="1047684" spans="1:3" ht="14.25" x14ac:dyDescent="0.2">
      <c r="A1047684"/>
      <c r="B1047684"/>
      <c r="C1047684"/>
    </row>
    <row r="1047685" spans="1:3" ht="14.25" x14ac:dyDescent="0.2">
      <c r="A1047685"/>
      <c r="B1047685"/>
      <c r="C1047685"/>
    </row>
    <row r="1047686" spans="1:3" ht="14.25" x14ac:dyDescent="0.2">
      <c r="A1047686"/>
      <c r="B1047686"/>
      <c r="C1047686"/>
    </row>
    <row r="1047687" spans="1:3" ht="14.25" x14ac:dyDescent="0.2">
      <c r="A1047687"/>
      <c r="B1047687"/>
      <c r="C1047687"/>
    </row>
    <row r="1047688" spans="1:3" ht="14.25" x14ac:dyDescent="0.2">
      <c r="A1047688"/>
      <c r="B1047688"/>
      <c r="C1047688"/>
    </row>
    <row r="1047689" spans="1:3" ht="14.25" x14ac:dyDescent="0.2">
      <c r="A1047689"/>
      <c r="B1047689"/>
      <c r="C1047689"/>
    </row>
    <row r="1047690" spans="1:3" ht="14.25" x14ac:dyDescent="0.2">
      <c r="A1047690"/>
      <c r="B1047690"/>
      <c r="C1047690"/>
    </row>
    <row r="1047691" spans="1:3" ht="14.25" x14ac:dyDescent="0.2">
      <c r="A1047691"/>
      <c r="B1047691"/>
      <c r="C1047691"/>
    </row>
    <row r="1047692" spans="1:3" ht="14.25" x14ac:dyDescent="0.2">
      <c r="A1047692"/>
      <c r="B1047692"/>
      <c r="C1047692"/>
    </row>
    <row r="1047693" spans="1:3" ht="14.25" x14ac:dyDescent="0.2">
      <c r="A1047693"/>
      <c r="B1047693"/>
      <c r="C1047693"/>
    </row>
    <row r="1047694" spans="1:3" ht="14.25" x14ac:dyDescent="0.2">
      <c r="A1047694"/>
      <c r="B1047694"/>
      <c r="C1047694"/>
    </row>
    <row r="1047695" spans="1:3" ht="14.25" x14ac:dyDescent="0.2">
      <c r="A1047695"/>
      <c r="B1047695"/>
      <c r="C1047695"/>
    </row>
    <row r="1047696" spans="1:3" ht="14.25" x14ac:dyDescent="0.2">
      <c r="A1047696"/>
      <c r="B1047696"/>
      <c r="C1047696"/>
    </row>
    <row r="1047697" spans="1:3" ht="14.25" x14ac:dyDescent="0.2">
      <c r="A1047697"/>
      <c r="B1047697"/>
      <c r="C1047697"/>
    </row>
    <row r="1047698" spans="1:3" ht="14.25" x14ac:dyDescent="0.2">
      <c r="A1047698"/>
      <c r="B1047698"/>
      <c r="C1047698"/>
    </row>
    <row r="1047699" spans="1:3" ht="14.25" x14ac:dyDescent="0.2">
      <c r="A1047699"/>
      <c r="B1047699"/>
      <c r="C1047699"/>
    </row>
    <row r="1047700" spans="1:3" ht="14.25" x14ac:dyDescent="0.2">
      <c r="A1047700"/>
      <c r="B1047700"/>
      <c r="C1047700"/>
    </row>
    <row r="1047701" spans="1:3" ht="14.25" x14ac:dyDescent="0.2">
      <c r="A1047701"/>
      <c r="B1047701"/>
      <c r="C1047701"/>
    </row>
    <row r="1047702" spans="1:3" ht="14.25" x14ac:dyDescent="0.2">
      <c r="A1047702"/>
      <c r="B1047702"/>
      <c r="C1047702"/>
    </row>
    <row r="1047703" spans="1:3" ht="14.25" x14ac:dyDescent="0.2">
      <c r="A1047703"/>
      <c r="B1047703"/>
      <c r="C1047703"/>
    </row>
    <row r="1047704" spans="1:3" ht="14.25" x14ac:dyDescent="0.2">
      <c r="A1047704"/>
      <c r="B1047704"/>
      <c r="C1047704"/>
    </row>
    <row r="1047705" spans="1:3" ht="14.25" x14ac:dyDescent="0.2">
      <c r="A1047705"/>
      <c r="B1047705"/>
      <c r="C1047705"/>
    </row>
    <row r="1047706" spans="1:3" ht="14.25" x14ac:dyDescent="0.2">
      <c r="A1047706"/>
      <c r="B1047706"/>
      <c r="C1047706"/>
    </row>
    <row r="1047707" spans="1:3" ht="14.25" x14ac:dyDescent="0.2">
      <c r="A1047707"/>
      <c r="B1047707"/>
      <c r="C1047707"/>
    </row>
    <row r="1047708" spans="1:3" ht="14.25" x14ac:dyDescent="0.2">
      <c r="A1047708"/>
      <c r="B1047708"/>
      <c r="C1047708"/>
    </row>
    <row r="1047709" spans="1:3" ht="14.25" x14ac:dyDescent="0.2">
      <c r="A1047709"/>
      <c r="B1047709"/>
      <c r="C1047709"/>
    </row>
    <row r="1047710" spans="1:3" ht="14.25" x14ac:dyDescent="0.2">
      <c r="A1047710"/>
      <c r="B1047710"/>
      <c r="C1047710"/>
    </row>
    <row r="1047711" spans="1:3" ht="14.25" x14ac:dyDescent="0.2">
      <c r="A1047711"/>
      <c r="B1047711"/>
      <c r="C1047711"/>
    </row>
    <row r="1047712" spans="1:3" ht="14.25" x14ac:dyDescent="0.2">
      <c r="A1047712"/>
      <c r="B1047712"/>
      <c r="C1047712"/>
    </row>
    <row r="1047713" spans="1:3" ht="14.25" x14ac:dyDescent="0.2">
      <c r="A1047713"/>
      <c r="B1047713"/>
      <c r="C1047713"/>
    </row>
    <row r="1047714" spans="1:3" ht="14.25" x14ac:dyDescent="0.2">
      <c r="A1047714"/>
      <c r="B1047714"/>
      <c r="C1047714"/>
    </row>
    <row r="1047715" spans="1:3" ht="14.25" x14ac:dyDescent="0.2">
      <c r="A1047715"/>
      <c r="B1047715"/>
      <c r="C1047715"/>
    </row>
    <row r="1047716" spans="1:3" ht="14.25" x14ac:dyDescent="0.2">
      <c r="A1047716"/>
      <c r="B1047716"/>
      <c r="C1047716"/>
    </row>
    <row r="1047717" spans="1:3" ht="14.25" x14ac:dyDescent="0.2">
      <c r="A1047717"/>
      <c r="B1047717"/>
      <c r="C1047717"/>
    </row>
    <row r="1047718" spans="1:3" ht="14.25" x14ac:dyDescent="0.2">
      <c r="A1047718"/>
      <c r="B1047718"/>
      <c r="C1047718"/>
    </row>
    <row r="1047719" spans="1:3" ht="14.25" x14ac:dyDescent="0.2">
      <c r="A1047719"/>
      <c r="B1047719"/>
      <c r="C1047719"/>
    </row>
    <row r="1047720" spans="1:3" ht="14.25" x14ac:dyDescent="0.2">
      <c r="A1047720"/>
      <c r="B1047720"/>
      <c r="C1047720"/>
    </row>
    <row r="1047721" spans="1:3" ht="14.25" x14ac:dyDescent="0.2">
      <c r="A1047721"/>
      <c r="B1047721"/>
      <c r="C1047721"/>
    </row>
    <row r="1047722" spans="1:3" ht="14.25" x14ac:dyDescent="0.2">
      <c r="A1047722"/>
      <c r="B1047722"/>
      <c r="C1047722"/>
    </row>
    <row r="1047723" spans="1:3" ht="14.25" x14ac:dyDescent="0.2">
      <c r="A1047723"/>
      <c r="B1047723"/>
      <c r="C1047723"/>
    </row>
    <row r="1047724" spans="1:3" ht="14.25" x14ac:dyDescent="0.2">
      <c r="A1047724"/>
      <c r="B1047724"/>
      <c r="C1047724"/>
    </row>
    <row r="1047725" spans="1:3" ht="14.25" x14ac:dyDescent="0.2">
      <c r="A1047725"/>
      <c r="B1047725"/>
      <c r="C1047725"/>
    </row>
    <row r="1047726" spans="1:3" ht="14.25" x14ac:dyDescent="0.2">
      <c r="A1047726"/>
      <c r="B1047726"/>
      <c r="C1047726"/>
    </row>
    <row r="1047727" spans="1:3" ht="14.25" x14ac:dyDescent="0.2">
      <c r="A1047727"/>
      <c r="B1047727"/>
      <c r="C1047727"/>
    </row>
    <row r="1047728" spans="1:3" ht="14.25" x14ac:dyDescent="0.2">
      <c r="A1047728"/>
      <c r="B1047728"/>
      <c r="C1047728"/>
    </row>
    <row r="1047729" spans="1:3" ht="14.25" x14ac:dyDescent="0.2">
      <c r="A1047729"/>
      <c r="B1047729"/>
      <c r="C1047729"/>
    </row>
    <row r="1047730" spans="1:3" ht="14.25" x14ac:dyDescent="0.2">
      <c r="A1047730"/>
      <c r="B1047730"/>
      <c r="C1047730"/>
    </row>
    <row r="1047731" spans="1:3" ht="14.25" x14ac:dyDescent="0.2">
      <c r="A1047731"/>
      <c r="B1047731"/>
      <c r="C1047731"/>
    </row>
    <row r="1047732" spans="1:3" ht="14.25" x14ac:dyDescent="0.2">
      <c r="A1047732"/>
      <c r="B1047732"/>
      <c r="C1047732"/>
    </row>
    <row r="1047733" spans="1:3" ht="14.25" x14ac:dyDescent="0.2">
      <c r="A1047733"/>
      <c r="B1047733"/>
      <c r="C1047733"/>
    </row>
    <row r="1047734" spans="1:3" ht="14.25" x14ac:dyDescent="0.2">
      <c r="A1047734"/>
      <c r="B1047734"/>
      <c r="C1047734"/>
    </row>
    <row r="1047735" spans="1:3" ht="14.25" x14ac:dyDescent="0.2">
      <c r="A1047735"/>
      <c r="B1047735"/>
      <c r="C1047735"/>
    </row>
    <row r="1047736" spans="1:3" ht="14.25" x14ac:dyDescent="0.2">
      <c r="A1047736"/>
      <c r="B1047736"/>
      <c r="C1047736"/>
    </row>
    <row r="1047737" spans="1:3" ht="14.25" x14ac:dyDescent="0.2">
      <c r="A1047737"/>
      <c r="B1047737"/>
      <c r="C1047737"/>
    </row>
    <row r="1047738" spans="1:3" ht="14.25" x14ac:dyDescent="0.2">
      <c r="A1047738"/>
      <c r="B1047738"/>
      <c r="C1047738"/>
    </row>
    <row r="1047739" spans="1:3" ht="14.25" x14ac:dyDescent="0.2">
      <c r="A1047739"/>
      <c r="B1047739"/>
      <c r="C1047739"/>
    </row>
    <row r="1047740" spans="1:3" ht="14.25" x14ac:dyDescent="0.2">
      <c r="A1047740"/>
      <c r="B1047740"/>
      <c r="C1047740"/>
    </row>
    <row r="1047741" spans="1:3" ht="14.25" x14ac:dyDescent="0.2">
      <c r="A1047741"/>
      <c r="B1047741"/>
      <c r="C1047741"/>
    </row>
    <row r="1047742" spans="1:3" ht="14.25" x14ac:dyDescent="0.2">
      <c r="A1047742"/>
      <c r="B1047742"/>
      <c r="C1047742"/>
    </row>
    <row r="1047743" spans="1:3" ht="14.25" x14ac:dyDescent="0.2">
      <c r="A1047743"/>
      <c r="B1047743"/>
      <c r="C1047743"/>
    </row>
    <row r="1047744" spans="1:3" ht="14.25" x14ac:dyDescent="0.2">
      <c r="A1047744"/>
      <c r="B1047744"/>
      <c r="C1047744"/>
    </row>
    <row r="1047745" spans="1:3" ht="14.25" x14ac:dyDescent="0.2">
      <c r="A1047745"/>
      <c r="B1047745"/>
      <c r="C1047745"/>
    </row>
    <row r="1047746" spans="1:3" ht="14.25" x14ac:dyDescent="0.2">
      <c r="A1047746"/>
      <c r="B1047746"/>
      <c r="C1047746"/>
    </row>
    <row r="1047747" spans="1:3" ht="14.25" x14ac:dyDescent="0.2">
      <c r="A1047747"/>
      <c r="B1047747"/>
      <c r="C1047747"/>
    </row>
    <row r="1047748" spans="1:3" ht="14.25" x14ac:dyDescent="0.2">
      <c r="A1047748"/>
      <c r="B1047748"/>
      <c r="C1047748"/>
    </row>
    <row r="1047749" spans="1:3" ht="14.25" x14ac:dyDescent="0.2">
      <c r="A1047749"/>
      <c r="B1047749"/>
      <c r="C1047749"/>
    </row>
    <row r="1047750" spans="1:3" ht="14.25" x14ac:dyDescent="0.2">
      <c r="A1047750"/>
      <c r="B1047750"/>
      <c r="C1047750"/>
    </row>
    <row r="1047751" spans="1:3" ht="14.25" x14ac:dyDescent="0.2">
      <c r="A1047751"/>
      <c r="B1047751"/>
      <c r="C1047751"/>
    </row>
    <row r="1047752" spans="1:3" ht="14.25" x14ac:dyDescent="0.2">
      <c r="A1047752"/>
      <c r="B1047752"/>
      <c r="C1047752"/>
    </row>
    <row r="1047753" spans="1:3" ht="14.25" x14ac:dyDescent="0.2">
      <c r="A1047753"/>
      <c r="B1047753"/>
      <c r="C1047753"/>
    </row>
    <row r="1047754" spans="1:3" ht="14.25" x14ac:dyDescent="0.2">
      <c r="A1047754"/>
      <c r="B1047754"/>
      <c r="C1047754"/>
    </row>
    <row r="1047755" spans="1:3" ht="14.25" x14ac:dyDescent="0.2">
      <c r="A1047755"/>
      <c r="B1047755"/>
      <c r="C1047755"/>
    </row>
    <row r="1047756" spans="1:3" ht="14.25" x14ac:dyDescent="0.2">
      <c r="A1047756"/>
      <c r="B1047756"/>
      <c r="C1047756"/>
    </row>
    <row r="1047757" spans="1:3" ht="14.25" x14ac:dyDescent="0.2">
      <c r="A1047757"/>
      <c r="B1047757"/>
      <c r="C1047757"/>
    </row>
    <row r="1047758" spans="1:3" ht="14.25" x14ac:dyDescent="0.2">
      <c r="A1047758"/>
      <c r="B1047758"/>
      <c r="C1047758"/>
    </row>
    <row r="1047759" spans="1:3" ht="14.25" x14ac:dyDescent="0.2">
      <c r="A1047759"/>
      <c r="B1047759"/>
      <c r="C1047759"/>
    </row>
    <row r="1047760" spans="1:3" ht="14.25" x14ac:dyDescent="0.2">
      <c r="A1047760"/>
      <c r="B1047760"/>
      <c r="C1047760"/>
    </row>
    <row r="1047761" spans="1:3" ht="14.25" x14ac:dyDescent="0.2">
      <c r="A1047761"/>
      <c r="B1047761"/>
      <c r="C1047761"/>
    </row>
    <row r="1047762" spans="1:3" ht="14.25" x14ac:dyDescent="0.2">
      <c r="A1047762"/>
      <c r="B1047762"/>
      <c r="C1047762"/>
    </row>
    <row r="1047763" spans="1:3" ht="14.25" x14ac:dyDescent="0.2">
      <c r="A1047763"/>
      <c r="B1047763"/>
      <c r="C1047763"/>
    </row>
    <row r="1047764" spans="1:3" ht="14.25" x14ac:dyDescent="0.2">
      <c r="A1047764"/>
      <c r="B1047764"/>
      <c r="C1047764"/>
    </row>
    <row r="1047765" spans="1:3" ht="14.25" x14ac:dyDescent="0.2">
      <c r="A1047765"/>
      <c r="B1047765"/>
      <c r="C1047765"/>
    </row>
    <row r="1047766" spans="1:3" ht="14.25" x14ac:dyDescent="0.2">
      <c r="A1047766"/>
      <c r="B1047766"/>
      <c r="C1047766"/>
    </row>
    <row r="1047767" spans="1:3" ht="14.25" x14ac:dyDescent="0.2">
      <c r="A1047767"/>
      <c r="B1047767"/>
      <c r="C1047767"/>
    </row>
    <row r="1047768" spans="1:3" ht="14.25" x14ac:dyDescent="0.2">
      <c r="A1047768"/>
      <c r="B1047768"/>
      <c r="C1047768"/>
    </row>
    <row r="1047769" spans="1:3" ht="14.25" x14ac:dyDescent="0.2">
      <c r="A1047769"/>
      <c r="B1047769"/>
      <c r="C1047769"/>
    </row>
    <row r="1047770" spans="1:3" ht="14.25" x14ac:dyDescent="0.2">
      <c r="A1047770"/>
      <c r="B1047770"/>
      <c r="C1047770"/>
    </row>
    <row r="1047771" spans="1:3" ht="14.25" x14ac:dyDescent="0.2">
      <c r="A1047771"/>
      <c r="B1047771"/>
      <c r="C1047771"/>
    </row>
    <row r="1047772" spans="1:3" ht="14.25" x14ac:dyDescent="0.2">
      <c r="A1047772"/>
      <c r="B1047772"/>
      <c r="C1047772"/>
    </row>
    <row r="1047773" spans="1:3" ht="14.25" x14ac:dyDescent="0.2">
      <c r="A1047773"/>
      <c r="B1047773"/>
      <c r="C1047773"/>
    </row>
    <row r="1047774" spans="1:3" ht="14.25" x14ac:dyDescent="0.2">
      <c r="A1047774"/>
      <c r="B1047774"/>
      <c r="C1047774"/>
    </row>
    <row r="1047775" spans="1:3" ht="14.25" x14ac:dyDescent="0.2">
      <c r="A1047775"/>
      <c r="B1047775"/>
      <c r="C1047775"/>
    </row>
    <row r="1047776" spans="1:3" ht="14.25" x14ac:dyDescent="0.2">
      <c r="A1047776"/>
      <c r="B1047776"/>
      <c r="C1047776"/>
    </row>
    <row r="1047777" spans="1:3" ht="14.25" x14ac:dyDescent="0.2">
      <c r="A1047777"/>
      <c r="B1047777"/>
      <c r="C1047777"/>
    </row>
    <row r="1047778" spans="1:3" ht="14.25" x14ac:dyDescent="0.2">
      <c r="A1047778"/>
      <c r="B1047778"/>
      <c r="C1047778"/>
    </row>
    <row r="1047779" spans="1:3" ht="14.25" x14ac:dyDescent="0.2">
      <c r="A1047779"/>
      <c r="B1047779"/>
      <c r="C1047779"/>
    </row>
    <row r="1047780" spans="1:3" ht="14.25" x14ac:dyDescent="0.2">
      <c r="A1047780"/>
      <c r="B1047780"/>
      <c r="C1047780"/>
    </row>
    <row r="1047781" spans="1:3" ht="14.25" x14ac:dyDescent="0.2">
      <c r="A1047781"/>
      <c r="B1047781"/>
      <c r="C1047781"/>
    </row>
    <row r="1047782" spans="1:3" ht="14.25" x14ac:dyDescent="0.2">
      <c r="A1047782"/>
      <c r="B1047782"/>
      <c r="C1047782"/>
    </row>
    <row r="1047783" spans="1:3" ht="14.25" x14ac:dyDescent="0.2">
      <c r="A1047783"/>
      <c r="B1047783"/>
      <c r="C1047783"/>
    </row>
    <row r="1047784" spans="1:3" ht="14.25" x14ac:dyDescent="0.2">
      <c r="A1047784"/>
      <c r="B1047784"/>
      <c r="C1047784"/>
    </row>
    <row r="1047785" spans="1:3" ht="14.25" x14ac:dyDescent="0.2">
      <c r="A1047785"/>
      <c r="B1047785"/>
      <c r="C1047785"/>
    </row>
    <row r="1047786" spans="1:3" ht="14.25" x14ac:dyDescent="0.2">
      <c r="A1047786"/>
      <c r="B1047786"/>
      <c r="C1047786"/>
    </row>
    <row r="1047787" spans="1:3" ht="14.25" x14ac:dyDescent="0.2">
      <c r="A1047787"/>
      <c r="B1047787"/>
      <c r="C1047787"/>
    </row>
    <row r="1047788" spans="1:3" ht="14.25" x14ac:dyDescent="0.2">
      <c r="A1047788"/>
      <c r="B1047788"/>
      <c r="C1047788"/>
    </row>
    <row r="1047789" spans="1:3" ht="14.25" x14ac:dyDescent="0.2">
      <c r="A1047789"/>
      <c r="B1047789"/>
      <c r="C1047789"/>
    </row>
    <row r="1047790" spans="1:3" ht="14.25" x14ac:dyDescent="0.2">
      <c r="A1047790"/>
      <c r="B1047790"/>
      <c r="C1047790"/>
    </row>
    <row r="1047791" spans="1:3" ht="14.25" x14ac:dyDescent="0.2">
      <c r="A1047791"/>
      <c r="B1047791"/>
      <c r="C1047791"/>
    </row>
    <row r="1047792" spans="1:3" ht="14.25" x14ac:dyDescent="0.2">
      <c r="A1047792"/>
      <c r="B1047792"/>
      <c r="C1047792"/>
    </row>
    <row r="1047793" spans="1:3" ht="14.25" x14ac:dyDescent="0.2">
      <c r="A1047793"/>
      <c r="B1047793"/>
      <c r="C1047793"/>
    </row>
    <row r="1047794" spans="1:3" ht="14.25" x14ac:dyDescent="0.2">
      <c r="A1047794"/>
      <c r="B1047794"/>
      <c r="C1047794"/>
    </row>
    <row r="1047795" spans="1:3" ht="14.25" x14ac:dyDescent="0.2">
      <c r="A1047795"/>
      <c r="B1047795"/>
      <c r="C1047795"/>
    </row>
    <row r="1047796" spans="1:3" ht="14.25" x14ac:dyDescent="0.2">
      <c r="A1047796"/>
      <c r="B1047796"/>
      <c r="C1047796"/>
    </row>
    <row r="1047797" spans="1:3" ht="14.25" x14ac:dyDescent="0.2">
      <c r="A1047797"/>
      <c r="B1047797"/>
      <c r="C1047797"/>
    </row>
    <row r="1047798" spans="1:3" ht="14.25" x14ac:dyDescent="0.2">
      <c r="A1047798"/>
      <c r="B1047798"/>
      <c r="C1047798"/>
    </row>
    <row r="1047799" spans="1:3" ht="14.25" x14ac:dyDescent="0.2">
      <c r="A1047799"/>
      <c r="B1047799"/>
      <c r="C1047799"/>
    </row>
    <row r="1047800" spans="1:3" ht="14.25" x14ac:dyDescent="0.2">
      <c r="A1047800"/>
      <c r="B1047800"/>
      <c r="C1047800"/>
    </row>
    <row r="1047801" spans="1:3" ht="14.25" x14ac:dyDescent="0.2">
      <c r="A1047801"/>
      <c r="B1047801"/>
      <c r="C1047801"/>
    </row>
    <row r="1047802" spans="1:3" ht="14.25" x14ac:dyDescent="0.2">
      <c r="A1047802"/>
      <c r="B1047802"/>
      <c r="C1047802"/>
    </row>
    <row r="1047803" spans="1:3" ht="14.25" x14ac:dyDescent="0.2">
      <c r="A1047803"/>
      <c r="B1047803"/>
      <c r="C1047803"/>
    </row>
    <row r="1047804" spans="1:3" ht="14.25" x14ac:dyDescent="0.2">
      <c r="A1047804"/>
      <c r="B1047804"/>
      <c r="C1047804"/>
    </row>
    <row r="1047805" spans="1:3" ht="14.25" x14ac:dyDescent="0.2">
      <c r="A1047805"/>
      <c r="B1047805"/>
      <c r="C1047805"/>
    </row>
    <row r="1047806" spans="1:3" ht="14.25" x14ac:dyDescent="0.2">
      <c r="A1047806"/>
      <c r="B1047806"/>
      <c r="C1047806"/>
    </row>
    <row r="1047807" spans="1:3" ht="14.25" x14ac:dyDescent="0.2">
      <c r="A1047807"/>
      <c r="B1047807"/>
      <c r="C1047807"/>
    </row>
    <row r="1047808" spans="1:3" ht="14.25" x14ac:dyDescent="0.2">
      <c r="A1047808"/>
      <c r="B1047808"/>
      <c r="C1047808"/>
    </row>
    <row r="1047809" spans="1:3" ht="14.25" x14ac:dyDescent="0.2">
      <c r="A1047809"/>
      <c r="B1047809"/>
      <c r="C1047809"/>
    </row>
    <row r="1047810" spans="1:3" ht="14.25" x14ac:dyDescent="0.2">
      <c r="A1047810"/>
      <c r="B1047810"/>
      <c r="C1047810"/>
    </row>
    <row r="1047811" spans="1:3" ht="14.25" x14ac:dyDescent="0.2">
      <c r="A1047811"/>
      <c r="B1047811"/>
      <c r="C1047811"/>
    </row>
    <row r="1047812" spans="1:3" ht="14.25" x14ac:dyDescent="0.2">
      <c r="A1047812"/>
      <c r="B1047812"/>
      <c r="C1047812"/>
    </row>
    <row r="1047813" spans="1:3" ht="14.25" x14ac:dyDescent="0.2">
      <c r="A1047813"/>
      <c r="B1047813"/>
      <c r="C1047813"/>
    </row>
    <row r="1047814" spans="1:3" ht="14.25" x14ac:dyDescent="0.2">
      <c r="A1047814"/>
      <c r="B1047814"/>
      <c r="C1047814"/>
    </row>
    <row r="1047815" spans="1:3" ht="14.25" x14ac:dyDescent="0.2">
      <c r="A1047815"/>
      <c r="B1047815"/>
      <c r="C1047815"/>
    </row>
    <row r="1047816" spans="1:3" ht="14.25" x14ac:dyDescent="0.2">
      <c r="A1047816"/>
      <c r="B1047816"/>
      <c r="C1047816"/>
    </row>
    <row r="1047817" spans="1:3" ht="14.25" x14ac:dyDescent="0.2">
      <c r="A1047817"/>
      <c r="B1047817"/>
      <c r="C1047817"/>
    </row>
    <row r="1047818" spans="1:3" ht="14.25" x14ac:dyDescent="0.2">
      <c r="A1047818"/>
      <c r="B1047818"/>
      <c r="C1047818"/>
    </row>
    <row r="1047819" spans="1:3" ht="14.25" x14ac:dyDescent="0.2">
      <c r="A1047819"/>
      <c r="B1047819"/>
      <c r="C1047819"/>
    </row>
    <row r="1047820" spans="1:3" ht="14.25" x14ac:dyDescent="0.2">
      <c r="A1047820"/>
      <c r="B1047820"/>
      <c r="C1047820"/>
    </row>
    <row r="1047821" spans="1:3" ht="14.25" x14ac:dyDescent="0.2">
      <c r="A1047821"/>
      <c r="B1047821"/>
      <c r="C1047821"/>
    </row>
    <row r="1047822" spans="1:3" ht="14.25" x14ac:dyDescent="0.2">
      <c r="A1047822"/>
      <c r="B1047822"/>
      <c r="C1047822"/>
    </row>
    <row r="1047823" spans="1:3" ht="14.25" x14ac:dyDescent="0.2">
      <c r="A1047823"/>
      <c r="B1047823"/>
      <c r="C1047823"/>
    </row>
    <row r="1047824" spans="1:3" ht="14.25" x14ac:dyDescent="0.2">
      <c r="A1047824"/>
      <c r="B1047824"/>
      <c r="C1047824"/>
    </row>
    <row r="1047825" spans="1:3" ht="14.25" x14ac:dyDescent="0.2">
      <c r="A1047825"/>
      <c r="B1047825"/>
      <c r="C1047825"/>
    </row>
    <row r="1047826" spans="1:3" ht="14.25" x14ac:dyDescent="0.2">
      <c r="A1047826"/>
      <c r="B1047826"/>
      <c r="C1047826"/>
    </row>
    <row r="1047827" spans="1:3" ht="14.25" x14ac:dyDescent="0.2">
      <c r="A1047827"/>
      <c r="B1047827"/>
      <c r="C1047827"/>
    </row>
    <row r="1047828" spans="1:3" ht="14.25" x14ac:dyDescent="0.2">
      <c r="A1047828"/>
      <c r="B1047828"/>
      <c r="C1047828"/>
    </row>
    <row r="1047829" spans="1:3" ht="14.25" x14ac:dyDescent="0.2">
      <c r="A1047829"/>
      <c r="B1047829"/>
      <c r="C1047829"/>
    </row>
    <row r="1047830" spans="1:3" ht="14.25" x14ac:dyDescent="0.2">
      <c r="A1047830"/>
      <c r="B1047830"/>
      <c r="C1047830"/>
    </row>
    <row r="1047831" spans="1:3" ht="14.25" x14ac:dyDescent="0.2">
      <c r="A1047831"/>
      <c r="B1047831"/>
      <c r="C1047831"/>
    </row>
    <row r="1047832" spans="1:3" ht="14.25" x14ac:dyDescent="0.2">
      <c r="A1047832"/>
      <c r="B1047832"/>
      <c r="C1047832"/>
    </row>
    <row r="1047833" spans="1:3" ht="14.25" x14ac:dyDescent="0.2">
      <c r="A1047833"/>
      <c r="B1047833"/>
      <c r="C1047833"/>
    </row>
    <row r="1047834" spans="1:3" ht="14.25" x14ac:dyDescent="0.2">
      <c r="A1047834"/>
      <c r="B1047834"/>
      <c r="C1047834"/>
    </row>
    <row r="1047835" spans="1:3" ht="14.25" x14ac:dyDescent="0.2">
      <c r="A1047835"/>
      <c r="B1047835"/>
      <c r="C1047835"/>
    </row>
    <row r="1047836" spans="1:3" ht="14.25" x14ac:dyDescent="0.2">
      <c r="A1047836"/>
      <c r="B1047836"/>
      <c r="C1047836"/>
    </row>
    <row r="1047837" spans="1:3" ht="14.25" x14ac:dyDescent="0.2">
      <c r="A1047837"/>
      <c r="B1047837"/>
      <c r="C1047837"/>
    </row>
    <row r="1047838" spans="1:3" ht="14.25" x14ac:dyDescent="0.2">
      <c r="A1047838"/>
      <c r="B1047838"/>
      <c r="C1047838"/>
    </row>
    <row r="1047839" spans="1:3" ht="14.25" x14ac:dyDescent="0.2">
      <c r="A1047839"/>
      <c r="B1047839"/>
      <c r="C1047839"/>
    </row>
    <row r="1047840" spans="1:3" ht="14.25" x14ac:dyDescent="0.2">
      <c r="A1047840"/>
      <c r="B1047840"/>
      <c r="C1047840"/>
    </row>
    <row r="1047841" spans="1:3" ht="14.25" x14ac:dyDescent="0.2">
      <c r="A1047841"/>
      <c r="B1047841"/>
      <c r="C1047841"/>
    </row>
    <row r="1047842" spans="1:3" ht="14.25" x14ac:dyDescent="0.2">
      <c r="A1047842"/>
      <c r="B1047842"/>
      <c r="C1047842"/>
    </row>
    <row r="1047843" spans="1:3" ht="14.25" x14ac:dyDescent="0.2">
      <c r="A1047843"/>
      <c r="B1047843"/>
      <c r="C1047843"/>
    </row>
    <row r="1047844" spans="1:3" ht="14.25" x14ac:dyDescent="0.2">
      <c r="A1047844"/>
      <c r="B1047844"/>
      <c r="C1047844"/>
    </row>
    <row r="1047845" spans="1:3" ht="14.25" x14ac:dyDescent="0.2">
      <c r="A1047845"/>
      <c r="B1047845"/>
      <c r="C1047845"/>
    </row>
    <row r="1047846" spans="1:3" ht="14.25" x14ac:dyDescent="0.2">
      <c r="A1047846"/>
      <c r="B1047846"/>
      <c r="C1047846"/>
    </row>
    <row r="1047847" spans="1:3" ht="14.25" x14ac:dyDescent="0.2">
      <c r="A1047847"/>
      <c r="B1047847"/>
      <c r="C1047847"/>
    </row>
    <row r="1047848" spans="1:3" ht="14.25" x14ac:dyDescent="0.2">
      <c r="A1047848"/>
      <c r="B1047848"/>
      <c r="C1047848"/>
    </row>
    <row r="1047849" spans="1:3" ht="14.25" x14ac:dyDescent="0.2">
      <c r="A1047849"/>
      <c r="B1047849"/>
      <c r="C1047849"/>
    </row>
    <row r="1047850" spans="1:3" ht="14.25" x14ac:dyDescent="0.2">
      <c r="A1047850"/>
      <c r="B1047850"/>
      <c r="C1047850"/>
    </row>
    <row r="1047851" spans="1:3" ht="14.25" x14ac:dyDescent="0.2">
      <c r="A1047851"/>
      <c r="B1047851"/>
      <c r="C1047851"/>
    </row>
    <row r="1047852" spans="1:3" ht="14.25" x14ac:dyDescent="0.2">
      <c r="A1047852"/>
      <c r="B1047852"/>
      <c r="C1047852"/>
    </row>
    <row r="1047853" spans="1:3" ht="14.25" x14ac:dyDescent="0.2">
      <c r="A1047853"/>
      <c r="B1047853"/>
      <c r="C1047853"/>
    </row>
    <row r="1047854" spans="1:3" ht="14.25" x14ac:dyDescent="0.2">
      <c r="A1047854"/>
      <c r="B1047854"/>
      <c r="C1047854"/>
    </row>
    <row r="1047855" spans="1:3" ht="14.25" x14ac:dyDescent="0.2">
      <c r="A1047855"/>
      <c r="B1047855"/>
      <c r="C1047855"/>
    </row>
    <row r="1047856" spans="1:3" ht="14.25" x14ac:dyDescent="0.2">
      <c r="A1047856"/>
      <c r="B1047856"/>
      <c r="C1047856"/>
    </row>
    <row r="1047857" spans="1:3" ht="14.25" x14ac:dyDescent="0.2">
      <c r="A1047857"/>
      <c r="B1047857"/>
      <c r="C1047857"/>
    </row>
    <row r="1047858" spans="1:3" ht="14.25" x14ac:dyDescent="0.2">
      <c r="A1047858"/>
      <c r="B1047858"/>
      <c r="C1047858"/>
    </row>
    <row r="1047859" spans="1:3" ht="14.25" x14ac:dyDescent="0.2">
      <c r="A1047859"/>
      <c r="B1047859"/>
      <c r="C1047859"/>
    </row>
    <row r="1047860" spans="1:3" ht="14.25" x14ac:dyDescent="0.2">
      <c r="A1047860"/>
      <c r="B1047860"/>
      <c r="C1047860"/>
    </row>
    <row r="1047861" spans="1:3" ht="14.25" x14ac:dyDescent="0.2">
      <c r="A1047861"/>
      <c r="B1047861"/>
      <c r="C1047861"/>
    </row>
    <row r="1047862" spans="1:3" ht="14.25" x14ac:dyDescent="0.2">
      <c r="A1047862"/>
      <c r="B1047862"/>
      <c r="C1047862"/>
    </row>
    <row r="1047863" spans="1:3" ht="14.25" x14ac:dyDescent="0.2">
      <c r="A1047863"/>
      <c r="B1047863"/>
      <c r="C1047863"/>
    </row>
    <row r="1047864" spans="1:3" ht="14.25" x14ac:dyDescent="0.2">
      <c r="A1047864"/>
      <c r="B1047864"/>
      <c r="C1047864"/>
    </row>
    <row r="1047865" spans="1:3" ht="14.25" x14ac:dyDescent="0.2">
      <c r="A1047865"/>
      <c r="B1047865"/>
      <c r="C1047865"/>
    </row>
    <row r="1047866" spans="1:3" ht="14.25" x14ac:dyDescent="0.2">
      <c r="A1047866"/>
      <c r="B1047866"/>
      <c r="C1047866"/>
    </row>
    <row r="1047867" spans="1:3" ht="14.25" x14ac:dyDescent="0.2">
      <c r="A1047867"/>
      <c r="B1047867"/>
      <c r="C1047867"/>
    </row>
    <row r="1047868" spans="1:3" ht="14.25" x14ac:dyDescent="0.2">
      <c r="A1047868"/>
      <c r="B1047868"/>
      <c r="C1047868"/>
    </row>
    <row r="1047869" spans="1:3" ht="14.25" x14ac:dyDescent="0.2">
      <c r="A1047869"/>
      <c r="B1047869"/>
      <c r="C1047869"/>
    </row>
    <row r="1047870" spans="1:3" ht="14.25" x14ac:dyDescent="0.2">
      <c r="A1047870"/>
      <c r="B1047870"/>
      <c r="C1047870"/>
    </row>
    <row r="1047871" spans="1:3" ht="14.25" x14ac:dyDescent="0.2">
      <c r="A1047871"/>
      <c r="B1047871"/>
      <c r="C1047871"/>
    </row>
    <row r="1047872" spans="1:3" ht="14.25" x14ac:dyDescent="0.2">
      <c r="A1047872"/>
      <c r="B1047872"/>
      <c r="C1047872"/>
    </row>
    <row r="1047873" spans="1:3" ht="14.25" x14ac:dyDescent="0.2">
      <c r="A1047873"/>
      <c r="B1047873"/>
      <c r="C1047873"/>
    </row>
    <row r="1047874" spans="1:3" ht="14.25" x14ac:dyDescent="0.2">
      <c r="A1047874"/>
      <c r="B1047874"/>
      <c r="C1047874"/>
    </row>
    <row r="1047875" spans="1:3" ht="14.25" x14ac:dyDescent="0.2">
      <c r="A1047875"/>
      <c r="B1047875"/>
      <c r="C1047875"/>
    </row>
    <row r="1047876" spans="1:3" ht="14.25" x14ac:dyDescent="0.2">
      <c r="A1047876"/>
      <c r="B1047876"/>
      <c r="C1047876"/>
    </row>
    <row r="1047877" spans="1:3" ht="14.25" x14ac:dyDescent="0.2">
      <c r="A1047877"/>
      <c r="B1047877"/>
      <c r="C1047877"/>
    </row>
    <row r="1047878" spans="1:3" ht="14.25" x14ac:dyDescent="0.2">
      <c r="A1047878"/>
      <c r="B1047878"/>
      <c r="C1047878"/>
    </row>
    <row r="1047879" spans="1:3" ht="14.25" x14ac:dyDescent="0.2">
      <c r="A1047879"/>
      <c r="B1047879"/>
      <c r="C1047879"/>
    </row>
    <row r="1047880" spans="1:3" ht="14.25" x14ac:dyDescent="0.2">
      <c r="A1047880"/>
      <c r="B1047880"/>
      <c r="C1047880"/>
    </row>
    <row r="1047881" spans="1:3" ht="14.25" x14ac:dyDescent="0.2">
      <c r="A1047881"/>
      <c r="B1047881"/>
      <c r="C1047881"/>
    </row>
    <row r="1047882" spans="1:3" ht="14.25" x14ac:dyDescent="0.2">
      <c r="A1047882"/>
      <c r="B1047882"/>
      <c r="C1047882"/>
    </row>
    <row r="1047883" spans="1:3" ht="14.25" x14ac:dyDescent="0.2">
      <c r="A1047883"/>
      <c r="B1047883"/>
      <c r="C1047883"/>
    </row>
    <row r="1047884" spans="1:3" ht="14.25" x14ac:dyDescent="0.2">
      <c r="A1047884"/>
      <c r="B1047884"/>
      <c r="C1047884"/>
    </row>
    <row r="1047885" spans="1:3" ht="14.25" x14ac:dyDescent="0.2">
      <c r="A1047885"/>
      <c r="B1047885"/>
      <c r="C1047885"/>
    </row>
    <row r="1047886" spans="1:3" ht="14.25" x14ac:dyDescent="0.2">
      <c r="A1047886"/>
      <c r="B1047886"/>
      <c r="C1047886"/>
    </row>
    <row r="1047887" spans="1:3" ht="14.25" x14ac:dyDescent="0.2">
      <c r="A1047887"/>
      <c r="B1047887"/>
      <c r="C1047887"/>
    </row>
    <row r="1047888" spans="1:3" ht="14.25" x14ac:dyDescent="0.2">
      <c r="A1047888"/>
      <c r="B1047888"/>
      <c r="C1047888"/>
    </row>
    <row r="1047889" spans="1:3" ht="14.25" x14ac:dyDescent="0.2">
      <c r="A1047889"/>
      <c r="B1047889"/>
      <c r="C1047889"/>
    </row>
    <row r="1047890" spans="1:3" ht="14.25" x14ac:dyDescent="0.2">
      <c r="A1047890"/>
      <c r="B1047890"/>
      <c r="C1047890"/>
    </row>
    <row r="1047891" spans="1:3" ht="14.25" x14ac:dyDescent="0.2">
      <c r="A1047891"/>
      <c r="B1047891"/>
      <c r="C1047891"/>
    </row>
    <row r="1047892" spans="1:3" ht="14.25" x14ac:dyDescent="0.2">
      <c r="A1047892"/>
      <c r="B1047892"/>
      <c r="C1047892"/>
    </row>
    <row r="1047893" spans="1:3" ht="14.25" x14ac:dyDescent="0.2">
      <c r="A1047893"/>
      <c r="B1047893"/>
      <c r="C1047893"/>
    </row>
    <row r="1047894" spans="1:3" ht="14.25" x14ac:dyDescent="0.2">
      <c r="A1047894"/>
      <c r="B1047894"/>
      <c r="C1047894"/>
    </row>
    <row r="1047895" spans="1:3" ht="14.25" x14ac:dyDescent="0.2">
      <c r="A1047895"/>
      <c r="B1047895"/>
      <c r="C1047895"/>
    </row>
    <row r="1047896" spans="1:3" ht="14.25" x14ac:dyDescent="0.2">
      <c r="A1047896"/>
      <c r="B1047896"/>
      <c r="C1047896"/>
    </row>
    <row r="1047897" spans="1:3" ht="14.25" x14ac:dyDescent="0.2">
      <c r="A1047897"/>
      <c r="B1047897"/>
      <c r="C1047897"/>
    </row>
    <row r="1047898" spans="1:3" ht="14.25" x14ac:dyDescent="0.2">
      <c r="A1047898"/>
      <c r="B1047898"/>
      <c r="C1047898"/>
    </row>
    <row r="1047899" spans="1:3" ht="14.25" x14ac:dyDescent="0.2">
      <c r="A1047899"/>
      <c r="B1047899"/>
      <c r="C1047899"/>
    </row>
    <row r="1047900" spans="1:3" ht="14.25" x14ac:dyDescent="0.2">
      <c r="A1047900"/>
      <c r="B1047900"/>
      <c r="C1047900"/>
    </row>
    <row r="1047901" spans="1:3" ht="14.25" x14ac:dyDescent="0.2">
      <c r="A1047901"/>
      <c r="B1047901"/>
      <c r="C1047901"/>
    </row>
    <row r="1047902" spans="1:3" ht="14.25" x14ac:dyDescent="0.2">
      <c r="A1047902"/>
      <c r="B1047902"/>
      <c r="C1047902"/>
    </row>
    <row r="1047903" spans="1:3" ht="14.25" x14ac:dyDescent="0.2">
      <c r="A1047903"/>
      <c r="B1047903"/>
      <c r="C1047903"/>
    </row>
    <row r="1047904" spans="1:3" ht="14.25" x14ac:dyDescent="0.2">
      <c r="A1047904"/>
      <c r="B1047904"/>
      <c r="C1047904"/>
    </row>
    <row r="1047905" spans="1:3" ht="14.25" x14ac:dyDescent="0.2">
      <c r="A1047905"/>
      <c r="B1047905"/>
      <c r="C1047905"/>
    </row>
    <row r="1047906" spans="1:3" ht="14.25" x14ac:dyDescent="0.2">
      <c r="A1047906"/>
      <c r="B1047906"/>
      <c r="C1047906"/>
    </row>
    <row r="1047907" spans="1:3" ht="14.25" x14ac:dyDescent="0.2">
      <c r="A1047907"/>
      <c r="B1047907"/>
      <c r="C1047907"/>
    </row>
    <row r="1047908" spans="1:3" ht="14.25" x14ac:dyDescent="0.2">
      <c r="A1047908"/>
      <c r="B1047908"/>
      <c r="C1047908"/>
    </row>
    <row r="1047909" spans="1:3" ht="14.25" x14ac:dyDescent="0.2">
      <c r="A1047909"/>
      <c r="B1047909"/>
      <c r="C1047909"/>
    </row>
    <row r="1047910" spans="1:3" ht="14.25" x14ac:dyDescent="0.2">
      <c r="A1047910"/>
      <c r="B1047910"/>
      <c r="C1047910"/>
    </row>
    <row r="1047911" spans="1:3" ht="14.25" x14ac:dyDescent="0.2">
      <c r="A1047911"/>
      <c r="B1047911"/>
      <c r="C1047911"/>
    </row>
    <row r="1047912" spans="1:3" ht="14.25" x14ac:dyDescent="0.2">
      <c r="A1047912"/>
      <c r="B1047912"/>
      <c r="C1047912"/>
    </row>
    <row r="1047913" spans="1:3" ht="14.25" x14ac:dyDescent="0.2">
      <c r="A1047913"/>
      <c r="B1047913"/>
      <c r="C1047913"/>
    </row>
    <row r="1047914" spans="1:3" ht="14.25" x14ac:dyDescent="0.2">
      <c r="A1047914"/>
      <c r="B1047914"/>
      <c r="C1047914"/>
    </row>
    <row r="1047915" spans="1:3" ht="14.25" x14ac:dyDescent="0.2">
      <c r="A1047915"/>
      <c r="B1047915"/>
      <c r="C1047915"/>
    </row>
    <row r="1047916" spans="1:3" ht="14.25" x14ac:dyDescent="0.2">
      <c r="A1047916"/>
      <c r="B1047916"/>
      <c r="C1047916"/>
    </row>
    <row r="1047917" spans="1:3" ht="14.25" x14ac:dyDescent="0.2">
      <c r="A1047917"/>
      <c r="B1047917"/>
      <c r="C1047917"/>
    </row>
    <row r="1047918" spans="1:3" ht="14.25" x14ac:dyDescent="0.2">
      <c r="A1047918"/>
      <c r="B1047918"/>
      <c r="C1047918"/>
    </row>
    <row r="1047919" spans="1:3" ht="14.25" x14ac:dyDescent="0.2">
      <c r="A1047919"/>
      <c r="B1047919"/>
      <c r="C1047919"/>
    </row>
    <row r="1047920" spans="1:3" ht="14.25" x14ac:dyDescent="0.2">
      <c r="A1047920"/>
      <c r="B1047920"/>
      <c r="C1047920"/>
    </row>
    <row r="1047921" spans="1:3" ht="14.25" x14ac:dyDescent="0.2">
      <c r="A1047921"/>
      <c r="B1047921"/>
      <c r="C1047921"/>
    </row>
    <row r="1047922" spans="1:3" ht="14.25" x14ac:dyDescent="0.2">
      <c r="A1047922"/>
      <c r="B1047922"/>
      <c r="C1047922"/>
    </row>
    <row r="1047923" spans="1:3" ht="14.25" x14ac:dyDescent="0.2">
      <c r="A1047923"/>
      <c r="B1047923"/>
      <c r="C1047923"/>
    </row>
    <row r="1047924" spans="1:3" ht="14.25" x14ac:dyDescent="0.2">
      <c r="A1047924"/>
      <c r="B1047924"/>
      <c r="C1047924"/>
    </row>
    <row r="1047925" spans="1:3" ht="14.25" x14ac:dyDescent="0.2">
      <c r="A1047925"/>
      <c r="B1047925"/>
      <c r="C1047925"/>
    </row>
    <row r="1047926" spans="1:3" ht="14.25" x14ac:dyDescent="0.2">
      <c r="A1047926"/>
      <c r="B1047926"/>
      <c r="C1047926"/>
    </row>
    <row r="1047927" spans="1:3" ht="14.25" x14ac:dyDescent="0.2">
      <c r="A1047927"/>
      <c r="B1047927"/>
      <c r="C1047927"/>
    </row>
    <row r="1047928" spans="1:3" ht="14.25" x14ac:dyDescent="0.2">
      <c r="A1047928"/>
      <c r="B1047928"/>
      <c r="C1047928"/>
    </row>
    <row r="1047929" spans="1:3" ht="14.25" x14ac:dyDescent="0.2">
      <c r="A1047929"/>
      <c r="B1047929"/>
      <c r="C1047929"/>
    </row>
    <row r="1047930" spans="1:3" ht="14.25" x14ac:dyDescent="0.2">
      <c r="A1047930"/>
      <c r="B1047930"/>
      <c r="C1047930"/>
    </row>
    <row r="1047931" spans="1:3" ht="14.25" x14ac:dyDescent="0.2">
      <c r="A1047931"/>
      <c r="B1047931"/>
      <c r="C1047931"/>
    </row>
    <row r="1047932" spans="1:3" ht="14.25" x14ac:dyDescent="0.2">
      <c r="A1047932"/>
      <c r="B1047932"/>
      <c r="C1047932"/>
    </row>
    <row r="1047933" spans="1:3" ht="14.25" x14ac:dyDescent="0.2">
      <c r="A1047933"/>
      <c r="B1047933"/>
      <c r="C1047933"/>
    </row>
    <row r="1047934" spans="1:3" ht="14.25" x14ac:dyDescent="0.2">
      <c r="A1047934"/>
      <c r="B1047934"/>
      <c r="C1047934"/>
    </row>
    <row r="1047935" spans="1:3" ht="14.25" x14ac:dyDescent="0.2">
      <c r="A1047935"/>
      <c r="B1047935"/>
      <c r="C1047935"/>
    </row>
    <row r="1047936" spans="1:3" ht="14.25" x14ac:dyDescent="0.2">
      <c r="A1047936"/>
      <c r="B1047936"/>
      <c r="C1047936"/>
    </row>
    <row r="1047937" spans="1:3" ht="14.25" x14ac:dyDescent="0.2">
      <c r="A1047937"/>
      <c r="B1047937"/>
      <c r="C1047937"/>
    </row>
    <row r="1047938" spans="1:3" ht="14.25" x14ac:dyDescent="0.2">
      <c r="A1047938"/>
      <c r="B1047938"/>
      <c r="C1047938"/>
    </row>
    <row r="1047939" spans="1:3" ht="14.25" x14ac:dyDescent="0.2">
      <c r="A1047939"/>
      <c r="B1047939"/>
      <c r="C1047939"/>
    </row>
    <row r="1047940" spans="1:3" ht="14.25" x14ac:dyDescent="0.2">
      <c r="A1047940"/>
      <c r="B1047940"/>
      <c r="C1047940"/>
    </row>
    <row r="1047941" spans="1:3" ht="14.25" x14ac:dyDescent="0.2">
      <c r="A1047941"/>
      <c r="B1047941"/>
      <c r="C1047941"/>
    </row>
    <row r="1047942" spans="1:3" ht="14.25" x14ac:dyDescent="0.2">
      <c r="A1047942"/>
      <c r="B1047942"/>
      <c r="C1047942"/>
    </row>
    <row r="1047943" spans="1:3" ht="14.25" x14ac:dyDescent="0.2">
      <c r="A1047943"/>
      <c r="B1047943"/>
      <c r="C1047943"/>
    </row>
    <row r="1047944" spans="1:3" ht="14.25" x14ac:dyDescent="0.2">
      <c r="A1047944"/>
      <c r="B1047944"/>
      <c r="C1047944"/>
    </row>
    <row r="1047945" spans="1:3" ht="14.25" x14ac:dyDescent="0.2">
      <c r="A1047945"/>
      <c r="B1047945"/>
      <c r="C1047945"/>
    </row>
    <row r="1047946" spans="1:3" ht="14.25" x14ac:dyDescent="0.2">
      <c r="A1047946"/>
      <c r="B1047946"/>
      <c r="C1047946"/>
    </row>
    <row r="1047947" spans="1:3" ht="14.25" x14ac:dyDescent="0.2">
      <c r="A1047947"/>
      <c r="B1047947"/>
      <c r="C1047947"/>
    </row>
    <row r="1047948" spans="1:3" ht="14.25" x14ac:dyDescent="0.2">
      <c r="A1047948"/>
      <c r="B1047948"/>
      <c r="C1047948"/>
    </row>
    <row r="1047949" spans="1:3" ht="14.25" x14ac:dyDescent="0.2">
      <c r="A1047949"/>
      <c r="B1047949"/>
      <c r="C1047949"/>
    </row>
    <row r="1047950" spans="1:3" ht="14.25" x14ac:dyDescent="0.2">
      <c r="A1047950"/>
      <c r="B1047950"/>
      <c r="C1047950"/>
    </row>
    <row r="1047951" spans="1:3" ht="14.25" x14ac:dyDescent="0.2">
      <c r="A1047951"/>
      <c r="B1047951"/>
      <c r="C1047951"/>
    </row>
    <row r="1047952" spans="1:3" ht="14.25" x14ac:dyDescent="0.2">
      <c r="A1047952"/>
      <c r="B1047952"/>
      <c r="C1047952"/>
    </row>
    <row r="1047953" spans="1:3" ht="14.25" x14ac:dyDescent="0.2">
      <c r="A1047953"/>
      <c r="B1047953"/>
      <c r="C1047953"/>
    </row>
    <row r="1047954" spans="1:3" ht="14.25" x14ac:dyDescent="0.2">
      <c r="A1047954"/>
      <c r="B1047954"/>
      <c r="C1047954"/>
    </row>
    <row r="1047955" spans="1:3" ht="14.25" x14ac:dyDescent="0.2">
      <c r="A1047955"/>
      <c r="B1047955"/>
      <c r="C1047955"/>
    </row>
    <row r="1047956" spans="1:3" ht="14.25" x14ac:dyDescent="0.2">
      <c r="A1047956"/>
      <c r="B1047956"/>
      <c r="C1047956"/>
    </row>
    <row r="1047957" spans="1:3" ht="14.25" x14ac:dyDescent="0.2">
      <c r="A1047957"/>
      <c r="B1047957"/>
      <c r="C1047957"/>
    </row>
    <row r="1047958" spans="1:3" ht="14.25" x14ac:dyDescent="0.2">
      <c r="A1047958"/>
      <c r="B1047958"/>
      <c r="C1047958"/>
    </row>
    <row r="1047959" spans="1:3" ht="14.25" x14ac:dyDescent="0.2">
      <c r="A1047959"/>
      <c r="B1047959"/>
      <c r="C1047959"/>
    </row>
    <row r="1047960" spans="1:3" ht="14.25" x14ac:dyDescent="0.2">
      <c r="A1047960"/>
      <c r="B1047960"/>
      <c r="C1047960"/>
    </row>
    <row r="1047961" spans="1:3" ht="14.25" x14ac:dyDescent="0.2">
      <c r="A1047961"/>
      <c r="B1047961"/>
      <c r="C1047961"/>
    </row>
    <row r="1047962" spans="1:3" ht="14.25" x14ac:dyDescent="0.2">
      <c r="A1047962"/>
      <c r="B1047962"/>
      <c r="C1047962"/>
    </row>
    <row r="1047963" spans="1:3" ht="14.25" x14ac:dyDescent="0.2">
      <c r="A1047963"/>
      <c r="B1047963"/>
      <c r="C1047963"/>
    </row>
    <row r="1047964" spans="1:3" ht="14.25" x14ac:dyDescent="0.2">
      <c r="A1047964"/>
      <c r="B1047964"/>
      <c r="C1047964"/>
    </row>
    <row r="1047965" spans="1:3" ht="14.25" x14ac:dyDescent="0.2">
      <c r="A1047965"/>
      <c r="B1047965"/>
      <c r="C1047965"/>
    </row>
    <row r="1047966" spans="1:3" ht="14.25" x14ac:dyDescent="0.2">
      <c r="A1047966"/>
      <c r="B1047966"/>
      <c r="C1047966"/>
    </row>
    <row r="1047967" spans="1:3" ht="14.25" x14ac:dyDescent="0.2">
      <c r="A1047967"/>
      <c r="B1047967"/>
      <c r="C1047967"/>
    </row>
    <row r="1047968" spans="1:3" ht="14.25" x14ac:dyDescent="0.2">
      <c r="A1047968"/>
      <c r="B1047968"/>
      <c r="C1047968"/>
    </row>
    <row r="1047969" spans="1:3" ht="14.25" x14ac:dyDescent="0.2">
      <c r="A1047969"/>
      <c r="B1047969"/>
      <c r="C1047969"/>
    </row>
    <row r="1047970" spans="1:3" ht="14.25" x14ac:dyDescent="0.2">
      <c r="A1047970"/>
      <c r="B1047970"/>
      <c r="C1047970"/>
    </row>
    <row r="1047971" spans="1:3" ht="14.25" x14ac:dyDescent="0.2">
      <c r="A1047971"/>
      <c r="B1047971"/>
      <c r="C1047971"/>
    </row>
    <row r="1047972" spans="1:3" ht="14.25" x14ac:dyDescent="0.2">
      <c r="A1047972"/>
      <c r="B1047972"/>
      <c r="C1047972"/>
    </row>
    <row r="1047973" spans="1:3" ht="14.25" x14ac:dyDescent="0.2">
      <c r="A1047973"/>
      <c r="B1047973"/>
      <c r="C1047973"/>
    </row>
    <row r="1047974" spans="1:3" ht="14.25" x14ac:dyDescent="0.2">
      <c r="A1047974"/>
      <c r="B1047974"/>
      <c r="C1047974"/>
    </row>
    <row r="1047975" spans="1:3" ht="14.25" x14ac:dyDescent="0.2">
      <c r="A1047975"/>
      <c r="B1047975"/>
      <c r="C1047975"/>
    </row>
    <row r="1047976" spans="1:3" ht="14.25" x14ac:dyDescent="0.2">
      <c r="A1047976"/>
      <c r="B1047976"/>
      <c r="C1047976"/>
    </row>
    <row r="1047977" spans="1:3" ht="14.25" x14ac:dyDescent="0.2">
      <c r="A1047977"/>
      <c r="B1047977"/>
      <c r="C1047977"/>
    </row>
    <row r="1047978" spans="1:3" ht="14.25" x14ac:dyDescent="0.2">
      <c r="A1047978"/>
      <c r="B1047978"/>
      <c r="C1047978"/>
    </row>
    <row r="1047979" spans="1:3" ht="14.25" x14ac:dyDescent="0.2">
      <c r="A1047979"/>
      <c r="B1047979"/>
      <c r="C1047979"/>
    </row>
    <row r="1047980" spans="1:3" ht="14.25" x14ac:dyDescent="0.2">
      <c r="A1047980"/>
      <c r="B1047980"/>
      <c r="C1047980"/>
    </row>
    <row r="1047981" spans="1:3" ht="14.25" x14ac:dyDescent="0.2">
      <c r="A1047981"/>
      <c r="B1047981"/>
      <c r="C1047981"/>
    </row>
    <row r="1047982" spans="1:3" ht="14.25" x14ac:dyDescent="0.2">
      <c r="A1047982"/>
      <c r="B1047982"/>
      <c r="C1047982"/>
    </row>
    <row r="1047983" spans="1:3" ht="14.25" x14ac:dyDescent="0.2">
      <c r="A1047983"/>
      <c r="B1047983"/>
      <c r="C1047983"/>
    </row>
    <row r="1047984" spans="1:3" ht="14.25" x14ac:dyDescent="0.2">
      <c r="A1047984"/>
      <c r="B1047984"/>
      <c r="C1047984"/>
    </row>
    <row r="1047985" spans="1:3" ht="14.25" x14ac:dyDescent="0.2">
      <c r="A1047985"/>
      <c r="B1047985"/>
      <c r="C1047985"/>
    </row>
    <row r="1047986" spans="1:3" ht="14.25" x14ac:dyDescent="0.2">
      <c r="A1047986"/>
      <c r="B1047986"/>
      <c r="C1047986"/>
    </row>
    <row r="1047987" spans="1:3" ht="14.25" x14ac:dyDescent="0.2">
      <c r="A1047987"/>
      <c r="B1047987"/>
      <c r="C1047987"/>
    </row>
    <row r="1047988" spans="1:3" ht="14.25" x14ac:dyDescent="0.2">
      <c r="A1047988"/>
      <c r="B1047988"/>
      <c r="C1047988"/>
    </row>
    <row r="1047989" spans="1:3" ht="14.25" x14ac:dyDescent="0.2">
      <c r="A1047989"/>
      <c r="B1047989"/>
      <c r="C1047989"/>
    </row>
    <row r="1047990" spans="1:3" ht="14.25" x14ac:dyDescent="0.2">
      <c r="A1047990"/>
      <c r="B1047990"/>
      <c r="C1047990"/>
    </row>
    <row r="1047991" spans="1:3" ht="14.25" x14ac:dyDescent="0.2">
      <c r="A1047991"/>
      <c r="B1047991"/>
      <c r="C1047991"/>
    </row>
    <row r="1047992" spans="1:3" ht="14.25" x14ac:dyDescent="0.2">
      <c r="A1047992"/>
      <c r="B1047992"/>
      <c r="C1047992"/>
    </row>
    <row r="1047993" spans="1:3" ht="14.25" x14ac:dyDescent="0.2">
      <c r="A1047993"/>
      <c r="B1047993"/>
      <c r="C1047993"/>
    </row>
    <row r="1047994" spans="1:3" ht="14.25" x14ac:dyDescent="0.2">
      <c r="A1047994"/>
      <c r="B1047994"/>
      <c r="C1047994"/>
    </row>
    <row r="1047995" spans="1:3" ht="14.25" x14ac:dyDescent="0.2">
      <c r="A1047995"/>
      <c r="B1047995"/>
      <c r="C1047995"/>
    </row>
    <row r="1047996" spans="1:3" ht="14.25" x14ac:dyDescent="0.2">
      <c r="A1047996"/>
      <c r="B1047996"/>
      <c r="C1047996"/>
    </row>
    <row r="1047997" spans="1:3" ht="14.25" x14ac:dyDescent="0.2">
      <c r="A1047997"/>
      <c r="B1047997"/>
      <c r="C1047997"/>
    </row>
    <row r="1047998" spans="1:3" ht="14.25" x14ac:dyDescent="0.2">
      <c r="A1047998"/>
      <c r="B1047998"/>
      <c r="C1047998"/>
    </row>
    <row r="1047999" spans="1:3" ht="14.25" x14ac:dyDescent="0.2">
      <c r="A1047999"/>
      <c r="B1047999"/>
      <c r="C1047999"/>
    </row>
    <row r="1048000" spans="1:3" ht="14.25" x14ac:dyDescent="0.2">
      <c r="A1048000"/>
      <c r="B1048000"/>
      <c r="C1048000"/>
    </row>
    <row r="1048001" spans="1:3" ht="14.25" x14ac:dyDescent="0.2">
      <c r="A1048001"/>
      <c r="B1048001"/>
      <c r="C1048001"/>
    </row>
    <row r="1048002" spans="1:3" ht="14.25" x14ac:dyDescent="0.2">
      <c r="A1048002"/>
      <c r="B1048002"/>
      <c r="C1048002"/>
    </row>
    <row r="1048003" spans="1:3" ht="14.25" x14ac:dyDescent="0.2">
      <c r="A1048003"/>
      <c r="B1048003"/>
      <c r="C1048003"/>
    </row>
    <row r="1048004" spans="1:3" ht="14.25" x14ac:dyDescent="0.2">
      <c r="A1048004"/>
      <c r="B1048004"/>
      <c r="C1048004"/>
    </row>
    <row r="1048005" spans="1:3" ht="14.25" x14ac:dyDescent="0.2">
      <c r="A1048005"/>
      <c r="B1048005"/>
      <c r="C1048005"/>
    </row>
    <row r="1048006" spans="1:3" ht="14.25" x14ac:dyDescent="0.2">
      <c r="A1048006"/>
      <c r="B1048006"/>
      <c r="C1048006"/>
    </row>
    <row r="1048007" spans="1:3" ht="14.25" x14ac:dyDescent="0.2">
      <c r="A1048007"/>
      <c r="B1048007"/>
      <c r="C1048007"/>
    </row>
    <row r="1048008" spans="1:3" ht="14.25" x14ac:dyDescent="0.2">
      <c r="A1048008"/>
      <c r="B1048008"/>
      <c r="C1048008"/>
    </row>
    <row r="1048009" spans="1:3" ht="14.25" x14ac:dyDescent="0.2">
      <c r="A1048009"/>
      <c r="B1048009"/>
      <c r="C1048009"/>
    </row>
    <row r="1048010" spans="1:3" ht="14.25" x14ac:dyDescent="0.2">
      <c r="A1048010"/>
      <c r="B1048010"/>
      <c r="C1048010"/>
    </row>
    <row r="1048011" spans="1:3" ht="14.25" x14ac:dyDescent="0.2">
      <c r="A1048011"/>
      <c r="B1048011"/>
      <c r="C1048011"/>
    </row>
    <row r="1048012" spans="1:3" ht="14.25" x14ac:dyDescent="0.2">
      <c r="A1048012"/>
      <c r="B1048012"/>
      <c r="C1048012"/>
    </row>
    <row r="1048013" spans="1:3" ht="14.25" x14ac:dyDescent="0.2">
      <c r="A1048013"/>
      <c r="B1048013"/>
      <c r="C1048013"/>
    </row>
    <row r="1048014" spans="1:3" ht="14.25" x14ac:dyDescent="0.2">
      <c r="A1048014"/>
      <c r="B1048014"/>
      <c r="C1048014"/>
    </row>
    <row r="1048015" spans="1:3" ht="14.25" x14ac:dyDescent="0.2">
      <c r="A1048015"/>
      <c r="B1048015"/>
      <c r="C1048015"/>
    </row>
    <row r="1048016" spans="1:3" ht="14.25" x14ac:dyDescent="0.2">
      <c r="A1048016"/>
      <c r="B1048016"/>
      <c r="C1048016"/>
    </row>
    <row r="1048017" spans="1:3" ht="14.25" x14ac:dyDescent="0.2">
      <c r="A1048017"/>
      <c r="B1048017"/>
      <c r="C1048017"/>
    </row>
    <row r="1048018" spans="1:3" ht="14.25" x14ac:dyDescent="0.2">
      <c r="A1048018"/>
      <c r="B1048018"/>
      <c r="C1048018"/>
    </row>
    <row r="1048019" spans="1:3" ht="14.25" x14ac:dyDescent="0.2">
      <c r="A1048019"/>
      <c r="B1048019"/>
      <c r="C1048019"/>
    </row>
    <row r="1048020" spans="1:3" ht="14.25" x14ac:dyDescent="0.2">
      <c r="A1048020"/>
      <c r="B1048020"/>
      <c r="C1048020"/>
    </row>
    <row r="1048021" spans="1:3" ht="14.25" x14ac:dyDescent="0.2">
      <c r="A1048021"/>
      <c r="B1048021"/>
      <c r="C1048021"/>
    </row>
    <row r="1048022" spans="1:3" ht="14.25" x14ac:dyDescent="0.2">
      <c r="A1048022"/>
      <c r="B1048022"/>
      <c r="C1048022"/>
    </row>
    <row r="1048023" spans="1:3" ht="14.25" x14ac:dyDescent="0.2">
      <c r="A1048023"/>
      <c r="B1048023"/>
      <c r="C1048023"/>
    </row>
    <row r="1048024" spans="1:3" ht="14.25" x14ac:dyDescent="0.2">
      <c r="A1048024"/>
      <c r="B1048024"/>
      <c r="C1048024"/>
    </row>
    <row r="1048025" spans="1:3" ht="14.25" x14ac:dyDescent="0.2">
      <c r="A1048025"/>
      <c r="B1048025"/>
      <c r="C1048025"/>
    </row>
    <row r="1048026" spans="1:3" ht="14.25" x14ac:dyDescent="0.2">
      <c r="A1048026"/>
      <c r="B1048026"/>
      <c r="C1048026"/>
    </row>
    <row r="1048027" spans="1:3" ht="14.25" x14ac:dyDescent="0.2">
      <c r="A1048027"/>
      <c r="B1048027"/>
      <c r="C1048027"/>
    </row>
    <row r="1048028" spans="1:3" ht="14.25" x14ac:dyDescent="0.2">
      <c r="A1048028"/>
      <c r="B1048028"/>
      <c r="C1048028"/>
    </row>
    <row r="1048029" spans="1:3" ht="14.25" x14ac:dyDescent="0.2">
      <c r="A1048029"/>
      <c r="B1048029"/>
      <c r="C1048029"/>
    </row>
    <row r="1048030" spans="1:3" ht="14.25" x14ac:dyDescent="0.2">
      <c r="A1048030"/>
      <c r="B1048030"/>
      <c r="C1048030"/>
    </row>
    <row r="1048031" spans="1:3" ht="14.25" x14ac:dyDescent="0.2">
      <c r="A1048031"/>
      <c r="B1048031"/>
      <c r="C1048031"/>
    </row>
    <row r="1048032" spans="1:3" ht="14.25" x14ac:dyDescent="0.2">
      <c r="A1048032"/>
      <c r="B1048032"/>
      <c r="C1048032"/>
    </row>
    <row r="1048033" spans="1:3" ht="14.25" x14ac:dyDescent="0.2">
      <c r="A1048033"/>
      <c r="B1048033"/>
      <c r="C1048033"/>
    </row>
    <row r="1048034" spans="1:3" ht="14.25" x14ac:dyDescent="0.2">
      <c r="A1048034"/>
      <c r="B1048034"/>
      <c r="C1048034"/>
    </row>
    <row r="1048035" spans="1:3" ht="14.25" x14ac:dyDescent="0.2">
      <c r="A1048035"/>
      <c r="B1048035"/>
      <c r="C1048035"/>
    </row>
    <row r="1048036" spans="1:3" ht="14.25" x14ac:dyDescent="0.2">
      <c r="A1048036"/>
      <c r="B1048036"/>
      <c r="C1048036"/>
    </row>
    <row r="1048037" spans="1:3" ht="14.25" x14ac:dyDescent="0.2">
      <c r="A1048037"/>
      <c r="B1048037"/>
      <c r="C1048037"/>
    </row>
    <row r="1048038" spans="1:3" ht="14.25" x14ac:dyDescent="0.2">
      <c r="A1048038"/>
      <c r="B1048038"/>
      <c r="C1048038"/>
    </row>
    <row r="1048039" spans="1:3" ht="14.25" x14ac:dyDescent="0.2">
      <c r="A1048039"/>
      <c r="B1048039"/>
      <c r="C1048039"/>
    </row>
    <row r="1048040" spans="1:3" ht="14.25" x14ac:dyDescent="0.2">
      <c r="A1048040"/>
      <c r="B1048040"/>
      <c r="C1048040"/>
    </row>
    <row r="1048041" spans="1:3" ht="14.25" x14ac:dyDescent="0.2">
      <c r="A1048041"/>
      <c r="B1048041"/>
      <c r="C1048041"/>
    </row>
    <row r="1048042" spans="1:3" ht="14.25" x14ac:dyDescent="0.2">
      <c r="A1048042"/>
      <c r="B1048042"/>
      <c r="C1048042"/>
    </row>
    <row r="1048043" spans="1:3" ht="14.25" x14ac:dyDescent="0.2">
      <c r="A1048043"/>
      <c r="B1048043"/>
      <c r="C1048043"/>
    </row>
    <row r="1048044" spans="1:3" ht="14.25" x14ac:dyDescent="0.2">
      <c r="A1048044"/>
      <c r="B1048044"/>
      <c r="C1048044"/>
    </row>
    <row r="1048045" spans="1:3" ht="14.25" x14ac:dyDescent="0.2">
      <c r="A1048045"/>
      <c r="B1048045"/>
      <c r="C1048045"/>
    </row>
    <row r="1048046" spans="1:3" ht="14.25" x14ac:dyDescent="0.2">
      <c r="A1048046"/>
      <c r="B1048046"/>
      <c r="C1048046"/>
    </row>
    <row r="1048047" spans="1:3" ht="14.25" x14ac:dyDescent="0.2">
      <c r="A1048047"/>
      <c r="B1048047"/>
      <c r="C1048047"/>
    </row>
    <row r="1048048" spans="1:3" ht="14.25" x14ac:dyDescent="0.2">
      <c r="A1048048"/>
      <c r="B1048048"/>
      <c r="C1048048"/>
    </row>
    <row r="1048049" spans="1:3" ht="14.25" x14ac:dyDescent="0.2">
      <c r="A1048049"/>
      <c r="B1048049"/>
      <c r="C1048049"/>
    </row>
    <row r="1048050" spans="1:3" ht="14.25" x14ac:dyDescent="0.2">
      <c r="A1048050"/>
      <c r="B1048050"/>
      <c r="C1048050"/>
    </row>
    <row r="1048051" spans="1:3" ht="14.25" x14ac:dyDescent="0.2">
      <c r="A1048051"/>
      <c r="B1048051"/>
      <c r="C1048051"/>
    </row>
    <row r="1048052" spans="1:3" ht="14.25" x14ac:dyDescent="0.2">
      <c r="A1048052"/>
      <c r="B1048052"/>
      <c r="C1048052"/>
    </row>
    <row r="1048053" spans="1:3" ht="14.25" x14ac:dyDescent="0.2">
      <c r="A1048053"/>
      <c r="B1048053"/>
      <c r="C1048053"/>
    </row>
    <row r="1048054" spans="1:3" ht="14.25" x14ac:dyDescent="0.2">
      <c r="A1048054"/>
      <c r="B1048054"/>
      <c r="C1048054"/>
    </row>
    <row r="1048055" spans="1:3" ht="14.25" x14ac:dyDescent="0.2">
      <c r="A1048055"/>
      <c r="B1048055"/>
      <c r="C1048055"/>
    </row>
    <row r="1048056" spans="1:3" ht="14.25" x14ac:dyDescent="0.2">
      <c r="A1048056"/>
      <c r="B1048056"/>
      <c r="C1048056"/>
    </row>
    <row r="1048057" spans="1:3" ht="14.25" x14ac:dyDescent="0.2">
      <c r="A1048057"/>
      <c r="B1048057"/>
      <c r="C1048057"/>
    </row>
    <row r="1048058" spans="1:3" ht="14.25" x14ac:dyDescent="0.2">
      <c r="A1048058"/>
      <c r="B1048058"/>
      <c r="C1048058"/>
    </row>
    <row r="1048059" spans="1:3" ht="14.25" x14ac:dyDescent="0.2">
      <c r="A1048059"/>
      <c r="B1048059"/>
      <c r="C1048059"/>
    </row>
    <row r="1048060" spans="1:3" ht="14.25" x14ac:dyDescent="0.2">
      <c r="A1048060"/>
      <c r="B1048060"/>
      <c r="C1048060"/>
    </row>
    <row r="1048061" spans="1:3" ht="14.25" x14ac:dyDescent="0.2">
      <c r="A1048061"/>
      <c r="B1048061"/>
      <c r="C1048061"/>
    </row>
    <row r="1048062" spans="1:3" ht="14.25" x14ac:dyDescent="0.2">
      <c r="A1048062"/>
      <c r="B1048062"/>
      <c r="C1048062"/>
    </row>
    <row r="1048063" spans="1:3" ht="14.25" x14ac:dyDescent="0.2">
      <c r="A1048063"/>
      <c r="B1048063"/>
      <c r="C1048063"/>
    </row>
    <row r="1048064" spans="1:3" ht="14.25" x14ac:dyDescent="0.2">
      <c r="A1048064"/>
      <c r="B1048064"/>
      <c r="C1048064"/>
    </row>
    <row r="1048065" spans="1:3" ht="14.25" x14ac:dyDescent="0.2">
      <c r="A1048065"/>
      <c r="B1048065"/>
      <c r="C1048065"/>
    </row>
    <row r="1048066" spans="1:3" ht="14.25" x14ac:dyDescent="0.2">
      <c r="A1048066"/>
      <c r="B1048066"/>
      <c r="C1048066"/>
    </row>
    <row r="1048067" spans="1:3" ht="14.25" x14ac:dyDescent="0.2">
      <c r="A1048067"/>
      <c r="B1048067"/>
      <c r="C1048067"/>
    </row>
    <row r="1048068" spans="1:3" ht="14.25" x14ac:dyDescent="0.2">
      <c r="A1048068"/>
      <c r="B1048068"/>
      <c r="C1048068"/>
    </row>
    <row r="1048069" spans="1:3" ht="14.25" x14ac:dyDescent="0.2">
      <c r="A1048069"/>
      <c r="B1048069"/>
      <c r="C1048069"/>
    </row>
    <row r="1048070" spans="1:3" ht="14.25" x14ac:dyDescent="0.2">
      <c r="A1048070"/>
      <c r="B1048070"/>
      <c r="C1048070"/>
    </row>
    <row r="1048071" spans="1:3" ht="14.25" x14ac:dyDescent="0.2">
      <c r="A1048071"/>
      <c r="B1048071"/>
      <c r="C1048071"/>
    </row>
    <row r="1048072" spans="1:3" ht="14.25" x14ac:dyDescent="0.2">
      <c r="A1048072"/>
      <c r="B1048072"/>
      <c r="C1048072"/>
    </row>
    <row r="1048073" spans="1:3" ht="14.25" x14ac:dyDescent="0.2">
      <c r="A1048073"/>
      <c r="B1048073"/>
      <c r="C1048073"/>
    </row>
    <row r="1048074" spans="1:3" ht="14.25" x14ac:dyDescent="0.2">
      <c r="A1048074"/>
      <c r="B1048074"/>
      <c r="C1048074"/>
    </row>
    <row r="1048075" spans="1:3" ht="14.25" x14ac:dyDescent="0.2">
      <c r="A1048075"/>
      <c r="B1048075"/>
      <c r="C1048075"/>
    </row>
    <row r="1048076" spans="1:3" ht="14.25" x14ac:dyDescent="0.2">
      <c r="A1048076"/>
      <c r="B1048076"/>
      <c r="C1048076"/>
    </row>
    <row r="1048077" spans="1:3" ht="14.25" x14ac:dyDescent="0.2">
      <c r="A1048077"/>
      <c r="B1048077"/>
      <c r="C1048077"/>
    </row>
    <row r="1048078" spans="1:3" ht="14.25" x14ac:dyDescent="0.2">
      <c r="A1048078"/>
      <c r="B1048078"/>
      <c r="C1048078"/>
    </row>
    <row r="1048079" spans="1:3" ht="14.25" x14ac:dyDescent="0.2">
      <c r="A1048079"/>
      <c r="B1048079"/>
      <c r="C1048079"/>
    </row>
    <row r="1048080" spans="1:3" ht="14.25" x14ac:dyDescent="0.2">
      <c r="A1048080"/>
      <c r="B1048080"/>
      <c r="C1048080"/>
    </row>
    <row r="1048081" spans="1:3" ht="14.25" x14ac:dyDescent="0.2">
      <c r="A1048081"/>
      <c r="B1048081"/>
      <c r="C1048081"/>
    </row>
    <row r="1048082" spans="1:3" ht="14.25" x14ac:dyDescent="0.2">
      <c r="A1048082"/>
      <c r="B1048082"/>
      <c r="C1048082"/>
    </row>
    <row r="1048083" spans="1:3" ht="14.25" x14ac:dyDescent="0.2">
      <c r="A1048083"/>
      <c r="B1048083"/>
      <c r="C1048083"/>
    </row>
    <row r="1048084" spans="1:3" ht="14.25" x14ac:dyDescent="0.2">
      <c r="A1048084"/>
      <c r="B1048084"/>
      <c r="C1048084"/>
    </row>
    <row r="1048085" spans="1:3" ht="14.25" x14ac:dyDescent="0.2">
      <c r="A1048085"/>
      <c r="B1048085"/>
      <c r="C1048085"/>
    </row>
    <row r="1048086" spans="1:3" ht="14.25" x14ac:dyDescent="0.2">
      <c r="A1048086"/>
      <c r="B1048086"/>
      <c r="C1048086"/>
    </row>
    <row r="1048087" spans="1:3" ht="14.25" x14ac:dyDescent="0.2">
      <c r="A1048087"/>
      <c r="B1048087"/>
      <c r="C1048087"/>
    </row>
    <row r="1048088" spans="1:3" ht="14.25" x14ac:dyDescent="0.2">
      <c r="A1048088"/>
      <c r="B1048088"/>
      <c r="C1048088"/>
    </row>
    <row r="1048089" spans="1:3" ht="14.25" x14ac:dyDescent="0.2">
      <c r="A1048089"/>
      <c r="B1048089"/>
      <c r="C1048089"/>
    </row>
    <row r="1048090" spans="1:3" ht="14.25" x14ac:dyDescent="0.2">
      <c r="A1048090"/>
      <c r="B1048090"/>
      <c r="C1048090"/>
    </row>
    <row r="1048091" spans="1:3" ht="14.25" x14ac:dyDescent="0.2">
      <c r="A1048091"/>
      <c r="B1048091"/>
      <c r="C1048091"/>
    </row>
    <row r="1048092" spans="1:3" ht="14.25" x14ac:dyDescent="0.2">
      <c r="A1048092"/>
      <c r="B1048092"/>
      <c r="C1048092"/>
    </row>
    <row r="1048093" spans="1:3" ht="14.25" x14ac:dyDescent="0.2">
      <c r="A1048093"/>
      <c r="B1048093"/>
      <c r="C1048093"/>
    </row>
    <row r="1048094" spans="1:3" ht="14.25" x14ac:dyDescent="0.2">
      <c r="A1048094"/>
      <c r="B1048094"/>
      <c r="C1048094"/>
    </row>
    <row r="1048095" spans="1:3" ht="14.25" x14ac:dyDescent="0.2">
      <c r="A1048095"/>
      <c r="B1048095"/>
      <c r="C1048095"/>
    </row>
    <row r="1048096" spans="1:3" ht="14.25" x14ac:dyDescent="0.2">
      <c r="A1048096"/>
      <c r="B1048096"/>
      <c r="C1048096"/>
    </row>
    <row r="1048097" spans="1:3" ht="14.25" x14ac:dyDescent="0.2">
      <c r="A1048097"/>
      <c r="B1048097"/>
      <c r="C1048097"/>
    </row>
    <row r="1048098" spans="1:3" ht="14.25" x14ac:dyDescent="0.2">
      <c r="A1048098"/>
      <c r="B1048098"/>
      <c r="C1048098"/>
    </row>
    <row r="1048099" spans="1:3" ht="14.25" x14ac:dyDescent="0.2">
      <c r="A1048099"/>
      <c r="B1048099"/>
      <c r="C1048099"/>
    </row>
    <row r="1048100" spans="1:3" ht="14.25" x14ac:dyDescent="0.2">
      <c r="A1048100"/>
      <c r="B1048100"/>
      <c r="C1048100"/>
    </row>
    <row r="1048101" spans="1:3" ht="14.25" x14ac:dyDescent="0.2">
      <c r="A1048101"/>
      <c r="B1048101"/>
      <c r="C1048101"/>
    </row>
    <row r="1048102" spans="1:3" ht="14.25" x14ac:dyDescent="0.2">
      <c r="A1048102"/>
      <c r="B1048102"/>
      <c r="C1048102"/>
    </row>
    <row r="1048103" spans="1:3" ht="14.25" x14ac:dyDescent="0.2">
      <c r="A1048103"/>
      <c r="B1048103"/>
      <c r="C1048103"/>
    </row>
    <row r="1048104" spans="1:3" ht="14.25" x14ac:dyDescent="0.2">
      <c r="A1048104"/>
      <c r="B1048104"/>
      <c r="C1048104"/>
    </row>
    <row r="1048105" spans="1:3" ht="14.25" x14ac:dyDescent="0.2">
      <c r="A1048105"/>
      <c r="B1048105"/>
      <c r="C1048105"/>
    </row>
    <row r="1048106" spans="1:3" ht="14.25" x14ac:dyDescent="0.2">
      <c r="A1048106"/>
      <c r="B1048106"/>
      <c r="C1048106"/>
    </row>
    <row r="1048107" spans="1:3" ht="14.25" x14ac:dyDescent="0.2">
      <c r="A1048107"/>
      <c r="B1048107"/>
      <c r="C1048107"/>
    </row>
    <row r="1048108" spans="1:3" ht="14.25" x14ac:dyDescent="0.2">
      <c r="A1048108"/>
      <c r="B1048108"/>
      <c r="C1048108"/>
    </row>
    <row r="1048109" spans="1:3" ht="14.25" x14ac:dyDescent="0.2">
      <c r="A1048109"/>
      <c r="B1048109"/>
      <c r="C1048109"/>
    </row>
    <row r="1048110" spans="1:3" ht="14.25" x14ac:dyDescent="0.2">
      <c r="A1048110"/>
      <c r="B1048110"/>
      <c r="C1048110"/>
    </row>
    <row r="1048111" spans="1:3" ht="14.25" x14ac:dyDescent="0.2">
      <c r="A1048111"/>
      <c r="B1048111"/>
      <c r="C1048111"/>
    </row>
    <row r="1048112" spans="1:3" ht="14.25" x14ac:dyDescent="0.2">
      <c r="A1048112"/>
      <c r="B1048112"/>
      <c r="C1048112"/>
    </row>
    <row r="1048113" spans="1:3" ht="14.25" x14ac:dyDescent="0.2">
      <c r="A1048113"/>
      <c r="B1048113"/>
      <c r="C1048113"/>
    </row>
    <row r="1048114" spans="1:3" ht="14.25" x14ac:dyDescent="0.2">
      <c r="A1048114"/>
      <c r="B1048114"/>
      <c r="C1048114"/>
    </row>
    <row r="1048115" spans="1:3" ht="14.25" x14ac:dyDescent="0.2">
      <c r="A1048115"/>
      <c r="B1048115"/>
      <c r="C1048115"/>
    </row>
    <row r="1048116" spans="1:3" ht="14.25" x14ac:dyDescent="0.2">
      <c r="A1048116"/>
      <c r="B1048116"/>
      <c r="C1048116"/>
    </row>
    <row r="1048117" spans="1:3" ht="14.25" x14ac:dyDescent="0.2">
      <c r="A1048117"/>
      <c r="B1048117"/>
      <c r="C1048117"/>
    </row>
    <row r="1048118" spans="1:3" ht="14.25" x14ac:dyDescent="0.2">
      <c r="A1048118"/>
      <c r="B1048118"/>
      <c r="C1048118"/>
    </row>
    <row r="1048119" spans="1:3" ht="14.25" x14ac:dyDescent="0.2">
      <c r="A1048119"/>
      <c r="B1048119"/>
      <c r="C1048119"/>
    </row>
    <row r="1048120" spans="1:3" ht="14.25" x14ac:dyDescent="0.2">
      <c r="A1048120"/>
      <c r="B1048120"/>
      <c r="C1048120"/>
    </row>
    <row r="1048121" spans="1:3" ht="14.25" x14ac:dyDescent="0.2">
      <c r="A1048121"/>
      <c r="B1048121"/>
      <c r="C1048121"/>
    </row>
    <row r="1048122" spans="1:3" ht="14.25" x14ac:dyDescent="0.2">
      <c r="A1048122"/>
      <c r="B1048122"/>
      <c r="C1048122"/>
    </row>
    <row r="1048123" spans="1:3" ht="14.25" x14ac:dyDescent="0.2">
      <c r="A1048123"/>
      <c r="B1048123"/>
      <c r="C1048123"/>
    </row>
    <row r="1048124" spans="1:3" ht="14.25" x14ac:dyDescent="0.2">
      <c r="A1048124"/>
      <c r="B1048124"/>
      <c r="C1048124"/>
    </row>
    <row r="1048125" spans="1:3" ht="14.25" x14ac:dyDescent="0.2">
      <c r="A1048125"/>
      <c r="B1048125"/>
      <c r="C1048125"/>
    </row>
    <row r="1048126" spans="1:3" ht="14.25" x14ac:dyDescent="0.2">
      <c r="A1048126"/>
      <c r="B1048126"/>
      <c r="C1048126"/>
    </row>
    <row r="1048127" spans="1:3" ht="14.25" x14ac:dyDescent="0.2">
      <c r="A1048127"/>
      <c r="B1048127"/>
      <c r="C1048127"/>
    </row>
    <row r="1048128" spans="1:3" ht="14.25" x14ac:dyDescent="0.2">
      <c r="A1048128"/>
      <c r="B1048128"/>
      <c r="C1048128"/>
    </row>
    <row r="1048129" spans="1:3" ht="14.25" x14ac:dyDescent="0.2">
      <c r="A1048129"/>
      <c r="B1048129"/>
      <c r="C1048129"/>
    </row>
    <row r="1048130" spans="1:3" ht="14.25" x14ac:dyDescent="0.2">
      <c r="A1048130"/>
      <c r="B1048130"/>
      <c r="C1048130"/>
    </row>
    <row r="1048131" spans="1:3" ht="14.25" x14ac:dyDescent="0.2">
      <c r="A1048131"/>
      <c r="B1048131"/>
      <c r="C1048131"/>
    </row>
    <row r="1048132" spans="1:3" ht="14.25" x14ac:dyDescent="0.2">
      <c r="A1048132"/>
      <c r="B1048132"/>
      <c r="C1048132"/>
    </row>
    <row r="1048133" spans="1:3" ht="14.25" x14ac:dyDescent="0.2">
      <c r="A1048133"/>
      <c r="B1048133"/>
      <c r="C1048133"/>
    </row>
    <row r="1048134" spans="1:3" ht="14.25" x14ac:dyDescent="0.2">
      <c r="A1048134"/>
      <c r="B1048134"/>
      <c r="C1048134"/>
    </row>
    <row r="1048135" spans="1:3" ht="14.25" x14ac:dyDescent="0.2">
      <c r="A1048135"/>
      <c r="B1048135"/>
      <c r="C1048135"/>
    </row>
    <row r="1048136" spans="1:3" ht="14.25" x14ac:dyDescent="0.2">
      <c r="A1048136"/>
      <c r="B1048136"/>
      <c r="C1048136"/>
    </row>
    <row r="1048137" spans="1:3" ht="14.25" x14ac:dyDescent="0.2">
      <c r="A1048137"/>
      <c r="B1048137"/>
      <c r="C1048137"/>
    </row>
    <row r="1048138" spans="1:3" ht="14.25" x14ac:dyDescent="0.2">
      <c r="A1048138"/>
      <c r="B1048138"/>
      <c r="C1048138"/>
    </row>
    <row r="1048139" spans="1:3" ht="14.25" x14ac:dyDescent="0.2">
      <c r="A1048139"/>
      <c r="B1048139"/>
      <c r="C1048139"/>
    </row>
    <row r="1048140" spans="1:3" ht="14.25" x14ac:dyDescent="0.2">
      <c r="A1048140"/>
      <c r="B1048140"/>
      <c r="C1048140"/>
    </row>
    <row r="1048141" spans="1:3" ht="14.25" x14ac:dyDescent="0.2">
      <c r="A1048141"/>
      <c r="B1048141"/>
      <c r="C1048141"/>
    </row>
    <row r="1048142" spans="1:3" ht="14.25" x14ac:dyDescent="0.2">
      <c r="A1048142"/>
      <c r="B1048142"/>
      <c r="C1048142"/>
    </row>
    <row r="1048143" spans="1:3" ht="14.25" x14ac:dyDescent="0.2">
      <c r="A1048143"/>
      <c r="B1048143"/>
      <c r="C1048143"/>
    </row>
    <row r="1048144" spans="1:3" ht="14.25" x14ac:dyDescent="0.2">
      <c r="A1048144"/>
      <c r="B1048144"/>
      <c r="C1048144"/>
    </row>
    <row r="1048145" spans="1:3" ht="14.25" x14ac:dyDescent="0.2">
      <c r="A1048145"/>
      <c r="B1048145"/>
      <c r="C1048145"/>
    </row>
    <row r="1048146" spans="1:3" ht="14.25" x14ac:dyDescent="0.2">
      <c r="A1048146"/>
      <c r="B1048146"/>
      <c r="C1048146"/>
    </row>
    <row r="1048147" spans="1:3" ht="14.25" x14ac:dyDescent="0.2">
      <c r="A1048147"/>
      <c r="B1048147"/>
      <c r="C1048147"/>
    </row>
    <row r="1048148" spans="1:3" ht="14.25" x14ac:dyDescent="0.2">
      <c r="A1048148"/>
      <c r="B1048148"/>
      <c r="C1048148"/>
    </row>
    <row r="1048149" spans="1:3" ht="14.25" x14ac:dyDescent="0.2">
      <c r="A1048149"/>
      <c r="B1048149"/>
      <c r="C1048149"/>
    </row>
    <row r="1048150" spans="1:3" ht="14.25" x14ac:dyDescent="0.2">
      <c r="A1048150"/>
      <c r="B1048150"/>
      <c r="C1048150"/>
    </row>
    <row r="1048151" spans="1:3" ht="14.25" x14ac:dyDescent="0.2">
      <c r="A1048151"/>
      <c r="B1048151"/>
      <c r="C1048151"/>
    </row>
    <row r="1048152" spans="1:3" ht="14.25" x14ac:dyDescent="0.2">
      <c r="A1048152"/>
      <c r="B1048152"/>
      <c r="C1048152"/>
    </row>
    <row r="1048153" spans="1:3" ht="14.25" x14ac:dyDescent="0.2">
      <c r="A1048153"/>
      <c r="B1048153"/>
      <c r="C1048153"/>
    </row>
    <row r="1048154" spans="1:3" ht="14.25" x14ac:dyDescent="0.2">
      <c r="A1048154"/>
      <c r="B1048154"/>
      <c r="C1048154"/>
    </row>
    <row r="1048155" spans="1:3" ht="14.25" x14ac:dyDescent="0.2">
      <c r="A1048155"/>
      <c r="B1048155"/>
      <c r="C1048155"/>
    </row>
    <row r="1048156" spans="1:3" ht="14.25" x14ac:dyDescent="0.2">
      <c r="A1048156"/>
      <c r="B1048156"/>
      <c r="C1048156"/>
    </row>
    <row r="1048157" spans="1:3" ht="14.25" x14ac:dyDescent="0.2">
      <c r="A1048157"/>
      <c r="B1048157"/>
      <c r="C1048157"/>
    </row>
    <row r="1048158" spans="1:3" ht="14.25" x14ac:dyDescent="0.2">
      <c r="A1048158"/>
      <c r="B1048158"/>
      <c r="C1048158"/>
    </row>
    <row r="1048159" spans="1:3" ht="14.25" x14ac:dyDescent="0.2">
      <c r="A1048159"/>
      <c r="B1048159"/>
      <c r="C1048159"/>
    </row>
    <row r="1048160" spans="1:3" ht="14.25" x14ac:dyDescent="0.2">
      <c r="A1048160"/>
      <c r="B1048160"/>
      <c r="C1048160"/>
    </row>
    <row r="1048161" spans="1:3" ht="14.25" x14ac:dyDescent="0.2">
      <c r="A1048161"/>
      <c r="B1048161"/>
      <c r="C1048161"/>
    </row>
    <row r="1048162" spans="1:3" ht="14.25" x14ac:dyDescent="0.2">
      <c r="A1048162"/>
      <c r="B1048162"/>
      <c r="C1048162"/>
    </row>
    <row r="1048163" spans="1:3" ht="14.25" x14ac:dyDescent="0.2">
      <c r="A1048163"/>
      <c r="B1048163"/>
      <c r="C1048163"/>
    </row>
    <row r="1048164" spans="1:3" ht="14.25" x14ac:dyDescent="0.2">
      <c r="A1048164"/>
      <c r="B1048164"/>
      <c r="C1048164"/>
    </row>
    <row r="1048165" spans="1:3" ht="14.25" x14ac:dyDescent="0.2">
      <c r="A1048165"/>
      <c r="B1048165"/>
      <c r="C1048165"/>
    </row>
    <row r="1048166" spans="1:3" ht="14.25" x14ac:dyDescent="0.2">
      <c r="A1048166"/>
      <c r="B1048166"/>
      <c r="C1048166"/>
    </row>
    <row r="1048167" spans="1:3" ht="14.25" x14ac:dyDescent="0.2">
      <c r="A1048167"/>
      <c r="B1048167"/>
      <c r="C1048167"/>
    </row>
    <row r="1048168" spans="1:3" ht="14.25" x14ac:dyDescent="0.2">
      <c r="A1048168"/>
      <c r="B1048168"/>
      <c r="C1048168"/>
    </row>
    <row r="1048169" spans="1:3" ht="14.25" x14ac:dyDescent="0.2">
      <c r="A1048169"/>
      <c r="B1048169"/>
      <c r="C1048169"/>
    </row>
    <row r="1048170" spans="1:3" ht="14.25" x14ac:dyDescent="0.2">
      <c r="A1048170"/>
      <c r="B1048170"/>
      <c r="C1048170"/>
    </row>
    <row r="1048171" spans="1:3" ht="14.25" x14ac:dyDescent="0.2">
      <c r="A1048171"/>
      <c r="B1048171"/>
      <c r="C1048171"/>
    </row>
    <row r="1048172" spans="1:3" ht="14.25" x14ac:dyDescent="0.2">
      <c r="A1048172"/>
      <c r="B1048172"/>
      <c r="C1048172"/>
    </row>
    <row r="1048173" spans="1:3" ht="14.25" x14ac:dyDescent="0.2">
      <c r="A1048173"/>
      <c r="B1048173"/>
      <c r="C1048173"/>
    </row>
    <row r="1048174" spans="1:3" ht="14.25" x14ac:dyDescent="0.2">
      <c r="A1048174"/>
      <c r="B1048174"/>
      <c r="C1048174"/>
    </row>
    <row r="1048175" spans="1:3" ht="14.25" x14ac:dyDescent="0.2">
      <c r="A1048175"/>
      <c r="B1048175"/>
      <c r="C1048175"/>
    </row>
    <row r="1048176" spans="1:3" ht="14.25" x14ac:dyDescent="0.2">
      <c r="A1048176"/>
      <c r="B1048176"/>
      <c r="C1048176"/>
    </row>
    <row r="1048177" spans="1:3" ht="14.25" x14ac:dyDescent="0.2">
      <c r="A1048177"/>
      <c r="B1048177"/>
      <c r="C1048177"/>
    </row>
    <row r="1048178" spans="1:3" ht="14.25" x14ac:dyDescent="0.2">
      <c r="A1048178"/>
      <c r="B1048178"/>
      <c r="C1048178"/>
    </row>
    <row r="1048179" spans="1:3" ht="14.25" x14ac:dyDescent="0.2">
      <c r="A1048179"/>
      <c r="B1048179"/>
      <c r="C1048179"/>
    </row>
    <row r="1048180" spans="1:3" ht="14.25" x14ac:dyDescent="0.2">
      <c r="A1048180"/>
      <c r="B1048180"/>
      <c r="C1048180"/>
    </row>
    <row r="1048181" spans="1:3" ht="14.25" x14ac:dyDescent="0.2">
      <c r="A1048181"/>
      <c r="B1048181"/>
      <c r="C1048181"/>
    </row>
    <row r="1048182" spans="1:3" ht="14.25" x14ac:dyDescent="0.2">
      <c r="A1048182"/>
      <c r="B1048182"/>
      <c r="C1048182"/>
    </row>
    <row r="1048183" spans="1:3" ht="14.25" x14ac:dyDescent="0.2">
      <c r="A1048183"/>
      <c r="B1048183"/>
      <c r="C1048183"/>
    </row>
    <row r="1048184" spans="1:3" ht="14.25" x14ac:dyDescent="0.2">
      <c r="A1048184"/>
      <c r="B1048184"/>
      <c r="C1048184"/>
    </row>
    <row r="1048185" spans="1:3" ht="14.25" x14ac:dyDescent="0.2">
      <c r="A1048185"/>
      <c r="B1048185"/>
      <c r="C1048185"/>
    </row>
    <row r="1048186" spans="1:3" ht="14.25" x14ac:dyDescent="0.2">
      <c r="A1048186"/>
      <c r="B1048186"/>
      <c r="C1048186"/>
    </row>
    <row r="1048187" spans="1:3" ht="14.25" x14ac:dyDescent="0.2">
      <c r="A1048187"/>
      <c r="B1048187"/>
      <c r="C1048187"/>
    </row>
    <row r="1048188" spans="1:3" ht="14.25" x14ac:dyDescent="0.2">
      <c r="A1048188"/>
      <c r="B1048188"/>
      <c r="C1048188"/>
    </row>
    <row r="1048189" spans="1:3" ht="14.25" x14ac:dyDescent="0.2">
      <c r="A1048189"/>
      <c r="B1048189"/>
      <c r="C1048189"/>
    </row>
    <row r="1048190" spans="1:3" ht="14.25" x14ac:dyDescent="0.2">
      <c r="A1048190"/>
      <c r="B1048190"/>
      <c r="C1048190"/>
    </row>
    <row r="1048191" spans="1:3" ht="14.25" x14ac:dyDescent="0.2">
      <c r="A1048191"/>
      <c r="B1048191"/>
      <c r="C1048191"/>
    </row>
    <row r="1048192" spans="1:3" ht="14.25" x14ac:dyDescent="0.2">
      <c r="A1048192"/>
      <c r="B1048192"/>
      <c r="C1048192"/>
    </row>
    <row r="1048193" spans="1:3" ht="14.25" x14ac:dyDescent="0.2">
      <c r="A1048193"/>
      <c r="B1048193"/>
      <c r="C1048193"/>
    </row>
    <row r="1048194" spans="1:3" ht="14.25" x14ac:dyDescent="0.2">
      <c r="A1048194"/>
      <c r="B1048194"/>
      <c r="C1048194"/>
    </row>
    <row r="1048195" spans="1:3" ht="14.25" x14ac:dyDescent="0.2">
      <c r="A1048195"/>
      <c r="B1048195"/>
      <c r="C1048195"/>
    </row>
    <row r="1048196" spans="1:3" ht="14.25" x14ac:dyDescent="0.2">
      <c r="A1048196"/>
      <c r="B1048196"/>
      <c r="C1048196"/>
    </row>
    <row r="1048197" spans="1:3" ht="14.25" x14ac:dyDescent="0.2">
      <c r="A1048197"/>
      <c r="B1048197"/>
      <c r="C1048197"/>
    </row>
    <row r="1048198" spans="1:3" ht="14.25" x14ac:dyDescent="0.2">
      <c r="A1048198"/>
      <c r="B1048198"/>
      <c r="C1048198"/>
    </row>
    <row r="1048199" spans="1:3" ht="14.25" x14ac:dyDescent="0.2">
      <c r="A1048199"/>
      <c r="B1048199"/>
      <c r="C1048199"/>
    </row>
    <row r="1048200" spans="1:3" ht="14.25" x14ac:dyDescent="0.2">
      <c r="A1048200"/>
      <c r="B1048200"/>
      <c r="C1048200"/>
    </row>
    <row r="1048201" spans="1:3" ht="14.25" x14ac:dyDescent="0.2">
      <c r="A1048201"/>
      <c r="B1048201"/>
      <c r="C1048201"/>
    </row>
    <row r="1048202" spans="1:3" ht="14.25" x14ac:dyDescent="0.2">
      <c r="A1048202"/>
      <c r="B1048202"/>
      <c r="C1048202"/>
    </row>
    <row r="1048203" spans="1:3" ht="14.25" x14ac:dyDescent="0.2">
      <c r="A1048203"/>
      <c r="B1048203"/>
      <c r="C1048203"/>
    </row>
    <row r="1048204" spans="1:3" ht="14.25" x14ac:dyDescent="0.2">
      <c r="A1048204"/>
      <c r="B1048204"/>
      <c r="C1048204"/>
    </row>
    <row r="1048205" spans="1:3" ht="14.25" x14ac:dyDescent="0.2">
      <c r="A1048205"/>
      <c r="B1048205"/>
      <c r="C1048205"/>
    </row>
    <row r="1048206" spans="1:3" ht="14.25" x14ac:dyDescent="0.2">
      <c r="A1048206"/>
      <c r="B1048206"/>
      <c r="C1048206"/>
    </row>
    <row r="1048207" spans="1:3" ht="14.25" x14ac:dyDescent="0.2">
      <c r="A1048207"/>
      <c r="B1048207"/>
      <c r="C1048207"/>
    </row>
    <row r="1048208" spans="1:3" ht="14.25" x14ac:dyDescent="0.2">
      <c r="A1048208"/>
      <c r="B1048208"/>
      <c r="C1048208"/>
    </row>
    <row r="1048209" spans="1:3" ht="14.25" x14ac:dyDescent="0.2">
      <c r="A1048209"/>
      <c r="B1048209"/>
      <c r="C1048209"/>
    </row>
    <row r="1048210" spans="1:3" ht="14.25" x14ac:dyDescent="0.2">
      <c r="A1048210"/>
      <c r="B1048210"/>
      <c r="C1048210"/>
    </row>
    <row r="1048211" spans="1:3" ht="14.25" x14ac:dyDescent="0.2">
      <c r="A1048211"/>
      <c r="B1048211"/>
      <c r="C1048211"/>
    </row>
    <row r="1048212" spans="1:3" ht="14.25" x14ac:dyDescent="0.2">
      <c r="A1048212"/>
      <c r="B1048212"/>
      <c r="C1048212"/>
    </row>
    <row r="1048213" spans="1:3" ht="14.25" x14ac:dyDescent="0.2">
      <c r="A1048213"/>
      <c r="B1048213"/>
      <c r="C1048213"/>
    </row>
    <row r="1048214" spans="1:3" ht="14.25" x14ac:dyDescent="0.2">
      <c r="A1048214"/>
      <c r="B1048214"/>
      <c r="C1048214"/>
    </row>
    <row r="1048215" spans="1:3" ht="14.25" x14ac:dyDescent="0.2">
      <c r="A1048215"/>
      <c r="B1048215"/>
      <c r="C1048215"/>
    </row>
    <row r="1048216" spans="1:3" ht="14.25" x14ac:dyDescent="0.2">
      <c r="A1048216"/>
      <c r="B1048216"/>
      <c r="C1048216"/>
    </row>
    <row r="1048217" spans="1:3" ht="14.25" x14ac:dyDescent="0.2">
      <c r="A1048217"/>
      <c r="B1048217"/>
      <c r="C1048217"/>
    </row>
    <row r="1048218" spans="1:3" ht="14.25" x14ac:dyDescent="0.2">
      <c r="A1048218"/>
      <c r="B1048218"/>
      <c r="C1048218"/>
    </row>
    <row r="1048219" spans="1:3" ht="14.25" x14ac:dyDescent="0.2">
      <c r="A1048219"/>
      <c r="B1048219"/>
      <c r="C1048219"/>
    </row>
    <row r="1048220" spans="1:3" ht="14.25" x14ac:dyDescent="0.2">
      <c r="A1048220"/>
      <c r="B1048220"/>
      <c r="C1048220"/>
    </row>
    <row r="1048221" spans="1:3" ht="14.25" x14ac:dyDescent="0.2">
      <c r="A1048221"/>
      <c r="B1048221"/>
      <c r="C1048221"/>
    </row>
    <row r="1048222" spans="1:3" ht="14.25" x14ac:dyDescent="0.2">
      <c r="A1048222"/>
      <c r="B1048222"/>
      <c r="C1048222"/>
    </row>
    <row r="1048223" spans="1:3" ht="14.25" x14ac:dyDescent="0.2">
      <c r="A1048223"/>
      <c r="B1048223"/>
      <c r="C1048223"/>
    </row>
    <row r="1048224" spans="1:3" ht="14.25" x14ac:dyDescent="0.2">
      <c r="A1048224"/>
      <c r="B1048224"/>
      <c r="C1048224"/>
    </row>
    <row r="1048225" spans="1:3" ht="14.25" x14ac:dyDescent="0.2">
      <c r="A1048225"/>
      <c r="B1048225"/>
      <c r="C1048225"/>
    </row>
    <row r="1048226" spans="1:3" ht="14.25" x14ac:dyDescent="0.2">
      <c r="A1048226"/>
      <c r="B1048226"/>
      <c r="C1048226"/>
    </row>
    <row r="1048227" spans="1:3" ht="14.25" x14ac:dyDescent="0.2">
      <c r="A1048227"/>
      <c r="B1048227"/>
      <c r="C1048227"/>
    </row>
    <row r="1048228" spans="1:3" ht="14.25" x14ac:dyDescent="0.2">
      <c r="A1048228"/>
      <c r="B1048228"/>
      <c r="C1048228"/>
    </row>
    <row r="1048229" spans="1:3" ht="14.25" x14ac:dyDescent="0.2">
      <c r="A1048229"/>
      <c r="B1048229"/>
      <c r="C1048229"/>
    </row>
    <row r="1048230" spans="1:3" ht="14.25" x14ac:dyDescent="0.2">
      <c r="A1048230"/>
      <c r="B1048230"/>
      <c r="C1048230"/>
    </row>
    <row r="1048231" spans="1:3" ht="14.25" x14ac:dyDescent="0.2">
      <c r="A1048231"/>
      <c r="B1048231"/>
      <c r="C1048231"/>
    </row>
    <row r="1048232" spans="1:3" ht="14.25" x14ac:dyDescent="0.2">
      <c r="A1048232"/>
      <c r="B1048232"/>
      <c r="C1048232"/>
    </row>
    <row r="1048233" spans="1:3" ht="14.25" x14ac:dyDescent="0.2">
      <c r="A1048233"/>
      <c r="B1048233"/>
      <c r="C1048233"/>
    </row>
    <row r="1048234" spans="1:3" ht="14.25" x14ac:dyDescent="0.2">
      <c r="A1048234"/>
      <c r="B1048234"/>
      <c r="C1048234"/>
    </row>
    <row r="1048235" spans="1:3" ht="14.25" x14ac:dyDescent="0.2">
      <c r="A1048235"/>
      <c r="B1048235"/>
      <c r="C1048235"/>
    </row>
    <row r="1048236" spans="1:3" ht="14.25" x14ac:dyDescent="0.2">
      <c r="A1048236"/>
      <c r="B1048236"/>
      <c r="C1048236"/>
    </row>
    <row r="1048237" spans="1:3" ht="14.25" x14ac:dyDescent="0.2">
      <c r="A1048237"/>
      <c r="B1048237"/>
      <c r="C1048237"/>
    </row>
    <row r="1048238" spans="1:3" ht="14.25" x14ac:dyDescent="0.2">
      <c r="A1048238"/>
      <c r="B1048238"/>
      <c r="C1048238"/>
    </row>
    <row r="1048239" spans="1:3" ht="14.25" x14ac:dyDescent="0.2">
      <c r="A1048239"/>
      <c r="B1048239"/>
      <c r="C1048239"/>
    </row>
    <row r="1048240" spans="1:3" ht="14.25" x14ac:dyDescent="0.2">
      <c r="A1048240"/>
      <c r="B1048240"/>
      <c r="C1048240"/>
    </row>
    <row r="1048241" spans="1:3" ht="14.25" x14ac:dyDescent="0.2">
      <c r="A1048241"/>
      <c r="B1048241"/>
      <c r="C1048241"/>
    </row>
    <row r="1048242" spans="1:3" ht="14.25" x14ac:dyDescent="0.2">
      <c r="A1048242"/>
      <c r="B1048242"/>
      <c r="C1048242"/>
    </row>
    <row r="1048243" spans="1:3" ht="14.25" x14ac:dyDescent="0.2">
      <c r="A1048243"/>
      <c r="B1048243"/>
      <c r="C1048243"/>
    </row>
    <row r="1048244" spans="1:3" ht="14.25" x14ac:dyDescent="0.2">
      <c r="A1048244"/>
      <c r="B1048244"/>
      <c r="C1048244"/>
    </row>
    <row r="1048245" spans="1:3" ht="14.25" x14ac:dyDescent="0.2">
      <c r="A1048245"/>
      <c r="B1048245"/>
      <c r="C1048245"/>
    </row>
    <row r="1048246" spans="1:3" ht="14.25" x14ac:dyDescent="0.2">
      <c r="A1048246"/>
      <c r="B1048246"/>
      <c r="C1048246"/>
    </row>
    <row r="1048247" spans="1:3" ht="14.25" x14ac:dyDescent="0.2">
      <c r="A1048247"/>
      <c r="B1048247"/>
      <c r="C1048247"/>
    </row>
    <row r="1048248" spans="1:3" ht="14.25" x14ac:dyDescent="0.2">
      <c r="A1048248"/>
      <c r="B1048248"/>
      <c r="C1048248"/>
    </row>
    <row r="1048249" spans="1:3" ht="14.25" x14ac:dyDescent="0.2">
      <c r="A1048249"/>
      <c r="B1048249"/>
      <c r="C1048249"/>
    </row>
    <row r="1048250" spans="1:3" ht="14.25" x14ac:dyDescent="0.2">
      <c r="A1048250"/>
      <c r="B1048250"/>
      <c r="C1048250"/>
    </row>
    <row r="1048251" spans="1:3" ht="14.25" x14ac:dyDescent="0.2">
      <c r="A1048251"/>
      <c r="B1048251"/>
      <c r="C1048251"/>
    </row>
    <row r="1048252" spans="1:3" ht="14.25" x14ac:dyDescent="0.2">
      <c r="A1048252"/>
      <c r="B1048252"/>
      <c r="C1048252"/>
    </row>
    <row r="1048253" spans="1:3" ht="14.25" x14ac:dyDescent="0.2">
      <c r="A1048253"/>
      <c r="B1048253"/>
      <c r="C1048253"/>
    </row>
    <row r="1048254" spans="1:3" ht="14.25" x14ac:dyDescent="0.2">
      <c r="A1048254"/>
      <c r="B1048254"/>
      <c r="C1048254"/>
    </row>
    <row r="1048255" spans="1:3" ht="14.25" x14ac:dyDescent="0.2">
      <c r="A1048255"/>
      <c r="B1048255"/>
      <c r="C1048255"/>
    </row>
    <row r="1048256" spans="1:3" ht="14.25" x14ac:dyDescent="0.2">
      <c r="A1048256"/>
      <c r="B1048256"/>
      <c r="C1048256"/>
    </row>
    <row r="1048257" spans="1:3" ht="14.25" x14ac:dyDescent="0.2">
      <c r="A1048257"/>
      <c r="B1048257"/>
      <c r="C1048257"/>
    </row>
    <row r="1048258" spans="1:3" ht="14.25" x14ac:dyDescent="0.2">
      <c r="A1048258"/>
      <c r="B1048258"/>
      <c r="C1048258"/>
    </row>
    <row r="1048259" spans="1:3" ht="14.25" x14ac:dyDescent="0.2">
      <c r="A1048259"/>
      <c r="B1048259"/>
      <c r="C1048259"/>
    </row>
    <row r="1048260" spans="1:3" ht="14.25" x14ac:dyDescent="0.2">
      <c r="A1048260"/>
      <c r="B1048260"/>
      <c r="C1048260"/>
    </row>
    <row r="1048261" spans="1:3" ht="14.25" x14ac:dyDescent="0.2">
      <c r="A1048261"/>
      <c r="B1048261"/>
      <c r="C1048261"/>
    </row>
    <row r="1048262" spans="1:3" ht="14.25" x14ac:dyDescent="0.2">
      <c r="A1048262"/>
      <c r="B1048262"/>
      <c r="C1048262"/>
    </row>
    <row r="1048263" spans="1:3" ht="14.25" x14ac:dyDescent="0.2">
      <c r="A1048263"/>
      <c r="B1048263"/>
      <c r="C1048263"/>
    </row>
    <row r="1048264" spans="1:3" ht="14.25" x14ac:dyDescent="0.2">
      <c r="A1048264"/>
      <c r="B1048264"/>
      <c r="C1048264"/>
    </row>
    <row r="1048265" spans="1:3" ht="14.25" x14ac:dyDescent="0.2">
      <c r="A1048265"/>
      <c r="B1048265"/>
      <c r="C1048265"/>
    </row>
    <row r="1048266" spans="1:3" ht="14.25" x14ac:dyDescent="0.2">
      <c r="A1048266"/>
      <c r="B1048266"/>
      <c r="C1048266"/>
    </row>
    <row r="1048267" spans="1:3" ht="14.25" x14ac:dyDescent="0.2">
      <c r="A1048267"/>
      <c r="B1048267"/>
      <c r="C1048267"/>
    </row>
    <row r="1048268" spans="1:3" ht="14.25" x14ac:dyDescent="0.2">
      <c r="A1048268"/>
      <c r="B1048268"/>
      <c r="C1048268"/>
    </row>
    <row r="1048269" spans="1:3" ht="14.25" x14ac:dyDescent="0.2">
      <c r="A1048269"/>
      <c r="B1048269"/>
      <c r="C1048269"/>
    </row>
    <row r="1048270" spans="1:3" ht="14.25" x14ac:dyDescent="0.2">
      <c r="A1048270"/>
      <c r="B1048270"/>
      <c r="C1048270"/>
    </row>
    <row r="1048271" spans="1:3" ht="14.25" x14ac:dyDescent="0.2">
      <c r="A1048271"/>
      <c r="B1048271"/>
      <c r="C1048271"/>
    </row>
    <row r="1048272" spans="1:3" ht="14.25" x14ac:dyDescent="0.2">
      <c r="A1048272"/>
      <c r="B1048272"/>
      <c r="C1048272"/>
    </row>
    <row r="1048273" spans="1:3" ht="14.25" x14ac:dyDescent="0.2">
      <c r="A1048273"/>
      <c r="B1048273"/>
      <c r="C1048273"/>
    </row>
    <row r="1048274" spans="1:3" ht="14.25" x14ac:dyDescent="0.2">
      <c r="A1048274"/>
      <c r="B1048274"/>
      <c r="C1048274"/>
    </row>
    <row r="1048275" spans="1:3" ht="14.25" x14ac:dyDescent="0.2">
      <c r="A1048275"/>
      <c r="B1048275"/>
      <c r="C1048275"/>
    </row>
    <row r="1048276" spans="1:3" ht="14.25" x14ac:dyDescent="0.2">
      <c r="A1048276"/>
      <c r="B1048276"/>
      <c r="C1048276"/>
    </row>
    <row r="1048277" spans="1:3" ht="14.25" x14ac:dyDescent="0.2">
      <c r="A1048277"/>
      <c r="B1048277"/>
      <c r="C1048277"/>
    </row>
    <row r="1048278" spans="1:3" ht="14.25" x14ac:dyDescent="0.2">
      <c r="A1048278"/>
      <c r="B1048278"/>
      <c r="C1048278"/>
    </row>
    <row r="1048279" spans="1:3" ht="14.25" x14ac:dyDescent="0.2">
      <c r="A1048279"/>
      <c r="B1048279"/>
      <c r="C1048279"/>
    </row>
    <row r="1048280" spans="1:3" ht="14.25" x14ac:dyDescent="0.2">
      <c r="A1048280"/>
      <c r="B1048280"/>
      <c r="C1048280"/>
    </row>
    <row r="1048281" spans="1:3" ht="14.25" x14ac:dyDescent="0.2">
      <c r="A1048281"/>
      <c r="B1048281"/>
      <c r="C1048281"/>
    </row>
    <row r="1048282" spans="1:3" ht="14.25" x14ac:dyDescent="0.2">
      <c r="A1048282"/>
      <c r="B1048282"/>
      <c r="C1048282"/>
    </row>
    <row r="1048283" spans="1:3" ht="14.25" x14ac:dyDescent="0.2">
      <c r="A1048283"/>
      <c r="B1048283"/>
      <c r="C1048283"/>
    </row>
    <row r="1048284" spans="1:3" ht="14.25" x14ac:dyDescent="0.2">
      <c r="A1048284"/>
      <c r="B1048284"/>
      <c r="C1048284"/>
    </row>
    <row r="1048285" spans="1:3" ht="14.25" x14ac:dyDescent="0.2">
      <c r="A1048285"/>
      <c r="B1048285"/>
      <c r="C1048285"/>
    </row>
    <row r="1048286" spans="1:3" ht="14.25" x14ac:dyDescent="0.2">
      <c r="A1048286"/>
      <c r="B1048286"/>
      <c r="C1048286"/>
    </row>
    <row r="1048287" spans="1:3" ht="14.25" x14ac:dyDescent="0.2">
      <c r="A1048287"/>
      <c r="B1048287"/>
      <c r="C1048287"/>
    </row>
    <row r="1048288" spans="1:3" ht="14.25" x14ac:dyDescent="0.2">
      <c r="A1048288"/>
      <c r="B1048288"/>
      <c r="C1048288"/>
    </row>
    <row r="1048289" spans="1:3" ht="14.25" x14ac:dyDescent="0.2">
      <c r="A1048289"/>
      <c r="B1048289"/>
      <c r="C1048289"/>
    </row>
    <row r="1048290" spans="1:3" ht="14.25" x14ac:dyDescent="0.2">
      <c r="A1048290"/>
      <c r="B1048290"/>
      <c r="C1048290"/>
    </row>
    <row r="1048291" spans="1:3" ht="14.25" x14ac:dyDescent="0.2">
      <c r="A1048291"/>
      <c r="B1048291"/>
      <c r="C1048291"/>
    </row>
    <row r="1048292" spans="1:3" ht="14.25" x14ac:dyDescent="0.2">
      <c r="A1048292"/>
      <c r="B1048292"/>
      <c r="C1048292"/>
    </row>
    <row r="1048293" spans="1:3" ht="14.25" x14ac:dyDescent="0.2">
      <c r="A1048293"/>
      <c r="B1048293"/>
      <c r="C1048293"/>
    </row>
    <row r="1048294" spans="1:3" ht="14.25" x14ac:dyDescent="0.2">
      <c r="A1048294"/>
      <c r="B1048294"/>
      <c r="C1048294"/>
    </row>
    <row r="1048295" spans="1:3" ht="14.25" x14ac:dyDescent="0.2">
      <c r="A1048295"/>
      <c r="B1048295"/>
      <c r="C1048295"/>
    </row>
    <row r="1048296" spans="1:3" ht="14.25" x14ac:dyDescent="0.2">
      <c r="A1048296"/>
      <c r="B1048296"/>
      <c r="C1048296"/>
    </row>
    <row r="1048297" spans="1:3" ht="14.25" x14ac:dyDescent="0.2">
      <c r="A1048297"/>
      <c r="B1048297"/>
      <c r="C1048297"/>
    </row>
    <row r="1048298" spans="1:3" ht="14.25" x14ac:dyDescent="0.2">
      <c r="A1048298"/>
      <c r="B1048298"/>
      <c r="C1048298"/>
    </row>
    <row r="1048299" spans="1:3" ht="14.25" x14ac:dyDescent="0.2">
      <c r="A1048299"/>
      <c r="B1048299"/>
      <c r="C1048299"/>
    </row>
    <row r="1048300" spans="1:3" ht="14.25" x14ac:dyDescent="0.2">
      <c r="A1048300"/>
      <c r="B1048300"/>
      <c r="C1048300"/>
    </row>
    <row r="1048301" spans="1:3" ht="14.25" x14ac:dyDescent="0.2">
      <c r="A1048301"/>
      <c r="B1048301"/>
      <c r="C1048301"/>
    </row>
    <row r="1048302" spans="1:3" ht="14.25" x14ac:dyDescent="0.2">
      <c r="A1048302"/>
      <c r="B1048302"/>
      <c r="C1048302"/>
    </row>
    <row r="1048303" spans="1:3" ht="14.25" x14ac:dyDescent="0.2">
      <c r="A1048303"/>
      <c r="B1048303"/>
      <c r="C1048303"/>
    </row>
    <row r="1048304" spans="1:3" ht="14.25" x14ac:dyDescent="0.2">
      <c r="A1048304"/>
      <c r="B1048304"/>
      <c r="C1048304"/>
    </row>
    <row r="1048305" spans="1:3" ht="14.25" x14ac:dyDescent="0.2">
      <c r="A1048305"/>
      <c r="B1048305"/>
      <c r="C1048305"/>
    </row>
    <row r="1048306" spans="1:3" ht="14.25" x14ac:dyDescent="0.2">
      <c r="A1048306"/>
      <c r="B1048306"/>
      <c r="C1048306"/>
    </row>
    <row r="1048307" spans="1:3" ht="14.25" x14ac:dyDescent="0.2">
      <c r="A1048307"/>
      <c r="B1048307"/>
      <c r="C1048307"/>
    </row>
    <row r="1048308" spans="1:3" ht="14.25" x14ac:dyDescent="0.2">
      <c r="A1048308"/>
      <c r="B1048308"/>
      <c r="C1048308"/>
    </row>
    <row r="1048309" spans="1:3" ht="14.25" x14ac:dyDescent="0.2">
      <c r="A1048309"/>
      <c r="B1048309"/>
      <c r="C1048309"/>
    </row>
    <row r="1048310" spans="1:3" ht="14.25" x14ac:dyDescent="0.2">
      <c r="A1048310"/>
      <c r="B1048310"/>
      <c r="C1048310"/>
    </row>
    <row r="1048311" spans="1:3" ht="14.25" x14ac:dyDescent="0.2">
      <c r="A1048311"/>
      <c r="B1048311"/>
      <c r="C1048311"/>
    </row>
    <row r="1048312" spans="1:3" ht="14.25" x14ac:dyDescent="0.2">
      <c r="A1048312"/>
      <c r="B1048312"/>
      <c r="C1048312"/>
    </row>
    <row r="1048313" spans="1:3" ht="14.25" x14ac:dyDescent="0.2">
      <c r="A1048313"/>
      <c r="B1048313"/>
      <c r="C1048313"/>
    </row>
    <row r="1048314" spans="1:3" ht="14.25" x14ac:dyDescent="0.2">
      <c r="A1048314"/>
      <c r="B1048314"/>
      <c r="C1048314"/>
    </row>
    <row r="1048315" spans="1:3" ht="14.25" x14ac:dyDescent="0.2">
      <c r="A1048315"/>
      <c r="B1048315"/>
      <c r="C1048315"/>
    </row>
    <row r="1048316" spans="1:3" ht="14.25" x14ac:dyDescent="0.2">
      <c r="A1048316"/>
      <c r="B1048316"/>
      <c r="C1048316"/>
    </row>
    <row r="1048317" spans="1:3" ht="14.25" x14ac:dyDescent="0.2">
      <c r="A1048317"/>
      <c r="B1048317"/>
      <c r="C1048317"/>
    </row>
    <row r="1048318" spans="1:3" ht="14.25" x14ac:dyDescent="0.2">
      <c r="A1048318"/>
      <c r="B1048318"/>
      <c r="C1048318"/>
    </row>
    <row r="1048319" spans="1:3" ht="14.25" x14ac:dyDescent="0.2">
      <c r="A1048319"/>
      <c r="B1048319"/>
      <c r="C1048319"/>
    </row>
    <row r="1048320" spans="1:3" ht="14.25" x14ac:dyDescent="0.2">
      <c r="A1048320"/>
      <c r="B1048320"/>
      <c r="C1048320"/>
    </row>
    <row r="1048321" spans="1:3" ht="14.25" x14ac:dyDescent="0.2">
      <c r="A1048321"/>
      <c r="B1048321"/>
      <c r="C1048321"/>
    </row>
    <row r="1048322" spans="1:3" ht="14.25" x14ac:dyDescent="0.2">
      <c r="A1048322"/>
      <c r="B1048322"/>
      <c r="C1048322"/>
    </row>
    <row r="1048323" spans="1:3" ht="14.25" x14ac:dyDescent="0.2">
      <c r="A1048323"/>
      <c r="B1048323"/>
      <c r="C1048323"/>
    </row>
    <row r="1048324" spans="1:3" ht="14.25" x14ac:dyDescent="0.2">
      <c r="A1048324"/>
      <c r="B1048324"/>
      <c r="C1048324"/>
    </row>
    <row r="1048325" spans="1:3" ht="14.25" x14ac:dyDescent="0.2">
      <c r="A1048325"/>
      <c r="B1048325"/>
      <c r="C1048325"/>
    </row>
    <row r="1048326" spans="1:3" ht="14.25" x14ac:dyDescent="0.2">
      <c r="A1048326"/>
      <c r="B1048326"/>
      <c r="C1048326"/>
    </row>
    <row r="1048327" spans="1:3" ht="14.25" x14ac:dyDescent="0.2">
      <c r="A1048327"/>
      <c r="B1048327"/>
      <c r="C1048327"/>
    </row>
    <row r="1048328" spans="1:3" ht="14.25" x14ac:dyDescent="0.2">
      <c r="A1048328"/>
      <c r="B1048328"/>
      <c r="C1048328"/>
    </row>
    <row r="1048329" spans="1:3" ht="14.25" x14ac:dyDescent="0.2">
      <c r="A1048329"/>
      <c r="B1048329"/>
      <c r="C1048329"/>
    </row>
    <row r="1048330" spans="1:3" ht="14.25" x14ac:dyDescent="0.2">
      <c r="A1048330"/>
      <c r="B1048330"/>
      <c r="C1048330"/>
    </row>
    <row r="1048331" spans="1:3" ht="14.25" x14ac:dyDescent="0.2">
      <c r="A1048331"/>
      <c r="B1048331"/>
      <c r="C1048331"/>
    </row>
    <row r="1048332" spans="1:3" ht="14.25" x14ac:dyDescent="0.2">
      <c r="A1048332"/>
      <c r="B1048332"/>
      <c r="C1048332"/>
    </row>
    <row r="1048333" spans="1:3" ht="14.25" x14ac:dyDescent="0.2">
      <c r="A1048333"/>
      <c r="B1048333"/>
      <c r="C1048333"/>
    </row>
    <row r="1048334" spans="1:3" ht="14.25" x14ac:dyDescent="0.2">
      <c r="A1048334"/>
      <c r="B1048334"/>
      <c r="C1048334"/>
    </row>
    <row r="1048335" spans="1:3" ht="14.25" x14ac:dyDescent="0.2">
      <c r="A1048335"/>
      <c r="B1048335"/>
      <c r="C1048335"/>
    </row>
    <row r="1048336" spans="1:3" ht="14.25" x14ac:dyDescent="0.2">
      <c r="A1048336"/>
      <c r="B1048336"/>
      <c r="C1048336"/>
    </row>
    <row r="1048337" spans="1:3" ht="14.25" x14ac:dyDescent="0.2">
      <c r="A1048337"/>
      <c r="B1048337"/>
      <c r="C1048337"/>
    </row>
    <row r="1048338" spans="1:3" ht="14.25" x14ac:dyDescent="0.2">
      <c r="A1048338"/>
      <c r="B1048338"/>
      <c r="C1048338"/>
    </row>
    <row r="1048339" spans="1:3" ht="14.25" x14ac:dyDescent="0.2">
      <c r="A1048339"/>
      <c r="B1048339"/>
      <c r="C1048339"/>
    </row>
    <row r="1048340" spans="1:3" ht="14.25" x14ac:dyDescent="0.2">
      <c r="A1048340"/>
      <c r="B1048340"/>
      <c r="C1048340"/>
    </row>
    <row r="1048341" spans="1:3" ht="14.25" x14ac:dyDescent="0.2">
      <c r="A1048341"/>
      <c r="B1048341"/>
      <c r="C1048341"/>
    </row>
    <row r="1048342" spans="1:3" ht="14.25" x14ac:dyDescent="0.2">
      <c r="A1048342"/>
      <c r="B1048342"/>
      <c r="C1048342"/>
    </row>
    <row r="1048343" spans="1:3" ht="14.25" x14ac:dyDescent="0.2">
      <c r="A1048343"/>
      <c r="B1048343"/>
      <c r="C1048343"/>
    </row>
    <row r="1048344" spans="1:3" ht="14.25" x14ac:dyDescent="0.2">
      <c r="A1048344"/>
      <c r="B1048344"/>
      <c r="C1048344"/>
    </row>
    <row r="1048345" spans="1:3" ht="14.25" x14ac:dyDescent="0.2">
      <c r="A1048345"/>
      <c r="B1048345"/>
      <c r="C1048345"/>
    </row>
    <row r="1048346" spans="1:3" ht="14.25" x14ac:dyDescent="0.2">
      <c r="A1048346"/>
      <c r="B1048346"/>
      <c r="C1048346"/>
    </row>
    <row r="1048347" spans="1:3" ht="14.25" x14ac:dyDescent="0.2">
      <c r="A1048347"/>
      <c r="B1048347"/>
      <c r="C1048347"/>
    </row>
    <row r="1048348" spans="1:3" ht="14.25" x14ac:dyDescent="0.2">
      <c r="A1048348"/>
      <c r="B1048348"/>
      <c r="C1048348"/>
    </row>
    <row r="1048349" spans="1:3" ht="14.25" x14ac:dyDescent="0.2">
      <c r="A1048349"/>
      <c r="B1048349"/>
      <c r="C1048349"/>
    </row>
    <row r="1048350" spans="1:3" ht="14.25" x14ac:dyDescent="0.2">
      <c r="A1048350"/>
      <c r="B1048350"/>
      <c r="C1048350"/>
    </row>
    <row r="1048351" spans="1:3" ht="14.25" x14ac:dyDescent="0.2">
      <c r="A1048351"/>
      <c r="B1048351"/>
      <c r="C1048351"/>
    </row>
    <row r="1048352" spans="1:3" ht="14.25" x14ac:dyDescent="0.2">
      <c r="A1048352"/>
      <c r="B1048352"/>
      <c r="C1048352"/>
    </row>
    <row r="1048353" spans="1:3" ht="14.25" x14ac:dyDescent="0.2">
      <c r="A1048353"/>
      <c r="B1048353"/>
      <c r="C1048353"/>
    </row>
    <row r="1048354" spans="1:3" ht="14.25" x14ac:dyDescent="0.2">
      <c r="A1048354"/>
      <c r="B1048354"/>
      <c r="C1048354"/>
    </row>
    <row r="1048355" spans="1:3" ht="14.25" x14ac:dyDescent="0.2">
      <c r="A1048355"/>
      <c r="B1048355"/>
      <c r="C1048355"/>
    </row>
    <row r="1048356" spans="1:3" ht="14.25" x14ac:dyDescent="0.2">
      <c r="A1048356"/>
      <c r="B1048356"/>
      <c r="C1048356"/>
    </row>
    <row r="1048357" spans="1:3" ht="14.25" x14ac:dyDescent="0.2">
      <c r="A1048357"/>
      <c r="B1048357"/>
      <c r="C1048357"/>
    </row>
    <row r="1048358" spans="1:3" ht="14.25" x14ac:dyDescent="0.2">
      <c r="A1048358"/>
      <c r="B1048358"/>
      <c r="C1048358"/>
    </row>
    <row r="1048359" spans="1:3" ht="14.25" x14ac:dyDescent="0.2">
      <c r="A1048359"/>
      <c r="B1048359"/>
      <c r="C1048359"/>
    </row>
    <row r="1048360" spans="1:3" ht="14.25" x14ac:dyDescent="0.2">
      <c r="A1048360"/>
      <c r="B1048360"/>
      <c r="C1048360"/>
    </row>
    <row r="1048361" spans="1:3" ht="14.25" x14ac:dyDescent="0.2">
      <c r="A1048361"/>
      <c r="B1048361"/>
      <c r="C1048361"/>
    </row>
    <row r="1048362" spans="1:3" ht="14.25" x14ac:dyDescent="0.2">
      <c r="A1048362"/>
      <c r="B1048362"/>
      <c r="C1048362"/>
    </row>
    <row r="1048363" spans="1:3" ht="14.25" x14ac:dyDescent="0.2">
      <c r="A1048363"/>
      <c r="B1048363"/>
      <c r="C1048363"/>
    </row>
    <row r="1048364" spans="1:3" ht="14.25" x14ac:dyDescent="0.2">
      <c r="A1048364"/>
      <c r="B1048364"/>
      <c r="C1048364"/>
    </row>
    <row r="1048365" spans="1:3" ht="14.25" x14ac:dyDescent="0.2">
      <c r="A1048365"/>
      <c r="B1048365"/>
      <c r="C1048365"/>
    </row>
    <row r="1048366" spans="1:3" ht="14.25" x14ac:dyDescent="0.2">
      <c r="A1048366"/>
      <c r="B1048366"/>
      <c r="C1048366"/>
    </row>
    <row r="1048367" spans="1:3" ht="14.25" x14ac:dyDescent="0.2">
      <c r="A1048367"/>
      <c r="B1048367"/>
      <c r="C1048367"/>
    </row>
    <row r="1048368" spans="1:3" ht="14.25" x14ac:dyDescent="0.2">
      <c r="A1048368"/>
      <c r="B1048368"/>
      <c r="C1048368"/>
    </row>
    <row r="1048369" spans="1:3" ht="14.25" x14ac:dyDescent="0.2">
      <c r="A1048369"/>
      <c r="B1048369"/>
      <c r="C1048369"/>
    </row>
    <row r="1048370" spans="1:3" ht="14.25" x14ac:dyDescent="0.2">
      <c r="A1048370"/>
      <c r="B1048370"/>
      <c r="C1048370"/>
    </row>
    <row r="1048371" spans="1:3" ht="14.25" x14ac:dyDescent="0.2">
      <c r="A1048371"/>
      <c r="B1048371"/>
      <c r="C1048371"/>
    </row>
    <row r="1048372" spans="1:3" ht="14.25" x14ac:dyDescent="0.2">
      <c r="A1048372"/>
      <c r="B1048372"/>
      <c r="C1048372"/>
    </row>
    <row r="1048373" spans="1:3" ht="14.25" x14ac:dyDescent="0.2">
      <c r="A1048373"/>
      <c r="B1048373"/>
      <c r="C1048373"/>
    </row>
    <row r="1048374" spans="1:3" ht="14.25" x14ac:dyDescent="0.2">
      <c r="A1048374"/>
      <c r="B1048374"/>
      <c r="C1048374"/>
    </row>
    <row r="1048375" spans="1:3" ht="14.25" x14ac:dyDescent="0.2">
      <c r="A1048375"/>
      <c r="B1048375"/>
      <c r="C1048375"/>
    </row>
    <row r="1048376" spans="1:3" ht="14.25" x14ac:dyDescent="0.2">
      <c r="A1048376"/>
      <c r="B1048376"/>
      <c r="C1048376"/>
    </row>
    <row r="1048377" spans="1:3" ht="14.25" x14ac:dyDescent="0.2">
      <c r="A1048377"/>
      <c r="B1048377"/>
      <c r="C1048377"/>
    </row>
    <row r="1048378" spans="1:3" ht="14.25" x14ac:dyDescent="0.2">
      <c r="A1048378"/>
      <c r="B1048378"/>
      <c r="C1048378"/>
    </row>
    <row r="1048379" spans="1:3" ht="14.25" x14ac:dyDescent="0.2">
      <c r="A1048379"/>
      <c r="B1048379"/>
      <c r="C1048379"/>
    </row>
    <row r="1048380" spans="1:3" ht="14.25" x14ac:dyDescent="0.2">
      <c r="A1048380"/>
      <c r="B1048380"/>
      <c r="C1048380"/>
    </row>
    <row r="1048381" spans="1:3" ht="14.25" x14ac:dyDescent="0.2">
      <c r="A1048381"/>
      <c r="B1048381"/>
      <c r="C1048381"/>
    </row>
    <row r="1048382" spans="1:3" ht="14.25" x14ac:dyDescent="0.2">
      <c r="A1048382"/>
      <c r="B1048382"/>
      <c r="C1048382"/>
    </row>
    <row r="1048383" spans="1:3" ht="14.25" x14ac:dyDescent="0.2">
      <c r="A1048383"/>
      <c r="B1048383"/>
      <c r="C1048383"/>
    </row>
    <row r="1048384" spans="1:3" ht="14.25" x14ac:dyDescent="0.2">
      <c r="A1048384"/>
      <c r="B1048384"/>
      <c r="C1048384"/>
    </row>
    <row r="1048385" spans="1:3" ht="14.25" x14ac:dyDescent="0.2">
      <c r="A1048385"/>
      <c r="B1048385"/>
      <c r="C1048385"/>
    </row>
    <row r="1048386" spans="1:3" ht="14.25" x14ac:dyDescent="0.2">
      <c r="A1048386"/>
      <c r="B1048386"/>
      <c r="C1048386"/>
    </row>
    <row r="1048387" spans="1:3" ht="14.25" x14ac:dyDescent="0.2">
      <c r="A1048387"/>
      <c r="B1048387"/>
      <c r="C1048387"/>
    </row>
    <row r="1048388" spans="1:3" ht="14.25" x14ac:dyDescent="0.2">
      <c r="A1048388"/>
      <c r="B1048388"/>
      <c r="C1048388"/>
    </row>
    <row r="1048389" spans="1:3" ht="14.25" x14ac:dyDescent="0.2">
      <c r="A1048389"/>
      <c r="B1048389"/>
      <c r="C1048389"/>
    </row>
    <row r="1048390" spans="1:3" ht="14.25" x14ac:dyDescent="0.2">
      <c r="A1048390"/>
      <c r="B1048390"/>
      <c r="C1048390"/>
    </row>
    <row r="1048391" spans="1:3" ht="14.25" x14ac:dyDescent="0.2">
      <c r="A1048391"/>
      <c r="B1048391"/>
      <c r="C1048391"/>
    </row>
    <row r="1048392" spans="1:3" ht="14.25" x14ac:dyDescent="0.2">
      <c r="A1048392"/>
      <c r="B1048392"/>
      <c r="C1048392"/>
    </row>
    <row r="1048393" spans="1:3" ht="14.25" x14ac:dyDescent="0.2">
      <c r="A1048393"/>
      <c r="B1048393"/>
      <c r="C1048393"/>
    </row>
    <row r="1048394" spans="1:3" ht="14.25" x14ac:dyDescent="0.2">
      <c r="A1048394"/>
      <c r="B1048394"/>
      <c r="C1048394"/>
    </row>
    <row r="1048395" spans="1:3" ht="14.25" x14ac:dyDescent="0.2">
      <c r="A1048395"/>
      <c r="B1048395"/>
      <c r="C1048395"/>
    </row>
    <row r="1048396" spans="1:3" ht="14.25" x14ac:dyDescent="0.2">
      <c r="A1048396"/>
      <c r="B1048396"/>
      <c r="C1048396"/>
    </row>
    <row r="1048397" spans="1:3" ht="14.25" x14ac:dyDescent="0.2">
      <c r="A1048397"/>
      <c r="B1048397"/>
      <c r="C1048397"/>
    </row>
    <row r="1048398" spans="1:3" ht="14.25" x14ac:dyDescent="0.2">
      <c r="A1048398"/>
      <c r="B1048398"/>
      <c r="C1048398"/>
    </row>
    <row r="1048399" spans="1:3" ht="14.25" x14ac:dyDescent="0.2">
      <c r="A1048399"/>
      <c r="B1048399"/>
      <c r="C1048399"/>
    </row>
    <row r="1048400" spans="1:3" ht="14.25" x14ac:dyDescent="0.2">
      <c r="A1048400"/>
      <c r="B1048400"/>
      <c r="C1048400"/>
    </row>
    <row r="1048401" spans="1:3" ht="14.25" x14ac:dyDescent="0.2">
      <c r="A1048401"/>
      <c r="B1048401"/>
      <c r="C1048401"/>
    </row>
    <row r="1048402" spans="1:3" ht="14.25" x14ac:dyDescent="0.2">
      <c r="A1048402"/>
      <c r="B1048402"/>
      <c r="C1048402"/>
    </row>
    <row r="1048403" spans="1:3" ht="14.25" x14ac:dyDescent="0.2">
      <c r="A1048403"/>
      <c r="B1048403"/>
      <c r="C1048403"/>
    </row>
    <row r="1048404" spans="1:3" ht="14.25" x14ac:dyDescent="0.2">
      <c r="A1048404"/>
      <c r="B1048404"/>
      <c r="C1048404"/>
    </row>
    <row r="1048405" spans="1:3" ht="14.25" x14ac:dyDescent="0.2">
      <c r="A1048405"/>
      <c r="B1048405"/>
      <c r="C1048405"/>
    </row>
    <row r="1048406" spans="1:3" ht="14.25" x14ac:dyDescent="0.2">
      <c r="A1048406"/>
      <c r="B1048406"/>
      <c r="C1048406"/>
    </row>
    <row r="1048407" spans="1:3" ht="14.25" x14ac:dyDescent="0.2">
      <c r="A1048407"/>
      <c r="B1048407"/>
      <c r="C1048407"/>
    </row>
    <row r="1048408" spans="1:3" ht="14.25" x14ac:dyDescent="0.2">
      <c r="A1048408"/>
      <c r="B1048408"/>
      <c r="C1048408"/>
    </row>
    <row r="1048409" spans="1:3" ht="14.25" x14ac:dyDescent="0.2">
      <c r="A1048409"/>
      <c r="B1048409"/>
      <c r="C1048409"/>
    </row>
    <row r="1048410" spans="1:3" ht="14.25" x14ac:dyDescent="0.2">
      <c r="A1048410"/>
      <c r="B1048410"/>
      <c r="C1048410"/>
    </row>
    <row r="1048411" spans="1:3" ht="14.25" x14ac:dyDescent="0.2">
      <c r="A1048411"/>
      <c r="B1048411"/>
      <c r="C1048411"/>
    </row>
    <row r="1048412" spans="1:3" ht="14.25" x14ac:dyDescent="0.2">
      <c r="A1048412"/>
      <c r="B1048412"/>
      <c r="C1048412"/>
    </row>
    <row r="1048413" spans="1:3" ht="14.25" x14ac:dyDescent="0.2">
      <c r="A1048413"/>
      <c r="B1048413"/>
      <c r="C1048413"/>
    </row>
    <row r="1048414" spans="1:3" ht="14.25" x14ac:dyDescent="0.2">
      <c r="A1048414"/>
      <c r="B1048414"/>
      <c r="C1048414"/>
    </row>
    <row r="1048415" spans="1:3" ht="14.25" x14ac:dyDescent="0.2">
      <c r="A1048415"/>
      <c r="B1048415"/>
      <c r="C1048415"/>
    </row>
    <row r="1048416" spans="1:3" ht="14.25" x14ac:dyDescent="0.2">
      <c r="A1048416"/>
      <c r="B1048416"/>
      <c r="C1048416"/>
    </row>
    <row r="1048417" spans="1:3" ht="14.25" x14ac:dyDescent="0.2">
      <c r="A1048417"/>
      <c r="B1048417"/>
      <c r="C1048417"/>
    </row>
    <row r="1048418" spans="1:3" ht="14.25" x14ac:dyDescent="0.2">
      <c r="A1048418"/>
      <c r="B1048418"/>
      <c r="C1048418"/>
    </row>
    <row r="1048419" spans="1:3" ht="14.25" x14ac:dyDescent="0.2">
      <c r="A1048419"/>
      <c r="B1048419"/>
      <c r="C1048419"/>
    </row>
    <row r="1048420" spans="1:3" ht="14.25" x14ac:dyDescent="0.2">
      <c r="A1048420"/>
      <c r="B1048420"/>
      <c r="C1048420"/>
    </row>
    <row r="1048421" spans="1:3" ht="14.25" x14ac:dyDescent="0.2">
      <c r="A1048421"/>
      <c r="B1048421"/>
      <c r="C1048421"/>
    </row>
    <row r="1048422" spans="1:3" ht="14.25" x14ac:dyDescent="0.2">
      <c r="A1048422"/>
      <c r="B1048422"/>
      <c r="C1048422"/>
    </row>
    <row r="1048423" spans="1:3" ht="14.25" x14ac:dyDescent="0.2">
      <c r="A1048423"/>
      <c r="B1048423"/>
      <c r="C1048423"/>
    </row>
    <row r="1048424" spans="1:3" ht="14.25" x14ac:dyDescent="0.2">
      <c r="A1048424"/>
      <c r="B1048424"/>
      <c r="C1048424"/>
    </row>
    <row r="1048425" spans="1:3" ht="14.25" x14ac:dyDescent="0.2">
      <c r="A1048425"/>
      <c r="B1048425"/>
      <c r="C1048425"/>
    </row>
    <row r="1048426" spans="1:3" ht="14.25" x14ac:dyDescent="0.2">
      <c r="A1048426"/>
      <c r="B1048426"/>
      <c r="C1048426"/>
    </row>
    <row r="1048427" spans="1:3" ht="14.25" x14ac:dyDescent="0.2">
      <c r="A1048427"/>
      <c r="B1048427"/>
      <c r="C1048427"/>
    </row>
    <row r="1048428" spans="1:3" ht="14.25" x14ac:dyDescent="0.2">
      <c r="A1048428"/>
      <c r="B1048428"/>
      <c r="C1048428"/>
    </row>
    <row r="1048429" spans="1:3" ht="14.25" x14ac:dyDescent="0.2">
      <c r="A1048429"/>
      <c r="B1048429"/>
      <c r="C1048429"/>
    </row>
    <row r="1048430" spans="1:3" ht="14.25" x14ac:dyDescent="0.2">
      <c r="A1048430"/>
      <c r="B1048430"/>
      <c r="C1048430"/>
    </row>
    <row r="1048431" spans="1:3" ht="14.25" x14ac:dyDescent="0.2">
      <c r="A1048431"/>
      <c r="B1048431"/>
      <c r="C1048431"/>
    </row>
    <row r="1048432" spans="1:3" ht="14.25" x14ac:dyDescent="0.2">
      <c r="A1048432"/>
      <c r="B1048432"/>
      <c r="C1048432"/>
    </row>
    <row r="1048433" spans="1:3" ht="14.25" x14ac:dyDescent="0.2">
      <c r="A1048433"/>
      <c r="B1048433"/>
      <c r="C1048433"/>
    </row>
    <row r="1048434" spans="1:3" ht="14.25" x14ac:dyDescent="0.2">
      <c r="A1048434"/>
      <c r="B1048434"/>
      <c r="C1048434"/>
    </row>
    <row r="1048435" spans="1:3" ht="14.25" x14ac:dyDescent="0.2">
      <c r="A1048435"/>
      <c r="B1048435"/>
      <c r="C1048435"/>
    </row>
    <row r="1048436" spans="1:3" ht="14.25" x14ac:dyDescent="0.2">
      <c r="A1048436"/>
      <c r="B1048436"/>
      <c r="C1048436"/>
    </row>
    <row r="1048437" spans="1:3" ht="14.25" x14ac:dyDescent="0.2">
      <c r="A1048437"/>
      <c r="B1048437"/>
      <c r="C1048437"/>
    </row>
    <row r="1048438" spans="1:3" ht="14.25" x14ac:dyDescent="0.2">
      <c r="A1048438"/>
      <c r="B1048438"/>
      <c r="C1048438"/>
    </row>
    <row r="1048439" spans="1:3" ht="14.25" x14ac:dyDescent="0.2">
      <c r="A1048439"/>
      <c r="B1048439"/>
      <c r="C1048439"/>
    </row>
    <row r="1048440" spans="1:3" ht="14.25" x14ac:dyDescent="0.2">
      <c r="A1048440"/>
      <c r="B1048440"/>
      <c r="C1048440"/>
    </row>
    <row r="1048441" spans="1:3" ht="14.25" x14ac:dyDescent="0.2">
      <c r="A1048441"/>
      <c r="B1048441"/>
      <c r="C1048441"/>
    </row>
    <row r="1048442" spans="1:3" ht="14.25" x14ac:dyDescent="0.2">
      <c r="A1048442"/>
      <c r="B1048442"/>
      <c r="C1048442"/>
    </row>
    <row r="1048443" spans="1:3" ht="14.25" x14ac:dyDescent="0.2">
      <c r="A1048443"/>
      <c r="B1048443"/>
      <c r="C1048443"/>
    </row>
    <row r="1048444" spans="1:3" ht="14.25" x14ac:dyDescent="0.2">
      <c r="A1048444"/>
      <c r="B1048444"/>
      <c r="C1048444"/>
    </row>
    <row r="1048445" spans="1:3" ht="14.25" x14ac:dyDescent="0.2">
      <c r="A1048445"/>
      <c r="B1048445"/>
      <c r="C1048445"/>
    </row>
    <row r="1048446" spans="1:3" ht="14.25" x14ac:dyDescent="0.2">
      <c r="A1048446"/>
      <c r="B1048446"/>
      <c r="C1048446"/>
    </row>
    <row r="1048447" spans="1:3" ht="14.25" x14ac:dyDescent="0.2">
      <c r="A1048447"/>
      <c r="B1048447"/>
      <c r="C1048447"/>
    </row>
    <row r="1048448" spans="1:3" ht="14.25" x14ac:dyDescent="0.2">
      <c r="A1048448"/>
      <c r="B1048448"/>
      <c r="C1048448"/>
    </row>
    <row r="1048449" spans="1:3" ht="14.25" x14ac:dyDescent="0.2">
      <c r="A1048449"/>
      <c r="B1048449"/>
      <c r="C1048449"/>
    </row>
    <row r="1048450" spans="1:3" ht="14.25" x14ac:dyDescent="0.2">
      <c r="A1048450"/>
      <c r="B1048450"/>
      <c r="C1048450"/>
    </row>
    <row r="1048451" spans="1:3" ht="14.25" x14ac:dyDescent="0.2">
      <c r="A1048451"/>
      <c r="B1048451"/>
      <c r="C1048451"/>
    </row>
    <row r="1048452" spans="1:3" ht="14.25" x14ac:dyDescent="0.2">
      <c r="A1048452"/>
      <c r="B1048452"/>
      <c r="C1048452"/>
    </row>
    <row r="1048453" spans="1:3" ht="14.25" x14ac:dyDescent="0.2">
      <c r="A1048453"/>
      <c r="B1048453"/>
      <c r="C1048453"/>
    </row>
    <row r="1048454" spans="1:3" ht="14.25" x14ac:dyDescent="0.2">
      <c r="A1048454"/>
      <c r="B1048454"/>
      <c r="C1048454"/>
    </row>
    <row r="1048455" spans="1:3" ht="14.25" x14ac:dyDescent="0.2">
      <c r="A1048455"/>
      <c r="B1048455"/>
      <c r="C1048455"/>
    </row>
    <row r="1048456" spans="1:3" ht="14.25" x14ac:dyDescent="0.2">
      <c r="A1048456"/>
      <c r="B1048456"/>
      <c r="C1048456"/>
    </row>
    <row r="1048457" spans="1:3" ht="14.25" x14ac:dyDescent="0.2">
      <c r="A1048457"/>
      <c r="B1048457"/>
      <c r="C1048457"/>
    </row>
    <row r="1048458" spans="1:3" ht="14.25" x14ac:dyDescent="0.2">
      <c r="A1048458"/>
      <c r="B1048458"/>
      <c r="C1048458"/>
    </row>
    <row r="1048459" spans="1:3" ht="14.25" x14ac:dyDescent="0.2">
      <c r="A1048459"/>
      <c r="B1048459"/>
      <c r="C1048459"/>
    </row>
    <row r="1048460" spans="1:3" ht="14.25" x14ac:dyDescent="0.2">
      <c r="A1048460"/>
      <c r="B1048460"/>
      <c r="C1048460"/>
    </row>
    <row r="1048461" spans="1:3" ht="14.25" x14ac:dyDescent="0.2">
      <c r="A1048461"/>
      <c r="B1048461"/>
      <c r="C1048461"/>
    </row>
    <row r="1048462" spans="1:3" ht="14.25" x14ac:dyDescent="0.2">
      <c r="A1048462"/>
      <c r="B1048462"/>
      <c r="C1048462"/>
    </row>
    <row r="1048463" spans="1:3" ht="14.25" x14ac:dyDescent="0.2">
      <c r="A1048463"/>
      <c r="B1048463"/>
      <c r="C1048463"/>
    </row>
    <row r="1048464" spans="1:3" ht="14.25" x14ac:dyDescent="0.2">
      <c r="A1048464"/>
      <c r="B1048464"/>
      <c r="C1048464"/>
    </row>
    <row r="1048465" spans="1:3" ht="14.25" x14ac:dyDescent="0.2">
      <c r="A1048465"/>
      <c r="B1048465"/>
      <c r="C1048465"/>
    </row>
    <row r="1048466" spans="1:3" ht="14.25" x14ac:dyDescent="0.2">
      <c r="A1048466"/>
      <c r="B1048466"/>
      <c r="C1048466"/>
    </row>
    <row r="1048467" spans="1:3" ht="14.25" x14ac:dyDescent="0.2">
      <c r="A1048467"/>
      <c r="B1048467"/>
      <c r="C1048467"/>
    </row>
    <row r="1048468" spans="1:3" ht="14.25" x14ac:dyDescent="0.2">
      <c r="A1048468"/>
      <c r="B1048468"/>
      <c r="C1048468"/>
    </row>
    <row r="1048469" spans="1:3" ht="14.25" x14ac:dyDescent="0.2">
      <c r="A1048469"/>
      <c r="B1048469"/>
      <c r="C1048469"/>
    </row>
    <row r="1048470" spans="1:3" ht="14.25" x14ac:dyDescent="0.2">
      <c r="A1048470"/>
      <c r="B1048470"/>
      <c r="C1048470"/>
    </row>
    <row r="1048471" spans="1:3" ht="14.25" x14ac:dyDescent="0.2">
      <c r="A1048471"/>
      <c r="B1048471"/>
      <c r="C1048471"/>
    </row>
    <row r="1048472" spans="1:3" ht="14.25" x14ac:dyDescent="0.2">
      <c r="A1048472"/>
      <c r="B1048472"/>
      <c r="C1048472"/>
    </row>
    <row r="1048473" spans="1:3" ht="14.25" x14ac:dyDescent="0.2">
      <c r="A1048473"/>
      <c r="B1048473"/>
      <c r="C1048473"/>
    </row>
    <row r="1048474" spans="1:3" ht="14.25" x14ac:dyDescent="0.2">
      <c r="A1048474"/>
      <c r="B1048474"/>
      <c r="C1048474"/>
    </row>
    <row r="1048475" spans="1:3" ht="14.25" x14ac:dyDescent="0.2">
      <c r="A1048475"/>
      <c r="B1048475"/>
      <c r="C1048475"/>
    </row>
    <row r="1048476" spans="1:3" ht="14.25" x14ac:dyDescent="0.2">
      <c r="A1048476"/>
      <c r="B1048476"/>
      <c r="C1048476"/>
    </row>
    <row r="1048477" spans="1:3" ht="14.25" x14ac:dyDescent="0.2">
      <c r="A1048477"/>
      <c r="B1048477"/>
      <c r="C1048477"/>
    </row>
    <row r="1048478" spans="1:3" ht="14.25" x14ac:dyDescent="0.2">
      <c r="A1048478"/>
      <c r="B1048478"/>
      <c r="C1048478"/>
    </row>
    <row r="1048479" spans="1:3" ht="14.25" x14ac:dyDescent="0.2">
      <c r="A1048479"/>
      <c r="B1048479"/>
      <c r="C1048479"/>
    </row>
    <row r="1048480" spans="1:3" ht="14.25" x14ac:dyDescent="0.2">
      <c r="A1048480"/>
      <c r="B1048480"/>
      <c r="C1048480"/>
    </row>
    <row r="1048481" spans="1:3" ht="14.25" x14ac:dyDescent="0.2">
      <c r="A1048481"/>
      <c r="B1048481"/>
      <c r="C1048481"/>
    </row>
    <row r="1048482" spans="1:3" ht="14.25" x14ac:dyDescent="0.2">
      <c r="A1048482"/>
      <c r="B1048482"/>
      <c r="C1048482"/>
    </row>
    <row r="1048483" spans="1:3" ht="14.25" x14ac:dyDescent="0.2">
      <c r="A1048483"/>
      <c r="B1048483"/>
      <c r="C1048483"/>
    </row>
    <row r="1048484" spans="1:3" ht="14.25" x14ac:dyDescent="0.2">
      <c r="A1048484"/>
      <c r="B1048484"/>
      <c r="C1048484"/>
    </row>
    <row r="1048485" spans="1:3" ht="14.25" x14ac:dyDescent="0.2">
      <c r="A1048485"/>
      <c r="B1048485"/>
      <c r="C1048485"/>
    </row>
    <row r="1048486" spans="1:3" ht="14.25" x14ac:dyDescent="0.2">
      <c r="A1048486"/>
      <c r="B1048486"/>
      <c r="C1048486"/>
    </row>
    <row r="1048487" spans="1:3" ht="14.25" x14ac:dyDescent="0.2">
      <c r="A1048487"/>
      <c r="B1048487"/>
      <c r="C1048487"/>
    </row>
    <row r="1048488" spans="1:3" ht="14.25" x14ac:dyDescent="0.2">
      <c r="A1048488"/>
      <c r="B1048488"/>
      <c r="C1048488"/>
    </row>
    <row r="1048489" spans="1:3" ht="14.25" x14ac:dyDescent="0.2">
      <c r="A1048489"/>
      <c r="B1048489"/>
      <c r="C1048489"/>
    </row>
    <row r="1048490" spans="1:3" ht="14.25" x14ac:dyDescent="0.2">
      <c r="A1048490"/>
      <c r="B1048490"/>
      <c r="C1048490"/>
    </row>
    <row r="1048491" spans="1:3" ht="14.25" x14ac:dyDescent="0.2">
      <c r="A1048491"/>
      <c r="B1048491"/>
      <c r="C1048491"/>
    </row>
    <row r="1048492" spans="1:3" ht="14.25" x14ac:dyDescent="0.2">
      <c r="A1048492"/>
      <c r="B1048492"/>
      <c r="C1048492"/>
    </row>
    <row r="1048493" spans="1:3" ht="14.25" x14ac:dyDescent="0.2">
      <c r="A1048493"/>
      <c r="B1048493"/>
      <c r="C1048493"/>
    </row>
    <row r="1048494" spans="1:3" ht="14.25" x14ac:dyDescent="0.2">
      <c r="A1048494"/>
      <c r="B1048494"/>
      <c r="C1048494"/>
    </row>
    <row r="1048495" spans="1:3" ht="14.25" x14ac:dyDescent="0.2">
      <c r="A1048495"/>
      <c r="B1048495"/>
      <c r="C1048495"/>
    </row>
    <row r="1048496" spans="1:3" ht="14.25" x14ac:dyDescent="0.2">
      <c r="A1048496"/>
      <c r="B1048496"/>
      <c r="C1048496"/>
    </row>
    <row r="1048497" spans="1:3" ht="14.25" x14ac:dyDescent="0.2">
      <c r="A1048497"/>
      <c r="B1048497"/>
      <c r="C1048497"/>
    </row>
    <row r="1048498" spans="1:3" ht="14.25" x14ac:dyDescent="0.2">
      <c r="A1048498"/>
      <c r="B1048498"/>
      <c r="C1048498"/>
    </row>
    <row r="1048499" spans="1:3" ht="14.25" x14ac:dyDescent="0.2">
      <c r="A1048499"/>
      <c r="B1048499"/>
      <c r="C1048499"/>
    </row>
    <row r="1048500" spans="1:3" ht="14.25" x14ac:dyDescent="0.2">
      <c r="A1048500"/>
      <c r="B1048500"/>
      <c r="C1048500"/>
    </row>
    <row r="1048501" spans="1:3" ht="14.25" x14ac:dyDescent="0.2">
      <c r="A1048501"/>
      <c r="B1048501"/>
      <c r="C1048501"/>
    </row>
    <row r="1048502" spans="1:3" ht="14.25" x14ac:dyDescent="0.2">
      <c r="A1048502"/>
      <c r="B1048502"/>
      <c r="C1048502"/>
    </row>
    <row r="1048503" spans="1:3" ht="14.25" x14ac:dyDescent="0.2">
      <c r="A1048503"/>
      <c r="B1048503"/>
      <c r="C1048503"/>
    </row>
    <row r="1048504" spans="1:3" ht="14.25" x14ac:dyDescent="0.2">
      <c r="A1048504"/>
      <c r="B1048504"/>
      <c r="C1048504"/>
    </row>
    <row r="1048505" spans="1:3" ht="14.25" x14ac:dyDescent="0.2">
      <c r="A1048505"/>
      <c r="B1048505"/>
      <c r="C1048505"/>
    </row>
    <row r="1048506" spans="1:3" ht="14.25" x14ac:dyDescent="0.2">
      <c r="A1048506"/>
      <c r="B1048506"/>
      <c r="C1048506"/>
    </row>
    <row r="1048507" spans="1:3" ht="14.25" x14ac:dyDescent="0.2">
      <c r="A1048507"/>
      <c r="B1048507"/>
      <c r="C1048507"/>
    </row>
    <row r="1048508" spans="1:3" ht="14.25" x14ac:dyDescent="0.2">
      <c r="A1048508"/>
      <c r="B1048508"/>
      <c r="C1048508"/>
    </row>
    <row r="1048509" spans="1:3" ht="14.25" x14ac:dyDescent="0.2">
      <c r="A1048509"/>
      <c r="B1048509"/>
      <c r="C1048509"/>
    </row>
    <row r="1048510" spans="1:3" ht="14.25" x14ac:dyDescent="0.2">
      <c r="A1048510"/>
      <c r="B1048510"/>
      <c r="C1048510"/>
    </row>
    <row r="1048511" spans="1:3" ht="14.25" x14ac:dyDescent="0.2">
      <c r="A1048511"/>
      <c r="B1048511"/>
      <c r="C1048511"/>
    </row>
    <row r="1048512" spans="1:3" ht="14.25" x14ac:dyDescent="0.2">
      <c r="A1048512"/>
      <c r="B1048512"/>
      <c r="C1048512"/>
    </row>
    <row r="1048513" spans="1:3" ht="14.25" x14ac:dyDescent="0.2">
      <c r="A1048513"/>
      <c r="B1048513"/>
      <c r="C1048513"/>
    </row>
    <row r="1048514" spans="1:3" ht="14.25" x14ac:dyDescent="0.2">
      <c r="A1048514"/>
      <c r="B1048514"/>
      <c r="C1048514"/>
    </row>
    <row r="1048515" spans="1:3" ht="14.25" x14ac:dyDescent="0.2">
      <c r="A1048515"/>
      <c r="B1048515"/>
      <c r="C1048515"/>
    </row>
    <row r="1048516" spans="1:3" ht="14.25" x14ac:dyDescent="0.2">
      <c r="A1048516"/>
      <c r="B1048516"/>
      <c r="C1048516"/>
    </row>
    <row r="1048517" spans="1:3" ht="14.25" x14ac:dyDescent="0.2">
      <c r="A1048517"/>
      <c r="B1048517"/>
      <c r="C1048517"/>
    </row>
    <row r="1048518" spans="1:3" ht="14.25" x14ac:dyDescent="0.2">
      <c r="A1048518"/>
      <c r="B1048518"/>
      <c r="C1048518"/>
    </row>
    <row r="1048519" spans="1:3" ht="14.25" x14ac:dyDescent="0.2">
      <c r="A1048519"/>
      <c r="B1048519"/>
      <c r="C1048519"/>
    </row>
    <row r="1048520" spans="1:3" ht="14.25" x14ac:dyDescent="0.2">
      <c r="A1048520"/>
      <c r="B1048520"/>
      <c r="C1048520"/>
    </row>
    <row r="1048521" spans="1:3" ht="14.25" x14ac:dyDescent="0.2">
      <c r="A1048521"/>
      <c r="B1048521"/>
      <c r="C1048521"/>
    </row>
    <row r="1048522" spans="1:3" ht="14.25" x14ac:dyDescent="0.2">
      <c r="A1048522"/>
      <c r="B1048522"/>
      <c r="C1048522"/>
    </row>
    <row r="1048523" spans="1:3" ht="14.25" x14ac:dyDescent="0.2">
      <c r="A1048523"/>
      <c r="B1048523"/>
      <c r="C1048523"/>
    </row>
    <row r="1048524" spans="1:3" ht="14.25" x14ac:dyDescent="0.2">
      <c r="A1048524"/>
      <c r="B1048524"/>
      <c r="C1048524"/>
    </row>
    <row r="1048525" spans="1:3" ht="14.25" x14ac:dyDescent="0.2">
      <c r="A1048525"/>
      <c r="B1048525"/>
      <c r="C1048525"/>
    </row>
    <row r="1048526" spans="1:3" ht="14.25" x14ac:dyDescent="0.2">
      <c r="A1048526"/>
      <c r="B1048526"/>
      <c r="C1048526"/>
    </row>
    <row r="1048527" spans="1:3" ht="14.25" x14ac:dyDescent="0.2">
      <c r="A1048527"/>
      <c r="B1048527"/>
      <c r="C1048527"/>
    </row>
    <row r="1048528" spans="1:3" ht="14.25" x14ac:dyDescent="0.2">
      <c r="A1048528"/>
      <c r="B1048528"/>
      <c r="C1048528"/>
    </row>
    <row r="1048529" spans="1:3" ht="14.25" x14ac:dyDescent="0.2">
      <c r="A1048529"/>
      <c r="B1048529"/>
      <c r="C1048529"/>
    </row>
    <row r="1048530" spans="1:3" ht="14.25" x14ac:dyDescent="0.2">
      <c r="A1048530"/>
      <c r="B1048530"/>
      <c r="C1048530"/>
    </row>
    <row r="1048531" spans="1:3" ht="14.25" x14ac:dyDescent="0.2">
      <c r="A1048531"/>
      <c r="B1048531"/>
      <c r="C1048531"/>
    </row>
    <row r="1048532" spans="1:3" ht="14.25" x14ac:dyDescent="0.2">
      <c r="A1048532"/>
      <c r="B1048532"/>
      <c r="C1048532"/>
    </row>
    <row r="1048533" spans="1:3" ht="14.25" x14ac:dyDescent="0.2">
      <c r="A1048533"/>
      <c r="B1048533"/>
      <c r="C1048533"/>
    </row>
    <row r="1048534" spans="1:3" ht="14.25" x14ac:dyDescent="0.2">
      <c r="A1048534"/>
      <c r="B1048534"/>
      <c r="C1048534"/>
    </row>
    <row r="1048535" spans="1:3" ht="14.25" x14ac:dyDescent="0.2">
      <c r="A1048535"/>
      <c r="B1048535"/>
      <c r="C1048535"/>
    </row>
    <row r="1048536" spans="1:3" ht="14.25" x14ac:dyDescent="0.2">
      <c r="A1048536"/>
      <c r="B1048536"/>
      <c r="C1048536"/>
    </row>
    <row r="1048537" spans="1:3" ht="14.25" x14ac:dyDescent="0.2">
      <c r="A1048537"/>
      <c r="B1048537"/>
      <c r="C1048537"/>
    </row>
    <row r="1048538" spans="1:3" ht="14.25" x14ac:dyDescent="0.2">
      <c r="A1048538"/>
      <c r="B1048538"/>
      <c r="C1048538"/>
    </row>
    <row r="1048539" spans="1:3" ht="14.25" x14ac:dyDescent="0.2">
      <c r="A1048539"/>
      <c r="B1048539"/>
      <c r="C1048539"/>
    </row>
    <row r="1048540" spans="1:3" ht="14.25" x14ac:dyDescent="0.2">
      <c r="A1048540"/>
      <c r="B1048540"/>
      <c r="C1048540"/>
    </row>
    <row r="1048541" spans="1:3" ht="14.25" x14ac:dyDescent="0.2">
      <c r="A1048541"/>
      <c r="B1048541"/>
      <c r="C1048541"/>
    </row>
    <row r="1048542" spans="1:3" ht="14.25" x14ac:dyDescent="0.2">
      <c r="A1048542"/>
      <c r="B1048542"/>
      <c r="C1048542"/>
    </row>
    <row r="1048543" spans="1:3" ht="14.25" x14ac:dyDescent="0.2">
      <c r="A1048543"/>
      <c r="B1048543"/>
      <c r="C1048543"/>
    </row>
    <row r="1048544" spans="1:3" ht="14.25" x14ac:dyDescent="0.2">
      <c r="A1048544"/>
      <c r="B1048544"/>
      <c r="C1048544"/>
    </row>
    <row r="1048545" spans="1:3" ht="14.25" x14ac:dyDescent="0.2">
      <c r="A1048545"/>
      <c r="B1048545"/>
      <c r="C1048545"/>
    </row>
    <row r="1048546" spans="1:3" ht="14.25" x14ac:dyDescent="0.2">
      <c r="A1048546"/>
      <c r="B1048546"/>
      <c r="C1048546"/>
    </row>
    <row r="1048547" spans="1:3" ht="14.25" x14ac:dyDescent="0.2">
      <c r="A1048547"/>
      <c r="B1048547"/>
      <c r="C1048547"/>
    </row>
    <row r="1048548" spans="1:3" ht="14.25" x14ac:dyDescent="0.2">
      <c r="A1048548"/>
      <c r="B1048548"/>
      <c r="C1048548"/>
    </row>
    <row r="1048549" spans="1:3" ht="14.25" x14ac:dyDescent="0.2">
      <c r="A1048549"/>
      <c r="B1048549"/>
      <c r="C1048549"/>
    </row>
    <row r="1048550" spans="1:3" ht="14.25" x14ac:dyDescent="0.2">
      <c r="A1048550"/>
      <c r="B1048550"/>
      <c r="C1048550"/>
    </row>
    <row r="1048551" spans="1:3" ht="14.25" x14ac:dyDescent="0.2">
      <c r="A1048551"/>
      <c r="B1048551"/>
      <c r="C1048551"/>
    </row>
    <row r="1048552" spans="1:3" ht="14.25" x14ac:dyDescent="0.2">
      <c r="A1048552"/>
      <c r="B1048552"/>
      <c r="C1048552"/>
    </row>
    <row r="1048553" spans="1:3" ht="14.25" x14ac:dyDescent="0.2">
      <c r="A1048553"/>
      <c r="B1048553"/>
      <c r="C1048553"/>
    </row>
    <row r="1048554" spans="1:3" ht="14.25" x14ac:dyDescent="0.2">
      <c r="A1048554"/>
      <c r="B1048554"/>
      <c r="C1048554"/>
    </row>
    <row r="1048555" spans="1:3" ht="14.25" x14ac:dyDescent="0.2">
      <c r="A1048555"/>
      <c r="B1048555"/>
      <c r="C1048555"/>
    </row>
    <row r="1048556" spans="1:3" ht="14.25" x14ac:dyDescent="0.2">
      <c r="A1048556"/>
      <c r="B1048556"/>
      <c r="C1048556"/>
    </row>
    <row r="1048557" spans="1:3" ht="14.25" x14ac:dyDescent="0.2">
      <c r="A1048557"/>
      <c r="B1048557"/>
      <c r="C1048557"/>
    </row>
    <row r="1048558" spans="1:3" ht="14.25" x14ac:dyDescent="0.2">
      <c r="A1048558"/>
      <c r="B1048558"/>
      <c r="C1048558"/>
    </row>
    <row r="1048559" spans="1:3" ht="14.25" x14ac:dyDescent="0.2">
      <c r="A1048559"/>
      <c r="B1048559"/>
      <c r="C1048559"/>
    </row>
    <row r="1048560" spans="1:3" ht="14.25" x14ac:dyDescent="0.2">
      <c r="A1048560"/>
      <c r="B1048560"/>
      <c r="C1048560"/>
    </row>
    <row r="1048561" spans="1:3" ht="14.25" x14ac:dyDescent="0.2">
      <c r="A1048561"/>
      <c r="B1048561"/>
      <c r="C1048561"/>
    </row>
    <row r="1048562" spans="1:3" ht="14.25" x14ac:dyDescent="0.2">
      <c r="A1048562"/>
      <c r="B1048562"/>
      <c r="C1048562"/>
    </row>
    <row r="1048563" spans="1:3" ht="14.25" x14ac:dyDescent="0.2">
      <c r="A1048563"/>
      <c r="B1048563"/>
      <c r="C1048563"/>
    </row>
    <row r="1048564" spans="1:3" ht="14.25" x14ac:dyDescent="0.2">
      <c r="A1048564"/>
      <c r="B1048564"/>
      <c r="C1048564"/>
    </row>
    <row r="1048565" spans="1:3" ht="14.25" x14ac:dyDescent="0.2">
      <c r="A1048565"/>
      <c r="B1048565"/>
      <c r="C1048565"/>
    </row>
    <row r="1048566" spans="1:3" ht="14.25" x14ac:dyDescent="0.2">
      <c r="A1048566"/>
      <c r="B1048566"/>
      <c r="C1048566"/>
    </row>
    <row r="1048567" spans="1:3" ht="14.25" x14ac:dyDescent="0.2">
      <c r="A1048567"/>
      <c r="B1048567"/>
      <c r="C1048567"/>
    </row>
    <row r="1048568" spans="1:3" ht="14.25" x14ac:dyDescent="0.2">
      <c r="A1048568"/>
      <c r="B1048568"/>
      <c r="C1048568"/>
    </row>
    <row r="1048569" spans="1:3" ht="14.25" x14ac:dyDescent="0.2">
      <c r="A1048569"/>
      <c r="B1048569"/>
      <c r="C1048569"/>
    </row>
    <row r="1048570" spans="1:3" ht="14.25" x14ac:dyDescent="0.2">
      <c r="A1048570"/>
      <c r="B1048570"/>
      <c r="C1048570"/>
    </row>
    <row r="1048571" spans="1:3" ht="14.25" x14ac:dyDescent="0.2">
      <c r="A1048571"/>
      <c r="B1048571"/>
      <c r="C1048571"/>
    </row>
    <row r="1048572" spans="1:3" ht="14.25" x14ac:dyDescent="0.2">
      <c r="A1048572"/>
      <c r="B1048572"/>
      <c r="C1048572"/>
    </row>
    <row r="1048573" spans="1:3" ht="14.25" x14ac:dyDescent="0.2">
      <c r="A1048573"/>
      <c r="B1048573"/>
      <c r="C1048573"/>
    </row>
    <row r="1048574" spans="1:3" ht="14.25" x14ac:dyDescent="0.2">
      <c r="A1048574"/>
      <c r="B1048574"/>
      <c r="C1048574"/>
    </row>
    <row r="1048575" spans="1:3" ht="14.25" x14ac:dyDescent="0.2">
      <c r="A1048575"/>
      <c r="B1048575"/>
      <c r="C1048575"/>
    </row>
    <row r="1048576" spans="1:3" ht="14.25" x14ac:dyDescent="0.2">
      <c r="A1048576"/>
      <c r="B1048576"/>
      <c r="C1048576"/>
    </row>
  </sheetData>
  <mergeCells count="25">
    <mergeCell ref="C25:D25"/>
    <mergeCell ref="A13:A16"/>
    <mergeCell ref="B2:B3"/>
    <mergeCell ref="C2:C3"/>
    <mergeCell ref="G2:H2"/>
    <mergeCell ref="A10:A12"/>
    <mergeCell ref="A7:A9"/>
    <mergeCell ref="A4:A6"/>
    <mergeCell ref="C23:D23"/>
    <mergeCell ref="C18:D18"/>
    <mergeCell ref="C19:D19"/>
    <mergeCell ref="C20:D20"/>
    <mergeCell ref="C21:D21"/>
    <mergeCell ref="C22:D22"/>
    <mergeCell ref="K2:L2"/>
    <mergeCell ref="G18:H18"/>
    <mergeCell ref="K18:L18"/>
    <mergeCell ref="AK2:AL2"/>
    <mergeCell ref="AK18:AL18"/>
    <mergeCell ref="W2:X2"/>
    <mergeCell ref="M2:N2"/>
    <mergeCell ref="U2:V2"/>
    <mergeCell ref="U18:V18"/>
    <mergeCell ref="W18:X18"/>
    <mergeCell ref="M18:N18"/>
  </mergeCells>
  <dataValidations count="8">
    <dataValidation type="list" allowBlank="1" showInputMessage="1" showErrorMessage="1" promptTitle="MO ATELIER" prompt="choisir catégorie" sqref="B7:B8" xr:uid="{00000000-0002-0000-0E00-000000000000}">
      <formula1>CATEGORIE_MOA</formula1>
    </dataValidation>
    <dataValidation type="list" allowBlank="1" showInputMessage="1" showErrorMessage="1" promptTitle="MATIERES" prompt="choisir le produit" sqref="C4:C5" xr:uid="{1558660B-80D8-47D5-9CB9-DC1C20D72F7B}">
      <formula1>INDIRECT(B4)</formula1>
    </dataValidation>
    <dataValidation type="list" allowBlank="1" showInputMessage="1" showErrorMessage="1" promptTitle="MATIERES" prompt="choisir catégorie" sqref="B4:B5" xr:uid="{00000000-0002-0000-0E00-000002000000}">
      <formula1>MOA_ALIM</formula1>
    </dataValidation>
    <dataValidation type="list" allowBlank="1" showInputMessage="1" showErrorMessage="1" promptTitle="Main d'oeuvre ATELIER" prompt="choisir la prestation" sqref="C7:C8" xr:uid="{00000000-0002-0000-0E00-000003000000}">
      <formula1>INDIRECT(B7)</formula1>
    </dataValidation>
    <dataValidation type="list" allowBlank="1" showInputMessage="1" promptTitle="Main d'oeuvre CHANTIER" prompt="choisir la prestation" sqref="C10:C11" xr:uid="{00000000-0002-0000-0E00-000004000000}">
      <formula1>INDIRECT(B10)</formula1>
    </dataValidation>
    <dataValidation type="list" allowBlank="1" showInputMessage="1" showErrorMessage="1" promptTitle="Catégorie MOC" prompt="choisir" sqref="B10:B11" xr:uid="{00000000-0002-0000-0E00-000005000000}">
      <formula1>CATEGORIE_MOC</formula1>
    </dataValidation>
    <dataValidation type="list" allowBlank="1" showInputMessage="1" promptTitle="MINIPELLE" prompt="choisir la prestation" sqref="C13:C15" xr:uid="{00000000-0002-0000-0E00-000006000000}">
      <formula1>INDIRECT(B13)</formula1>
    </dataValidation>
    <dataValidation type="list" allowBlank="1" showInputMessage="1" showErrorMessage="1" promptTitle="MINIPELLE" prompt="choisir catégorie" sqref="B13:B15" xr:uid="{00000000-0002-0000-0E00-000007000000}">
      <formula1>CATEGORIE_MP</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MATIERES!#REF!</xm:f>
          </x14:formula1>
          <xm:sqref>B6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published="0" codeName="Feuil14"/>
  <dimension ref="A1:AM24"/>
  <sheetViews>
    <sheetView zoomScale="70" zoomScaleNormal="70" workbookViewId="0">
      <pane xSplit="4" ySplit="3" topLeftCell="I8" activePane="bottomRight" state="frozen"/>
      <selection pane="topRight" activeCell="E1" sqref="E1"/>
      <selection pane="bottomLeft" activeCell="A4" sqref="A4"/>
      <selection pane="bottomRight" activeCell="AM6" sqref="AM6"/>
    </sheetView>
  </sheetViews>
  <sheetFormatPr baseColWidth="10" defaultRowHeight="18" x14ac:dyDescent="0.2"/>
  <cols>
    <col min="1" max="1" width="18.125" style="210" customWidth="1"/>
    <col min="2" max="2" width="23.125" style="233" customWidth="1"/>
    <col min="3" max="3" width="43.125" style="212" customWidth="1"/>
    <col min="4" max="4" width="10.625" style="135" customWidth="1"/>
    <col min="5" max="6" width="0.5" style="390" customWidth="1"/>
    <col min="7" max="7" width="13.625" style="135" customWidth="1"/>
    <col min="8" max="8" width="18.625" style="135" customWidth="1"/>
    <col min="9" max="10" width="0.625" style="390" customWidth="1"/>
    <col min="11" max="11" width="12.5" style="135" customWidth="1"/>
    <col min="12" max="12" width="14.5" style="135" customWidth="1"/>
    <col min="13" max="13" width="11" style="135" customWidth="1"/>
    <col min="14" max="14" width="13" style="135" customWidth="1"/>
    <col min="15" max="20" width="0.625" style="390" customWidth="1"/>
    <col min="21" max="21" width="11.625" style="135" customWidth="1"/>
    <col min="22" max="22" width="16.5" style="135" customWidth="1"/>
    <col min="23" max="23" width="11" style="135" customWidth="1"/>
    <col min="24" max="24" width="12" style="135" customWidth="1"/>
    <col min="25" max="35" width="0.625" style="390" hidden="1" customWidth="1"/>
    <col min="36" max="36" width="0.625" style="390" customWidth="1"/>
    <col min="37" max="37" width="12.125" style="135" customWidth="1"/>
    <col min="38" max="38" width="12" style="135" customWidth="1"/>
    <col min="39" max="827" width="11.5" customWidth="1"/>
  </cols>
  <sheetData>
    <row r="1" spans="1:38" ht="11.85" customHeight="1" x14ac:dyDescent="0.2">
      <c r="A1" s="535"/>
      <c r="B1" s="536"/>
      <c r="C1" s="539"/>
      <c r="D1" s="535"/>
      <c r="E1" s="540"/>
      <c r="F1" s="540"/>
      <c r="G1" s="535">
        <v>5</v>
      </c>
      <c r="H1" s="535">
        <v>3</v>
      </c>
      <c r="I1" s="540"/>
      <c r="J1" s="540"/>
      <c r="K1" s="535">
        <v>9</v>
      </c>
      <c r="L1" s="535">
        <v>5</v>
      </c>
      <c r="M1" s="535">
        <v>11</v>
      </c>
      <c r="N1" s="535">
        <v>6</v>
      </c>
      <c r="O1" s="540"/>
      <c r="P1" s="540"/>
      <c r="Q1" s="540"/>
      <c r="R1" s="540"/>
      <c r="S1" s="540"/>
      <c r="T1" s="540"/>
      <c r="U1" s="535">
        <v>19</v>
      </c>
      <c r="V1" s="535">
        <v>10</v>
      </c>
      <c r="W1" s="535">
        <v>21</v>
      </c>
      <c r="X1" s="535" t="s">
        <v>460</v>
      </c>
      <c r="Y1" s="540"/>
      <c r="Z1" s="540"/>
      <c r="AA1" s="540"/>
      <c r="AB1" s="540"/>
      <c r="AC1" s="540"/>
      <c r="AD1" s="540"/>
      <c r="AE1" s="540"/>
      <c r="AF1" s="540"/>
      <c r="AG1" s="540"/>
      <c r="AH1" s="540"/>
      <c r="AI1" s="540"/>
      <c r="AJ1" s="540"/>
      <c r="AK1" s="535">
        <v>35</v>
      </c>
      <c r="AL1" s="535" t="s">
        <v>466</v>
      </c>
    </row>
    <row r="2" spans="1:38" ht="35.1" customHeight="1" x14ac:dyDescent="0.2">
      <c r="A2" s="174"/>
      <c r="B2" s="1588" t="s">
        <v>1293</v>
      </c>
      <c r="C2" s="1590" t="s">
        <v>443</v>
      </c>
      <c r="D2" s="214" t="s">
        <v>203</v>
      </c>
      <c r="E2" s="504"/>
      <c r="F2" s="504"/>
      <c r="G2" s="1571">
        <v>3</v>
      </c>
      <c r="H2" s="1571"/>
      <c r="I2" s="504"/>
      <c r="J2" s="504"/>
      <c r="K2" s="1583">
        <v>5</v>
      </c>
      <c r="L2" s="1583"/>
      <c r="M2" s="1583">
        <v>6</v>
      </c>
      <c r="N2" s="1583"/>
      <c r="O2" s="504"/>
      <c r="P2" s="504"/>
      <c r="Q2" s="504"/>
      <c r="R2" s="504"/>
      <c r="S2" s="504"/>
      <c r="T2" s="504"/>
      <c r="U2" s="1583">
        <v>10</v>
      </c>
      <c r="V2" s="1583"/>
      <c r="W2" s="1583">
        <v>12</v>
      </c>
      <c r="X2" s="1583"/>
      <c r="Y2" s="504"/>
      <c r="Z2" s="504"/>
      <c r="AA2" s="504"/>
      <c r="AB2" s="504"/>
      <c r="AC2" s="504"/>
      <c r="AD2" s="504"/>
      <c r="AE2" s="504"/>
      <c r="AF2" s="504"/>
      <c r="AG2" s="504"/>
      <c r="AH2" s="504"/>
      <c r="AI2" s="504"/>
      <c r="AJ2" s="504"/>
      <c r="AK2" s="1619">
        <v>20</v>
      </c>
      <c r="AL2" s="1620"/>
    </row>
    <row r="3" spans="1:38" ht="35.1" customHeight="1" x14ac:dyDescent="0.2">
      <c r="A3" s="174"/>
      <c r="B3" s="1589"/>
      <c r="C3" s="1590"/>
      <c r="D3" s="176" t="s">
        <v>222</v>
      </c>
      <c r="E3" s="505"/>
      <c r="F3" s="505"/>
      <c r="G3" s="236" t="s">
        <v>444</v>
      </c>
      <c r="H3" s="115" t="s">
        <v>445</v>
      </c>
      <c r="I3" s="514"/>
      <c r="J3" s="514"/>
      <c r="K3" s="115" t="s">
        <v>444</v>
      </c>
      <c r="L3" s="115" t="s">
        <v>445</v>
      </c>
      <c r="M3" s="115" t="s">
        <v>444</v>
      </c>
      <c r="N3" s="115" t="s">
        <v>445</v>
      </c>
      <c r="O3" s="514"/>
      <c r="P3" s="514"/>
      <c r="Q3" s="514"/>
      <c r="R3" s="514"/>
      <c r="S3" s="514"/>
      <c r="T3" s="514"/>
      <c r="U3" s="115" t="s">
        <v>444</v>
      </c>
      <c r="V3" s="115" t="s">
        <v>445</v>
      </c>
      <c r="W3" s="115" t="s">
        <v>444</v>
      </c>
      <c r="X3" s="115" t="s">
        <v>445</v>
      </c>
      <c r="Y3" s="514"/>
      <c r="Z3" s="514"/>
      <c r="AA3" s="514"/>
      <c r="AB3" s="514"/>
      <c r="AC3" s="514"/>
      <c r="AD3" s="514"/>
      <c r="AE3" s="514"/>
      <c r="AF3" s="514"/>
      <c r="AG3" s="514"/>
      <c r="AH3" s="514"/>
      <c r="AI3" s="514"/>
      <c r="AJ3" s="514"/>
      <c r="AK3" s="115" t="s">
        <v>444</v>
      </c>
      <c r="AL3" s="115" t="s">
        <v>445</v>
      </c>
    </row>
    <row r="4" spans="1:38" ht="27.6" customHeight="1" x14ac:dyDescent="0.2">
      <c r="A4" s="1622" t="s">
        <v>1078</v>
      </c>
      <c r="B4" s="361" t="s">
        <v>127</v>
      </c>
      <c r="C4" s="313" t="s">
        <v>1113</v>
      </c>
      <c r="D4" s="363" t="str">
        <f>IF($C4="","",VLOOKUP($C4,MATIERES!$A$2:$F$448,5,0))</f>
        <v>t</v>
      </c>
      <c r="E4" s="506"/>
      <c r="F4" s="506"/>
      <c r="G4" s="180">
        <f>0.15*G2*1.6</f>
        <v>0.72</v>
      </c>
      <c r="H4" s="181">
        <f>IF($C4="","",G4*VLOOKUP($C4,MATIERES!$A$2:$F$448,4,0))</f>
        <v>21.599999999999998</v>
      </c>
      <c r="I4" s="180">
        <f t="shared" ref="I4" si="0">0.15*I2*1.6</f>
        <v>0</v>
      </c>
      <c r="J4" s="181">
        <f>IF($C4="","",I4*VLOOKUP($C4,MATIERES!$A$2:$F$448,4,0))</f>
        <v>0</v>
      </c>
      <c r="K4" s="180">
        <f t="shared" ref="K4" si="1">0.15*K2*1.6</f>
        <v>1.2000000000000002</v>
      </c>
      <c r="L4" s="181">
        <f>IF($C4="","",K4*VLOOKUP($C4,MATIERES!$A$2:$F$448,4,0))</f>
        <v>36.000000000000007</v>
      </c>
      <c r="M4" s="180">
        <f t="shared" ref="M4" si="2">0.15*M2*1.6</f>
        <v>1.44</v>
      </c>
      <c r="N4" s="181">
        <f>IF($C4="","",M4*VLOOKUP($C4,MATIERES!$A$2:$F$448,4,0))</f>
        <v>43.199999999999996</v>
      </c>
      <c r="O4" s="180">
        <f t="shared" ref="O4" si="3">0.15*O2*1.6</f>
        <v>0</v>
      </c>
      <c r="P4" s="181">
        <f>IF($C4="","",O4*VLOOKUP($C4,MATIERES!$A$2:$F$448,4,0))</f>
        <v>0</v>
      </c>
      <c r="Q4" s="180">
        <f t="shared" ref="Q4" si="4">0.15*Q2*1.6</f>
        <v>0</v>
      </c>
      <c r="R4" s="181">
        <f>IF($C4="","",Q4*VLOOKUP($C4,MATIERES!$A$2:$F$448,4,0))</f>
        <v>0</v>
      </c>
      <c r="S4" s="180">
        <f t="shared" ref="S4" si="5">0.15*S2*1.6</f>
        <v>0</v>
      </c>
      <c r="T4" s="181">
        <f>IF($C4="","",S4*VLOOKUP($C4,MATIERES!$A$2:$F$448,4,0))</f>
        <v>0</v>
      </c>
      <c r="U4" s="180">
        <f t="shared" ref="U4" si="6">0.15*U2*1.6</f>
        <v>2.4000000000000004</v>
      </c>
      <c r="V4" s="181">
        <f>IF($C4="","",U4*VLOOKUP($C4,MATIERES!$A$2:$F$448,4,0))</f>
        <v>72.000000000000014</v>
      </c>
      <c r="W4" s="180">
        <f t="shared" ref="W4" si="7">0.15*W2*1.6</f>
        <v>2.88</v>
      </c>
      <c r="X4" s="181">
        <f>IF($C4="","",W4*VLOOKUP($C4,MATIERES!$A$2:$F$448,4,0))</f>
        <v>86.399999999999991</v>
      </c>
      <c r="Y4" s="180">
        <f t="shared" ref="Y4" si="8">0.15*Y2*1.6</f>
        <v>0</v>
      </c>
      <c r="Z4" s="181">
        <f>IF($C4="","",Y4*VLOOKUP($C4,MATIERES!$A$2:$F$448,4,0))</f>
        <v>0</v>
      </c>
      <c r="AA4" s="180">
        <f t="shared" ref="AA4" si="9">0.15*AA2*1.6</f>
        <v>0</v>
      </c>
      <c r="AB4" s="181">
        <f>IF($C4="","",AA4*VLOOKUP($C4,MATIERES!$A$2:$F$448,4,0))</f>
        <v>0</v>
      </c>
      <c r="AC4" s="180">
        <f t="shared" ref="AC4" si="10">0.15*AC2*1.6</f>
        <v>0</v>
      </c>
      <c r="AD4" s="181">
        <f>IF($C4="","",AC4*VLOOKUP($C4,MATIERES!$A$2:$F$448,4,0))</f>
        <v>0</v>
      </c>
      <c r="AE4" s="180">
        <f t="shared" ref="AE4" si="11">0.15*AE2*1.6</f>
        <v>0</v>
      </c>
      <c r="AF4" s="181">
        <f>IF($C4="","",AE4*VLOOKUP($C4,MATIERES!$A$2:$F$448,4,0))</f>
        <v>0</v>
      </c>
      <c r="AG4" s="180">
        <f t="shared" ref="AG4" si="12">0.15*AG2*1.6</f>
        <v>0</v>
      </c>
      <c r="AH4" s="181">
        <f>IF($C4="","",AG4*VLOOKUP($C4,MATIERES!$A$2:$F$448,4,0))</f>
        <v>0</v>
      </c>
      <c r="AI4" s="180">
        <f t="shared" ref="AI4" si="13">0.15*AI2*1.6</f>
        <v>0</v>
      </c>
      <c r="AJ4" s="181">
        <f>IF($C4="","",AI4*VLOOKUP($C4,MATIERES!$A$2:$F$448,4,0))</f>
        <v>0</v>
      </c>
      <c r="AK4" s="180">
        <f t="shared" ref="AK4" si="14">0.15*AK2*1.6</f>
        <v>4.8000000000000007</v>
      </c>
      <c r="AL4" s="181">
        <f>IF($C4="","",AK4*VLOOKUP($C4,MATIERES!$A$2:$F$448,4,0))</f>
        <v>144.00000000000003</v>
      </c>
    </row>
    <row r="5" spans="1:38" ht="28.35" customHeight="1" x14ac:dyDescent="0.2">
      <c r="A5" s="1623"/>
      <c r="B5" s="361"/>
      <c r="C5" s="362"/>
      <c r="D5" s="363"/>
      <c r="E5" s="506"/>
      <c r="F5" s="506"/>
      <c r="G5" s="180"/>
      <c r="H5" s="181"/>
      <c r="I5" s="180"/>
      <c r="J5" s="181"/>
      <c r="K5" s="180"/>
      <c r="L5" s="181"/>
      <c r="M5" s="180"/>
      <c r="N5" s="181"/>
      <c r="O5" s="180"/>
      <c r="P5" s="181"/>
      <c r="Q5" s="180"/>
      <c r="R5" s="181"/>
      <c r="S5" s="180"/>
      <c r="T5" s="181"/>
      <c r="U5" s="180"/>
      <c r="V5" s="181"/>
      <c r="W5" s="180"/>
      <c r="X5" s="181"/>
      <c r="Y5" s="180"/>
      <c r="Z5" s="181"/>
      <c r="AA5" s="180"/>
      <c r="AB5" s="181"/>
      <c r="AC5" s="180"/>
      <c r="AD5" s="181"/>
      <c r="AE5" s="180"/>
      <c r="AF5" s="181"/>
      <c r="AG5" s="180"/>
      <c r="AH5" s="181"/>
      <c r="AI5" s="180"/>
      <c r="AJ5" s="181"/>
      <c r="AK5" s="180"/>
      <c r="AL5" s="181"/>
    </row>
    <row r="6" spans="1:38" ht="57" customHeight="1" x14ac:dyDescent="0.2">
      <c r="A6" s="309"/>
      <c r="B6" s="413" t="s">
        <v>1173</v>
      </c>
      <c r="C6" s="182" t="s">
        <v>446</v>
      </c>
      <c r="D6" s="183" t="s">
        <v>447</v>
      </c>
      <c r="E6" s="507"/>
      <c r="F6" s="507"/>
      <c r="G6" s="184">
        <f>H6*(1+Simulation!$P$11)</f>
        <v>28.08</v>
      </c>
      <c r="H6" s="185">
        <f>SUM(H4:H5)</f>
        <v>21.599999999999998</v>
      </c>
      <c r="I6" s="184">
        <f>J6*(1+Simulation!$P$11)</f>
        <v>0</v>
      </c>
      <c r="J6" s="185">
        <f t="shared" ref="J6" si="15">SUM(J4:J5)</f>
        <v>0</v>
      </c>
      <c r="K6" s="184">
        <f>L6*(1+Simulation!$P$11)</f>
        <v>46.800000000000011</v>
      </c>
      <c r="L6" s="185">
        <f t="shared" ref="L6" si="16">SUM(L4:L5)</f>
        <v>36.000000000000007</v>
      </c>
      <c r="M6" s="184">
        <f>N6*(1+Simulation!$P$11)</f>
        <v>56.16</v>
      </c>
      <c r="N6" s="185">
        <f t="shared" ref="N6" si="17">SUM(N4:N5)</f>
        <v>43.199999999999996</v>
      </c>
      <c r="O6" s="184">
        <f>P6*(1+Simulation!$P$11)</f>
        <v>0</v>
      </c>
      <c r="P6" s="185">
        <f t="shared" ref="P6" si="18">SUM(P4:P5)</f>
        <v>0</v>
      </c>
      <c r="Q6" s="184">
        <f>R6*(1+Simulation!$P$11)</f>
        <v>0</v>
      </c>
      <c r="R6" s="185">
        <f t="shared" ref="R6" si="19">SUM(R4:R5)</f>
        <v>0</v>
      </c>
      <c r="S6" s="184">
        <f>T6*(1+Simulation!$P$11)</f>
        <v>0</v>
      </c>
      <c r="T6" s="185">
        <f t="shared" ref="T6" si="20">SUM(T4:T5)</f>
        <v>0</v>
      </c>
      <c r="U6" s="184">
        <f>V6*(1+Simulation!$P$11)</f>
        <v>93.600000000000023</v>
      </c>
      <c r="V6" s="185">
        <f t="shared" ref="V6" si="21">SUM(V4:V5)</f>
        <v>72.000000000000014</v>
      </c>
      <c r="W6" s="184">
        <f>X6*(1+Simulation!$P$11)</f>
        <v>112.32</v>
      </c>
      <c r="X6" s="185">
        <f t="shared" ref="X6" si="22">SUM(X4:X5)</f>
        <v>86.399999999999991</v>
      </c>
      <c r="Y6" s="184">
        <f>Z6*(1+Simulation!$P$11)</f>
        <v>0</v>
      </c>
      <c r="Z6" s="185">
        <f t="shared" ref="Z6" si="23">SUM(Z4:Z5)</f>
        <v>0</v>
      </c>
      <c r="AA6" s="184">
        <f>AB6*(1+Simulation!$P$11)</f>
        <v>0</v>
      </c>
      <c r="AB6" s="185">
        <f t="shared" ref="AB6" si="24">SUM(AB4:AB5)</f>
        <v>0</v>
      </c>
      <c r="AC6" s="184">
        <f>AD6*(1+Simulation!$P$11)</f>
        <v>0</v>
      </c>
      <c r="AD6" s="185">
        <f t="shared" ref="AD6" si="25">SUM(AD4:AD5)</f>
        <v>0</v>
      </c>
      <c r="AE6" s="184">
        <f>AF6*(1+Simulation!$P$11)</f>
        <v>0</v>
      </c>
      <c r="AF6" s="185">
        <f t="shared" ref="AF6" si="26">SUM(AF4:AF5)</f>
        <v>0</v>
      </c>
      <c r="AG6" s="184">
        <f>AH6*(1+Simulation!$P$11)</f>
        <v>0</v>
      </c>
      <c r="AH6" s="185">
        <f t="shared" ref="AH6" si="27">SUM(AH4:AH5)</f>
        <v>0</v>
      </c>
      <c r="AI6" s="184">
        <f>AJ6*(1+Simulation!$P$11)</f>
        <v>0</v>
      </c>
      <c r="AJ6" s="185">
        <f t="shared" ref="AJ6" si="28">SUM(AJ4:AJ5)</f>
        <v>0</v>
      </c>
      <c r="AK6" s="184">
        <f>AL6*(1+Simulation!$P$11)</f>
        <v>187.20000000000005</v>
      </c>
      <c r="AL6" s="185">
        <f t="shared" ref="AL6" si="29">SUM(AL4:AL5)</f>
        <v>144.00000000000003</v>
      </c>
    </row>
    <row r="7" spans="1:38" ht="28.35" customHeight="1" x14ac:dyDescent="0.2">
      <c r="A7" s="1624" t="s">
        <v>448</v>
      </c>
      <c r="B7" s="314"/>
      <c r="C7" s="313"/>
      <c r="D7" s="179" t="str">
        <f>IF($C7="","",VLOOKUP($C7,ATELIER!$A$2:$E$109,3,0))</f>
        <v/>
      </c>
      <c r="E7" s="506"/>
      <c r="F7" s="506"/>
      <c r="G7" s="180"/>
      <c r="H7" s="186" t="str">
        <f>IF($C7="","",G7*VLOOKUP($C7,ATELIER!$A$2:$F$109,4,0))</f>
        <v/>
      </c>
      <c r="I7" s="180"/>
      <c r="J7" s="186" t="str">
        <f>IF($C7="","",I7*VLOOKUP($C7,ATELIER!$A$2:$F$109,4,0))</f>
        <v/>
      </c>
      <c r="K7" s="180"/>
      <c r="L7" s="186" t="str">
        <f>IF($C7="","",K7*VLOOKUP($C7,ATELIER!$A$2:$F$109,4,0))</f>
        <v/>
      </c>
      <c r="M7" s="180"/>
      <c r="N7" s="186" t="str">
        <f>IF($C7="","",M7*VLOOKUP($C7,ATELIER!$A$2:$F$109,4,0))</f>
        <v/>
      </c>
      <c r="O7" s="180"/>
      <c r="P7" s="186" t="str">
        <f>IF($C7="","",O7*VLOOKUP($C7,ATELIER!$A$2:$F$109,4,0))</f>
        <v/>
      </c>
      <c r="Q7" s="180"/>
      <c r="R7" s="186" t="str">
        <f>IF($C7="","",Q7*VLOOKUP($C7,ATELIER!$A$2:$F$109,4,0))</f>
        <v/>
      </c>
      <c r="S7" s="180"/>
      <c r="T7" s="186" t="str">
        <f>IF($C7="","",S7*VLOOKUP($C7,ATELIER!$A$2:$F$109,4,0))</f>
        <v/>
      </c>
      <c r="U7" s="180"/>
      <c r="V7" s="186" t="str">
        <f>IF($C7="","",U7*VLOOKUP($C7,ATELIER!$A$2:$F$109,4,0))</f>
        <v/>
      </c>
      <c r="W7" s="180"/>
      <c r="X7" s="186" t="str">
        <f>IF($C7="","",W7*VLOOKUP($C7,ATELIER!$A$2:$F$109,4,0))</f>
        <v/>
      </c>
      <c r="Y7" s="180"/>
      <c r="Z7" s="186" t="str">
        <f>IF($C7="","",Y7*VLOOKUP($C7,ATELIER!$A$2:$F$109,4,0))</f>
        <v/>
      </c>
      <c r="AA7" s="180"/>
      <c r="AB7" s="186" t="str">
        <f>IF($C7="","",AA7*VLOOKUP($C7,ATELIER!$A$2:$F$109,4,0))</f>
        <v/>
      </c>
      <c r="AC7" s="180"/>
      <c r="AD7" s="186" t="str">
        <f>IF($C7="","",AC7*VLOOKUP($C7,ATELIER!$A$2:$F$109,4,0))</f>
        <v/>
      </c>
      <c r="AE7" s="180"/>
      <c r="AF7" s="186" t="str">
        <f>IF($C7="","",AE7*VLOOKUP($C7,ATELIER!$A$2:$F$109,4,0))</f>
        <v/>
      </c>
      <c r="AG7" s="180"/>
      <c r="AH7" s="186" t="str">
        <f>IF($C7="","",AG7*VLOOKUP($C7,ATELIER!$A$2:$F$109,4,0))</f>
        <v/>
      </c>
      <c r="AI7" s="180"/>
      <c r="AJ7" s="186" t="str">
        <f>IF($C7="","",AI7*VLOOKUP($C7,ATELIER!$A$2:$F$109,4,0))</f>
        <v/>
      </c>
      <c r="AK7" s="180"/>
      <c r="AL7" s="186" t="str">
        <f>IF($C7="","",AK7*VLOOKUP($C7,ATELIER!$A$2:$F$109,4,0))</f>
        <v/>
      </c>
    </row>
    <row r="8" spans="1:38" ht="28.35" customHeight="1" x14ac:dyDescent="0.2">
      <c r="A8" s="1624"/>
      <c r="B8" s="411"/>
      <c r="C8" s="412"/>
      <c r="D8" s="179" t="str">
        <f>IF($C8="","",VLOOKUP($C8,ATELIER!$A$2:$E$109,3,0))</f>
        <v/>
      </c>
      <c r="E8" s="506"/>
      <c r="F8" s="506"/>
      <c r="G8" s="180"/>
      <c r="H8" s="186" t="str">
        <f>IF($C8="","",G8*VLOOKUP($C8,ATELIER!$A$2:$F$109,4,0))</f>
        <v/>
      </c>
      <c r="I8" s="180"/>
      <c r="J8" s="186" t="str">
        <f>IF($C8="","",I8*VLOOKUP($C8,ATELIER!$A$2:$F$109,4,0))</f>
        <v/>
      </c>
      <c r="K8" s="180"/>
      <c r="L8" s="186" t="str">
        <f>IF($C8="","",K8*VLOOKUP($C8,ATELIER!$A$2:$F$109,4,0))</f>
        <v/>
      </c>
      <c r="M8" s="180"/>
      <c r="N8" s="186" t="str">
        <f>IF($C8="","",M8*VLOOKUP($C8,ATELIER!$A$2:$F$109,4,0))</f>
        <v/>
      </c>
      <c r="O8" s="180"/>
      <c r="P8" s="186" t="str">
        <f>IF($C8="","",O8*VLOOKUP($C8,ATELIER!$A$2:$F$109,4,0))</f>
        <v/>
      </c>
      <c r="Q8" s="180"/>
      <c r="R8" s="186" t="str">
        <f>IF($C8="","",Q8*VLOOKUP($C8,ATELIER!$A$2:$F$109,4,0))</f>
        <v/>
      </c>
      <c r="S8" s="180"/>
      <c r="T8" s="186" t="str">
        <f>IF($C8="","",S8*VLOOKUP($C8,ATELIER!$A$2:$F$109,4,0))</f>
        <v/>
      </c>
      <c r="U8" s="180"/>
      <c r="V8" s="186" t="str">
        <f>IF($C8="","",U8*VLOOKUP($C8,ATELIER!$A$2:$F$109,4,0))</f>
        <v/>
      </c>
      <c r="W8" s="180"/>
      <c r="X8" s="186" t="str">
        <f>IF($C8="","",W8*VLOOKUP($C8,ATELIER!$A$2:$F$109,4,0))</f>
        <v/>
      </c>
      <c r="Y8" s="180"/>
      <c r="Z8" s="186" t="str">
        <f>IF($C8="","",Y8*VLOOKUP($C8,ATELIER!$A$2:$F$109,4,0))</f>
        <v/>
      </c>
      <c r="AA8" s="180"/>
      <c r="AB8" s="186" t="str">
        <f>IF($C8="","",AA8*VLOOKUP($C8,ATELIER!$A$2:$F$109,4,0))</f>
        <v/>
      </c>
      <c r="AC8" s="180"/>
      <c r="AD8" s="186" t="str">
        <f>IF($C8="","",AC8*VLOOKUP($C8,ATELIER!$A$2:$F$109,4,0))</f>
        <v/>
      </c>
      <c r="AE8" s="180"/>
      <c r="AF8" s="186" t="str">
        <f>IF($C8="","",AE8*VLOOKUP($C8,ATELIER!$A$2:$F$109,4,0))</f>
        <v/>
      </c>
      <c r="AG8" s="180"/>
      <c r="AH8" s="186" t="str">
        <f>IF($C8="","",AG8*VLOOKUP($C8,ATELIER!$A$2:$F$109,4,0))</f>
        <v/>
      </c>
      <c r="AI8" s="180"/>
      <c r="AJ8" s="186" t="str">
        <f>IF($C8="","",AI8*VLOOKUP($C8,ATELIER!$A$2:$F$109,4,0))</f>
        <v/>
      </c>
      <c r="AK8" s="180"/>
      <c r="AL8" s="186" t="str">
        <f>IF($C8="","",AK8*VLOOKUP($C8,ATELIER!$A$2:$F$109,4,0))</f>
        <v/>
      </c>
    </row>
    <row r="9" spans="1:38" ht="53.25" customHeight="1" x14ac:dyDescent="0.2">
      <c r="A9" s="1625"/>
      <c r="B9" s="316" t="s">
        <v>449</v>
      </c>
      <c r="C9" s="187" t="s">
        <v>450</v>
      </c>
      <c r="D9" s="188" t="s">
        <v>451</v>
      </c>
      <c r="E9" s="508"/>
      <c r="F9" s="508"/>
      <c r="G9" s="189">
        <f>H9*Simulation!$P$8</f>
        <v>0</v>
      </c>
      <c r="H9" s="190">
        <f>SUM(H7:H8)</f>
        <v>0</v>
      </c>
      <c r="I9" s="189">
        <f>J9*Simulation!$P$8</f>
        <v>0</v>
      </c>
      <c r="J9" s="190">
        <f t="shared" ref="J9" si="30">SUM(J7:J8)</f>
        <v>0</v>
      </c>
      <c r="K9" s="189">
        <f>L9*Simulation!$P$8</f>
        <v>0</v>
      </c>
      <c r="L9" s="190">
        <f t="shared" ref="L9" si="31">SUM(L7:L8)</f>
        <v>0</v>
      </c>
      <c r="M9" s="189">
        <f>N9*Simulation!$P$8</f>
        <v>0</v>
      </c>
      <c r="N9" s="190">
        <f t="shared" ref="N9" si="32">SUM(N7:N8)</f>
        <v>0</v>
      </c>
      <c r="O9" s="189">
        <f>P9*Simulation!$P$8</f>
        <v>0</v>
      </c>
      <c r="P9" s="190">
        <f t="shared" ref="P9" si="33">SUM(P7:P8)</f>
        <v>0</v>
      </c>
      <c r="Q9" s="189">
        <f>R9*Simulation!$P$8</f>
        <v>0</v>
      </c>
      <c r="R9" s="190">
        <f t="shared" ref="R9" si="34">SUM(R7:R8)</f>
        <v>0</v>
      </c>
      <c r="S9" s="189">
        <f>T9*Simulation!$P$8</f>
        <v>0</v>
      </c>
      <c r="T9" s="190">
        <f t="shared" ref="T9" si="35">SUM(T7:T8)</f>
        <v>0</v>
      </c>
      <c r="U9" s="189">
        <f>V9*Simulation!$P$8</f>
        <v>0</v>
      </c>
      <c r="V9" s="190">
        <f t="shared" ref="V9" si="36">SUM(V7:V8)</f>
        <v>0</v>
      </c>
      <c r="W9" s="189">
        <f>X9*Simulation!$P$8</f>
        <v>0</v>
      </c>
      <c r="X9" s="190">
        <f t="shared" ref="X9" si="37">SUM(X7:X8)</f>
        <v>0</v>
      </c>
      <c r="Y9" s="189">
        <f>Z9*Simulation!$P$8</f>
        <v>0</v>
      </c>
      <c r="Z9" s="190">
        <f t="shared" ref="Z9" si="38">SUM(Z7:Z8)</f>
        <v>0</v>
      </c>
      <c r="AA9" s="189">
        <f>AB9*Simulation!$P$8</f>
        <v>0</v>
      </c>
      <c r="AB9" s="190">
        <f t="shared" ref="AB9" si="39">SUM(AB7:AB8)</f>
        <v>0</v>
      </c>
      <c r="AC9" s="189">
        <f>AD9*Simulation!$P$8</f>
        <v>0</v>
      </c>
      <c r="AD9" s="190">
        <f t="shared" ref="AD9" si="40">SUM(AD7:AD8)</f>
        <v>0</v>
      </c>
      <c r="AE9" s="189">
        <f>AF9*Simulation!$P$8</f>
        <v>0</v>
      </c>
      <c r="AF9" s="190">
        <f t="shared" ref="AF9" si="41">SUM(AF7:AF8)</f>
        <v>0</v>
      </c>
      <c r="AG9" s="189">
        <f>AH9*Simulation!$P$8</f>
        <v>0</v>
      </c>
      <c r="AH9" s="190">
        <f t="shared" ref="AH9" si="42">SUM(AH7:AH8)</f>
        <v>0</v>
      </c>
      <c r="AI9" s="189">
        <f>AJ9*Simulation!$P$8</f>
        <v>0</v>
      </c>
      <c r="AJ9" s="190">
        <f t="shared" ref="AJ9" si="43">SUM(AJ7:AJ8)</f>
        <v>0</v>
      </c>
      <c r="AK9" s="189">
        <f>AL9*Simulation!$P$8</f>
        <v>0</v>
      </c>
      <c r="AL9" s="190">
        <f t="shared" ref="AL9" si="44">SUM(AL7:AL8)</f>
        <v>0</v>
      </c>
    </row>
    <row r="10" spans="1:38" ht="28.35" customHeight="1" x14ac:dyDescent="0.2">
      <c r="A10" s="1626"/>
      <c r="B10" s="314"/>
      <c r="C10" s="315"/>
      <c r="D10" s="179" t="str">
        <f>IF(C10="","",VLOOKUP($C10,CHANTIER!$A$2:$C$83,3,0))</f>
        <v/>
      </c>
      <c r="E10" s="506"/>
      <c r="F10" s="506"/>
      <c r="G10" s="180"/>
      <c r="H10" s="186" t="str">
        <f>IF($C10="","",G10*VLOOKUP($C10,CHANTIER!$A$2:$D$83,4,0))</f>
        <v/>
      </c>
      <c r="I10" s="180"/>
      <c r="J10" s="186" t="str">
        <f>IF($C10="","",I10*VLOOKUP($C10,CHANTIER!$A$2:$D$83,4,0))</f>
        <v/>
      </c>
      <c r="K10" s="180"/>
      <c r="L10" s="186" t="str">
        <f>IF($C10="","",K10*VLOOKUP($C10,CHANTIER!$A$2:$D$83,4,0))</f>
        <v/>
      </c>
      <c r="M10" s="180"/>
      <c r="N10" s="186" t="str">
        <f>IF($C10="","",M10*VLOOKUP($C10,CHANTIER!$A$2:$D$83,4,0))</f>
        <v/>
      </c>
      <c r="O10" s="180"/>
      <c r="P10" s="186" t="str">
        <f>IF($C10="","",O10*VLOOKUP($C10,CHANTIER!$A$2:$D$83,4,0))</f>
        <v/>
      </c>
      <c r="Q10" s="180"/>
      <c r="R10" s="186" t="str">
        <f>IF($C10="","",Q10*VLOOKUP($C10,CHANTIER!$A$2:$D$83,4,0))</f>
        <v/>
      </c>
      <c r="S10" s="180"/>
      <c r="T10" s="186" t="str">
        <f>IF($C10="","",S10*VLOOKUP($C10,CHANTIER!$A$2:$D$83,4,0))</f>
        <v/>
      </c>
      <c r="U10" s="180"/>
      <c r="V10" s="186" t="str">
        <f>IF($C10="","",U10*VLOOKUP($C10,CHANTIER!$A$2:$D$83,4,0))</f>
        <v/>
      </c>
      <c r="W10" s="180"/>
      <c r="X10" s="186" t="str">
        <f>IF($C10="","",W10*VLOOKUP($C10,CHANTIER!$A$2:$D$83,4,0))</f>
        <v/>
      </c>
      <c r="Y10" s="180"/>
      <c r="Z10" s="186" t="str">
        <f>IF($C10="","",Y10*VLOOKUP($C10,CHANTIER!$A$2:$D$83,4,0))</f>
        <v/>
      </c>
      <c r="AA10" s="180"/>
      <c r="AB10" s="186" t="str">
        <f>IF($C10="","",AA10*VLOOKUP($C10,CHANTIER!$A$2:$D$83,4,0))</f>
        <v/>
      </c>
      <c r="AC10" s="180"/>
      <c r="AD10" s="186" t="str">
        <f>IF($C10="","",AC10*VLOOKUP($C10,CHANTIER!$A$2:$D$83,4,0))</f>
        <v/>
      </c>
      <c r="AE10" s="180"/>
      <c r="AF10" s="186" t="str">
        <f>IF($C10="","",AE10*VLOOKUP($C10,CHANTIER!$A$2:$D$83,4,0))</f>
        <v/>
      </c>
      <c r="AG10" s="180"/>
      <c r="AH10" s="186" t="str">
        <f>IF($C10="","",AG10*VLOOKUP($C10,CHANTIER!$A$2:$D$83,4,0))</f>
        <v/>
      </c>
      <c r="AI10" s="180"/>
      <c r="AJ10" s="186" t="str">
        <f>IF($C10="","",AI10*VLOOKUP($C10,CHANTIER!$A$2:$D$83,4,0))</f>
        <v/>
      </c>
      <c r="AK10" s="180"/>
      <c r="AL10" s="186" t="str">
        <f>IF($C10="","",AK10*VLOOKUP($C10,CHANTIER!$A$2:$D$83,4,0))</f>
        <v/>
      </c>
    </row>
    <row r="11" spans="1:38" ht="28.35" customHeight="1" x14ac:dyDescent="0.2">
      <c r="A11" s="1626"/>
      <c r="B11" s="314"/>
      <c r="C11" s="315"/>
      <c r="D11" s="179" t="str">
        <f>IF(C11="","",VLOOKUP($C11,CHANTIER!$A$2:$C$83,3,0))</f>
        <v/>
      </c>
      <c r="E11" s="506"/>
      <c r="F11" s="506"/>
      <c r="G11" s="180"/>
      <c r="H11" s="186" t="str">
        <f>IF($C11="","",G11*VLOOKUP($C11,CHANTIER!$A$2:$D$83,4,0))</f>
        <v/>
      </c>
      <c r="I11" s="180"/>
      <c r="J11" s="186" t="str">
        <f>IF($C11="","",I11*VLOOKUP($C11,CHANTIER!$A$2:$D$83,4,0))</f>
        <v/>
      </c>
      <c r="K11" s="180"/>
      <c r="L11" s="186" t="str">
        <f>IF($C11="","",K11*VLOOKUP($C11,CHANTIER!$A$2:$D$83,4,0))</f>
        <v/>
      </c>
      <c r="M11" s="180"/>
      <c r="N11" s="186" t="str">
        <f>IF($C11="","",M11*VLOOKUP($C11,CHANTIER!$A$2:$D$83,4,0))</f>
        <v/>
      </c>
      <c r="O11" s="180"/>
      <c r="P11" s="186" t="str">
        <f>IF($C11="","",O11*VLOOKUP($C11,CHANTIER!$A$2:$D$83,4,0))</f>
        <v/>
      </c>
      <c r="Q11" s="180"/>
      <c r="R11" s="186" t="str">
        <f>IF($C11="","",Q11*VLOOKUP($C11,CHANTIER!$A$2:$D$83,4,0))</f>
        <v/>
      </c>
      <c r="S11" s="180"/>
      <c r="T11" s="186" t="str">
        <f>IF($C11="","",S11*VLOOKUP($C11,CHANTIER!$A$2:$D$83,4,0))</f>
        <v/>
      </c>
      <c r="U11" s="180"/>
      <c r="V11" s="186" t="str">
        <f>IF($C11="","",U11*VLOOKUP($C11,CHANTIER!$A$2:$D$83,4,0))</f>
        <v/>
      </c>
      <c r="W11" s="180"/>
      <c r="X11" s="186" t="str">
        <f>IF($C11="","",W11*VLOOKUP($C11,CHANTIER!$A$2:$D$83,4,0))</f>
        <v/>
      </c>
      <c r="Y11" s="180"/>
      <c r="Z11" s="186" t="str">
        <f>IF($C11="","",Y11*VLOOKUP($C11,CHANTIER!$A$2:$D$83,4,0))</f>
        <v/>
      </c>
      <c r="AA11" s="180"/>
      <c r="AB11" s="186" t="str">
        <f>IF($C11="","",AA11*VLOOKUP($C11,CHANTIER!$A$2:$D$83,4,0))</f>
        <v/>
      </c>
      <c r="AC11" s="180"/>
      <c r="AD11" s="186" t="str">
        <f>IF($C11="","",AC11*VLOOKUP($C11,CHANTIER!$A$2:$D$83,4,0))</f>
        <v/>
      </c>
      <c r="AE11" s="180"/>
      <c r="AF11" s="186" t="str">
        <f>IF($C11="","",AE11*VLOOKUP($C11,CHANTIER!$A$2:$D$83,4,0))</f>
        <v/>
      </c>
      <c r="AG11" s="180"/>
      <c r="AH11" s="186" t="str">
        <f>IF($C11="","",AG11*VLOOKUP($C11,CHANTIER!$A$2:$D$83,4,0))</f>
        <v/>
      </c>
      <c r="AI11" s="180"/>
      <c r="AJ11" s="186" t="str">
        <f>IF($C11="","",AI11*VLOOKUP($C11,CHANTIER!$A$2:$D$83,4,0))</f>
        <v/>
      </c>
      <c r="AK11" s="180"/>
      <c r="AL11" s="186" t="str">
        <f>IF($C11="","",AK11*VLOOKUP($C11,CHANTIER!$A$2:$D$83,4,0))</f>
        <v/>
      </c>
    </row>
    <row r="12" spans="1:38" ht="42.75" customHeight="1" x14ac:dyDescent="0.2">
      <c r="A12" s="1627"/>
      <c r="B12" s="317" t="s">
        <v>453</v>
      </c>
      <c r="C12" s="191" t="s">
        <v>450</v>
      </c>
      <c r="D12" s="192" t="s">
        <v>451</v>
      </c>
      <c r="E12" s="509"/>
      <c r="F12" s="509"/>
      <c r="G12" s="193">
        <f>H12*Simulation!$P$9</f>
        <v>0</v>
      </c>
      <c r="H12" s="194">
        <f>SUM(H10:H11)</f>
        <v>0</v>
      </c>
      <c r="I12" s="193">
        <f>J12*Simulation!$P$9</f>
        <v>0</v>
      </c>
      <c r="J12" s="194">
        <f t="shared" ref="J12" si="45">SUM(J10:J11)</f>
        <v>0</v>
      </c>
      <c r="K12" s="193">
        <f>L12*Simulation!$P$9</f>
        <v>0</v>
      </c>
      <c r="L12" s="194">
        <f t="shared" ref="L12" si="46">SUM(L10:L11)</f>
        <v>0</v>
      </c>
      <c r="M12" s="193">
        <f>N12*Simulation!$P$9</f>
        <v>0</v>
      </c>
      <c r="N12" s="194">
        <f t="shared" ref="N12" si="47">SUM(N10:N11)</f>
        <v>0</v>
      </c>
      <c r="O12" s="193">
        <f>P12*Simulation!$P$9</f>
        <v>0</v>
      </c>
      <c r="P12" s="194">
        <f t="shared" ref="P12" si="48">SUM(P10:P11)</f>
        <v>0</v>
      </c>
      <c r="Q12" s="193">
        <f>R12*Simulation!$P$9</f>
        <v>0</v>
      </c>
      <c r="R12" s="194">
        <f t="shared" ref="R12" si="49">SUM(R10:R11)</f>
        <v>0</v>
      </c>
      <c r="S12" s="193">
        <f>T12*Simulation!$P$9</f>
        <v>0</v>
      </c>
      <c r="T12" s="194">
        <f t="shared" ref="T12" si="50">SUM(T10:T11)</f>
        <v>0</v>
      </c>
      <c r="U12" s="193">
        <f>V12*Simulation!$P$9</f>
        <v>0</v>
      </c>
      <c r="V12" s="194">
        <f t="shared" ref="V12" si="51">SUM(V10:V11)</f>
        <v>0</v>
      </c>
      <c r="W12" s="193">
        <f>X12*Simulation!$P$9</f>
        <v>0</v>
      </c>
      <c r="X12" s="194">
        <f t="shared" ref="X12" si="52">SUM(X10:X11)</f>
        <v>0</v>
      </c>
      <c r="Y12" s="193">
        <f>Z12*Simulation!$P$9</f>
        <v>0</v>
      </c>
      <c r="Z12" s="194">
        <f t="shared" ref="Z12" si="53">SUM(Z10:Z11)</f>
        <v>0</v>
      </c>
      <c r="AA12" s="193">
        <f>AB12*Simulation!$P$9</f>
        <v>0</v>
      </c>
      <c r="AB12" s="194">
        <f t="shared" ref="AB12" si="54">SUM(AB10:AB11)</f>
        <v>0</v>
      </c>
      <c r="AC12" s="193">
        <f>AD12*Simulation!$P$9</f>
        <v>0</v>
      </c>
      <c r="AD12" s="194">
        <f t="shared" ref="AD12" si="55">SUM(AD10:AD11)</f>
        <v>0</v>
      </c>
      <c r="AE12" s="193">
        <f>AF12*Simulation!$P$9</f>
        <v>0</v>
      </c>
      <c r="AF12" s="194">
        <f t="shared" ref="AF12" si="56">SUM(AF10:AF11)</f>
        <v>0</v>
      </c>
      <c r="AG12" s="193">
        <f>AH12*Simulation!$P$9</f>
        <v>0</v>
      </c>
      <c r="AH12" s="194">
        <f t="shared" ref="AH12" si="57">SUM(AH10:AH11)</f>
        <v>0</v>
      </c>
      <c r="AI12" s="193">
        <f>AJ12*Simulation!$P$9</f>
        <v>0</v>
      </c>
      <c r="AJ12" s="194">
        <f t="shared" ref="AJ12" si="58">SUM(AJ10:AJ11)</f>
        <v>0</v>
      </c>
      <c r="AK12" s="193">
        <f>AL12*Simulation!$P$9</f>
        <v>0</v>
      </c>
      <c r="AL12" s="194">
        <f t="shared" ref="AL12" si="59">SUM(AL10:AL11)</f>
        <v>0</v>
      </c>
    </row>
    <row r="13" spans="1:38" s="345" customFormat="1" ht="28.35" customHeight="1" x14ac:dyDescent="0.2">
      <c r="A13" s="1628" t="s">
        <v>4</v>
      </c>
      <c r="B13" s="414" t="s">
        <v>1172</v>
      </c>
      <c r="C13" s="315" t="s">
        <v>1285</v>
      </c>
      <c r="D13" s="179" t="str">
        <f>IF(C13="","",VLOOKUP($C13,MINIPELLE!$A$2:$C$28,3,0))</f>
        <v>ml</v>
      </c>
      <c r="E13" s="506"/>
      <c r="F13" s="506"/>
      <c r="G13" s="180">
        <f>'Outils de calculs'!G28</f>
        <v>21</v>
      </c>
      <c r="H13" s="186">
        <f>IF($C13="","",G13*VLOOKUP($C13,MINIPELLE!$A$2:$D$28,4,0))</f>
        <v>4.2</v>
      </c>
      <c r="I13" s="180">
        <f>'Outils de calculs'!I28</f>
        <v>24</v>
      </c>
      <c r="J13" s="186">
        <f>IF($C13="","",I13*VLOOKUP($C13,MINIPELLE!$A$2:$D$28,4,0))</f>
        <v>4.8000000000000007</v>
      </c>
      <c r="K13" s="180">
        <f>'Outils de calculs'!K28</f>
        <v>27</v>
      </c>
      <c r="L13" s="186">
        <f>IF($C13="","",K13*VLOOKUP($C13,MINIPELLE!$A$2:$D$28,4,0))</f>
        <v>5.4</v>
      </c>
      <c r="M13" s="180">
        <f>'Outils de calculs'!M28</f>
        <v>30</v>
      </c>
      <c r="N13" s="186">
        <f>IF($C13="","",M13*VLOOKUP($C13,MINIPELLE!$A$2:$D$28,4,0))</f>
        <v>6</v>
      </c>
      <c r="O13" s="180">
        <f>'Outils de calculs'!O28</f>
        <v>33</v>
      </c>
      <c r="P13" s="186">
        <f>IF($C13="","",O13*VLOOKUP($C13,MINIPELLE!$A$2:$D$28,4,0))</f>
        <v>6.6000000000000005</v>
      </c>
      <c r="Q13" s="180">
        <f>'Outils de calculs'!Q28</f>
        <v>36</v>
      </c>
      <c r="R13" s="186">
        <f>IF($C13="","",Q13*VLOOKUP($C13,MINIPELLE!$A$2:$D$28,4,0))</f>
        <v>7.2</v>
      </c>
      <c r="S13" s="180">
        <f>'Outils de calculs'!S28</f>
        <v>36.4</v>
      </c>
      <c r="T13" s="186">
        <f>IF($C13="","",S13*VLOOKUP($C13,MINIPELLE!$A$2:$D$28,4,0))</f>
        <v>7.28</v>
      </c>
      <c r="U13" s="180">
        <f>'Outils de calculs'!U28</f>
        <v>39</v>
      </c>
      <c r="V13" s="186">
        <f>IF($C13="","",U13*VLOOKUP($C13,MINIPELLE!$A$2:$D$28,4,0))</f>
        <v>7.8000000000000007</v>
      </c>
      <c r="W13" s="180">
        <f>'Outils de calculs'!W28</f>
        <v>44.2</v>
      </c>
      <c r="X13" s="186">
        <f>IF($C13="","",W13*VLOOKUP($C13,MINIPELLE!$A$2:$D$28,4,0))</f>
        <v>8.8400000000000016</v>
      </c>
      <c r="Y13" s="180">
        <f>'Outils de calculs'!Y28</f>
        <v>46.2</v>
      </c>
      <c r="Z13" s="186">
        <f>IF($C13="","",Y13*VLOOKUP($C13,MINIPELLE!$A$2:$D$28,4,0))</f>
        <v>9.24</v>
      </c>
      <c r="AA13" s="180">
        <f>'Outils de calculs'!AA28</f>
        <v>48.6</v>
      </c>
      <c r="AB13" s="186">
        <f>IF($C13="","",AA13*VLOOKUP($C13,MINIPELLE!$A$2:$D$28,4,0))</f>
        <v>9.7200000000000006</v>
      </c>
      <c r="AC13" s="180">
        <f>'Outils de calculs'!AC28</f>
        <v>47.6</v>
      </c>
      <c r="AD13" s="186">
        <f>IF($C13="","",AC13*VLOOKUP($C13,MINIPELLE!$A$2:$D$28,4,0))</f>
        <v>9.5200000000000014</v>
      </c>
      <c r="AE13" s="180">
        <f>'Outils de calculs'!AE28</f>
        <v>51.4</v>
      </c>
      <c r="AF13" s="186">
        <f>IF($C13="","",AE13*VLOOKUP($C13,MINIPELLE!$A$2:$D$28,4,0))</f>
        <v>10.280000000000001</v>
      </c>
      <c r="AG13" s="180">
        <f>'Outils de calculs'!AG28</f>
        <v>55</v>
      </c>
      <c r="AH13" s="186">
        <f>IF($C13="","",AG13*VLOOKUP($C13,MINIPELLE!$A$2:$D$28,4,0))</f>
        <v>11</v>
      </c>
      <c r="AI13" s="180">
        <f>'Outils de calculs'!AI28</f>
        <v>56</v>
      </c>
      <c r="AJ13" s="186">
        <f>IF($C13="","",AI13*VLOOKUP($C13,MINIPELLE!$A$2:$D$28,4,0))</f>
        <v>11.200000000000001</v>
      </c>
      <c r="AK13" s="180">
        <f>'Outils de calculs'!AK28</f>
        <v>59.4</v>
      </c>
      <c r="AL13" s="186">
        <f>IF($C13="","",AK13*VLOOKUP($C13,MINIPELLE!$A$2:$D$28,4,0))</f>
        <v>11.88</v>
      </c>
    </row>
    <row r="14" spans="1:38" ht="28.35" customHeight="1" x14ac:dyDescent="0.2">
      <c r="A14" s="1628"/>
      <c r="B14" s="414" t="s">
        <v>1172</v>
      </c>
      <c r="C14" s="315" t="s">
        <v>1245</v>
      </c>
      <c r="D14" s="179" t="str">
        <f>IF(C14="","",VLOOKUP($C14,MINIPELLE!$A$2:$C$28,3,0))</f>
        <v>pc</v>
      </c>
      <c r="E14" s="506"/>
      <c r="F14" s="506"/>
      <c r="G14" s="180">
        <v>0.25</v>
      </c>
      <c r="H14" s="186">
        <f>IF($C14="","",G14*VLOOKUP($C14,MINIPELLE!$A$2:$D$28,4,0))</f>
        <v>0.125</v>
      </c>
      <c r="I14" s="180">
        <v>1.25</v>
      </c>
      <c r="J14" s="186">
        <f>IF($C14="","",I14*VLOOKUP($C14,MINIPELLE!$A$2:$D$28,4,0))</f>
        <v>0.625</v>
      </c>
      <c r="K14" s="180">
        <v>2.25</v>
      </c>
      <c r="L14" s="186">
        <f>IF($C14="","",K14*VLOOKUP($C14,MINIPELLE!$A$2:$D$28,4,0))</f>
        <v>1.125</v>
      </c>
      <c r="M14" s="180">
        <v>3.25</v>
      </c>
      <c r="N14" s="186">
        <f>IF($C14="","",M14*VLOOKUP($C14,MINIPELLE!$A$2:$D$28,4,0))</f>
        <v>1.625</v>
      </c>
      <c r="O14" s="180">
        <v>4.25</v>
      </c>
      <c r="P14" s="186">
        <f>IF($C14="","",O14*VLOOKUP($C14,MINIPELLE!$A$2:$D$28,4,0))</f>
        <v>2.125</v>
      </c>
      <c r="Q14" s="180">
        <v>5.25</v>
      </c>
      <c r="R14" s="186">
        <f>IF($C14="","",Q14*VLOOKUP($C14,MINIPELLE!$A$2:$D$28,4,0))</f>
        <v>2.625</v>
      </c>
      <c r="S14" s="180">
        <v>6.25</v>
      </c>
      <c r="T14" s="186">
        <f>IF($C14="","",S14*VLOOKUP($C14,MINIPELLE!$A$2:$D$28,4,0))</f>
        <v>3.125</v>
      </c>
      <c r="U14" s="180">
        <v>7.25</v>
      </c>
      <c r="V14" s="186">
        <f>IF($C14="","",U14*VLOOKUP($C14,MINIPELLE!$A$2:$D$28,4,0))</f>
        <v>3.625</v>
      </c>
      <c r="W14" s="180">
        <v>8.25</v>
      </c>
      <c r="X14" s="186">
        <f>IF($C14="","",W14*VLOOKUP($C14,MINIPELLE!$A$2:$D$28,4,0))</f>
        <v>4.125</v>
      </c>
      <c r="Y14" s="180">
        <v>9.25</v>
      </c>
      <c r="Z14" s="186">
        <f>IF($C14="","",Y14*VLOOKUP($C14,MINIPELLE!$A$2:$D$28,4,0))</f>
        <v>4.625</v>
      </c>
      <c r="AA14" s="180">
        <v>10.25</v>
      </c>
      <c r="AB14" s="186">
        <f>IF($C14="","",AA14*VLOOKUP($C14,MINIPELLE!$A$2:$D$28,4,0))</f>
        <v>5.125</v>
      </c>
      <c r="AC14" s="180">
        <v>11.25</v>
      </c>
      <c r="AD14" s="186">
        <f>IF($C14="","",AC14*VLOOKUP($C14,MINIPELLE!$A$2:$D$28,4,0))</f>
        <v>5.625</v>
      </c>
      <c r="AE14" s="180">
        <v>12.25</v>
      </c>
      <c r="AF14" s="186">
        <f>IF($C14="","",AE14*VLOOKUP($C14,MINIPELLE!$A$2:$D$28,4,0))</f>
        <v>6.125</v>
      </c>
      <c r="AG14" s="180">
        <v>13.25</v>
      </c>
      <c r="AH14" s="186">
        <f>IF($C14="","",AG14*VLOOKUP($C14,MINIPELLE!$A$2:$D$28,4,0))</f>
        <v>6.625</v>
      </c>
      <c r="AI14" s="180">
        <v>14.25</v>
      </c>
      <c r="AJ14" s="186">
        <f>IF($C14="","",AI14*VLOOKUP($C14,MINIPELLE!$A$2:$D$28,4,0))</f>
        <v>7.125</v>
      </c>
      <c r="AK14" s="180">
        <v>15.25</v>
      </c>
      <c r="AL14" s="186">
        <f>IF($C14="","",AK14*VLOOKUP($C14,MINIPELLE!$A$2:$D$28,4,0))</f>
        <v>7.625</v>
      </c>
    </row>
    <row r="15" spans="1:38" ht="45" customHeight="1" x14ac:dyDescent="0.2">
      <c r="A15" s="1629"/>
      <c r="B15" s="318" t="s">
        <v>454</v>
      </c>
      <c r="C15" s="195" t="s">
        <v>455</v>
      </c>
      <c r="D15" s="196" t="s">
        <v>451</v>
      </c>
      <c r="E15" s="510"/>
      <c r="F15" s="510"/>
      <c r="G15" s="197">
        <f>H15*Simulation!$P$10</f>
        <v>346</v>
      </c>
      <c r="H15" s="198">
        <f>SUM(H13:H14)</f>
        <v>4.3250000000000002</v>
      </c>
      <c r="I15" s="197">
        <f>J15*Simulation!$P$10</f>
        <v>434.00000000000006</v>
      </c>
      <c r="J15" s="198">
        <f t="shared" ref="J15" si="60">SUM(J13:J14)</f>
        <v>5.4250000000000007</v>
      </c>
      <c r="K15" s="197">
        <f>L15*Simulation!$P$10</f>
        <v>522</v>
      </c>
      <c r="L15" s="198">
        <f t="shared" ref="L15" si="61">SUM(L13:L14)</f>
        <v>6.5250000000000004</v>
      </c>
      <c r="M15" s="197">
        <f>N15*Simulation!$P$10</f>
        <v>610</v>
      </c>
      <c r="N15" s="198">
        <f t="shared" ref="N15" si="62">SUM(N13:N14)</f>
        <v>7.625</v>
      </c>
      <c r="O15" s="197">
        <f>P15*Simulation!$P$10</f>
        <v>698.00000000000011</v>
      </c>
      <c r="P15" s="198">
        <f t="shared" ref="P15" si="63">SUM(P13:P14)</f>
        <v>8.7250000000000014</v>
      </c>
      <c r="Q15" s="197">
        <f>R15*Simulation!$P$10</f>
        <v>786</v>
      </c>
      <c r="R15" s="198">
        <f t="shared" ref="R15" si="64">SUM(R13:R14)</f>
        <v>9.8249999999999993</v>
      </c>
      <c r="S15" s="197">
        <f>T15*Simulation!$P$10</f>
        <v>832.40000000000009</v>
      </c>
      <c r="T15" s="198">
        <f t="shared" ref="T15" si="65">SUM(T13:T14)</f>
        <v>10.405000000000001</v>
      </c>
      <c r="U15" s="197">
        <f>V15*Simulation!$P$10</f>
        <v>914</v>
      </c>
      <c r="V15" s="198">
        <f t="shared" ref="V15" si="66">SUM(V13:V14)</f>
        <v>11.425000000000001</v>
      </c>
      <c r="W15" s="197">
        <f>X15*Simulation!$P$10</f>
        <v>1037.2</v>
      </c>
      <c r="X15" s="198">
        <f t="shared" ref="X15" si="67">SUM(X13:X14)</f>
        <v>12.965000000000002</v>
      </c>
      <c r="Y15" s="197">
        <f>Z15*Simulation!$P$10</f>
        <v>1109.2</v>
      </c>
      <c r="Z15" s="198">
        <f t="shared" ref="Z15" si="68">SUM(Z13:Z14)</f>
        <v>13.865</v>
      </c>
      <c r="AA15" s="197">
        <f>AB15*Simulation!$P$10</f>
        <v>1187.6000000000001</v>
      </c>
      <c r="AB15" s="198">
        <f t="shared" ref="AB15" si="69">SUM(AB13:AB14)</f>
        <v>14.845000000000001</v>
      </c>
      <c r="AC15" s="197">
        <f>AD15*Simulation!$P$10</f>
        <v>1211.6000000000001</v>
      </c>
      <c r="AD15" s="198">
        <f t="shared" ref="AD15" si="70">SUM(AD13:AD14)</f>
        <v>15.145000000000001</v>
      </c>
      <c r="AE15" s="197">
        <f>AF15*Simulation!$P$10</f>
        <v>1312.4</v>
      </c>
      <c r="AF15" s="198">
        <f t="shared" ref="AF15" si="71">SUM(AF13:AF14)</f>
        <v>16.405000000000001</v>
      </c>
      <c r="AG15" s="197">
        <f>AH15*Simulation!$P$10</f>
        <v>1410</v>
      </c>
      <c r="AH15" s="198">
        <f t="shared" ref="AH15" si="72">SUM(AH13:AH14)</f>
        <v>17.625</v>
      </c>
      <c r="AI15" s="197">
        <f>AJ15*Simulation!$P$10</f>
        <v>1466.0000000000002</v>
      </c>
      <c r="AJ15" s="198">
        <f t="shared" ref="AJ15" si="73">SUM(AJ13:AJ14)</f>
        <v>18.325000000000003</v>
      </c>
      <c r="AK15" s="197">
        <f>AL15*Simulation!$P$10</f>
        <v>1560.4</v>
      </c>
      <c r="AL15" s="198">
        <f t="shared" ref="AL15" si="74">SUM(AL13:AL14)</f>
        <v>19.505000000000003</v>
      </c>
    </row>
    <row r="16" spans="1:38" x14ac:dyDescent="0.2">
      <c r="A16" s="199"/>
      <c r="B16" s="172"/>
      <c r="C16" s="200"/>
      <c r="D16" s="201"/>
      <c r="E16" s="511"/>
      <c r="F16" s="511"/>
      <c r="G16" s="202"/>
      <c r="H16" s="203"/>
      <c r="I16" s="516"/>
      <c r="J16" s="516"/>
      <c r="K16" s="202"/>
      <c r="L16" s="203"/>
      <c r="M16" s="202"/>
      <c r="N16" s="203"/>
      <c r="O16" s="516"/>
      <c r="P16" s="516"/>
      <c r="Q16" s="516"/>
      <c r="R16" s="516"/>
      <c r="S16" s="516"/>
      <c r="T16" s="516"/>
      <c r="U16" s="202"/>
      <c r="V16" s="203"/>
      <c r="W16" s="202"/>
      <c r="X16" s="203"/>
      <c r="Y16" s="516"/>
      <c r="Z16" s="516"/>
      <c r="AA16" s="516"/>
      <c r="AB16" s="516"/>
      <c r="AC16" s="516"/>
      <c r="AD16" s="516"/>
      <c r="AE16" s="516"/>
      <c r="AF16" s="516"/>
      <c r="AG16" s="516"/>
      <c r="AH16" s="516"/>
      <c r="AI16" s="516"/>
      <c r="AJ16" s="516"/>
      <c r="AK16" s="202"/>
      <c r="AL16" s="203"/>
    </row>
    <row r="17" spans="1:39" ht="42.6" customHeight="1" x14ac:dyDescent="0.2">
      <c r="A17" s="204"/>
      <c r="B17" s="234" t="s">
        <v>456</v>
      </c>
      <c r="C17" s="1564" t="s">
        <v>445</v>
      </c>
      <c r="D17" s="1564"/>
      <c r="E17" s="512"/>
      <c r="F17" s="512"/>
      <c r="G17" s="1547">
        <f>G15+G12+G9+G6</f>
        <v>374.08</v>
      </c>
      <c r="H17" s="1547"/>
      <c r="I17" s="517"/>
      <c r="J17" s="517"/>
      <c r="K17" s="1547">
        <f>K15+K12+K9+K6</f>
        <v>568.79999999999995</v>
      </c>
      <c r="L17" s="1547"/>
      <c r="M17" s="1547">
        <f>M15+M12+M9+M6</f>
        <v>666.16</v>
      </c>
      <c r="N17" s="1547"/>
      <c r="O17" s="517"/>
      <c r="P17" s="517"/>
      <c r="Q17" s="517"/>
      <c r="R17" s="517"/>
      <c r="S17" s="517"/>
      <c r="T17" s="517"/>
      <c r="U17" s="1547">
        <f>U15+U12+U9+U6</f>
        <v>1007.6</v>
      </c>
      <c r="V17" s="1547"/>
      <c r="W17" s="1547">
        <f>W15+W12+W9+W6</f>
        <v>1149.52</v>
      </c>
      <c r="X17" s="1547"/>
      <c r="Y17" s="517"/>
      <c r="Z17" s="517"/>
      <c r="AA17" s="517"/>
      <c r="AB17" s="517"/>
      <c r="AC17" s="517"/>
      <c r="AD17" s="517"/>
      <c r="AE17" s="517"/>
      <c r="AF17" s="517"/>
      <c r="AG17" s="517"/>
      <c r="AH17" s="517"/>
      <c r="AI17" s="517"/>
      <c r="AJ17" s="517"/>
      <c r="AK17" s="1576">
        <f>AK15+AK12+AK9+AK6</f>
        <v>1747.6000000000001</v>
      </c>
      <c r="AL17" s="1621"/>
    </row>
    <row r="18" spans="1:39" ht="42.6" customHeight="1" x14ac:dyDescent="0.2">
      <c r="A18" s="154"/>
      <c r="B18" s="206"/>
      <c r="C18" s="1565" t="s">
        <v>457</v>
      </c>
      <c r="D18" s="1565"/>
      <c r="E18" s="513"/>
      <c r="F18" s="513"/>
      <c r="G18" s="149">
        <f>G6-H6</f>
        <v>6.48</v>
      </c>
      <c r="H18" s="207">
        <f>G18/G$17</f>
        <v>1.7322497861420018E-2</v>
      </c>
      <c r="I18" s="490"/>
      <c r="J18" s="490"/>
      <c r="K18" s="149">
        <f>K6-L6</f>
        <v>10.800000000000004</v>
      </c>
      <c r="L18" s="207">
        <f>K18/K$17</f>
        <v>1.8987341772151906E-2</v>
      </c>
      <c r="M18" s="149">
        <f>M6-N6</f>
        <v>12.96</v>
      </c>
      <c r="N18" s="207">
        <f>M18/M$17</f>
        <v>1.9454785637084186E-2</v>
      </c>
      <c r="O18" s="490"/>
      <c r="P18" s="490"/>
      <c r="Q18" s="490"/>
      <c r="R18" s="490"/>
      <c r="S18" s="490"/>
      <c r="T18" s="490"/>
      <c r="U18" s="149">
        <f>U6-V6</f>
        <v>21.600000000000009</v>
      </c>
      <c r="V18" s="207">
        <f>U18/U$17</f>
        <v>2.1437078205637165E-2</v>
      </c>
      <c r="W18" s="149">
        <f>W6-X6</f>
        <v>25.92</v>
      </c>
      <c r="X18" s="207">
        <f>W18/W$17</f>
        <v>2.2548542000139192E-2</v>
      </c>
      <c r="Y18" s="149">
        <f t="shared" ref="Y18" si="75">Y6-Z6</f>
        <v>0</v>
      </c>
      <c r="Z18" s="207" t="e">
        <f t="shared" ref="Z18" si="76">Y18/Y$17</f>
        <v>#DIV/0!</v>
      </c>
      <c r="AA18" s="149">
        <f t="shared" ref="AA18" si="77">AA6-AB6</f>
        <v>0</v>
      </c>
      <c r="AB18" s="207" t="e">
        <f t="shared" ref="AB18" si="78">AA18/AA$17</f>
        <v>#DIV/0!</v>
      </c>
      <c r="AC18" s="149">
        <f t="shared" ref="AC18" si="79">AC6-AD6</f>
        <v>0</v>
      </c>
      <c r="AD18" s="207" t="e">
        <f t="shared" ref="AD18" si="80">AC18/AC$17</f>
        <v>#DIV/0!</v>
      </c>
      <c r="AE18" s="149">
        <f t="shared" ref="AE18" si="81">AE6-AF6</f>
        <v>0</v>
      </c>
      <c r="AF18" s="207" t="e">
        <f t="shared" ref="AF18" si="82">AE18/AE$17</f>
        <v>#DIV/0!</v>
      </c>
      <c r="AG18" s="149">
        <f t="shared" ref="AG18" si="83">AG6-AH6</f>
        <v>0</v>
      </c>
      <c r="AH18" s="207" t="e">
        <f t="shared" ref="AH18" si="84">AG18/AG$17</f>
        <v>#DIV/0!</v>
      </c>
      <c r="AI18" s="149">
        <f t="shared" ref="AI18" si="85">AI6-AJ6</f>
        <v>0</v>
      </c>
      <c r="AJ18" s="207" t="e">
        <f t="shared" ref="AJ18" si="86">AI18/AI$17</f>
        <v>#DIV/0!</v>
      </c>
      <c r="AK18" s="149">
        <f t="shared" ref="AK18" si="87">AK6-AL6</f>
        <v>43.200000000000017</v>
      </c>
      <c r="AL18" s="207">
        <f t="shared" ref="AL18" si="88">AK18/AK$17</f>
        <v>2.4719615472648213E-2</v>
      </c>
    </row>
    <row r="19" spans="1:39" ht="42.6" customHeight="1" x14ac:dyDescent="0.2">
      <c r="A19" s="154"/>
      <c r="B19" s="206"/>
      <c r="C19" s="1565" t="s">
        <v>9</v>
      </c>
      <c r="D19" s="1565"/>
      <c r="E19" s="513"/>
      <c r="F19" s="513"/>
      <c r="G19" s="149">
        <f>G6</f>
        <v>28.08</v>
      </c>
      <c r="H19" s="207">
        <f>G19/G$17</f>
        <v>7.5064157399486742E-2</v>
      </c>
      <c r="I19" s="490"/>
      <c r="J19" s="490"/>
      <c r="K19" s="149">
        <f>K6</f>
        <v>46.800000000000011</v>
      </c>
      <c r="L19" s="207">
        <f>K19/K$17</f>
        <v>8.227848101265825E-2</v>
      </c>
      <c r="M19" s="149">
        <f>M6</f>
        <v>56.16</v>
      </c>
      <c r="N19" s="207">
        <f>M19/M$17</f>
        <v>8.4304071094031457E-2</v>
      </c>
      <c r="O19" s="490"/>
      <c r="P19" s="490"/>
      <c r="Q19" s="490"/>
      <c r="R19" s="490"/>
      <c r="S19" s="490"/>
      <c r="T19" s="490"/>
      <c r="U19" s="149">
        <f>U6</f>
        <v>93.600000000000023</v>
      </c>
      <c r="V19" s="207">
        <f>U19/U$17</f>
        <v>9.2894005557761034E-2</v>
      </c>
      <c r="W19" s="149">
        <f>W6</f>
        <v>112.32</v>
      </c>
      <c r="X19" s="207">
        <f>W19/W$17</f>
        <v>9.7710348667269811E-2</v>
      </c>
      <c r="Y19" s="490"/>
      <c r="Z19" s="490"/>
      <c r="AA19" s="490"/>
      <c r="AB19" s="490"/>
      <c r="AC19" s="490"/>
      <c r="AD19" s="490"/>
      <c r="AE19" s="490"/>
      <c r="AF19" s="490"/>
      <c r="AG19" s="490"/>
      <c r="AH19" s="490"/>
      <c r="AI19" s="490"/>
      <c r="AJ19" s="490"/>
      <c r="AK19" s="149">
        <f>AK6</f>
        <v>187.20000000000005</v>
      </c>
      <c r="AL19" s="207">
        <f>AK19/AK$17</f>
        <v>0.1071183337148089</v>
      </c>
    </row>
    <row r="20" spans="1:39" ht="42.6" customHeight="1" x14ac:dyDescent="0.2">
      <c r="A20" s="154"/>
      <c r="B20" s="206"/>
      <c r="C20" s="1565" t="s">
        <v>458</v>
      </c>
      <c r="D20" s="1565"/>
      <c r="E20" s="513"/>
      <c r="F20" s="513"/>
      <c r="G20" s="149">
        <f>G9</f>
        <v>0</v>
      </c>
      <c r="H20" s="207">
        <f>G20/G$17</f>
        <v>0</v>
      </c>
      <c r="I20" s="490"/>
      <c r="J20" s="490"/>
      <c r="K20" s="149">
        <f>K9</f>
        <v>0</v>
      </c>
      <c r="L20" s="207">
        <f>K20/K$17</f>
        <v>0</v>
      </c>
      <c r="M20" s="149">
        <f>M9</f>
        <v>0</v>
      </c>
      <c r="N20" s="207">
        <f>M20/M$17</f>
        <v>0</v>
      </c>
      <c r="O20" s="490"/>
      <c r="P20" s="490"/>
      <c r="Q20" s="490"/>
      <c r="R20" s="490"/>
      <c r="S20" s="490"/>
      <c r="T20" s="490"/>
      <c r="U20" s="149">
        <f>U9</f>
        <v>0</v>
      </c>
      <c r="V20" s="207">
        <f>U20/U$17</f>
        <v>0</v>
      </c>
      <c r="W20" s="149">
        <f>W9</f>
        <v>0</v>
      </c>
      <c r="X20" s="207">
        <f>W20/W$17</f>
        <v>0</v>
      </c>
      <c r="Y20" s="490"/>
      <c r="Z20" s="490"/>
      <c r="AA20" s="490"/>
      <c r="AB20" s="490"/>
      <c r="AC20" s="490"/>
      <c r="AD20" s="490"/>
      <c r="AE20" s="490"/>
      <c r="AF20" s="490"/>
      <c r="AG20" s="490"/>
      <c r="AH20" s="490"/>
      <c r="AI20" s="490"/>
      <c r="AJ20" s="490"/>
      <c r="AK20" s="149">
        <f>AK9</f>
        <v>0</v>
      </c>
      <c r="AL20" s="207">
        <f>AK20/AK$17</f>
        <v>0</v>
      </c>
    </row>
    <row r="21" spans="1:39" ht="42.6" customHeight="1" x14ac:dyDescent="0.2">
      <c r="A21" s="154"/>
      <c r="B21" s="206"/>
      <c r="C21" s="1565" t="s">
        <v>459</v>
      </c>
      <c r="D21" s="1565"/>
      <c r="E21" s="513"/>
      <c r="F21" s="513"/>
      <c r="G21" s="149">
        <f>G12</f>
        <v>0</v>
      </c>
      <c r="H21" s="207">
        <f>G21/G$17</f>
        <v>0</v>
      </c>
      <c r="I21" s="490"/>
      <c r="J21" s="490"/>
      <c r="K21" s="149">
        <f>K12</f>
        <v>0</v>
      </c>
      <c r="L21" s="207">
        <f>K21/K$17</f>
        <v>0</v>
      </c>
      <c r="M21" s="149">
        <f>M12</f>
        <v>0</v>
      </c>
      <c r="N21" s="207">
        <f>M21/M$17</f>
        <v>0</v>
      </c>
      <c r="O21" s="490"/>
      <c r="P21" s="490"/>
      <c r="Q21" s="490"/>
      <c r="R21" s="490"/>
      <c r="S21" s="490"/>
      <c r="T21" s="490"/>
      <c r="U21" s="149">
        <f>U12</f>
        <v>0</v>
      </c>
      <c r="V21" s="207">
        <f>U21/U$17</f>
        <v>0</v>
      </c>
      <c r="W21" s="149">
        <f>W12</f>
        <v>0</v>
      </c>
      <c r="X21" s="207">
        <f>W21/W$17</f>
        <v>0</v>
      </c>
      <c r="Y21" s="490"/>
      <c r="Z21" s="490"/>
      <c r="AA21" s="490"/>
      <c r="AB21" s="490"/>
      <c r="AC21" s="490"/>
      <c r="AD21" s="490"/>
      <c r="AE21" s="490"/>
      <c r="AF21" s="490"/>
      <c r="AG21" s="490"/>
      <c r="AH21" s="490"/>
      <c r="AI21" s="490"/>
      <c r="AJ21" s="490"/>
      <c r="AK21" s="149">
        <f>AK12</f>
        <v>0</v>
      </c>
      <c r="AL21" s="207">
        <f>AK21/AK$17</f>
        <v>0</v>
      </c>
    </row>
    <row r="22" spans="1:39" ht="42.6" customHeight="1" x14ac:dyDescent="0.2">
      <c r="A22" s="154"/>
      <c r="B22" s="208"/>
      <c r="C22" s="1565" t="s">
        <v>5</v>
      </c>
      <c r="D22" s="1565"/>
      <c r="E22" s="513"/>
      <c r="F22" s="513"/>
      <c r="G22" s="149">
        <f>G15</f>
        <v>346</v>
      </c>
      <c r="H22" s="207">
        <f>G22/G$17</f>
        <v>0.92493584260051331</v>
      </c>
      <c r="I22" s="490"/>
      <c r="J22" s="490"/>
      <c r="K22" s="149">
        <f>K15</f>
        <v>522</v>
      </c>
      <c r="L22" s="207">
        <f>K22/K$17</f>
        <v>0.91772151898734189</v>
      </c>
      <c r="M22" s="149">
        <f>M15</f>
        <v>610</v>
      </c>
      <c r="N22" s="207">
        <f>M22/M$17</f>
        <v>0.91569592890596863</v>
      </c>
      <c r="O22" s="490"/>
      <c r="P22" s="490"/>
      <c r="Q22" s="490"/>
      <c r="R22" s="490"/>
      <c r="S22" s="490"/>
      <c r="T22" s="490"/>
      <c r="U22" s="149">
        <f>U15</f>
        <v>914</v>
      </c>
      <c r="V22" s="207">
        <f>U22/U$17</f>
        <v>0.90710599444223894</v>
      </c>
      <c r="W22" s="149">
        <f>W15</f>
        <v>1037.2</v>
      </c>
      <c r="X22" s="207">
        <f>W22/W$17</f>
        <v>0.9022896513327302</v>
      </c>
      <c r="Y22" s="490"/>
      <c r="Z22" s="490"/>
      <c r="AA22" s="490"/>
      <c r="AB22" s="490"/>
      <c r="AC22" s="490"/>
      <c r="AD22" s="490"/>
      <c r="AE22" s="490"/>
      <c r="AF22" s="490"/>
      <c r="AG22" s="490"/>
      <c r="AH22" s="490"/>
      <c r="AI22" s="490"/>
      <c r="AJ22" s="490"/>
      <c r="AK22" s="149">
        <f>AK15</f>
        <v>1560.4</v>
      </c>
      <c r="AL22" s="207">
        <f>AK22/AK$17</f>
        <v>0.89288166628519106</v>
      </c>
    </row>
    <row r="23" spans="1:39" x14ac:dyDescent="0.2">
      <c r="A23" s="154"/>
      <c r="B23" s="172"/>
      <c r="C23" s="154"/>
      <c r="G23" s="209"/>
      <c r="H23" s="154"/>
      <c r="I23" s="393"/>
      <c r="J23" s="393"/>
      <c r="K23" s="154"/>
      <c r="L23" s="154"/>
      <c r="M23" s="154"/>
      <c r="N23" s="154"/>
      <c r="O23" s="393"/>
      <c r="P23" s="393"/>
      <c r="Q23" s="393"/>
      <c r="R23" s="393"/>
      <c r="S23" s="393"/>
      <c r="T23" s="393"/>
      <c r="U23" s="154"/>
      <c r="V23" s="154"/>
      <c r="W23" s="154"/>
      <c r="X23" s="154"/>
      <c r="Y23" s="393"/>
      <c r="Z23" s="393"/>
      <c r="AA23" s="393"/>
      <c r="AB23" s="393"/>
      <c r="AC23" s="393"/>
      <c r="AD23" s="393"/>
      <c r="AE23" s="393"/>
      <c r="AF23" s="393"/>
      <c r="AG23" s="393"/>
      <c r="AH23" s="393"/>
      <c r="AI23" s="393"/>
      <c r="AJ23" s="393"/>
      <c r="AK23" s="154"/>
      <c r="AL23" s="154"/>
    </row>
    <row r="24" spans="1:39" ht="36" x14ac:dyDescent="0.2">
      <c r="A24" s="154"/>
      <c r="B24" s="1375" t="s">
        <v>1462</v>
      </c>
      <c r="C24" s="1568" t="s">
        <v>1463</v>
      </c>
      <c r="D24" s="1569"/>
      <c r="E24" s="149" t="e">
        <f>(VLOOKUP("Prix HT",$C$1:$N$24,E$1,0))-(VLOOKUP("Non margé",$D$1:$N$24,E$1,0))</f>
        <v>#VALUE!</v>
      </c>
      <c r="F24" s="207" t="e">
        <f>E24/VLOOKUP("Prix HT",$C$1:$N$24,E$1,0)</f>
        <v>#VALUE!</v>
      </c>
      <c r="G24" s="149">
        <f>(VLOOKUP("Prix HT",$C$1:$N$24,G$1,0))-(VLOOKUP("Non margé",$D$1:$N$24,G$1,0))</f>
        <v>352.47999999999996</v>
      </c>
      <c r="H24" s="207">
        <f>G24/VLOOKUP("Prix HT",$C$1:$N$24,G$1,0)</f>
        <v>0.94225834046193324</v>
      </c>
      <c r="I24" s="149" t="e">
        <f>(VLOOKUP("Prix HT",$C$1:$N$24,I$1,0))-(VLOOKUP("Non margé",$D$1:$N$24,I$1,0))</f>
        <v>#VALUE!</v>
      </c>
      <c r="J24" s="207" t="e">
        <f>I24/VLOOKUP("Prix HT",$C$1:$N$24,I$1,0)</f>
        <v>#VALUE!</v>
      </c>
      <c r="K24" s="149">
        <f>(VLOOKUP("Prix HT",$C$1:$N$24,K$1,0))-(VLOOKUP("Non margé",$D$1:$N$24,K$1,0))</f>
        <v>532.79999999999995</v>
      </c>
      <c r="L24" s="207">
        <f>K24/VLOOKUP("Prix HT",$C$1:$N$24,K$1,0)</f>
        <v>0.93670886075949367</v>
      </c>
      <c r="M24" s="149">
        <f t="shared" ref="M24:AM24" si="89">(VLOOKUP("Prix HT",$C$1:$N$24,M$1,0))-(VLOOKUP("Non margé",$D$1:$N$24,M$1,0))</f>
        <v>622.95999999999992</v>
      </c>
      <c r="N24" s="207">
        <f t="shared" ref="N24:AL24" si="90">M24/VLOOKUP("Prix HT",$C$1:$N$24,M$1,0)</f>
        <v>0.93515071454305265</v>
      </c>
      <c r="O24" s="149" t="e">
        <f t="shared" si="89"/>
        <v>#VALUE!</v>
      </c>
      <c r="P24" s="207" t="e">
        <f t="shared" si="90"/>
        <v>#VALUE!</v>
      </c>
      <c r="Q24" s="149" t="e">
        <f t="shared" si="89"/>
        <v>#VALUE!</v>
      </c>
      <c r="R24" s="207" t="e">
        <f t="shared" si="90"/>
        <v>#VALUE!</v>
      </c>
      <c r="S24" s="149" t="e">
        <f t="shared" si="89"/>
        <v>#VALUE!</v>
      </c>
      <c r="T24" s="207" t="e">
        <f t="shared" si="90"/>
        <v>#VALUE!</v>
      </c>
      <c r="U24" s="149" t="e">
        <f t="shared" si="89"/>
        <v>#REF!</v>
      </c>
      <c r="V24" s="207" t="e">
        <f t="shared" si="90"/>
        <v>#REF!</v>
      </c>
      <c r="W24" s="149" t="e">
        <f t="shared" si="89"/>
        <v>#REF!</v>
      </c>
      <c r="X24" s="207" t="e">
        <f t="shared" si="90"/>
        <v>#REF!</v>
      </c>
      <c r="Y24" s="149" t="e">
        <f t="shared" si="89"/>
        <v>#VALUE!</v>
      </c>
      <c r="Z24" s="207" t="e">
        <f t="shared" si="90"/>
        <v>#VALUE!</v>
      </c>
      <c r="AA24" s="149" t="e">
        <f t="shared" si="89"/>
        <v>#VALUE!</v>
      </c>
      <c r="AB24" s="207" t="e">
        <f t="shared" si="90"/>
        <v>#VALUE!</v>
      </c>
      <c r="AC24" s="149" t="e">
        <f t="shared" si="89"/>
        <v>#VALUE!</v>
      </c>
      <c r="AD24" s="207" t="e">
        <f t="shared" si="90"/>
        <v>#VALUE!</v>
      </c>
      <c r="AE24" s="149" t="e">
        <f t="shared" si="89"/>
        <v>#VALUE!</v>
      </c>
      <c r="AF24" s="207" t="e">
        <f t="shared" si="90"/>
        <v>#VALUE!</v>
      </c>
      <c r="AG24" s="149" t="e">
        <f t="shared" si="89"/>
        <v>#VALUE!</v>
      </c>
      <c r="AH24" s="207" t="e">
        <f t="shared" si="90"/>
        <v>#VALUE!</v>
      </c>
      <c r="AI24" s="149" t="e">
        <f t="shared" si="89"/>
        <v>#VALUE!</v>
      </c>
      <c r="AJ24" s="207" t="e">
        <f t="shared" si="90"/>
        <v>#VALUE!</v>
      </c>
      <c r="AK24" s="149" t="e">
        <f t="shared" si="89"/>
        <v>#REF!</v>
      </c>
      <c r="AL24" s="207" t="e">
        <f t="shared" si="90"/>
        <v>#REF!</v>
      </c>
      <c r="AM24" s="149" t="e">
        <f t="shared" si="89"/>
        <v>#VALUE!</v>
      </c>
    </row>
  </sheetData>
  <mergeCells count="25">
    <mergeCell ref="A4:A5"/>
    <mergeCell ref="A7:A9"/>
    <mergeCell ref="A10:A12"/>
    <mergeCell ref="M2:N2"/>
    <mergeCell ref="C24:D24"/>
    <mergeCell ref="A13:A15"/>
    <mergeCell ref="B2:B3"/>
    <mergeCell ref="C2:C3"/>
    <mergeCell ref="G2:H2"/>
    <mergeCell ref="C21:D21"/>
    <mergeCell ref="C22:D22"/>
    <mergeCell ref="C17:D17"/>
    <mergeCell ref="G17:H17"/>
    <mergeCell ref="K17:L17"/>
    <mergeCell ref="M17:N17"/>
    <mergeCell ref="AK2:AL2"/>
    <mergeCell ref="AK17:AL17"/>
    <mergeCell ref="C18:D18"/>
    <mergeCell ref="C19:D19"/>
    <mergeCell ref="C20:D20"/>
    <mergeCell ref="W2:X2"/>
    <mergeCell ref="U2:V2"/>
    <mergeCell ref="K2:L2"/>
    <mergeCell ref="U17:V17"/>
    <mergeCell ref="W17:X17"/>
  </mergeCells>
  <dataValidations count="8">
    <dataValidation type="list" allowBlank="1" showInputMessage="1" showErrorMessage="1" promptTitle="MATIERES" prompt="choisir catégorie" sqref="B4:B5" xr:uid="{EAD4C8EC-E11E-4BFF-A658-CEE86EA8C434}">
      <formula1>MOA_ALIM</formula1>
    </dataValidation>
    <dataValidation type="list" allowBlank="1" showInputMessage="1" showErrorMessage="1" promptTitle="MINIPELLE" prompt="choisir catégorie" sqref="B13:B14" xr:uid="{00000000-0002-0000-0F00-000001000000}">
      <formula1>CATEGORIE_MP</formula1>
    </dataValidation>
    <dataValidation type="list" allowBlank="1" showInputMessage="1" showErrorMessage="1" promptTitle="MATIERES" prompt="choisir le produit" sqref="C4:C5" xr:uid="{FD3DBB9F-3206-42D7-819A-FD3EDB72B966}">
      <formula1>INDIRECT(B4)</formula1>
    </dataValidation>
    <dataValidation type="list" allowBlank="1" showInputMessage="1" promptTitle="MINIPELLE" prompt="choisir la prestation" sqref="C13:C14" xr:uid="{00000000-0002-0000-0F00-000003000000}">
      <formula1>INDIRECT(B13)</formula1>
    </dataValidation>
    <dataValidation type="list" allowBlank="1" showInputMessage="1" showErrorMessage="1" promptTitle="MO ATELIER" prompt="choisir catégorie" sqref="B7:B8" xr:uid="{00000000-0002-0000-0F00-000004000000}">
      <formula1>CATEGORIE_MOA</formula1>
    </dataValidation>
    <dataValidation type="list" allowBlank="1" showInputMessage="1" showErrorMessage="1" promptTitle="Main d'oeuvre ATELIER" prompt="choisir la prestation" sqref="C7:C8" xr:uid="{00000000-0002-0000-0F00-000005000000}">
      <formula1>INDIRECT(B7)</formula1>
    </dataValidation>
    <dataValidation type="list" allowBlank="1" showInputMessage="1" showErrorMessage="1" promptTitle="Catégorie MOC" prompt="choisir" sqref="B10:B11" xr:uid="{00000000-0002-0000-0F00-000006000000}">
      <formula1>CATEGORIE_MOC</formula1>
    </dataValidation>
    <dataValidation type="list" allowBlank="1" showInputMessage="1" promptTitle="Main d'oeuvre CHANTIER" prompt="choisir la prestation" sqref="C10:C11" xr:uid="{00000000-0002-0000-0F00-000007000000}">
      <formula1>INDIRECT(B10)</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published="0" codeName="Feuil17"/>
  <dimension ref="A1:AN51"/>
  <sheetViews>
    <sheetView zoomScale="85" zoomScaleNormal="85" workbookViewId="0">
      <pane xSplit="4" ySplit="3" topLeftCell="E4" activePane="bottomRight" state="frozen"/>
      <selection pane="topRight" activeCell="E1" sqref="E1"/>
      <selection pane="bottomLeft" activeCell="A4" sqref="A4"/>
      <selection pane="bottomRight" activeCell="F10" sqref="F10"/>
    </sheetView>
  </sheetViews>
  <sheetFormatPr baseColWidth="10" defaultRowHeight="14.25" x14ac:dyDescent="0.2"/>
  <cols>
    <col min="1" max="1" width="18.125" customWidth="1"/>
    <col min="2" max="2" width="22.5" customWidth="1"/>
    <col min="3" max="3" width="37.5" customWidth="1"/>
    <col min="4" max="4" width="7.125" customWidth="1"/>
    <col min="5" max="5" width="10.625" customWidth="1"/>
    <col min="6" max="6" width="13.625" customWidth="1"/>
    <col min="7" max="7" width="10.625" customWidth="1"/>
    <col min="8" max="8" width="18.625" customWidth="1"/>
    <col min="9" max="9" width="10.125" customWidth="1"/>
    <col min="10" max="10" width="13.125" customWidth="1"/>
    <col min="11" max="11" width="11" customWidth="1"/>
    <col min="12" max="13" width="14.5" customWidth="1"/>
    <col min="14" max="15" width="13" customWidth="1"/>
    <col min="16" max="19" width="11" customWidth="1"/>
    <col min="20" max="21" width="18.125" customWidth="1"/>
    <col min="22" max="23" width="16.5" customWidth="1"/>
    <col min="24" max="25" width="11" customWidth="1"/>
    <col min="26" max="27" width="12" customWidth="1"/>
    <col min="28" max="29" width="10.625" customWidth="1"/>
    <col min="30" max="31" width="11" customWidth="1"/>
    <col min="32" max="33" width="10.5" customWidth="1"/>
    <col min="34" max="35" width="11" customWidth="1"/>
    <col min="36" max="36" width="10.5" customWidth="1"/>
    <col min="37" max="37" width="10.625" customWidth="1"/>
    <col min="38" max="39" width="11" customWidth="1"/>
    <col min="40" max="807" width="11.5" customWidth="1"/>
  </cols>
  <sheetData>
    <row r="1" spans="1:40"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t="s">
        <v>467</v>
      </c>
    </row>
    <row r="2" spans="1:40" ht="35.1" customHeight="1" x14ac:dyDescent="0.2">
      <c r="A2" s="174"/>
      <c r="B2" s="1572" t="s">
        <v>964</v>
      </c>
      <c r="C2" s="1574" t="s">
        <v>468</v>
      </c>
      <c r="D2" s="115" t="s">
        <v>203</v>
      </c>
      <c r="E2" s="1571">
        <v>2</v>
      </c>
      <c r="F2" s="1571"/>
      <c r="G2" s="1571">
        <v>3</v>
      </c>
      <c r="H2" s="1571"/>
      <c r="I2" s="1571">
        <v>4</v>
      </c>
      <c r="J2" s="1571"/>
      <c r="K2" s="1571">
        <v>5</v>
      </c>
      <c r="L2" s="1571"/>
      <c r="M2" s="1571">
        <v>6</v>
      </c>
      <c r="N2" s="1571"/>
      <c r="O2" s="1571">
        <v>7</v>
      </c>
      <c r="P2" s="1571"/>
      <c r="Q2" s="1571">
        <v>8</v>
      </c>
      <c r="R2" s="1571"/>
      <c r="S2" s="1571">
        <v>9</v>
      </c>
      <c r="T2" s="1571"/>
      <c r="U2" s="1571">
        <v>10</v>
      </c>
      <c r="V2" s="1571"/>
      <c r="W2" s="218">
        <v>12</v>
      </c>
      <c r="X2" s="213" t="s">
        <v>469</v>
      </c>
      <c r="Y2" s="213">
        <v>12</v>
      </c>
      <c r="Z2" s="214" t="s">
        <v>470</v>
      </c>
      <c r="AA2" s="218">
        <v>14</v>
      </c>
      <c r="AB2" s="213" t="s">
        <v>471</v>
      </c>
      <c r="AC2" s="218">
        <v>14</v>
      </c>
      <c r="AD2" s="213" t="s">
        <v>472</v>
      </c>
      <c r="AE2" s="1571">
        <v>16</v>
      </c>
      <c r="AF2" s="1571"/>
      <c r="AG2" s="218">
        <v>18</v>
      </c>
      <c r="AH2" s="213" t="s">
        <v>473</v>
      </c>
      <c r="AI2" s="218">
        <v>18</v>
      </c>
      <c r="AJ2" s="213" t="s">
        <v>474</v>
      </c>
      <c r="AK2" s="218">
        <v>20</v>
      </c>
      <c r="AL2" s="213" t="s">
        <v>475</v>
      </c>
      <c r="AM2" s="1619">
        <v>20</v>
      </c>
      <c r="AN2" s="1620"/>
    </row>
    <row r="3" spans="1:40" ht="35.1" customHeight="1" x14ac:dyDescent="0.2">
      <c r="A3" s="174"/>
      <c r="B3" s="1573"/>
      <c r="C3" s="1574"/>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1380" t="s">
        <v>477</v>
      </c>
    </row>
    <row r="4" spans="1:40" ht="15" customHeight="1" x14ac:dyDescent="0.2">
      <c r="A4" s="1630" t="s">
        <v>1078</v>
      </c>
      <c r="B4" s="361" t="s">
        <v>239</v>
      </c>
      <c r="C4" s="362" t="s">
        <v>780</v>
      </c>
      <c r="D4" s="363" t="str">
        <f>IF($C4="","",VLOOKUP($C4,MATIERES!$A$2:$F$227,5,0))</f>
        <v>ml</v>
      </c>
      <c r="E4" s="364">
        <f>4*1.3</f>
        <v>5.2</v>
      </c>
      <c r="F4" s="365">
        <f>IF($C4="","",E4*VLOOKUP($C4,MATIERES!$A$2:$F$349,4,0))</f>
        <v>12.740000000000002</v>
      </c>
      <c r="G4" s="364">
        <f>4*1.3</f>
        <v>5.2</v>
      </c>
      <c r="H4" s="365">
        <f>IF($C4="","",G4*VLOOKUP($C4,MATIERES!$A$2:$F$349,4,0))</f>
        <v>12.740000000000002</v>
      </c>
      <c r="I4" s="364">
        <f>4*1.3</f>
        <v>5.2</v>
      </c>
      <c r="J4" s="365">
        <f>IF($C4="","",I4*VLOOKUP($C4,MATIERES!$A$2:$F$349,4,0))</f>
        <v>12.740000000000002</v>
      </c>
      <c r="K4" s="364">
        <f>4*1.3</f>
        <v>5.2</v>
      </c>
      <c r="L4" s="365">
        <f>IF($C4="","",K4*VLOOKUP($C4,MATIERES!$A$2:$F$349,4,0))</f>
        <v>12.740000000000002</v>
      </c>
      <c r="M4" s="364">
        <f>4*1.3</f>
        <v>5.2</v>
      </c>
      <c r="N4" s="365">
        <f>IF($C4="","",M4*VLOOKUP($C4,MATIERES!$A$2:$F$349,4,0))</f>
        <v>12.740000000000002</v>
      </c>
      <c r="O4" s="364">
        <f>4*1.3</f>
        <v>5.2</v>
      </c>
      <c r="P4" s="365">
        <f>IF($C4="","",O4*VLOOKUP($C4,MATIERES!$A$2:$F$349,4,0))</f>
        <v>12.740000000000002</v>
      </c>
      <c r="Q4" s="364">
        <f>4*1.3</f>
        <v>5.2</v>
      </c>
      <c r="R4" s="365">
        <f>IF($C4="","",Q4*VLOOKUP($C4,MATIERES!$A$2:$F$349,4,0))</f>
        <v>12.740000000000002</v>
      </c>
      <c r="S4" s="364">
        <f>4*1.3</f>
        <v>5.2</v>
      </c>
      <c r="T4" s="365">
        <f>IF($C4="","",S4*VLOOKUP($C4,MATIERES!$A$2:$F$349,4,0))</f>
        <v>12.740000000000002</v>
      </c>
      <c r="U4" s="364">
        <f>4*1.3</f>
        <v>5.2</v>
      </c>
      <c r="V4" s="365">
        <f>IF($C4="","",U4*VLOOKUP($C4,MATIERES!$A$2:$F$349,4,0))</f>
        <v>12.740000000000002</v>
      </c>
      <c r="W4" s="364">
        <f>8*1.3</f>
        <v>10.4</v>
      </c>
      <c r="X4" s="365">
        <f>IF($C4="","",W4*VLOOKUP($C4,MATIERES!$A$2:$F$349,4,0))</f>
        <v>25.480000000000004</v>
      </c>
      <c r="Y4" s="364">
        <f>8*1.3</f>
        <v>10.4</v>
      </c>
      <c r="Z4" s="365">
        <f>IF($C4="","",Y4*VLOOKUP($C4,MATIERES!$A$2:$F$349,4,0))</f>
        <v>25.480000000000004</v>
      </c>
      <c r="AA4" s="364">
        <f>8*1.3</f>
        <v>10.4</v>
      </c>
      <c r="AB4" s="365">
        <f>IF($C4="","",AA4*VLOOKUP($C4,MATIERES!$A$2:$F$349,4,0))</f>
        <v>25.480000000000004</v>
      </c>
      <c r="AC4" s="364">
        <f>8*1.3</f>
        <v>10.4</v>
      </c>
      <c r="AD4" s="365">
        <f>IF($C4="","",AC4*VLOOKUP($C4,MATIERES!$A$2:$F$349,4,0))</f>
        <v>25.480000000000004</v>
      </c>
      <c r="AE4" s="364">
        <f>8*1.3</f>
        <v>10.4</v>
      </c>
      <c r="AF4" s="365">
        <f>IF($C4="","",AE4*VLOOKUP($C4,MATIERES!$A$2:$F$349,4,0))</f>
        <v>25.480000000000004</v>
      </c>
      <c r="AG4" s="364">
        <f>8*1.3</f>
        <v>10.4</v>
      </c>
      <c r="AH4" s="365">
        <f>IF($C4="","",AG4*VLOOKUP($C4,MATIERES!$A$2:$F$349,4,0))</f>
        <v>25.480000000000004</v>
      </c>
      <c r="AI4" s="364">
        <f>8*1.3</f>
        <v>10.4</v>
      </c>
      <c r="AJ4" s="365">
        <f>IF($C4="","",AI4*VLOOKUP($C4,MATIERES!$A$2:$F$349,4,0))</f>
        <v>25.480000000000004</v>
      </c>
      <c r="AK4" s="364">
        <f>8*1.3</f>
        <v>10.4</v>
      </c>
      <c r="AL4" s="365">
        <f>IF($C4="","",AK4*VLOOKUP($C4,MATIERES!$A$2:$F$349,4,0))</f>
        <v>25.480000000000004</v>
      </c>
      <c r="AM4" s="364">
        <f>8*1.3</f>
        <v>10.4</v>
      </c>
      <c r="AN4" s="365">
        <f>IF($C4="","",AM4*VLOOKUP($C4,MATIERES!$A$2:$F$349,4,0))</f>
        <v>25.480000000000004</v>
      </c>
    </row>
    <row r="5" spans="1:40" ht="15" customHeight="1" x14ac:dyDescent="0.2">
      <c r="A5" s="1631"/>
      <c r="B5" s="361" t="s">
        <v>239</v>
      </c>
      <c r="C5" s="362" t="s">
        <v>772</v>
      </c>
      <c r="D5" s="363" t="str">
        <f>IF($C5="","",VLOOKUP($C5,MATIERES!$A$2:$F$227,5,0))</f>
        <v>ml</v>
      </c>
      <c r="E5" s="364">
        <f>1.1*'Outils de calculs'!E26*8</f>
        <v>72.16</v>
      </c>
      <c r="F5" s="365">
        <f>IF($C5="","",E5*VLOOKUP($C5,MATIERES!$A$2:$F$349,4,0))</f>
        <v>402.75671040000003</v>
      </c>
      <c r="G5" s="364">
        <f>1.1*'Outils de calculs'!G26*8</f>
        <v>88</v>
      </c>
      <c r="H5" s="365">
        <f>IF($C5="","",G5*VLOOKUP($C5,MATIERES!$A$2:$F$349,4,0))</f>
        <v>491.16672000000005</v>
      </c>
      <c r="I5" s="364">
        <f>1.1*'Outils de calculs'!I26*8</f>
        <v>105.60000000000001</v>
      </c>
      <c r="J5" s="365">
        <f>IF($C5="","",I5*VLOOKUP($C5,MATIERES!$A$2:$F$349,4,0))</f>
        <v>589.40006400000016</v>
      </c>
      <c r="K5" s="364">
        <f>1.1*'Outils de calculs'!K26*8</f>
        <v>114.4</v>
      </c>
      <c r="L5" s="365">
        <f>IF($C5="","",K5*VLOOKUP($C5,MATIERES!$A$2:$F$349,4,0))</f>
        <v>638.51673600000015</v>
      </c>
      <c r="M5" s="364">
        <f>1.1*'Outils de calculs'!M26*8</f>
        <v>123.20000000000002</v>
      </c>
      <c r="N5" s="365">
        <f>IF($C5="","",M5*VLOOKUP($C5,MATIERES!$A$2:$F$349,4,0))</f>
        <v>687.63340800000014</v>
      </c>
      <c r="O5" s="364">
        <f>1.1*'Outils de calculs'!O26*8</f>
        <v>132</v>
      </c>
      <c r="P5" s="365">
        <f>IF($C5="","",O5*VLOOKUP($C5,MATIERES!$A$2:$F$349,4,0))</f>
        <v>736.75008000000003</v>
      </c>
      <c r="Q5" s="364">
        <f>1.1*'Outils de calculs'!Q26*8</f>
        <v>140.80000000000001</v>
      </c>
      <c r="R5" s="365">
        <f>IF($C5="","",Q5*VLOOKUP($C5,MATIERES!$A$2:$F$349,4,0))</f>
        <v>785.86675200000013</v>
      </c>
      <c r="S5" s="364">
        <f>1.1*'Outils de calculs'!S26*8</f>
        <v>149.60000000000002</v>
      </c>
      <c r="T5" s="365">
        <f>IF($C5="","",S5*VLOOKUP($C5,MATIERES!$A$2:$F$349,4,0))</f>
        <v>834.98342400000024</v>
      </c>
      <c r="U5" s="364">
        <f>1.1*'Outils de calculs'!U26*8</f>
        <v>158.4</v>
      </c>
      <c r="V5" s="365">
        <f>IF($C5="","",U5*VLOOKUP($C5,MATIERES!$A$2:$F$349,4,0))</f>
        <v>884.10009600000012</v>
      </c>
      <c r="W5" s="364">
        <f>1.1*'Outils de calculs'!W26*8</f>
        <v>176</v>
      </c>
      <c r="X5" s="365">
        <f>IF($C5="","",W5*VLOOKUP($C5,MATIERES!$A$2:$F$349,4,0))</f>
        <v>982.33344000000011</v>
      </c>
      <c r="Y5" s="364">
        <f>1.1*'Outils de calculs'!Y26*8</f>
        <v>193.60000000000002</v>
      </c>
      <c r="Z5" s="365">
        <f>IF($C5="","",Y5*VLOOKUP($C5,MATIERES!$A$2:$F$349,4,0))</f>
        <v>1080.5667840000003</v>
      </c>
      <c r="AA5" s="364">
        <f>1.1*'Outils de calculs'!AA26*8</f>
        <v>202.4</v>
      </c>
      <c r="AB5" s="365">
        <f>IF($C5="","",AA5*VLOOKUP($C5,MATIERES!$A$2:$F$349,4,0))</f>
        <v>1129.6834560000002</v>
      </c>
      <c r="AC5" s="364">
        <f>1.1*'Outils de calculs'!AC26*8</f>
        <v>193.60000000000002</v>
      </c>
      <c r="AD5" s="365">
        <f>IF($C5="","",AC5*VLOOKUP($C5,MATIERES!$A$2:$F$349,4,0))</f>
        <v>1080.5667840000003</v>
      </c>
      <c r="AE5" s="364">
        <f>1.1*'Outils de calculs'!AE26*8</f>
        <v>211.20000000000002</v>
      </c>
      <c r="AF5" s="365">
        <f>IF($C5="","",AE5*VLOOKUP($C5,MATIERES!$A$2:$F$349,4,0))</f>
        <v>1178.8001280000003</v>
      </c>
      <c r="AG5" s="364">
        <f>1.1*'Outils de calculs'!AG26*8</f>
        <v>220.00000000000003</v>
      </c>
      <c r="AH5" s="365">
        <f>IF($C5="","",AG5*VLOOKUP($C5,MATIERES!$A$2:$F$349,4,0))</f>
        <v>1227.9168000000002</v>
      </c>
      <c r="AI5" s="364">
        <f>1.1*'Outils de calculs'!AI26*8</f>
        <v>228.8</v>
      </c>
      <c r="AJ5" s="365">
        <f>IF($C5="","",AI5*VLOOKUP($C5,MATIERES!$A$2:$F$349,4,0))</f>
        <v>1277.0334720000003</v>
      </c>
      <c r="AK5" s="364">
        <f>1.1*'Outils de calculs'!AK26*8</f>
        <v>246.40000000000003</v>
      </c>
      <c r="AL5" s="365">
        <f>IF($C5="","",AK5*VLOOKUP($C5,MATIERES!$A$2:$F$349,4,0))</f>
        <v>1375.2668160000003</v>
      </c>
      <c r="AM5" s="364">
        <f>1.1*'Outils de calculs'!AM26*8</f>
        <v>228.8</v>
      </c>
      <c r="AN5" s="365">
        <f>IF($C5="","",AM5*VLOOKUP($C5,MATIERES!$A$2:$F$349,4,0))</f>
        <v>1277.0334720000003</v>
      </c>
    </row>
    <row r="6" spans="1:40" ht="15" customHeight="1" x14ac:dyDescent="0.2">
      <c r="A6" s="1631"/>
      <c r="B6" s="361" t="s">
        <v>764</v>
      </c>
      <c r="C6" s="362" t="s">
        <v>1247</v>
      </c>
      <c r="D6" s="363" t="str">
        <f>IF($C6="","",VLOOKUP($C6,MATIERES!$A$2:$G$341,5,0))</f>
        <v>pc</v>
      </c>
      <c r="E6" s="364">
        <f>16</f>
        <v>16</v>
      </c>
      <c r="F6" s="365">
        <f>IF($C6="","",E6*VLOOKUP($C6,MATIERES!$A$2:$F$349,4,0))</f>
        <v>9.6</v>
      </c>
      <c r="G6" s="364">
        <f>16</f>
        <v>16</v>
      </c>
      <c r="H6" s="365">
        <f>IF($C6="","",G6*VLOOKUP($C6,MATIERES!$A$2:$F$349,4,0))</f>
        <v>9.6</v>
      </c>
      <c r="I6" s="364">
        <f>16</f>
        <v>16</v>
      </c>
      <c r="J6" s="365">
        <f>IF($C6="","",I6*VLOOKUP($C6,MATIERES!$A$2:$F$349,4,0))</f>
        <v>9.6</v>
      </c>
      <c r="K6" s="364">
        <f>16</f>
        <v>16</v>
      </c>
      <c r="L6" s="365">
        <f>IF($C6="","",K6*VLOOKUP($C6,MATIERES!$A$2:$F$349,4,0))</f>
        <v>9.6</v>
      </c>
      <c r="M6" s="364">
        <f>16</f>
        <v>16</v>
      </c>
      <c r="N6" s="365">
        <f>IF($C6="","",M6*VLOOKUP($C6,MATIERES!$A$2:$F$349,4,0))</f>
        <v>9.6</v>
      </c>
      <c r="O6" s="364">
        <f>16</f>
        <v>16</v>
      </c>
      <c r="P6" s="365">
        <f>IF($C6="","",O6*VLOOKUP($C6,MATIERES!$A$2:$F$349,4,0))</f>
        <v>9.6</v>
      </c>
      <c r="Q6" s="364">
        <f>16</f>
        <v>16</v>
      </c>
      <c r="R6" s="365">
        <f>IF($C6="","",Q6*VLOOKUP($C6,MATIERES!$A$2:$F$349,4,0))</f>
        <v>9.6</v>
      </c>
      <c r="S6" s="364">
        <f>16</f>
        <v>16</v>
      </c>
      <c r="T6" s="365">
        <f>IF($C6="","",S6*VLOOKUP($C6,MATIERES!$A$2:$F$349,4,0))</f>
        <v>9.6</v>
      </c>
      <c r="U6" s="364">
        <f>16</f>
        <v>16</v>
      </c>
      <c r="V6" s="365">
        <f>IF($C6="","",U6*VLOOKUP($C6,MATIERES!$A$2:$F$349,4,0))</f>
        <v>9.6</v>
      </c>
      <c r="W6" s="364">
        <f>16</f>
        <v>16</v>
      </c>
      <c r="X6" s="365">
        <f>IF($C6="","",W6*VLOOKUP($C6,MATIERES!$A$2:$F$349,4,0))</f>
        <v>9.6</v>
      </c>
      <c r="Y6" s="364">
        <f>16</f>
        <v>16</v>
      </c>
      <c r="Z6" s="365">
        <f>IF($C6="","",Y6*VLOOKUP($C6,MATIERES!$A$2:$F$349,4,0))</f>
        <v>9.6</v>
      </c>
      <c r="AA6" s="364">
        <f>16</f>
        <v>16</v>
      </c>
      <c r="AB6" s="365">
        <f>IF($C6="","",AA6*VLOOKUP($C6,MATIERES!$A$2:$F$349,4,0))</f>
        <v>9.6</v>
      </c>
      <c r="AC6" s="364">
        <f>16</f>
        <v>16</v>
      </c>
      <c r="AD6" s="365">
        <f>IF($C6="","",AC6*VLOOKUP($C6,MATIERES!$A$2:$F$349,4,0))</f>
        <v>9.6</v>
      </c>
      <c r="AE6" s="364">
        <f>16</f>
        <v>16</v>
      </c>
      <c r="AF6" s="365">
        <f>IF($C6="","",AE6*VLOOKUP($C6,MATIERES!$A$2:$F$349,4,0))</f>
        <v>9.6</v>
      </c>
      <c r="AG6" s="364">
        <f>16</f>
        <v>16</v>
      </c>
      <c r="AH6" s="365">
        <f>IF($C6="","",AG6*VLOOKUP($C6,MATIERES!$A$2:$F$349,4,0))</f>
        <v>9.6</v>
      </c>
      <c r="AI6" s="364">
        <f>16</f>
        <v>16</v>
      </c>
      <c r="AJ6" s="365">
        <f>IF($C6="","",AI6*VLOOKUP($C6,MATIERES!$A$2:$F$349,4,0))</f>
        <v>9.6</v>
      </c>
      <c r="AK6" s="364">
        <f>16</f>
        <v>16</v>
      </c>
      <c r="AL6" s="365">
        <f>IF($C6="","",AK6*VLOOKUP($C6,MATIERES!$A$2:$F$349,4,0))</f>
        <v>9.6</v>
      </c>
      <c r="AM6" s="364">
        <f>16</f>
        <v>16</v>
      </c>
      <c r="AN6" s="365">
        <f>IF($C6="","",AM6*VLOOKUP($C6,MATIERES!$A$2:$F$349,4,0))</f>
        <v>9.6</v>
      </c>
    </row>
    <row r="7" spans="1:40" ht="15" customHeight="1" x14ac:dyDescent="0.2">
      <c r="A7" s="1631"/>
      <c r="B7" s="361" t="s">
        <v>764</v>
      </c>
      <c r="C7" s="362" t="s">
        <v>769</v>
      </c>
      <c r="D7" s="363" t="str">
        <f>IF($C7="","",VLOOKUP($C7,MATIERES!$A$2:$G$341,5,0))</f>
        <v>pc</v>
      </c>
      <c r="E7" s="364">
        <f>'Outils de calculs'!E26*8+2</f>
        <v>67.599999999999994</v>
      </c>
      <c r="F7" s="365">
        <f>IF($C7="","",E7*VLOOKUP($C7,MATIERES!$A$2:$F$349,4,0))</f>
        <v>32.028879999999994</v>
      </c>
      <c r="G7" s="364">
        <f>'Outils de calculs'!G26*8+2</f>
        <v>82</v>
      </c>
      <c r="H7" s="365">
        <f>IF($C7="","",G7*VLOOKUP($C7,MATIERES!$A$2:$F$349,4,0))</f>
        <v>38.851599999999998</v>
      </c>
      <c r="I7" s="364">
        <f>'Outils de calculs'!I26*8+2</f>
        <v>98</v>
      </c>
      <c r="J7" s="365">
        <f>IF($C7="","",I7*VLOOKUP($C7,MATIERES!$A$2:$F$349,4,0))</f>
        <v>46.432400000000001</v>
      </c>
      <c r="K7" s="364">
        <f>'Outils de calculs'!K26*8+2</f>
        <v>106</v>
      </c>
      <c r="L7" s="365">
        <f>IF($C7="","",K7*VLOOKUP($C7,MATIERES!$A$2:$F$349,4,0))</f>
        <v>50.222799999999999</v>
      </c>
      <c r="M7" s="364">
        <f>'Outils de calculs'!M26*8+2</f>
        <v>114</v>
      </c>
      <c r="N7" s="365">
        <f>IF($C7="","",M7*VLOOKUP($C7,MATIERES!$A$2:$F$349,4,0))</f>
        <v>54.013199999999998</v>
      </c>
      <c r="O7" s="364">
        <f>'Outils de calculs'!O26*8+2</f>
        <v>122</v>
      </c>
      <c r="P7" s="365">
        <f>IF($C7="","",O7*VLOOKUP($C7,MATIERES!$A$2:$F$349,4,0))</f>
        <v>57.803600000000003</v>
      </c>
      <c r="Q7" s="364">
        <f>'Outils de calculs'!Q26*8+2</f>
        <v>130</v>
      </c>
      <c r="R7" s="365">
        <f>IF($C7="","",Q7*VLOOKUP($C7,MATIERES!$A$2:$F$349,4,0))</f>
        <v>61.594000000000001</v>
      </c>
      <c r="S7" s="364">
        <f>'Outils de calculs'!S26*8+2</f>
        <v>138</v>
      </c>
      <c r="T7" s="365">
        <f>IF($C7="","",S7*VLOOKUP($C7,MATIERES!$A$2:$F$349,4,0))</f>
        <v>65.384399999999999</v>
      </c>
      <c r="U7" s="364">
        <f>'Outils de calculs'!U26*8+2</f>
        <v>146</v>
      </c>
      <c r="V7" s="365">
        <f>IF($C7="","",U7*VLOOKUP($C7,MATIERES!$A$2:$F$349,4,0))</f>
        <v>69.174800000000005</v>
      </c>
      <c r="W7" s="364">
        <f>'Outils de calculs'!W26*8+2</f>
        <v>162</v>
      </c>
      <c r="X7" s="365">
        <f>IF($C7="","",W7*VLOOKUP($C7,MATIERES!$A$2:$F$349,4,0))</f>
        <v>76.755600000000001</v>
      </c>
      <c r="Y7" s="364">
        <f>'Outils de calculs'!Y26*8+2</f>
        <v>178</v>
      </c>
      <c r="Z7" s="365">
        <f>IF($C7="","",Y7*VLOOKUP($C7,MATIERES!$A$2:$F$349,4,0))</f>
        <v>84.336399999999998</v>
      </c>
      <c r="AA7" s="364">
        <f>'Outils de calculs'!AA26*8+2</f>
        <v>186</v>
      </c>
      <c r="AB7" s="365">
        <f>IF($C7="","",AA7*VLOOKUP($C7,MATIERES!$A$2:$F$349,4,0))</f>
        <v>88.126800000000003</v>
      </c>
      <c r="AC7" s="364">
        <f>'Outils de calculs'!AC26*8+2</f>
        <v>178</v>
      </c>
      <c r="AD7" s="365">
        <f>IF($C7="","",AC7*VLOOKUP($C7,MATIERES!$A$2:$F$349,4,0))</f>
        <v>84.336399999999998</v>
      </c>
      <c r="AE7" s="364">
        <f>'Outils de calculs'!AE26*8+2</f>
        <v>194</v>
      </c>
      <c r="AF7" s="365">
        <f>IF($C7="","",AE7*VLOOKUP($C7,MATIERES!$A$2:$F$349,4,0))</f>
        <v>91.917199999999994</v>
      </c>
      <c r="AG7" s="364">
        <f>'Outils de calculs'!AG26*8+2</f>
        <v>202</v>
      </c>
      <c r="AH7" s="365">
        <f>IF($C7="","",AG7*VLOOKUP($C7,MATIERES!$A$2:$F$349,4,0))</f>
        <v>95.707599999999999</v>
      </c>
      <c r="AI7" s="364">
        <f>'Outils de calculs'!AI26*8+2</f>
        <v>210</v>
      </c>
      <c r="AJ7" s="365">
        <f>IF($C7="","",AI7*VLOOKUP($C7,MATIERES!$A$2:$F$349,4,0))</f>
        <v>99.498000000000005</v>
      </c>
      <c r="AK7" s="364">
        <f>'Outils de calculs'!AK26*8+2</f>
        <v>226</v>
      </c>
      <c r="AL7" s="365">
        <f>IF($C7="","",AK7*VLOOKUP($C7,MATIERES!$A$2:$F$349,4,0))</f>
        <v>107.0788</v>
      </c>
      <c r="AM7" s="364">
        <f>'Outils de calculs'!AM26*8+2</f>
        <v>210</v>
      </c>
      <c r="AN7" s="365">
        <f>IF($C7="","",AM7*VLOOKUP($C7,MATIERES!$A$2:$F$349,4,0))</f>
        <v>99.498000000000005</v>
      </c>
    </row>
    <row r="8" spans="1:40" ht="15" customHeight="1" x14ac:dyDescent="0.2">
      <c r="A8" s="1631"/>
      <c r="B8" s="361" t="s">
        <v>764</v>
      </c>
      <c r="C8" s="362" t="s">
        <v>113</v>
      </c>
      <c r="D8" s="363" t="str">
        <f>IF($C8="","",VLOOKUP($C8,MATIERES!$A$2:$G$341,5,0))</f>
        <v>pc</v>
      </c>
      <c r="E8" s="364">
        <f>52</f>
        <v>52</v>
      </c>
      <c r="F8" s="365">
        <f>IF($C8="","",E8*VLOOKUP($C8,MATIERES!$A$2:$F$349,4,0))</f>
        <v>19.302399999999999</v>
      </c>
      <c r="G8" s="364">
        <f>52</f>
        <v>52</v>
      </c>
      <c r="H8" s="365">
        <f>IF($C8="","",G8*VLOOKUP($C8,MATIERES!$A$2:$F$349,4,0))</f>
        <v>19.302399999999999</v>
      </c>
      <c r="I8" s="364">
        <f>52</f>
        <v>52</v>
      </c>
      <c r="J8" s="365">
        <f>IF($C8="","",I8*VLOOKUP($C8,MATIERES!$A$2:$F$349,4,0))</f>
        <v>19.302399999999999</v>
      </c>
      <c r="K8" s="364">
        <f>52</f>
        <v>52</v>
      </c>
      <c r="L8" s="365">
        <f>IF($C8="","",K8*VLOOKUP($C8,MATIERES!$A$2:$F$349,4,0))</f>
        <v>19.302399999999999</v>
      </c>
      <c r="M8" s="364">
        <f>52</f>
        <v>52</v>
      </c>
      <c r="N8" s="365">
        <f>IF($C8="","",M8*VLOOKUP($C8,MATIERES!$A$2:$F$349,4,0))</f>
        <v>19.302399999999999</v>
      </c>
      <c r="O8" s="364">
        <f>52</f>
        <v>52</v>
      </c>
      <c r="P8" s="365">
        <f>IF($C8="","",O8*VLOOKUP($C8,MATIERES!$A$2:$F$349,4,0))</f>
        <v>19.302399999999999</v>
      </c>
      <c r="Q8" s="364">
        <f>52</f>
        <v>52</v>
      </c>
      <c r="R8" s="365">
        <f>IF($C8="","",Q8*VLOOKUP($C8,MATIERES!$A$2:$F$349,4,0))</f>
        <v>19.302399999999999</v>
      </c>
      <c r="S8" s="364">
        <f>52</f>
        <v>52</v>
      </c>
      <c r="T8" s="365">
        <f>IF($C8="","",S8*VLOOKUP($C8,MATIERES!$A$2:$F$349,4,0))</f>
        <v>19.302399999999999</v>
      </c>
      <c r="U8" s="364">
        <f>52</f>
        <v>52</v>
      </c>
      <c r="V8" s="365">
        <f>IF($C8="","",U8*VLOOKUP($C8,MATIERES!$A$2:$F$349,4,0))</f>
        <v>19.302399999999999</v>
      </c>
      <c r="W8" s="364">
        <f>52</f>
        <v>52</v>
      </c>
      <c r="X8" s="365">
        <f>IF($C8="","",W8*VLOOKUP($C8,MATIERES!$A$2:$F$349,4,0))</f>
        <v>19.302399999999999</v>
      </c>
      <c r="Y8" s="364">
        <f>52</f>
        <v>52</v>
      </c>
      <c r="Z8" s="365">
        <f>IF($C8="","",Y8*VLOOKUP($C8,MATIERES!$A$2:$F$349,4,0))</f>
        <v>19.302399999999999</v>
      </c>
      <c r="AA8" s="364">
        <f>52</f>
        <v>52</v>
      </c>
      <c r="AB8" s="365">
        <f>IF($C8="","",AA8*VLOOKUP($C8,MATIERES!$A$2:$F$349,4,0))</f>
        <v>19.302399999999999</v>
      </c>
      <c r="AC8" s="364">
        <f>52</f>
        <v>52</v>
      </c>
      <c r="AD8" s="365">
        <f>IF($C8="","",AC8*VLOOKUP($C8,MATIERES!$A$2:$F$349,4,0))</f>
        <v>19.302399999999999</v>
      </c>
      <c r="AE8" s="364">
        <f>52</f>
        <v>52</v>
      </c>
      <c r="AF8" s="365">
        <f>IF($C8="","",AE8*VLOOKUP($C8,MATIERES!$A$2:$F$349,4,0))</f>
        <v>19.302399999999999</v>
      </c>
      <c r="AG8" s="364">
        <f>52</f>
        <v>52</v>
      </c>
      <c r="AH8" s="365">
        <f>IF($C8="","",AG8*VLOOKUP($C8,MATIERES!$A$2:$F$349,4,0))</f>
        <v>19.302399999999999</v>
      </c>
      <c r="AI8" s="364">
        <f>52</f>
        <v>52</v>
      </c>
      <c r="AJ8" s="365">
        <f>IF($C8="","",AI8*VLOOKUP($C8,MATIERES!$A$2:$F$349,4,0))</f>
        <v>19.302399999999999</v>
      </c>
      <c r="AK8" s="364">
        <f>52</f>
        <v>52</v>
      </c>
      <c r="AL8" s="365">
        <f>IF($C8="","",AK8*VLOOKUP($C8,MATIERES!$A$2:$F$349,4,0))</f>
        <v>19.302399999999999</v>
      </c>
      <c r="AM8" s="364">
        <f>52</f>
        <v>52</v>
      </c>
      <c r="AN8" s="365">
        <f>IF($C8="","",AM8*VLOOKUP($C8,MATIERES!$A$2:$F$349,4,0))</f>
        <v>19.302399999999999</v>
      </c>
    </row>
    <row r="9" spans="1:40" ht="15" customHeight="1" x14ac:dyDescent="0.2">
      <c r="A9" s="1631"/>
      <c r="B9" s="361" t="s">
        <v>736</v>
      </c>
      <c r="C9" s="362" t="s">
        <v>739</v>
      </c>
      <c r="D9" s="363" t="str">
        <f>IF($C9="","",VLOOKUP($C9,MATIERES!$A$2:$G$341,5,0))</f>
        <v>pc</v>
      </c>
      <c r="E9" s="364">
        <f>('Outils de calculs'!E26+0.3)</f>
        <v>8.5</v>
      </c>
      <c r="F9" s="365">
        <f>IF($C9="","",E9*VLOOKUP($C9,MATIERES!$A$2:$F$349,4,0))</f>
        <v>19.47775</v>
      </c>
      <c r="G9" s="364">
        <f>('Outils de calculs'!G26+0.3)</f>
        <v>10.3</v>
      </c>
      <c r="H9" s="365">
        <f>IF($C9="","",G9*VLOOKUP($C9,MATIERES!$A$2:$F$349,4,0))</f>
        <v>23.602450000000001</v>
      </c>
      <c r="I9" s="364">
        <f>('Outils de calculs'!I26+0.3)</f>
        <v>12.3</v>
      </c>
      <c r="J9" s="365">
        <f>IF($C9="","",I9*VLOOKUP($C9,MATIERES!$A$2:$F$349,4,0))</f>
        <v>28.185450000000003</v>
      </c>
      <c r="K9" s="364">
        <f>('Outils de calculs'!K26+0.3)</f>
        <v>13.3</v>
      </c>
      <c r="L9" s="365">
        <f>IF($C9="","",K9*VLOOKUP($C9,MATIERES!$A$2:$F$349,4,0))</f>
        <v>30.476950000000002</v>
      </c>
      <c r="M9" s="364">
        <f>('Outils de calculs'!M26+0.3)</f>
        <v>14.3</v>
      </c>
      <c r="N9" s="365">
        <f>IF($C9="","",M9*VLOOKUP($C9,MATIERES!$A$2:$F$349,4,0))</f>
        <v>32.768450000000001</v>
      </c>
      <c r="O9" s="364">
        <f>('Outils de calculs'!O26+0.3)</f>
        <v>15.3</v>
      </c>
      <c r="P9" s="365">
        <f>IF($C9="","",O9*VLOOKUP($C9,MATIERES!$A$2:$F$349,4,0))</f>
        <v>35.059950000000001</v>
      </c>
      <c r="Q9" s="364">
        <f>('Outils de calculs'!Q26+0.3)</f>
        <v>16.3</v>
      </c>
      <c r="R9" s="365">
        <f>IF($C9="","",Q9*VLOOKUP($C9,MATIERES!$A$2:$F$349,4,0))</f>
        <v>37.35145</v>
      </c>
      <c r="S9" s="364">
        <f>('Outils de calculs'!S26+0.3)</f>
        <v>17.3</v>
      </c>
      <c r="T9" s="365">
        <f>IF($C9="","",S9*VLOOKUP($C9,MATIERES!$A$2:$F$349,4,0))</f>
        <v>39.642950000000006</v>
      </c>
      <c r="U9" s="364">
        <f>('Outils de calculs'!U26+0.3)</f>
        <v>18.3</v>
      </c>
      <c r="V9" s="365">
        <f>IF($C9="","",U9*VLOOKUP($C9,MATIERES!$A$2:$F$349,4,0))</f>
        <v>41.934450000000005</v>
      </c>
      <c r="W9" s="364">
        <f>('Outils de calculs'!W26+0.3)</f>
        <v>20.3</v>
      </c>
      <c r="X9" s="365">
        <f>IF($C9="","",W9*VLOOKUP($C9,MATIERES!$A$2:$F$349,4,0))</f>
        <v>46.517450000000004</v>
      </c>
      <c r="Y9" s="364">
        <f>('Outils de calculs'!Y26+0.3)</f>
        <v>22.3</v>
      </c>
      <c r="Z9" s="365">
        <f>IF($C9="","",Y9*VLOOKUP($C9,MATIERES!$A$2:$F$349,4,0))</f>
        <v>51.100450000000002</v>
      </c>
      <c r="AA9" s="364">
        <f>('Outils de calculs'!AA26+0.3)</f>
        <v>23.3</v>
      </c>
      <c r="AB9" s="365">
        <f>IF($C9="","",AA9*VLOOKUP($C9,MATIERES!$A$2:$F$349,4,0))</f>
        <v>53.391950000000001</v>
      </c>
      <c r="AC9" s="364">
        <f>('Outils de calculs'!AC26+0.3)</f>
        <v>22.3</v>
      </c>
      <c r="AD9" s="365">
        <f>IF($C9="","",AC9*VLOOKUP($C9,MATIERES!$A$2:$F$349,4,0))</f>
        <v>51.100450000000002</v>
      </c>
      <c r="AE9" s="364">
        <f>('Outils de calculs'!AE26+0.3)</f>
        <v>24.3</v>
      </c>
      <c r="AF9" s="365">
        <f>IF($C9="","",AE9*VLOOKUP($C9,MATIERES!$A$2:$F$349,4,0))</f>
        <v>55.683450000000001</v>
      </c>
      <c r="AG9" s="364">
        <f>('Outils de calculs'!AG26+0.3)</f>
        <v>25.3</v>
      </c>
      <c r="AH9" s="365">
        <f>IF($C9="","",AG9*VLOOKUP($C9,MATIERES!$A$2:$F$349,4,0))</f>
        <v>57.974950000000007</v>
      </c>
      <c r="AI9" s="364">
        <f>('Outils de calculs'!AI26+0.3)</f>
        <v>26.3</v>
      </c>
      <c r="AJ9" s="365">
        <f>IF($C9="","",AI9*VLOOKUP($C9,MATIERES!$A$2:$F$349,4,0))</f>
        <v>60.266450000000006</v>
      </c>
      <c r="AK9" s="364">
        <f>('Outils de calculs'!AK26+0.3)</f>
        <v>28.3</v>
      </c>
      <c r="AL9" s="365">
        <f>IF($C9="","",AK9*VLOOKUP($C9,MATIERES!$A$2:$F$349,4,0))</f>
        <v>64.849450000000004</v>
      </c>
      <c r="AM9" s="364">
        <f>('Outils de calculs'!AM26+0.3)</f>
        <v>26.3</v>
      </c>
      <c r="AN9" s="365">
        <f>IF($C9="","",AM9*VLOOKUP($C9,MATIERES!$A$2:$F$349,4,0))</f>
        <v>60.266450000000006</v>
      </c>
    </row>
    <row r="10" spans="1:40" ht="15" customHeight="1" x14ac:dyDescent="0.2">
      <c r="A10" s="1631"/>
      <c r="B10" s="361"/>
      <c r="C10" s="362"/>
      <c r="D10" s="363" t="str">
        <f>IF($C10="","",VLOOKUP($C10,MATIERES!$A$2:$F$227,5,0))</f>
        <v/>
      </c>
      <c r="E10" s="364"/>
      <c r="F10" s="365" t="str">
        <f>IF($C10="","",E10*VLOOKUP($C10,MATIERES!$A$2:$F$349,4,0))</f>
        <v/>
      </c>
      <c r="G10" s="364"/>
      <c r="H10" s="365" t="str">
        <f>IF($C10="","",G10*VLOOKUP($C10,MATIERES!$A$2:$F$349,4,0))</f>
        <v/>
      </c>
      <c r="I10" s="364"/>
      <c r="J10" s="365" t="str">
        <f>IF($C10="","",I10*VLOOKUP($C10,MATIERES!$A$2:$F$349,4,0))</f>
        <v/>
      </c>
      <c r="K10" s="364"/>
      <c r="L10" s="365" t="str">
        <f>IF($C10="","",K10*VLOOKUP($C10,MATIERES!$A$2:$F$349,4,0))</f>
        <v/>
      </c>
      <c r="M10" s="364"/>
      <c r="N10" s="365"/>
      <c r="O10" s="364"/>
      <c r="P10" s="365"/>
      <c r="Q10" s="364"/>
      <c r="R10" s="365"/>
      <c r="S10" s="364"/>
      <c r="T10" s="365"/>
      <c r="U10" s="364"/>
      <c r="V10" s="365"/>
      <c r="W10" s="364"/>
      <c r="X10" s="365"/>
      <c r="Y10" s="364"/>
      <c r="Z10" s="365"/>
      <c r="AA10" s="364"/>
      <c r="AB10" s="365"/>
      <c r="AC10" s="364"/>
      <c r="AD10" s="365"/>
      <c r="AE10" s="364"/>
      <c r="AF10" s="365"/>
      <c r="AG10" s="364">
        <v>22</v>
      </c>
      <c r="AH10" s="365" t="str">
        <f>IF($C10="","",AG10*VLOOKUP($C10,MATIERES!$A$2:$F$349,4,0))</f>
        <v/>
      </c>
      <c r="AI10" s="364">
        <v>23</v>
      </c>
      <c r="AJ10" s="365" t="str">
        <f>IF($C10="","",AI10*VLOOKUP($C10,MATIERES!$A$2:$F$349,4,0))</f>
        <v/>
      </c>
      <c r="AK10" s="364">
        <v>24</v>
      </c>
      <c r="AL10" s="365" t="str">
        <f>IF($C10="","",AK10*VLOOKUP($C10,MATIERES!$A$2:$F$349,4,0))</f>
        <v/>
      </c>
      <c r="AM10" s="364">
        <v>25</v>
      </c>
      <c r="AN10" s="365" t="str">
        <f>IF($C10="","",AM10*VLOOKUP($C10,MATIERES!$A$2:$F$349,4,0))</f>
        <v/>
      </c>
    </row>
    <row r="11" spans="1:40" ht="30" customHeight="1" x14ac:dyDescent="0.2">
      <c r="A11" s="449"/>
      <c r="B11" s="367" t="s">
        <v>683</v>
      </c>
      <c r="C11" s="368" t="s">
        <v>446</v>
      </c>
      <c r="D11" s="369" t="s">
        <v>447</v>
      </c>
      <c r="E11" s="370">
        <f>F11*(1+Simulation!$P$11)</f>
        <v>644.67746252000006</v>
      </c>
      <c r="F11" s="371">
        <f>SUM(F4:F10)</f>
        <v>495.90574040000007</v>
      </c>
      <c r="G11" s="370">
        <f>H11*(1+Simulation!$P$11)</f>
        <v>773.84212100000013</v>
      </c>
      <c r="H11" s="371">
        <f>SUM(H4:H10)</f>
        <v>595.26317000000006</v>
      </c>
      <c r="I11" s="370">
        <f>J11*(1+Simulation!$P$11)</f>
        <v>917.35840820000033</v>
      </c>
      <c r="J11" s="371">
        <f>SUM(J4:J10)</f>
        <v>705.6603140000002</v>
      </c>
      <c r="K11" s="370">
        <f>L11*(1+Simulation!$P$11)</f>
        <v>989.11655180000025</v>
      </c>
      <c r="L11" s="371">
        <f>SUM(L4:L10)</f>
        <v>760.85888600000021</v>
      </c>
      <c r="M11" s="370">
        <f>N11*(1+Simulation!$P$11)</f>
        <v>1060.8746954000003</v>
      </c>
      <c r="N11" s="371">
        <f>SUM(N4:N10)</f>
        <v>816.05745800000022</v>
      </c>
      <c r="O11" s="370">
        <f>P11*(1+Simulation!$P$11)</f>
        <v>1132.6328390000001</v>
      </c>
      <c r="P11" s="371">
        <f>SUM(P4:P10)</f>
        <v>871.25603000000001</v>
      </c>
      <c r="Q11" s="370">
        <f>R11*(1+Simulation!$P$11)</f>
        <v>1204.3909826000004</v>
      </c>
      <c r="R11" s="371">
        <f>SUM(R4:R10)</f>
        <v>926.45460200000025</v>
      </c>
      <c r="S11" s="370">
        <f>T11*(1+Simulation!$P$11)</f>
        <v>1276.1491262000006</v>
      </c>
      <c r="T11" s="371">
        <f>SUM(T4:T10)</f>
        <v>981.65317400000038</v>
      </c>
      <c r="U11" s="370">
        <f>V11*(1+Simulation!$P$11)</f>
        <v>1347.9072698000004</v>
      </c>
      <c r="V11" s="371">
        <f>SUM(V4:V10)</f>
        <v>1036.8517460000003</v>
      </c>
      <c r="W11" s="370">
        <f>X11*(1+Simulation!$P$11)</f>
        <v>1507.9855570000004</v>
      </c>
      <c r="X11" s="371">
        <f>SUM(X4:X10)</f>
        <v>1159.9888900000003</v>
      </c>
      <c r="Y11" s="370">
        <f>Z11*(1+Simulation!$P$11)</f>
        <v>1651.5018442000003</v>
      </c>
      <c r="Z11" s="371">
        <f>SUM(Z4:Z10)</f>
        <v>1270.3860340000001</v>
      </c>
      <c r="AA11" s="370">
        <f>AB11*(1+Simulation!$P$11)</f>
        <v>1723.2599878000003</v>
      </c>
      <c r="AB11" s="371">
        <f>SUM(AB4:AB10)</f>
        <v>1325.5846060000001</v>
      </c>
      <c r="AC11" s="370">
        <f>AD11*(1+Simulation!$P$11)</f>
        <v>1651.5018442000003</v>
      </c>
      <c r="AD11" s="371">
        <f>SUM(AD4:AD10)</f>
        <v>1270.3860340000001</v>
      </c>
      <c r="AE11" s="370">
        <f>AF11*(1+Simulation!$P$11)</f>
        <v>1795.0181314000006</v>
      </c>
      <c r="AF11" s="371">
        <f>SUM(AF4:AF10)</f>
        <v>1380.7831780000004</v>
      </c>
      <c r="AG11" s="370">
        <f>AH11*(1+Simulation!$P$11)</f>
        <v>1866.7762750000002</v>
      </c>
      <c r="AH11" s="371">
        <f>SUM(AH4:AH10)</f>
        <v>1435.9817500000001</v>
      </c>
      <c r="AI11" s="370">
        <f>AJ11*(1+Simulation!$P$11)</f>
        <v>1938.5344186000007</v>
      </c>
      <c r="AJ11" s="371">
        <f>SUM(AJ4:AJ10)</f>
        <v>1491.1803220000004</v>
      </c>
      <c r="AK11" s="370">
        <f>AL11*(1+Simulation!$P$11)</f>
        <v>2082.0507058000003</v>
      </c>
      <c r="AL11" s="371">
        <f>SUM(AL4:AL10)</f>
        <v>1601.5774660000002</v>
      </c>
      <c r="AM11" s="370">
        <f>AN11*(1+Simulation!$P$11)</f>
        <v>1938.5344186000007</v>
      </c>
      <c r="AN11" s="371">
        <f>SUM(AN4:AN10)</f>
        <v>1491.1803220000004</v>
      </c>
    </row>
    <row r="12" spans="1:40" ht="15" customHeight="1" x14ac:dyDescent="0.2">
      <c r="A12" s="1624" t="s">
        <v>448</v>
      </c>
      <c r="B12" s="361" t="s">
        <v>1155</v>
      </c>
      <c r="C12" s="362" t="s">
        <v>425</v>
      </c>
      <c r="D12" s="363" t="str">
        <f>IF($C12="","",VLOOKUP($C12,ATELIER!$A$2:$E$109,3,0))</f>
        <v>pc</v>
      </c>
      <c r="E12" s="364">
        <f>1</f>
        <v>1</v>
      </c>
      <c r="F12" s="372">
        <f>IF($C12="","",E12*VLOOKUP($C12,ATELIER!$A$2:$F$109,4,0))</f>
        <v>0.08</v>
      </c>
      <c r="G12" s="364">
        <f>1</f>
        <v>1</v>
      </c>
      <c r="H12" s="372">
        <f>IF($C12="","",G12*VLOOKUP($C12,ATELIER!$A$2:$F$109,4,0))</f>
        <v>0.08</v>
      </c>
      <c r="I12" s="364">
        <f>1</f>
        <v>1</v>
      </c>
      <c r="J12" s="372">
        <f>IF($C12="","",I12*VLOOKUP($C12,ATELIER!$A$2:$F$109,4,0))</f>
        <v>0.08</v>
      </c>
      <c r="K12" s="364">
        <f>1</f>
        <v>1</v>
      </c>
      <c r="L12" s="372">
        <f>IF($C12="","",K12*VLOOKUP($C12,ATELIER!$A$2:$F$109,4,0))</f>
        <v>0.08</v>
      </c>
      <c r="M12" s="364">
        <f>1</f>
        <v>1</v>
      </c>
      <c r="N12" s="372">
        <f>IF($C12="","",M12*VLOOKUP($C12,ATELIER!$A$2:$F$109,4,0))</f>
        <v>0.08</v>
      </c>
      <c r="O12" s="364">
        <f>1</f>
        <v>1</v>
      </c>
      <c r="P12" s="372">
        <f>IF($C12="","",O12*VLOOKUP($C12,ATELIER!$A$2:$F$109,4,0))</f>
        <v>0.08</v>
      </c>
      <c r="Q12" s="364">
        <f>1</f>
        <v>1</v>
      </c>
      <c r="R12" s="372">
        <f>IF($C12="","",Q12*VLOOKUP($C12,ATELIER!$A$2:$F$109,4,0))</f>
        <v>0.08</v>
      </c>
      <c r="S12" s="364">
        <f>1</f>
        <v>1</v>
      </c>
      <c r="T12" s="372">
        <f>IF($C12="","",S12*VLOOKUP($C12,ATELIER!$A$2:$F$109,4,0))</f>
        <v>0.08</v>
      </c>
      <c r="U12" s="364">
        <f>1</f>
        <v>1</v>
      </c>
      <c r="V12" s="372">
        <f>IF($C12="","",U12*VLOOKUP($C12,ATELIER!$A$2:$F$109,4,0))</f>
        <v>0.08</v>
      </c>
      <c r="W12" s="364">
        <f>1</f>
        <v>1</v>
      </c>
      <c r="X12" s="372">
        <f>IF($C12="","",W12*VLOOKUP($C12,ATELIER!$A$2:$F$109,4,0))</f>
        <v>0.08</v>
      </c>
      <c r="Y12" s="364">
        <f>1</f>
        <v>1</v>
      </c>
      <c r="Z12" s="372">
        <f>IF($C12="","",Y12*VLOOKUP($C12,ATELIER!$A$2:$F$109,4,0))</f>
        <v>0.08</v>
      </c>
      <c r="AA12" s="364">
        <f>1</f>
        <v>1</v>
      </c>
      <c r="AB12" s="372">
        <f>IF($C12="","",AA12*VLOOKUP($C12,ATELIER!$A$2:$F$109,4,0))</f>
        <v>0.08</v>
      </c>
      <c r="AC12" s="364">
        <f>1</f>
        <v>1</v>
      </c>
      <c r="AD12" s="372">
        <f>IF($C12="","",AC12*VLOOKUP($C12,ATELIER!$A$2:$F$109,4,0))</f>
        <v>0.08</v>
      </c>
      <c r="AE12" s="364">
        <f>1</f>
        <v>1</v>
      </c>
      <c r="AF12" s="372">
        <f>IF($C12="","",AE12*VLOOKUP($C12,ATELIER!$A$2:$F$109,4,0))</f>
        <v>0.08</v>
      </c>
      <c r="AG12" s="364">
        <f>1</f>
        <v>1</v>
      </c>
      <c r="AH12" s="372">
        <f>IF($C12="","",AG12*VLOOKUP($C12,ATELIER!$A$2:$F$109,4,0))</f>
        <v>0.08</v>
      </c>
      <c r="AI12" s="364">
        <f>1</f>
        <v>1</v>
      </c>
      <c r="AJ12" s="372">
        <f>IF($C12="","",AI12*VLOOKUP($C12,ATELIER!$A$2:$F$109,4,0))</f>
        <v>0.08</v>
      </c>
      <c r="AK12" s="364">
        <f>1</f>
        <v>1</v>
      </c>
      <c r="AL12" s="372">
        <f>IF($C12="","",AK12*VLOOKUP($C12,ATELIER!$A$2:$F$109,4,0))</f>
        <v>0.08</v>
      </c>
      <c r="AM12" s="364">
        <f>1</f>
        <v>1</v>
      </c>
      <c r="AN12" s="372">
        <f>IF($C12="","",AM12*VLOOKUP($C12,ATELIER!$A$2:$F$109,4,0))</f>
        <v>0.08</v>
      </c>
    </row>
    <row r="13" spans="1:40" ht="15" customHeight="1" x14ac:dyDescent="0.2">
      <c r="A13" s="1624"/>
      <c r="B13" s="361" t="s">
        <v>1155</v>
      </c>
      <c r="C13" s="362" t="s">
        <v>423</v>
      </c>
      <c r="D13" s="363" t="str">
        <f>IF($C13="","",VLOOKUP($C13,ATELIER!$A$2:$E$109,3,0))</f>
        <v>pc</v>
      </c>
      <c r="E13" s="364">
        <v>32</v>
      </c>
      <c r="F13" s="372">
        <f>IF($C13="","",E13*VLOOKUP($C13,ATELIER!$A$2:$F$109,4,0))</f>
        <v>2.56</v>
      </c>
      <c r="G13" s="364">
        <v>32</v>
      </c>
      <c r="H13" s="372">
        <f>IF($C13="","",G13*VLOOKUP($C13,ATELIER!$A$2:$F$109,4,0))</f>
        <v>2.56</v>
      </c>
      <c r="I13" s="364">
        <v>32</v>
      </c>
      <c r="J13" s="372">
        <f>IF($C13="","",I13*VLOOKUP($C13,ATELIER!$A$2:$F$109,4,0))</f>
        <v>2.56</v>
      </c>
      <c r="K13" s="364">
        <v>32</v>
      </c>
      <c r="L13" s="372">
        <f>IF($C13="","",K13*VLOOKUP($C13,ATELIER!$A$2:$F$109,4,0))</f>
        <v>2.56</v>
      </c>
      <c r="M13" s="364">
        <v>32</v>
      </c>
      <c r="N13" s="372">
        <f>IF($C13="","",M13*VLOOKUP($C13,ATELIER!$A$2:$F$109,4,0))</f>
        <v>2.56</v>
      </c>
      <c r="O13" s="364">
        <v>32</v>
      </c>
      <c r="P13" s="372">
        <f>IF($C13="","",O13*VLOOKUP($C13,ATELIER!$A$2:$F$109,4,0))</f>
        <v>2.56</v>
      </c>
      <c r="Q13" s="364">
        <v>32</v>
      </c>
      <c r="R13" s="372">
        <f>IF($C13="","",Q13*VLOOKUP($C13,ATELIER!$A$2:$F$109,4,0))</f>
        <v>2.56</v>
      </c>
      <c r="S13" s="364">
        <v>32</v>
      </c>
      <c r="T13" s="372">
        <f>IF($C13="","",S13*VLOOKUP($C13,ATELIER!$A$2:$F$109,4,0))</f>
        <v>2.56</v>
      </c>
      <c r="U13" s="364">
        <v>32</v>
      </c>
      <c r="V13" s="372">
        <f>IF($C13="","",U13*VLOOKUP($C13,ATELIER!$A$2:$F$109,4,0))</f>
        <v>2.56</v>
      </c>
      <c r="W13" s="364">
        <v>32</v>
      </c>
      <c r="X13" s="372">
        <f>IF($C13="","",W13*VLOOKUP($C13,ATELIER!$A$2:$F$109,4,0))</f>
        <v>2.56</v>
      </c>
      <c r="Y13" s="364">
        <v>32</v>
      </c>
      <c r="Z13" s="372">
        <f>IF($C13="","",Y13*VLOOKUP($C13,ATELIER!$A$2:$F$109,4,0))</f>
        <v>2.56</v>
      </c>
      <c r="AA13" s="364">
        <v>32</v>
      </c>
      <c r="AB13" s="372">
        <f>IF($C13="","",AA13*VLOOKUP($C13,ATELIER!$A$2:$F$109,4,0))</f>
        <v>2.56</v>
      </c>
      <c r="AC13" s="364">
        <v>32</v>
      </c>
      <c r="AD13" s="372">
        <f>IF($C13="","",AC13*VLOOKUP($C13,ATELIER!$A$2:$F$109,4,0))</f>
        <v>2.56</v>
      </c>
      <c r="AE13" s="364">
        <v>32</v>
      </c>
      <c r="AF13" s="372">
        <f>IF($C13="","",AE13*VLOOKUP($C13,ATELIER!$A$2:$F$109,4,0))</f>
        <v>2.56</v>
      </c>
      <c r="AG13" s="364">
        <v>32</v>
      </c>
      <c r="AH13" s="372">
        <f>IF($C13="","",AG13*VLOOKUP($C13,ATELIER!$A$2:$F$109,4,0))</f>
        <v>2.56</v>
      </c>
      <c r="AI13" s="364">
        <v>32</v>
      </c>
      <c r="AJ13" s="372">
        <f>IF($C13="","",AI13*VLOOKUP($C13,ATELIER!$A$2:$F$109,4,0))</f>
        <v>2.56</v>
      </c>
      <c r="AK13" s="364">
        <v>32</v>
      </c>
      <c r="AL13" s="372">
        <f>IF($C13="","",AK13*VLOOKUP($C13,ATELIER!$A$2:$F$109,4,0))</f>
        <v>2.56</v>
      </c>
      <c r="AM13" s="364">
        <v>32</v>
      </c>
      <c r="AN13" s="372">
        <f>IF($C13="","",AM13*VLOOKUP($C13,ATELIER!$A$2:$F$109,4,0))</f>
        <v>2.56</v>
      </c>
    </row>
    <row r="14" spans="1:40" ht="15" customHeight="1" x14ac:dyDescent="0.2">
      <c r="A14" s="1625"/>
      <c r="B14" s="361" t="s">
        <v>1155</v>
      </c>
      <c r="C14" s="362" t="s">
        <v>424</v>
      </c>
      <c r="D14" s="363" t="str">
        <f>IF($C14="","",VLOOKUP($C14,ATELIER!$A$2:$E$109,3,0))</f>
        <v>pc</v>
      </c>
      <c r="E14" s="364">
        <v>64</v>
      </c>
      <c r="F14" s="372">
        <f>IF($C14="","",E14*VLOOKUP($C14,ATELIER!$A$2:$F$109,4,0))</f>
        <v>2.56</v>
      </c>
      <c r="G14" s="364">
        <v>64</v>
      </c>
      <c r="H14" s="372">
        <f>IF($C14="","",G14*VLOOKUP($C14,ATELIER!$A$2:$F$109,4,0))</f>
        <v>2.56</v>
      </c>
      <c r="I14" s="364">
        <v>64</v>
      </c>
      <c r="J14" s="372">
        <f>IF($C14="","",I14*VLOOKUP($C14,ATELIER!$A$2:$F$109,4,0))</f>
        <v>2.56</v>
      </c>
      <c r="K14" s="364">
        <v>64</v>
      </c>
      <c r="L14" s="372">
        <f>IF($C14="","",K14*VLOOKUP($C14,ATELIER!$A$2:$F$109,4,0))</f>
        <v>2.56</v>
      </c>
      <c r="M14" s="364">
        <v>64</v>
      </c>
      <c r="N14" s="372">
        <f>IF($C14="","",M14*VLOOKUP($C14,ATELIER!$A$2:$F$109,4,0))</f>
        <v>2.56</v>
      </c>
      <c r="O14" s="364">
        <v>64</v>
      </c>
      <c r="P14" s="372">
        <f>IF($C14="","",O14*VLOOKUP($C14,ATELIER!$A$2:$F$109,4,0))</f>
        <v>2.56</v>
      </c>
      <c r="Q14" s="364">
        <v>64</v>
      </c>
      <c r="R14" s="372">
        <f>IF($C14="","",Q14*VLOOKUP($C14,ATELIER!$A$2:$F$109,4,0))</f>
        <v>2.56</v>
      </c>
      <c r="S14" s="364">
        <v>64</v>
      </c>
      <c r="T14" s="372">
        <f>IF($C14="","",S14*VLOOKUP($C14,ATELIER!$A$2:$F$109,4,0))</f>
        <v>2.56</v>
      </c>
      <c r="U14" s="364">
        <v>64</v>
      </c>
      <c r="V14" s="372">
        <f>IF($C14="","",U14*VLOOKUP($C14,ATELIER!$A$2:$F$109,4,0))</f>
        <v>2.56</v>
      </c>
      <c r="W14" s="364">
        <v>64</v>
      </c>
      <c r="X14" s="372">
        <f>IF($C14="","",W14*VLOOKUP($C14,ATELIER!$A$2:$F$109,4,0))</f>
        <v>2.56</v>
      </c>
      <c r="Y14" s="364">
        <v>64</v>
      </c>
      <c r="Z14" s="372">
        <f>IF($C14="","",Y14*VLOOKUP($C14,ATELIER!$A$2:$F$109,4,0))</f>
        <v>2.56</v>
      </c>
      <c r="AA14" s="364">
        <v>64</v>
      </c>
      <c r="AB14" s="372">
        <f>IF($C14="","",AA14*VLOOKUP($C14,ATELIER!$A$2:$F$109,4,0))</f>
        <v>2.56</v>
      </c>
      <c r="AC14" s="364">
        <v>64</v>
      </c>
      <c r="AD14" s="372">
        <f>IF($C14="","",AC14*VLOOKUP($C14,ATELIER!$A$2:$F$109,4,0))</f>
        <v>2.56</v>
      </c>
      <c r="AE14" s="364">
        <v>64</v>
      </c>
      <c r="AF14" s="372">
        <f>IF($C14="","",AE14*VLOOKUP($C14,ATELIER!$A$2:$F$109,4,0))</f>
        <v>2.56</v>
      </c>
      <c r="AG14" s="364">
        <v>64</v>
      </c>
      <c r="AH14" s="372">
        <f>IF($C14="","",AG14*VLOOKUP($C14,ATELIER!$A$2:$F$109,4,0))</f>
        <v>2.56</v>
      </c>
      <c r="AI14" s="364">
        <v>64</v>
      </c>
      <c r="AJ14" s="372">
        <f>IF($C14="","",AI14*VLOOKUP($C14,ATELIER!$A$2:$F$109,4,0))</f>
        <v>2.56</v>
      </c>
      <c r="AK14" s="364">
        <v>64</v>
      </c>
      <c r="AL14" s="372">
        <f>IF($C14="","",AK14*VLOOKUP($C14,ATELIER!$A$2:$F$109,4,0))</f>
        <v>2.56</v>
      </c>
      <c r="AM14" s="364">
        <v>64</v>
      </c>
      <c r="AN14" s="372">
        <f>IF($C14="","",AM14*VLOOKUP($C14,ATELIER!$A$2:$F$109,4,0))</f>
        <v>2.56</v>
      </c>
    </row>
    <row r="15" spans="1:40" ht="15" customHeight="1" x14ac:dyDescent="0.2">
      <c r="A15" s="1624"/>
      <c r="B15" s="361" t="s">
        <v>1155</v>
      </c>
      <c r="C15" s="362" t="s">
        <v>1174</v>
      </c>
      <c r="D15" s="363" t="str">
        <f>IF($C15="","",VLOOKUP($C15,ATELIER!$A$2:$E$109,3,0))</f>
        <v>pc</v>
      </c>
      <c r="E15" s="364">
        <f>2*'Outils de calculs'!E36</f>
        <v>2</v>
      </c>
      <c r="F15" s="372">
        <f>IF($C15="","",E15*VLOOKUP($C15,ATELIER!$A$2:$F$109,4,0))</f>
        <v>0.1</v>
      </c>
      <c r="G15" s="364">
        <f>2*'Outils de calculs'!G36</f>
        <v>2</v>
      </c>
      <c r="H15" s="372">
        <f>IF($C15="","",G15*VLOOKUP($C15,ATELIER!$A$2:$F$109,4,0))</f>
        <v>0.1</v>
      </c>
      <c r="I15" s="364">
        <f>2*'Outils de calculs'!I36</f>
        <v>2</v>
      </c>
      <c r="J15" s="372">
        <f>IF($C15="","",I15*VLOOKUP($C15,ATELIER!$A$2:$F$109,4,0))</f>
        <v>0.1</v>
      </c>
      <c r="K15" s="364">
        <f>2*'Outils de calculs'!K36</f>
        <v>2</v>
      </c>
      <c r="L15" s="372">
        <f>IF($C15="","",K15*VLOOKUP($C15,ATELIER!$A$2:$F$109,4,0))</f>
        <v>0.1</v>
      </c>
      <c r="M15" s="364">
        <f>2*'Outils de calculs'!M36</f>
        <v>6</v>
      </c>
      <c r="N15" s="372">
        <f>IF($C15="","",M15*VLOOKUP($C15,ATELIER!$A$2:$F$109,4,0))</f>
        <v>0.30000000000000004</v>
      </c>
      <c r="O15" s="364">
        <f>2*'Outils de calculs'!O36</f>
        <v>4</v>
      </c>
      <c r="P15" s="372">
        <f>IF($C15="","",O15*VLOOKUP($C15,ATELIER!$A$2:$F$109,4,0))</f>
        <v>0.2</v>
      </c>
      <c r="Q15" s="364">
        <f>2*'Outils de calculs'!Q36</f>
        <v>6</v>
      </c>
      <c r="R15" s="372">
        <f>IF($C15="","",Q15*VLOOKUP($C15,ATELIER!$A$2:$F$109,4,0))</f>
        <v>0.30000000000000004</v>
      </c>
      <c r="S15" s="364">
        <f>2*'Outils de calculs'!S36</f>
        <v>6</v>
      </c>
      <c r="T15" s="372">
        <f>IF($C15="","",S15*VLOOKUP($C15,ATELIER!$A$2:$F$109,4,0))</f>
        <v>0.30000000000000004</v>
      </c>
      <c r="U15" s="364">
        <f>2*('Outils de calculs'!E36+'Outils de calculs'!E37+'Outils de calculs'!E38)</f>
        <v>2</v>
      </c>
      <c r="V15" s="372">
        <f>IF($C15="","",U15*VLOOKUP($C15,ATELIER!$A$2:$F$109,4,0))</f>
        <v>0.1</v>
      </c>
      <c r="W15" s="364">
        <f>2*('Outils de calculs'!G36+'Outils de calculs'!G37+'Outils de calculs'!G38)</f>
        <v>2</v>
      </c>
      <c r="X15" s="372">
        <f>IF($C15="","",W15*VLOOKUP($C15,ATELIER!$A$2:$F$109,4,0))</f>
        <v>0.1</v>
      </c>
      <c r="Y15" s="364">
        <f>2*('Outils de calculs'!I36+'Outils de calculs'!I37+'Outils de calculs'!I38)</f>
        <v>2</v>
      </c>
      <c r="Z15" s="372">
        <f>IF($C15="","",Y15*VLOOKUP($C15,ATELIER!$A$2:$F$109,4,0))</f>
        <v>0.1</v>
      </c>
      <c r="AA15" s="364">
        <f>2*('Outils de calculs'!K36+'Outils de calculs'!K37+'Outils de calculs'!K38)</f>
        <v>2</v>
      </c>
      <c r="AB15" s="372">
        <f>IF($C15="","",AA15*VLOOKUP($C15,ATELIER!$A$2:$F$109,4,0))</f>
        <v>0.1</v>
      </c>
      <c r="AC15" s="364">
        <f>2*('Outils de calculs'!M36+'Outils de calculs'!M37+'Outils de calculs'!M38)</f>
        <v>6</v>
      </c>
      <c r="AD15" s="372">
        <f>IF($C15="","",AC15*VLOOKUP($C15,ATELIER!$A$2:$F$109,4,0))</f>
        <v>0.30000000000000004</v>
      </c>
      <c r="AE15" s="364">
        <f>2*('Outils de calculs'!O36+'Outils de calculs'!O37+'Outils de calculs'!O38)</f>
        <v>4</v>
      </c>
      <c r="AF15" s="372">
        <f>IF($C15="","",AE15*VLOOKUP($C15,ATELIER!$A$2:$F$109,4,0))</f>
        <v>0.2</v>
      </c>
      <c r="AG15" s="364">
        <f>2*('Outils de calculs'!Q36+'Outils de calculs'!Q37+'Outils de calculs'!Q38)</f>
        <v>6</v>
      </c>
      <c r="AH15" s="372">
        <f>IF($C15="","",AG15*VLOOKUP($C15,ATELIER!$A$2:$F$109,4,0))</f>
        <v>0.30000000000000004</v>
      </c>
      <c r="AI15" s="364">
        <f>2*('Outils de calculs'!S36+'Outils de calculs'!S37+'Outils de calculs'!S38)</f>
        <v>6</v>
      </c>
      <c r="AJ15" s="372">
        <f>IF($C15="","",AI15*VLOOKUP($C15,ATELIER!$A$2:$F$109,4,0))</f>
        <v>0.30000000000000004</v>
      </c>
      <c r="AK15" s="364">
        <f>2*('Outils de calculs'!U36+'Outils de calculs'!U37+'Outils de calculs'!U38)</f>
        <v>8</v>
      </c>
      <c r="AL15" s="372">
        <f>IF($C15="","",AK15*VLOOKUP($C15,ATELIER!$A$2:$F$109,4,0))</f>
        <v>0.4</v>
      </c>
      <c r="AM15" s="364">
        <f>2*('Outils de calculs'!W36+'Outils de calculs'!W37+'Outils de calculs'!W38)</f>
        <v>12</v>
      </c>
      <c r="AN15" s="372">
        <f>IF($C15="","",AM15*VLOOKUP($C15,ATELIER!$A$2:$F$109,4,0))</f>
        <v>0.60000000000000009</v>
      </c>
    </row>
    <row r="16" spans="1:40" ht="15" customHeight="1" x14ac:dyDescent="0.2">
      <c r="A16" s="1624"/>
      <c r="B16" s="361" t="s">
        <v>1155</v>
      </c>
      <c r="C16" s="362" t="s">
        <v>1175</v>
      </c>
      <c r="D16" s="363" t="str">
        <f>IF($C16="","",VLOOKUP($C16,ATELIER!$A$2:$E$109,3,0))</f>
        <v>ml</v>
      </c>
      <c r="E16" s="364">
        <f>2*'Outils de calculs'!E31</f>
        <v>3.2</v>
      </c>
      <c r="F16" s="372">
        <f>IF($C16="","",E16*VLOOKUP($C16,ATELIER!$A$2:$F$109,4,0))</f>
        <v>0.16000000000000003</v>
      </c>
      <c r="G16" s="364">
        <f>2*'Outils de calculs'!G31</f>
        <v>4</v>
      </c>
      <c r="H16" s="372">
        <f>IF($C16="","",G16*VLOOKUP($C16,ATELIER!$A$2:$F$109,4,0))</f>
        <v>0.2</v>
      </c>
      <c r="I16" s="364">
        <f>2*'Outils de calculs'!I31</f>
        <v>4</v>
      </c>
      <c r="J16" s="372">
        <f>IF($C16="","",I16*VLOOKUP($C16,ATELIER!$A$2:$F$109,4,0))</f>
        <v>0.2</v>
      </c>
      <c r="K16" s="364">
        <v>4</v>
      </c>
      <c r="L16" s="372">
        <f>IF($C16="","",K16*VLOOKUP($C16,ATELIER!$A$2:$F$109,4,0))</f>
        <v>0.2</v>
      </c>
      <c r="M16" s="364">
        <f>2*'Outils de calculs'!M31</f>
        <v>6</v>
      </c>
      <c r="N16" s="372">
        <f>IF($C16="","",M16*VLOOKUP($C16,ATELIER!$A$2:$F$109,4,0))</f>
        <v>0.30000000000000004</v>
      </c>
      <c r="O16" s="364">
        <f>2*'Outils de calculs'!O31</f>
        <v>7</v>
      </c>
      <c r="P16" s="372">
        <f>IF($C16="","",O16*VLOOKUP($C16,ATELIER!$A$2:$F$109,4,0))</f>
        <v>0.35000000000000003</v>
      </c>
      <c r="Q16" s="364">
        <f>2*'Outils de calculs'!Q31</f>
        <v>8</v>
      </c>
      <c r="R16" s="372">
        <f>IF($C16="","",Q16*VLOOKUP($C16,ATELIER!$A$2:$F$109,4,0))</f>
        <v>0.4</v>
      </c>
      <c r="S16" s="364">
        <f>2*'Outils de calculs'!S31</f>
        <v>8</v>
      </c>
      <c r="T16" s="372">
        <f>IF($C16="","",S16*VLOOKUP($C16,ATELIER!$A$2:$F$109,4,0))</f>
        <v>0.4</v>
      </c>
      <c r="U16" s="364">
        <f>2*'Outils de calculs'!U31</f>
        <v>8</v>
      </c>
      <c r="V16" s="372">
        <f>IF($C16="","",U16*VLOOKUP($C16,ATELIER!$A$2:$F$109,4,0))</f>
        <v>0.4</v>
      </c>
      <c r="W16" s="364">
        <f>2*'Outils de calculs'!W31</f>
        <v>8</v>
      </c>
      <c r="X16" s="372">
        <f>IF($C16="","",W16*VLOOKUP($C16,ATELIER!$A$2:$F$109,4,0))</f>
        <v>0.4</v>
      </c>
      <c r="Y16" s="364">
        <f>2*'Outils de calculs'!Y31</f>
        <v>6</v>
      </c>
      <c r="Z16" s="372">
        <f>IF($C16="","",Y16*VLOOKUP($C16,ATELIER!$A$2:$F$109,4,0))</f>
        <v>0.30000000000000004</v>
      </c>
      <c r="AA16" s="364">
        <f>2*'Outils de calculs'!AA31</f>
        <v>7</v>
      </c>
      <c r="AB16" s="372">
        <f>IF($C16="","",AA16*VLOOKUP($C16,ATELIER!$A$2:$F$109,4,0))</f>
        <v>0.35000000000000003</v>
      </c>
      <c r="AC16" s="364">
        <f>2*'Outils de calculs'!AC31</f>
        <v>8</v>
      </c>
      <c r="AD16" s="372">
        <f>IF($C16="","",AC16*VLOOKUP($C16,ATELIER!$A$2:$F$109,4,0))</f>
        <v>0.4</v>
      </c>
      <c r="AE16" s="364">
        <f>2*'Outils de calculs'!AE31</f>
        <v>8</v>
      </c>
      <c r="AF16" s="372">
        <f>IF($C16="","",AE16*VLOOKUP($C16,ATELIER!$A$2:$F$109,4,0))</f>
        <v>0.4</v>
      </c>
      <c r="AG16" s="364">
        <f>2*'Outils de calculs'!AG31</f>
        <v>9</v>
      </c>
      <c r="AH16" s="372">
        <f>IF($C16="","",AG16*VLOOKUP($C16,ATELIER!$A$2:$F$109,4,0))</f>
        <v>0.45</v>
      </c>
      <c r="AI16" s="364">
        <f>2*'Outils de calculs'!AI31</f>
        <v>8</v>
      </c>
      <c r="AJ16" s="372">
        <f>IF($C16="","",AI16*VLOOKUP($C16,ATELIER!$A$2:$F$109,4,0))</f>
        <v>0.4</v>
      </c>
      <c r="AK16" s="364">
        <f>2*'Outils de calculs'!AK31</f>
        <v>8</v>
      </c>
      <c r="AL16" s="372">
        <f>IF($C16="","",AK16*VLOOKUP($C16,ATELIER!$A$2:$F$109,4,0))</f>
        <v>0.4</v>
      </c>
      <c r="AM16" s="364">
        <f>2*'Outils de calculs'!AM31</f>
        <v>10</v>
      </c>
      <c r="AN16" s="372">
        <f>IF($C16="","",AM16*VLOOKUP($C16,ATELIER!$A$2:$F$109,4,0))</f>
        <v>0.5</v>
      </c>
    </row>
    <row r="17" spans="1:40" ht="15" customHeight="1" x14ac:dyDescent="0.2">
      <c r="A17" s="1624"/>
      <c r="B17" s="361" t="s">
        <v>1155</v>
      </c>
      <c r="C17" s="362" t="s">
        <v>1250</v>
      </c>
      <c r="D17" s="363" t="str">
        <f>IF($C17="","",VLOOKUP($C17,ATELIER!$A$2:$E$109,3,0))</f>
        <v>pc</v>
      </c>
      <c r="E17" s="364">
        <f>4</f>
        <v>4</v>
      </c>
      <c r="F17" s="372">
        <f>IF($C17="","",E17*VLOOKUP($C17,ATELIER!$A$2:$F$109,4,0))</f>
        <v>0.32</v>
      </c>
      <c r="G17" s="364">
        <f>4</f>
        <v>4</v>
      </c>
      <c r="H17" s="372">
        <f>IF($C17="","",G17*VLOOKUP($C17,ATELIER!$A$2:$F$109,4,0))</f>
        <v>0.32</v>
      </c>
      <c r="I17" s="364">
        <f>4</f>
        <v>4</v>
      </c>
      <c r="J17" s="372">
        <f>IF($C17="","",I17*VLOOKUP($C17,ATELIER!$A$2:$F$109,4,0))</f>
        <v>0.32</v>
      </c>
      <c r="K17" s="364">
        <f>4</f>
        <v>4</v>
      </c>
      <c r="L17" s="372">
        <f>IF($C17="","",K17*VLOOKUP($C17,ATELIER!$A$2:$F$109,4,0))</f>
        <v>0.32</v>
      </c>
      <c r="M17" s="364">
        <f>4</f>
        <v>4</v>
      </c>
      <c r="N17" s="372">
        <f>IF($C17="","",M17*VLOOKUP($C17,ATELIER!$A$2:$F$109,4,0))</f>
        <v>0.32</v>
      </c>
      <c r="O17" s="364">
        <f>4</f>
        <v>4</v>
      </c>
      <c r="P17" s="372">
        <f>IF($C17="","",O17*VLOOKUP($C17,ATELIER!$A$2:$F$109,4,0))</f>
        <v>0.32</v>
      </c>
      <c r="Q17" s="364">
        <f>4</f>
        <v>4</v>
      </c>
      <c r="R17" s="372">
        <f>IF($C17="","",Q17*VLOOKUP($C17,ATELIER!$A$2:$F$109,4,0))</f>
        <v>0.32</v>
      </c>
      <c r="S17" s="364">
        <f>4</f>
        <v>4</v>
      </c>
      <c r="T17" s="372">
        <f>IF($C17="","",S17*VLOOKUP($C17,ATELIER!$A$2:$F$109,4,0))</f>
        <v>0.32</v>
      </c>
      <c r="U17" s="364">
        <f>4</f>
        <v>4</v>
      </c>
      <c r="V17" s="372">
        <f>IF($C17="","",U17*VLOOKUP($C17,ATELIER!$A$2:$F$109,4,0))</f>
        <v>0.32</v>
      </c>
      <c r="W17" s="364">
        <f>8</f>
        <v>8</v>
      </c>
      <c r="X17" s="372">
        <f>IF($C17="","",W17*VLOOKUP($C17,ATELIER!$A$2:$F$109,4,0))</f>
        <v>0.64</v>
      </c>
      <c r="Y17" s="364">
        <f>8</f>
        <v>8</v>
      </c>
      <c r="Z17" s="372">
        <f>IF($C17="","",Y17*VLOOKUP($C17,ATELIER!$A$2:$F$109,4,0))</f>
        <v>0.64</v>
      </c>
      <c r="AA17" s="364">
        <f>8</f>
        <v>8</v>
      </c>
      <c r="AB17" s="372">
        <f>IF($C17="","",AA17*VLOOKUP($C17,ATELIER!$A$2:$F$109,4,0))</f>
        <v>0.64</v>
      </c>
      <c r="AC17" s="364">
        <f>8</f>
        <v>8</v>
      </c>
      <c r="AD17" s="372">
        <f>IF($C17="","",AC17*VLOOKUP($C17,ATELIER!$A$2:$F$109,4,0))</f>
        <v>0.64</v>
      </c>
      <c r="AE17" s="364">
        <f>8</f>
        <v>8</v>
      </c>
      <c r="AF17" s="372">
        <f>IF($C17="","",AE17*VLOOKUP($C17,ATELIER!$A$2:$F$109,4,0))</f>
        <v>0.64</v>
      </c>
      <c r="AG17" s="364">
        <f>8</f>
        <v>8</v>
      </c>
      <c r="AH17" s="372">
        <f>IF($C17="","",AG17*VLOOKUP($C17,ATELIER!$A$2:$F$109,4,0))</f>
        <v>0.64</v>
      </c>
      <c r="AI17" s="364">
        <f>8</f>
        <v>8</v>
      </c>
      <c r="AJ17" s="372">
        <f>IF($C17="","",AI17*VLOOKUP($C17,ATELIER!$A$2:$F$109,4,0))</f>
        <v>0.64</v>
      </c>
      <c r="AK17" s="364">
        <f>8</f>
        <v>8</v>
      </c>
      <c r="AL17" s="372">
        <f>IF($C17="","",AK17*VLOOKUP($C17,ATELIER!$A$2:$F$109,4,0))</f>
        <v>0.64</v>
      </c>
      <c r="AM17" s="364">
        <f>8</f>
        <v>8</v>
      </c>
      <c r="AN17" s="372">
        <f>IF($C17="","",AM17*VLOOKUP($C17,ATELIER!$A$2:$F$109,4,0))</f>
        <v>0.64</v>
      </c>
    </row>
    <row r="18" spans="1:40" ht="35.25" customHeight="1" x14ac:dyDescent="0.2">
      <c r="A18" s="1624"/>
      <c r="B18" s="375" t="s">
        <v>449</v>
      </c>
      <c r="C18" s="376" t="s">
        <v>450</v>
      </c>
      <c r="D18" s="377" t="s">
        <v>451</v>
      </c>
      <c r="E18" s="376">
        <f>F18*Simulation!$P$8</f>
        <v>260.10000000000002</v>
      </c>
      <c r="F18" s="377">
        <f>SUM(F12:F17)</f>
        <v>5.78</v>
      </c>
      <c r="G18" s="376">
        <f>H18*Simulation!$P$8</f>
        <v>261.90000000000003</v>
      </c>
      <c r="H18" s="377">
        <f>SUM(H12:H17)</f>
        <v>5.82</v>
      </c>
      <c r="I18" s="376">
        <f>J18*Simulation!$P$8</f>
        <v>261.90000000000003</v>
      </c>
      <c r="J18" s="377">
        <f>SUM(J12:J17)</f>
        <v>5.82</v>
      </c>
      <c r="K18" s="376">
        <f>L18*Simulation!$P$8</f>
        <v>261.90000000000003</v>
      </c>
      <c r="L18" s="377">
        <f>SUM(L12:L17)</f>
        <v>5.82</v>
      </c>
      <c r="M18" s="376">
        <f>N18*Simulation!$P$8</f>
        <v>275.39999999999998</v>
      </c>
      <c r="N18" s="377">
        <f>SUM(N12:N17)</f>
        <v>6.12</v>
      </c>
      <c r="O18" s="376">
        <f>P18*Simulation!$P$8</f>
        <v>273.15000000000003</v>
      </c>
      <c r="P18" s="377">
        <f>SUM(P12:P17)</f>
        <v>6.07</v>
      </c>
      <c r="Q18" s="376">
        <f>R18*Simulation!$P$8</f>
        <v>279.90000000000003</v>
      </c>
      <c r="R18" s="377">
        <f>SUM(R12:R17)</f>
        <v>6.2200000000000006</v>
      </c>
      <c r="S18" s="376">
        <f>T18*Simulation!$P$8</f>
        <v>279.90000000000003</v>
      </c>
      <c r="T18" s="377">
        <f>SUM(T12:T17)</f>
        <v>6.2200000000000006</v>
      </c>
      <c r="U18" s="376">
        <f>V18*Simulation!$P$8</f>
        <v>270.90000000000003</v>
      </c>
      <c r="V18" s="377">
        <f>SUM(V12:V17)</f>
        <v>6.0200000000000005</v>
      </c>
      <c r="W18" s="376">
        <f>X18*Simulation!$P$8</f>
        <v>285.3</v>
      </c>
      <c r="X18" s="377">
        <f>SUM(X12:X17)</f>
        <v>6.34</v>
      </c>
      <c r="Y18" s="376">
        <f>Z18*Simulation!$P$8</f>
        <v>280.79999999999995</v>
      </c>
      <c r="Z18" s="377">
        <f>SUM(Z12:Z17)</f>
        <v>6.2399999999999993</v>
      </c>
      <c r="AA18" s="376">
        <f>AB18*Simulation!$P$8</f>
        <v>283.04999999999995</v>
      </c>
      <c r="AB18" s="377">
        <f>SUM(AB12:AB17)</f>
        <v>6.2899999999999991</v>
      </c>
      <c r="AC18" s="376">
        <f>AD18*Simulation!$P$8</f>
        <v>294.3</v>
      </c>
      <c r="AD18" s="377">
        <f>SUM(AD12:AD17)</f>
        <v>6.54</v>
      </c>
      <c r="AE18" s="376">
        <f>AF18*Simulation!$P$8</f>
        <v>289.8</v>
      </c>
      <c r="AF18" s="377">
        <f>SUM(AF12:AF17)</f>
        <v>6.44</v>
      </c>
      <c r="AG18" s="376">
        <f>AH18*Simulation!$P$8</f>
        <v>296.55</v>
      </c>
      <c r="AH18" s="377">
        <f>SUM(AH12:AH17)</f>
        <v>6.59</v>
      </c>
      <c r="AI18" s="376">
        <f>AJ18*Simulation!$P$8</f>
        <v>294.3</v>
      </c>
      <c r="AJ18" s="377">
        <f>SUM(AJ12:AJ17)</f>
        <v>6.54</v>
      </c>
      <c r="AK18" s="376">
        <f>AL18*Simulation!$P$8</f>
        <v>298.8</v>
      </c>
      <c r="AL18" s="377">
        <f>SUM(AL12:AL17)</f>
        <v>6.6400000000000006</v>
      </c>
      <c r="AM18" s="376">
        <f>AN18*Simulation!$P$8</f>
        <v>312.3</v>
      </c>
      <c r="AN18" s="377">
        <f>SUM(AN12:AN17)</f>
        <v>6.94</v>
      </c>
    </row>
    <row r="19" spans="1:40" ht="15" customHeight="1" x14ac:dyDescent="0.2">
      <c r="A19" s="1626" t="s">
        <v>452</v>
      </c>
      <c r="B19" s="361" t="s">
        <v>1160</v>
      </c>
      <c r="C19" s="378" t="s">
        <v>384</v>
      </c>
      <c r="D19" s="363" t="str">
        <f>IF(C19="","",VLOOKUP($C19,CHANTIER!$A$2:$C$83,3,0))</f>
        <v>ml</v>
      </c>
      <c r="E19" s="364">
        <f>'Outils de calculs'!E26</f>
        <v>8.1999999999999993</v>
      </c>
      <c r="F19" s="372">
        <f>IF($C19="","",E19*VLOOKUP($C19,CHANTIER!$A$2:$D$83,4,0))</f>
        <v>0.65599999999999992</v>
      </c>
      <c r="G19" s="364">
        <f>'Outils de calculs'!G26</f>
        <v>10</v>
      </c>
      <c r="H19" s="372">
        <f>IF($C19="","",G19*VLOOKUP($C19,CHANTIER!$A$2:$D$83,4,0))</f>
        <v>0.8</v>
      </c>
      <c r="I19" s="364">
        <f>'Outils de calculs'!I26</f>
        <v>12</v>
      </c>
      <c r="J19" s="372">
        <f>IF($C19="","",I19*VLOOKUP($C19,CHANTIER!$A$2:$D$83,4,0))</f>
        <v>0.96</v>
      </c>
      <c r="K19" s="364">
        <f>'Outils de calculs'!K26</f>
        <v>13</v>
      </c>
      <c r="L19" s="372">
        <f>IF($C19="","",K19*VLOOKUP($C19,CHANTIER!$A$2:$D$83,4,0))</f>
        <v>1.04</v>
      </c>
      <c r="M19" s="364">
        <f>'Outils de calculs'!M26</f>
        <v>14</v>
      </c>
      <c r="N19" s="372">
        <f>IF($C19="","",M19*VLOOKUP($C19,CHANTIER!$A$2:$D$83,4,0))</f>
        <v>1.1200000000000001</v>
      </c>
      <c r="O19" s="364">
        <f>'Outils de calculs'!O26</f>
        <v>15</v>
      </c>
      <c r="P19" s="372">
        <f>IF($C19="","",O19*VLOOKUP($C19,CHANTIER!$A$2:$D$83,4,0))</f>
        <v>1.2</v>
      </c>
      <c r="Q19" s="364">
        <f>'Outils de calculs'!Q26</f>
        <v>16</v>
      </c>
      <c r="R19" s="372">
        <f>IF($C19="","",Q19*VLOOKUP($C19,CHANTIER!$A$2:$D$83,4,0))</f>
        <v>1.28</v>
      </c>
      <c r="S19" s="364">
        <f>'Outils de calculs'!S26</f>
        <v>17</v>
      </c>
      <c r="T19" s="372">
        <f>IF($C19="","",S19*VLOOKUP($C19,CHANTIER!$A$2:$D$83,4,0))</f>
        <v>1.36</v>
      </c>
      <c r="U19" s="364">
        <f>'Outils de calculs'!U26</f>
        <v>18</v>
      </c>
      <c r="V19" s="372">
        <f>IF($C19="","",U19*VLOOKUP($C19,CHANTIER!$A$2:$D$83,4,0))</f>
        <v>1.44</v>
      </c>
      <c r="W19" s="364">
        <f>'Outils de calculs'!W26</f>
        <v>20</v>
      </c>
      <c r="X19" s="372">
        <f>IF($C19="","",W19*VLOOKUP($C19,CHANTIER!$A$2:$D$83,4,0))</f>
        <v>1.6</v>
      </c>
      <c r="Y19" s="364">
        <f>'Outils de calculs'!Y26</f>
        <v>22</v>
      </c>
      <c r="Z19" s="372">
        <f>IF($C19="","",Y19*VLOOKUP($C19,CHANTIER!$A$2:$D$83,4,0))</f>
        <v>1.76</v>
      </c>
      <c r="AA19" s="364">
        <f>'Outils de calculs'!AA26</f>
        <v>23</v>
      </c>
      <c r="AB19" s="372">
        <f>IF($C19="","",AA19*VLOOKUP($C19,CHANTIER!$A$2:$D$83,4,0))</f>
        <v>1.84</v>
      </c>
      <c r="AC19" s="364">
        <f>'Outils de calculs'!AC26</f>
        <v>22</v>
      </c>
      <c r="AD19" s="372">
        <f>IF($C19="","",AC19*VLOOKUP($C19,CHANTIER!$A$2:$D$83,4,0))</f>
        <v>1.76</v>
      </c>
      <c r="AE19" s="364">
        <f>'Outils de calculs'!AE26</f>
        <v>24</v>
      </c>
      <c r="AF19" s="372">
        <f>IF($C19="","",AE19*VLOOKUP($C19,CHANTIER!$A$2:$D$83,4,0))</f>
        <v>1.92</v>
      </c>
      <c r="AG19" s="364">
        <f>'Outils de calculs'!AG26</f>
        <v>25</v>
      </c>
      <c r="AH19" s="372">
        <f>IF($C19="","",AG19*VLOOKUP($C19,CHANTIER!$A$2:$D$83,4,0))</f>
        <v>2</v>
      </c>
      <c r="AI19" s="364">
        <f>'Outils de calculs'!AI26</f>
        <v>26</v>
      </c>
      <c r="AJ19" s="372">
        <f>IF($C19="","",AI19*VLOOKUP($C19,CHANTIER!$A$2:$D$83,4,0))</f>
        <v>2.08</v>
      </c>
      <c r="AK19" s="364">
        <f>'Outils de calculs'!AK26</f>
        <v>28</v>
      </c>
      <c r="AL19" s="372">
        <f>IF($C19="","",AK19*VLOOKUP($C19,CHANTIER!$A$2:$D$83,4,0))</f>
        <v>2.2400000000000002</v>
      </c>
      <c r="AM19" s="364">
        <f>'Outils de calculs'!AM26</f>
        <v>26</v>
      </c>
      <c r="AN19" s="372">
        <f>IF($C19="","",AM19*VLOOKUP($C19,CHANTIER!$A$2:$D$83,4,0))</f>
        <v>2.08</v>
      </c>
    </row>
    <row r="20" spans="1:40" ht="15" customHeight="1" x14ac:dyDescent="0.2">
      <c r="A20" s="1626"/>
      <c r="B20" s="361" t="s">
        <v>1160</v>
      </c>
      <c r="C20" s="378" t="s">
        <v>1248</v>
      </c>
      <c r="D20" s="363" t="str">
        <f>IF(C20="","",VLOOKUP($C20,CHANTIER!$A$2:$C$83,3,0))</f>
        <v>pc</v>
      </c>
      <c r="E20" s="364">
        <f>4</f>
        <v>4</v>
      </c>
      <c r="F20" s="372">
        <f>IF($C20="","",E20*VLOOKUP($C20,CHANTIER!$A$2:$D$83,4,0))</f>
        <v>0.6</v>
      </c>
      <c r="G20" s="364">
        <f>4</f>
        <v>4</v>
      </c>
      <c r="H20" s="372">
        <f>IF($C20="","",G20*VLOOKUP($C20,CHANTIER!$A$2:$D$83,4,0))</f>
        <v>0.6</v>
      </c>
      <c r="I20" s="364">
        <f>4</f>
        <v>4</v>
      </c>
      <c r="J20" s="372">
        <f>IF($C20="","",I20*VLOOKUP($C20,CHANTIER!$A$2:$D$83,4,0))</f>
        <v>0.6</v>
      </c>
      <c r="K20" s="364">
        <f>4</f>
        <v>4</v>
      </c>
      <c r="L20" s="372">
        <f>IF($C20="","",K20*VLOOKUP($C20,CHANTIER!$A$2:$D$83,4,0))</f>
        <v>0.6</v>
      </c>
      <c r="M20" s="364">
        <f>4</f>
        <v>4</v>
      </c>
      <c r="N20" s="372">
        <f>IF($C20="","",M20*VLOOKUP($C20,CHANTIER!$A$2:$D$83,4,0))</f>
        <v>0.6</v>
      </c>
      <c r="O20" s="364">
        <f>4</f>
        <v>4</v>
      </c>
      <c r="P20" s="372">
        <f>IF($C20="","",O20*VLOOKUP($C20,CHANTIER!$A$2:$D$83,4,0))</f>
        <v>0.6</v>
      </c>
      <c r="Q20" s="364">
        <f>4</f>
        <v>4</v>
      </c>
      <c r="R20" s="372">
        <f>IF($C20="","",Q20*VLOOKUP($C20,CHANTIER!$A$2:$D$83,4,0))</f>
        <v>0.6</v>
      </c>
      <c r="S20" s="364">
        <f>4</f>
        <v>4</v>
      </c>
      <c r="T20" s="372">
        <f>IF($C20="","",S20*VLOOKUP($C20,CHANTIER!$A$2:$D$83,4,0))</f>
        <v>0.6</v>
      </c>
      <c r="U20" s="364">
        <f>4</f>
        <v>4</v>
      </c>
      <c r="V20" s="372">
        <f>IF($C20="","",U20*VLOOKUP($C20,CHANTIER!$A$2:$D$83,4,0))</f>
        <v>0.6</v>
      </c>
      <c r="W20" s="364">
        <f>8</f>
        <v>8</v>
      </c>
      <c r="X20" s="372">
        <f>IF($C20="","",W20*VLOOKUP($C20,CHANTIER!$A$2:$D$83,4,0))</f>
        <v>1.2</v>
      </c>
      <c r="Y20" s="364">
        <f>8</f>
        <v>8</v>
      </c>
      <c r="Z20" s="372">
        <f>IF($C20="","",Y20*VLOOKUP($C20,CHANTIER!$A$2:$D$83,4,0))</f>
        <v>1.2</v>
      </c>
      <c r="AA20" s="364">
        <f>8</f>
        <v>8</v>
      </c>
      <c r="AB20" s="372">
        <f>IF($C20="","",AA20*VLOOKUP($C20,CHANTIER!$A$2:$D$83,4,0))</f>
        <v>1.2</v>
      </c>
      <c r="AC20" s="364">
        <f>8</f>
        <v>8</v>
      </c>
      <c r="AD20" s="372">
        <f>IF($C20="","",AC20*VLOOKUP($C20,CHANTIER!$A$2:$D$83,4,0))</f>
        <v>1.2</v>
      </c>
      <c r="AE20" s="364">
        <f>8</f>
        <v>8</v>
      </c>
      <c r="AF20" s="372">
        <f>IF($C20="","",AE20*VLOOKUP($C20,CHANTIER!$A$2:$D$83,4,0))</f>
        <v>1.2</v>
      </c>
      <c r="AG20" s="364">
        <f>8</f>
        <v>8</v>
      </c>
      <c r="AH20" s="372">
        <f>IF($C20="","",AG20*VLOOKUP($C20,CHANTIER!$A$2:$D$83,4,0))</f>
        <v>1.2</v>
      </c>
      <c r="AI20" s="364">
        <f>8</f>
        <v>8</v>
      </c>
      <c r="AJ20" s="372">
        <f>IF($C20="","",AI20*VLOOKUP($C20,CHANTIER!$A$2:$D$83,4,0))</f>
        <v>1.2</v>
      </c>
      <c r="AK20" s="364">
        <f>8</f>
        <v>8</v>
      </c>
      <c r="AL20" s="372">
        <f>IF($C20="","",AK20*VLOOKUP($C20,CHANTIER!$A$2:$D$83,4,0))</f>
        <v>1.2</v>
      </c>
      <c r="AM20" s="364">
        <f>8</f>
        <v>8</v>
      </c>
      <c r="AN20" s="372">
        <f>IF($C20="","",AM20*VLOOKUP($C20,CHANTIER!$A$2:$D$83,4,0))</f>
        <v>1.2</v>
      </c>
    </row>
    <row r="21" spans="1:40" ht="15" customHeight="1" x14ac:dyDescent="0.2">
      <c r="A21" s="1626"/>
      <c r="B21" s="361" t="s">
        <v>1160</v>
      </c>
      <c r="C21" s="378" t="s">
        <v>1252</v>
      </c>
      <c r="D21" s="363" t="str">
        <f>IF(C21="","",VLOOKUP($C21,CHANTIER!$A$2:$C$83,3,0))</f>
        <v>ml</v>
      </c>
      <c r="E21" s="364">
        <f>E5</f>
        <v>72.16</v>
      </c>
      <c r="F21" s="372">
        <f>IF($C21="","",E21*VLOOKUP($C21,CHANTIER!$A$2:$D$83,4,0))</f>
        <v>4.3295999999999992</v>
      </c>
      <c r="G21" s="364">
        <f>G5</f>
        <v>88</v>
      </c>
      <c r="H21" s="372">
        <f>IF($C21="","",G21*VLOOKUP($C21,CHANTIER!$A$2:$D$83,4,0))</f>
        <v>5.2799999999999994</v>
      </c>
      <c r="I21" s="364">
        <f>I5</f>
        <v>105.60000000000001</v>
      </c>
      <c r="J21" s="372">
        <f>IF($C21="","",I21*VLOOKUP($C21,CHANTIER!$A$2:$D$83,4,0))</f>
        <v>6.3360000000000003</v>
      </c>
      <c r="K21" s="364">
        <f>K5</f>
        <v>114.4</v>
      </c>
      <c r="L21" s="372">
        <f>IF($C21="","",K21*VLOOKUP($C21,CHANTIER!$A$2:$D$83,4,0))</f>
        <v>6.8639999999999999</v>
      </c>
      <c r="M21" s="364">
        <f>M5</f>
        <v>123.20000000000002</v>
      </c>
      <c r="N21" s="372">
        <f>IF($C21="","",M21*VLOOKUP($C21,CHANTIER!$A$2:$D$83,4,0))</f>
        <v>7.3920000000000003</v>
      </c>
      <c r="O21" s="364">
        <f>O5</f>
        <v>132</v>
      </c>
      <c r="P21" s="372">
        <f>IF($C21="","",O21*VLOOKUP($C21,CHANTIER!$A$2:$D$83,4,0))</f>
        <v>7.92</v>
      </c>
      <c r="Q21" s="364">
        <f>Q5</f>
        <v>140.80000000000001</v>
      </c>
      <c r="R21" s="372">
        <f>IF($C21="","",Q21*VLOOKUP($C21,CHANTIER!$A$2:$D$83,4,0))</f>
        <v>8.4480000000000004</v>
      </c>
      <c r="S21" s="364">
        <f>S5</f>
        <v>149.60000000000002</v>
      </c>
      <c r="T21" s="372">
        <f>IF($C21="","",S21*VLOOKUP($C21,CHANTIER!$A$2:$D$83,4,0))</f>
        <v>8.9760000000000009</v>
      </c>
      <c r="U21" s="364">
        <f>U5</f>
        <v>158.4</v>
      </c>
      <c r="V21" s="372">
        <f>IF($C21="","",U21*VLOOKUP($C21,CHANTIER!$A$2:$D$83,4,0))</f>
        <v>9.5039999999999996</v>
      </c>
      <c r="W21" s="364">
        <f>W5</f>
        <v>176</v>
      </c>
      <c r="X21" s="372">
        <f>IF($C21="","",W21*VLOOKUP($C21,CHANTIER!$A$2:$D$83,4,0))</f>
        <v>10.559999999999999</v>
      </c>
      <c r="Y21" s="364">
        <f>Y5</f>
        <v>193.60000000000002</v>
      </c>
      <c r="Z21" s="372">
        <f>IF($C21="","",Y21*VLOOKUP($C21,CHANTIER!$A$2:$D$83,4,0))</f>
        <v>11.616000000000001</v>
      </c>
      <c r="AA21" s="364">
        <f>AA5</f>
        <v>202.4</v>
      </c>
      <c r="AB21" s="372">
        <f>IF($C21="","",AA21*VLOOKUP($C21,CHANTIER!$A$2:$D$83,4,0))</f>
        <v>12.144</v>
      </c>
      <c r="AC21" s="364">
        <f>AC5</f>
        <v>193.60000000000002</v>
      </c>
      <c r="AD21" s="372">
        <f>IF($C21="","",AC21*VLOOKUP($C21,CHANTIER!$A$2:$D$83,4,0))</f>
        <v>11.616000000000001</v>
      </c>
      <c r="AE21" s="364">
        <f>AE5</f>
        <v>211.20000000000002</v>
      </c>
      <c r="AF21" s="372">
        <f>IF($C21="","",AE21*VLOOKUP($C21,CHANTIER!$A$2:$D$83,4,0))</f>
        <v>12.672000000000001</v>
      </c>
      <c r="AG21" s="364">
        <f>AG5</f>
        <v>220.00000000000003</v>
      </c>
      <c r="AH21" s="372">
        <f>IF($C21="","",AG21*VLOOKUP($C21,CHANTIER!$A$2:$D$83,4,0))</f>
        <v>13.200000000000001</v>
      </c>
      <c r="AI21" s="364">
        <f>AI5</f>
        <v>228.8</v>
      </c>
      <c r="AJ21" s="372">
        <f>IF($C21="","",AI21*VLOOKUP($C21,CHANTIER!$A$2:$D$83,4,0))</f>
        <v>13.728</v>
      </c>
      <c r="AK21" s="364">
        <f>AK5</f>
        <v>246.40000000000003</v>
      </c>
      <c r="AL21" s="372">
        <f>IF($C21="","",AK21*VLOOKUP($C21,CHANTIER!$A$2:$D$83,4,0))</f>
        <v>14.784000000000001</v>
      </c>
      <c r="AM21" s="364">
        <f>AM5</f>
        <v>228.8</v>
      </c>
      <c r="AN21" s="372">
        <f>IF($C21="","",AM21*VLOOKUP($C21,CHANTIER!$A$2:$D$83,4,0))</f>
        <v>13.728</v>
      </c>
    </row>
    <row r="22" spans="1:40" ht="15" customHeight="1" x14ac:dyDescent="0.2">
      <c r="A22" s="1626"/>
      <c r="B22" s="361" t="s">
        <v>1160</v>
      </c>
      <c r="C22" s="378" t="s">
        <v>1254</v>
      </c>
      <c r="D22" s="363" t="str">
        <f>IF(C22="","",VLOOKUP($C22,CHANTIER!$A$2:$C$83,3,0))</f>
        <v>ml</v>
      </c>
      <c r="E22" s="364">
        <f>E9</f>
        <v>8.5</v>
      </c>
      <c r="F22" s="372">
        <f>IF($C22="","",E22*VLOOKUP($C22,CHANTIER!$A$2:$D$83,4,0))</f>
        <v>0.42500000000000004</v>
      </c>
      <c r="G22" s="364">
        <f>G9</f>
        <v>10.3</v>
      </c>
      <c r="H22" s="372">
        <f>IF($C22="","",G22*VLOOKUP($C22,CHANTIER!$A$2:$D$83,4,0))</f>
        <v>0.51500000000000001</v>
      </c>
      <c r="I22" s="364">
        <f>I9</f>
        <v>12.3</v>
      </c>
      <c r="J22" s="372">
        <f>IF($C22="","",I22*VLOOKUP($C22,CHANTIER!$A$2:$D$83,4,0))</f>
        <v>0.6150000000000001</v>
      </c>
      <c r="K22" s="364">
        <f>K9</f>
        <v>13.3</v>
      </c>
      <c r="L22" s="372">
        <f>IF($C22="","",K22*VLOOKUP($C22,CHANTIER!$A$2:$D$83,4,0))</f>
        <v>0.66500000000000004</v>
      </c>
      <c r="M22" s="364">
        <f>M9</f>
        <v>14.3</v>
      </c>
      <c r="N22" s="372">
        <f>IF($C22="","",M22*VLOOKUP($C22,CHANTIER!$A$2:$D$83,4,0))</f>
        <v>0.71500000000000008</v>
      </c>
      <c r="O22" s="364">
        <f>O9</f>
        <v>15.3</v>
      </c>
      <c r="P22" s="372">
        <f>IF($C22="","",O22*VLOOKUP($C22,CHANTIER!$A$2:$D$83,4,0))</f>
        <v>0.76500000000000012</v>
      </c>
      <c r="Q22" s="364">
        <f>Q9</f>
        <v>16.3</v>
      </c>
      <c r="R22" s="372">
        <f>IF($C22="","",Q22*VLOOKUP($C22,CHANTIER!$A$2:$D$83,4,0))</f>
        <v>0.81500000000000006</v>
      </c>
      <c r="S22" s="364">
        <f>S9</f>
        <v>17.3</v>
      </c>
      <c r="T22" s="372">
        <f>IF($C22="","",S22*VLOOKUP($C22,CHANTIER!$A$2:$D$83,4,0))</f>
        <v>0.8650000000000001</v>
      </c>
      <c r="U22" s="364">
        <f>U9</f>
        <v>18.3</v>
      </c>
      <c r="V22" s="372">
        <f>IF($C22="","",U22*VLOOKUP($C22,CHANTIER!$A$2:$D$83,4,0))</f>
        <v>0.91500000000000004</v>
      </c>
      <c r="W22" s="364">
        <f>W9</f>
        <v>20.3</v>
      </c>
      <c r="X22" s="372">
        <f>IF($C22="","",W22*VLOOKUP($C22,CHANTIER!$A$2:$D$83,4,0))</f>
        <v>1.0150000000000001</v>
      </c>
      <c r="Y22" s="364">
        <f>Y9</f>
        <v>22.3</v>
      </c>
      <c r="Z22" s="372">
        <f>IF($C22="","",Y22*VLOOKUP($C22,CHANTIER!$A$2:$D$83,4,0))</f>
        <v>1.115</v>
      </c>
      <c r="AA22" s="364">
        <f>AA9</f>
        <v>23.3</v>
      </c>
      <c r="AB22" s="372">
        <f>IF($C22="","",AA22*VLOOKUP($C22,CHANTIER!$A$2:$D$83,4,0))</f>
        <v>1.165</v>
      </c>
      <c r="AC22" s="364">
        <f>AC9</f>
        <v>22.3</v>
      </c>
      <c r="AD22" s="372">
        <f>IF($C22="","",AC22*VLOOKUP($C22,CHANTIER!$A$2:$D$83,4,0))</f>
        <v>1.115</v>
      </c>
      <c r="AE22" s="364">
        <f>AE9</f>
        <v>24.3</v>
      </c>
      <c r="AF22" s="372">
        <f>IF($C22="","",AE22*VLOOKUP($C22,CHANTIER!$A$2:$D$83,4,0))</f>
        <v>1.2150000000000001</v>
      </c>
      <c r="AG22" s="364">
        <f>AG9</f>
        <v>25.3</v>
      </c>
      <c r="AH22" s="372">
        <f>IF($C22="","",AG22*VLOOKUP($C22,CHANTIER!$A$2:$D$83,4,0))</f>
        <v>1.2650000000000001</v>
      </c>
      <c r="AI22" s="364">
        <f>AI9</f>
        <v>26.3</v>
      </c>
      <c r="AJ22" s="372">
        <f>IF($C22="","",AI22*VLOOKUP($C22,CHANTIER!$A$2:$D$83,4,0))</f>
        <v>1.3150000000000002</v>
      </c>
      <c r="AK22" s="364">
        <f>AK9</f>
        <v>28.3</v>
      </c>
      <c r="AL22" s="372">
        <f>IF($C22="","",AK22*VLOOKUP($C22,CHANTIER!$A$2:$D$83,4,0))</f>
        <v>1.415</v>
      </c>
      <c r="AM22" s="364">
        <f>AM9</f>
        <v>26.3</v>
      </c>
      <c r="AN22" s="372">
        <f>IF($C22="","",AM22*VLOOKUP($C22,CHANTIER!$A$2:$D$83,4,0))</f>
        <v>1.3150000000000002</v>
      </c>
    </row>
    <row r="23" spans="1:40" ht="15" customHeight="1" x14ac:dyDescent="0.2">
      <c r="A23" s="1626"/>
      <c r="B23" s="361" t="s">
        <v>1160</v>
      </c>
      <c r="C23" s="378" t="s">
        <v>1255</v>
      </c>
      <c r="D23" s="363" t="str">
        <f>IF(C23="","",VLOOKUP($C23,CHANTIER!$A$2:$C$83,3,0))</f>
        <v>ml</v>
      </c>
      <c r="E23" s="364">
        <f>E16</f>
        <v>3.2</v>
      </c>
      <c r="F23" s="372">
        <f>IF($C23="","",E23*VLOOKUP($C23,CHANTIER!$A$2:$D$83,4,0))</f>
        <v>0.48</v>
      </c>
      <c r="G23" s="364">
        <f t="shared" ref="G23" si="0">G16</f>
        <v>4</v>
      </c>
      <c r="H23" s="372">
        <f>IF($C23="","",G23*VLOOKUP($C23,CHANTIER!$A$2:$D$83,4,0))</f>
        <v>0.6</v>
      </c>
      <c r="I23" s="364">
        <f t="shared" ref="I23" si="1">I16</f>
        <v>4</v>
      </c>
      <c r="J23" s="372">
        <f>IF($C23="","",I23*VLOOKUP($C23,CHANTIER!$A$2:$D$83,4,0))</f>
        <v>0.6</v>
      </c>
      <c r="K23" s="364">
        <f t="shared" ref="K23" si="2">K16</f>
        <v>4</v>
      </c>
      <c r="L23" s="372">
        <f>IF($C23="","",K23*VLOOKUP($C23,CHANTIER!$A$2:$D$83,4,0))</f>
        <v>0.6</v>
      </c>
      <c r="M23" s="364">
        <f t="shared" ref="M23" si="3">M16</f>
        <v>6</v>
      </c>
      <c r="N23" s="372">
        <f>IF($C23="","",M23*VLOOKUP($C23,CHANTIER!$A$2:$D$83,4,0))</f>
        <v>0.89999999999999991</v>
      </c>
      <c r="O23" s="364">
        <f t="shared" ref="O23" si="4">O16</f>
        <v>7</v>
      </c>
      <c r="P23" s="372">
        <f>IF($C23="","",O23*VLOOKUP($C23,CHANTIER!$A$2:$D$83,4,0))</f>
        <v>1.05</v>
      </c>
      <c r="Q23" s="364">
        <f t="shared" ref="Q23" si="5">Q16</f>
        <v>8</v>
      </c>
      <c r="R23" s="372">
        <f>IF($C23="","",Q23*VLOOKUP($C23,CHANTIER!$A$2:$D$83,4,0))</f>
        <v>1.2</v>
      </c>
      <c r="S23" s="364">
        <f t="shared" ref="S23" si="6">S16</f>
        <v>8</v>
      </c>
      <c r="T23" s="372">
        <f>IF($C23="","",S23*VLOOKUP($C23,CHANTIER!$A$2:$D$83,4,0))</f>
        <v>1.2</v>
      </c>
      <c r="U23" s="364">
        <f t="shared" ref="U23" si="7">U16</f>
        <v>8</v>
      </c>
      <c r="V23" s="372">
        <f>IF($C23="","",U23*VLOOKUP($C23,CHANTIER!$A$2:$D$83,4,0))</f>
        <v>1.2</v>
      </c>
      <c r="W23" s="364">
        <f t="shared" ref="W23" si="8">W16</f>
        <v>8</v>
      </c>
      <c r="X23" s="372">
        <f>IF($C23="","",W23*VLOOKUP($C23,CHANTIER!$A$2:$D$83,4,0))</f>
        <v>1.2</v>
      </c>
      <c r="Y23" s="364">
        <f t="shared" ref="Y23" si="9">Y16</f>
        <v>6</v>
      </c>
      <c r="Z23" s="372">
        <f>IF($C23="","",Y23*VLOOKUP($C23,CHANTIER!$A$2:$D$83,4,0))</f>
        <v>0.89999999999999991</v>
      </c>
      <c r="AA23" s="364">
        <f t="shared" ref="AA23" si="10">AA16</f>
        <v>7</v>
      </c>
      <c r="AB23" s="372">
        <f>IF($C23="","",AA23*VLOOKUP($C23,CHANTIER!$A$2:$D$83,4,0))</f>
        <v>1.05</v>
      </c>
      <c r="AC23" s="364">
        <f t="shared" ref="AC23" si="11">AC16</f>
        <v>8</v>
      </c>
      <c r="AD23" s="372">
        <f>IF($C23="","",AC23*VLOOKUP($C23,CHANTIER!$A$2:$D$83,4,0))</f>
        <v>1.2</v>
      </c>
      <c r="AE23" s="364">
        <f t="shared" ref="AE23" si="12">AE16</f>
        <v>8</v>
      </c>
      <c r="AF23" s="372">
        <f>IF($C23="","",AE23*VLOOKUP($C23,CHANTIER!$A$2:$D$83,4,0))</f>
        <v>1.2</v>
      </c>
      <c r="AG23" s="364">
        <f t="shared" ref="AG23" si="13">AG16</f>
        <v>9</v>
      </c>
      <c r="AH23" s="372">
        <f>IF($C23="","",AG23*VLOOKUP($C23,CHANTIER!$A$2:$D$83,4,0))</f>
        <v>1.3499999999999999</v>
      </c>
      <c r="AI23" s="364">
        <f t="shared" ref="AI23" si="14">AI16</f>
        <v>8</v>
      </c>
      <c r="AJ23" s="372">
        <f>IF($C23="","",AI23*VLOOKUP($C23,CHANTIER!$A$2:$D$83,4,0))</f>
        <v>1.2</v>
      </c>
      <c r="AK23" s="364">
        <f t="shared" ref="AK23:AM23" si="15">AK16</f>
        <v>8</v>
      </c>
      <c r="AL23" s="372">
        <f>IF($C23="","",AK23*VLOOKUP($C23,CHANTIER!$A$2:$D$83,4,0))</f>
        <v>1.2</v>
      </c>
      <c r="AM23" s="364">
        <f t="shared" si="15"/>
        <v>10</v>
      </c>
      <c r="AN23" s="372">
        <f>IF($C23="","",AM23*VLOOKUP($C23,CHANTIER!$A$2:$D$83,4,0))</f>
        <v>1.5</v>
      </c>
    </row>
    <row r="24" spans="1:40" ht="30.75" customHeight="1" x14ac:dyDescent="0.2">
      <c r="A24" s="1626"/>
      <c r="B24" s="379" t="s">
        <v>453</v>
      </c>
      <c r="C24" s="380" t="s">
        <v>450</v>
      </c>
      <c r="D24" s="381" t="s">
        <v>451</v>
      </c>
      <c r="E24" s="382">
        <f>F24*Simulation!$P$9</f>
        <v>292.07699999999994</v>
      </c>
      <c r="F24" s="383">
        <f>SUM(F19:F23)</f>
        <v>6.4905999999999988</v>
      </c>
      <c r="G24" s="382">
        <f>H24*Simulation!$P$9</f>
        <v>350.77499999999998</v>
      </c>
      <c r="H24" s="383">
        <f>SUM(H19:H23)</f>
        <v>7.794999999999999</v>
      </c>
      <c r="I24" s="382">
        <f>J24*Simulation!$P$9</f>
        <v>409.995</v>
      </c>
      <c r="J24" s="383">
        <f>SUM(J19:J23)</f>
        <v>9.1110000000000007</v>
      </c>
      <c r="K24" s="382">
        <f>L24*Simulation!$P$9</f>
        <v>439.60500000000002</v>
      </c>
      <c r="L24" s="383">
        <f>SUM(L19:L23)</f>
        <v>9.7690000000000001</v>
      </c>
      <c r="M24" s="382">
        <f>N24*Simulation!$P$9</f>
        <v>482.71500000000003</v>
      </c>
      <c r="N24" s="383">
        <f>SUM(N19:N23)</f>
        <v>10.727</v>
      </c>
      <c r="O24" s="382">
        <f>P24*Simulation!$P$9</f>
        <v>519.07500000000005</v>
      </c>
      <c r="P24" s="383">
        <f>SUM(P19:P23)</f>
        <v>11.535</v>
      </c>
      <c r="Q24" s="382">
        <f>R24*Simulation!$P$9</f>
        <v>555.43499999999995</v>
      </c>
      <c r="R24" s="383">
        <f>SUM(R19:R23)</f>
        <v>12.342999999999998</v>
      </c>
      <c r="S24" s="382">
        <f>T24*Simulation!$P$9</f>
        <v>585.04499999999996</v>
      </c>
      <c r="T24" s="383">
        <f>SUM(T19:T23)</f>
        <v>13.000999999999999</v>
      </c>
      <c r="U24" s="382">
        <f>V24*Simulation!$P$9</f>
        <v>614.65499999999997</v>
      </c>
      <c r="V24" s="383">
        <f>SUM(V19:V23)</f>
        <v>13.658999999999999</v>
      </c>
      <c r="W24" s="382">
        <f>X24*Simulation!$P$9</f>
        <v>700.875</v>
      </c>
      <c r="X24" s="383">
        <f>SUM(X19:X23)</f>
        <v>15.574999999999999</v>
      </c>
      <c r="Y24" s="382">
        <f>Z24*Simulation!$P$9</f>
        <v>746.59500000000003</v>
      </c>
      <c r="Z24" s="383">
        <f>SUM(Z19:Z23)</f>
        <v>16.591000000000001</v>
      </c>
      <c r="AA24" s="382">
        <f>AB24*Simulation!$P$9</f>
        <v>782.95500000000004</v>
      </c>
      <c r="AB24" s="383">
        <f>SUM(AB19:AB23)</f>
        <v>17.399000000000001</v>
      </c>
      <c r="AC24" s="382">
        <f>AD24*Simulation!$P$9</f>
        <v>760.09500000000003</v>
      </c>
      <c r="AD24" s="383">
        <f>SUM(AD19:AD23)</f>
        <v>16.891000000000002</v>
      </c>
      <c r="AE24" s="382">
        <f>AF24*Simulation!$P$9</f>
        <v>819.31500000000005</v>
      </c>
      <c r="AF24" s="383">
        <f>SUM(AF19:AF23)</f>
        <v>18.207000000000001</v>
      </c>
      <c r="AG24" s="382">
        <f>AH24*Simulation!$P$9</f>
        <v>855.67500000000018</v>
      </c>
      <c r="AH24" s="383">
        <f>SUM(AH19:AH23)</f>
        <v>19.015000000000004</v>
      </c>
      <c r="AI24" s="382">
        <f>AJ24*Simulation!$P$9</f>
        <v>878.53499999999997</v>
      </c>
      <c r="AJ24" s="383">
        <f>SUM(AJ19:AJ23)</f>
        <v>19.523</v>
      </c>
      <c r="AK24" s="382">
        <f>AL24*Simulation!$P$9</f>
        <v>937.75499999999988</v>
      </c>
      <c r="AL24" s="383">
        <f>SUM(AL19:AL23)</f>
        <v>20.838999999999999</v>
      </c>
      <c r="AM24" s="382">
        <f>AN24*Simulation!$P$9</f>
        <v>892.03499999999997</v>
      </c>
      <c r="AN24" s="383">
        <f>SUM(AN19:AN23)</f>
        <v>19.823</v>
      </c>
    </row>
    <row r="25" spans="1:40" ht="15" customHeight="1" x14ac:dyDescent="0.2">
      <c r="A25" s="1628" t="s">
        <v>4</v>
      </c>
      <c r="B25" s="361" t="s">
        <v>1171</v>
      </c>
      <c r="C25" s="378"/>
      <c r="D25" s="363" t="str">
        <f>IF(C25="","",VLOOKUP($C25,MINIPELLE!$A$2:$C$28,3,0))</f>
        <v/>
      </c>
      <c r="E25" s="364">
        <v>2</v>
      </c>
      <c r="F25" s="372" t="str">
        <f>IF($C25="","",E25*VLOOKUP($C25,MINIPELLE!$A$2:$D$28,4,0))</f>
        <v/>
      </c>
      <c r="G25" s="364">
        <v>2</v>
      </c>
      <c r="H25" s="372" t="str">
        <f>IF($C25="","",G25*VLOOKUP($C25,MINIPELLE!$A$2:$D$28,4,0))</f>
        <v/>
      </c>
      <c r="I25" s="364">
        <v>2</v>
      </c>
      <c r="J25" s="372" t="str">
        <f>IF($C25="","",I25*VLOOKUP($C25,MINIPELLE!$A$2:$D$28,4,0))</f>
        <v/>
      </c>
      <c r="K25" s="364"/>
      <c r="L25" s="372" t="str">
        <f>IF($C25="","",K25*VLOOKUP($C25,MINIPELLE!$A$2:$D$28,4,0))</f>
        <v/>
      </c>
      <c r="M25" s="364"/>
      <c r="N25" s="372" t="str">
        <f>IF($C25="","",M25*VLOOKUP($C25,MINIPELLE!$A$2:$D$28,4,0))</f>
        <v/>
      </c>
      <c r="O25" s="364"/>
      <c r="P25" s="372" t="str">
        <f>IF($C25="","",O25*VLOOKUP($C25,MINIPELLE!$A$2:$D$28,4,0))</f>
        <v/>
      </c>
      <c r="Q25" s="364"/>
      <c r="R25" s="372" t="str">
        <f>IF($C25="","",Q25*VLOOKUP($C25,MINIPELLE!$A$2:$D$28,4,0))</f>
        <v/>
      </c>
      <c r="S25" s="364"/>
      <c r="T25" s="372" t="str">
        <f>IF($C25="","",S25*VLOOKUP($C25,MINIPELLE!$A$2:$D$28,4,0))</f>
        <v/>
      </c>
      <c r="U25" s="364"/>
      <c r="V25" s="372" t="str">
        <f>IF($C25="","",U25*VLOOKUP($C25,MINIPELLE!$A$2:$D$28,4,0))</f>
        <v/>
      </c>
      <c r="W25" s="364">
        <v>2</v>
      </c>
      <c r="X25" s="372" t="str">
        <f>IF($C25="","",W25*VLOOKUP($C25,MINIPELLE!$A$2:$D$28,4,0))</f>
        <v/>
      </c>
      <c r="Y25" s="364">
        <v>2</v>
      </c>
      <c r="Z25" s="372" t="str">
        <f>IF($C25="","",Y25*VLOOKUP($C25,MINIPELLE!$A$2:$D$28,4,0))</f>
        <v/>
      </c>
      <c r="AA25" s="364">
        <v>2</v>
      </c>
      <c r="AB25" s="372" t="str">
        <f>IF($C25="","",AA25*VLOOKUP($C25,MINIPELLE!$A$2:$D$28,4,0))</f>
        <v/>
      </c>
      <c r="AC25" s="364">
        <v>2</v>
      </c>
      <c r="AD25" s="372" t="str">
        <f>IF($C25="","",AC25*VLOOKUP($C25,MINIPELLE!$A$2:$D$28,4,0))</f>
        <v/>
      </c>
      <c r="AE25" s="364">
        <v>2</v>
      </c>
      <c r="AF25" s="372" t="str">
        <f>IF($C25="","",AE25*VLOOKUP($C25,MINIPELLE!$A$2:$D$28,4,0))</f>
        <v/>
      </c>
      <c r="AG25" s="364">
        <v>2</v>
      </c>
      <c r="AH25" s="372" t="str">
        <f>IF($C25="","",AG25*VLOOKUP($C25,MINIPELLE!$A$2:$D$28,4,0))</f>
        <v/>
      </c>
      <c r="AI25" s="364">
        <v>2</v>
      </c>
      <c r="AJ25" s="372" t="str">
        <f>IF($C25="","",AI25*VLOOKUP($C25,MINIPELLE!$A$2:$D$28,4,0))</f>
        <v/>
      </c>
      <c r="AK25" s="364">
        <v>2</v>
      </c>
      <c r="AL25" s="372" t="str">
        <f>IF($C25="","",AK25*VLOOKUP($C25,MINIPELLE!$A$2:$D$28,4,0))</f>
        <v/>
      </c>
      <c r="AM25" s="364">
        <v>3</v>
      </c>
      <c r="AN25" s="372" t="str">
        <f>IF($C25="","",AM25*VLOOKUP($C25,MINIPELLE!$A$2:$D$28,4,0))</f>
        <v/>
      </c>
    </row>
    <row r="26" spans="1:40" ht="15" customHeight="1" x14ac:dyDescent="0.2">
      <c r="A26" s="1628"/>
      <c r="B26" s="445" t="s">
        <v>1172</v>
      </c>
      <c r="C26" s="446"/>
      <c r="D26" s="447"/>
      <c r="E26" s="448"/>
      <c r="F26" s="446"/>
      <c r="G26" s="448"/>
      <c r="H26" s="446"/>
      <c r="I26" s="448"/>
      <c r="J26" s="446"/>
      <c r="K26" s="448"/>
      <c r="L26" s="446"/>
      <c r="M26" s="448"/>
      <c r="N26" s="446"/>
      <c r="O26" s="448"/>
      <c r="P26" s="446"/>
      <c r="Q26" s="448"/>
      <c r="R26" s="446"/>
      <c r="S26" s="448"/>
      <c r="T26" s="446"/>
      <c r="U26" s="448"/>
      <c r="V26" s="446"/>
      <c r="W26" s="448"/>
      <c r="X26" s="446"/>
      <c r="Y26" s="448"/>
      <c r="Z26" s="446"/>
      <c r="AA26" s="448"/>
      <c r="AB26" s="446"/>
      <c r="AC26" s="448"/>
      <c r="AD26" s="446"/>
      <c r="AE26" s="448"/>
      <c r="AF26" s="446"/>
      <c r="AG26" s="448"/>
      <c r="AH26" s="446"/>
      <c r="AI26" s="448"/>
      <c r="AJ26" s="446"/>
      <c r="AK26" s="448"/>
      <c r="AL26" s="446"/>
      <c r="AM26" s="448"/>
      <c r="AN26" s="446"/>
    </row>
    <row r="27" spans="1:40" ht="29.25" customHeight="1" x14ac:dyDescent="0.2">
      <c r="A27" s="1628"/>
      <c r="B27" s="384" t="s">
        <v>454</v>
      </c>
      <c r="C27" s="385" t="s">
        <v>455</v>
      </c>
      <c r="D27" s="386" t="s">
        <v>451</v>
      </c>
      <c r="E27" s="387">
        <f>F27*Simulation!$P$10</f>
        <v>0</v>
      </c>
      <c r="F27" s="388">
        <f>SUM(F25:F25)</f>
        <v>0</v>
      </c>
      <c r="G27" s="387">
        <f>H27*Simulation!$P$10</f>
        <v>0</v>
      </c>
      <c r="H27" s="388">
        <f>SUM(H25:H25)</f>
        <v>0</v>
      </c>
      <c r="I27" s="387">
        <f>J27*Simulation!$P$10</f>
        <v>0</v>
      </c>
      <c r="J27" s="388">
        <f>SUM(J25:J25)</f>
        <v>0</v>
      </c>
      <c r="K27" s="387">
        <f>L27*Simulation!$P$10</f>
        <v>0</v>
      </c>
      <c r="L27" s="388">
        <f>SUM(L25:L25)</f>
        <v>0</v>
      </c>
      <c r="M27" s="387">
        <f>N27*Simulation!$P$10</f>
        <v>0</v>
      </c>
      <c r="N27" s="388">
        <f>SUM(N25:N25)</f>
        <v>0</v>
      </c>
      <c r="O27" s="387">
        <f>P27*Simulation!$P$10</f>
        <v>0</v>
      </c>
      <c r="P27" s="388">
        <f>SUM(P25:P25)</f>
        <v>0</v>
      </c>
      <c r="Q27" s="387">
        <f>R27*Simulation!$P$10</f>
        <v>0</v>
      </c>
      <c r="R27" s="388">
        <f>SUM(R25:R25)</f>
        <v>0</v>
      </c>
      <c r="S27" s="387">
        <f>T27*Simulation!$P$10</f>
        <v>0</v>
      </c>
      <c r="T27" s="388">
        <f>SUM(T25:T25)</f>
        <v>0</v>
      </c>
      <c r="U27" s="387">
        <f>V27*Simulation!$P$10</f>
        <v>0</v>
      </c>
      <c r="V27" s="388">
        <f>SUM(V25:V25)</f>
        <v>0</v>
      </c>
      <c r="W27" s="387">
        <f>X27*Simulation!$P$10</f>
        <v>0</v>
      </c>
      <c r="X27" s="388">
        <f>SUM(X25:X25)</f>
        <v>0</v>
      </c>
      <c r="Y27" s="387">
        <f>Z27*Simulation!$P$10</f>
        <v>0</v>
      </c>
      <c r="Z27" s="388">
        <f>SUM(Z25:Z25)</f>
        <v>0</v>
      </c>
      <c r="AA27" s="387">
        <f>AB27*Simulation!$P$10</f>
        <v>0</v>
      </c>
      <c r="AB27" s="388">
        <f>SUM(AB25:AB25)</f>
        <v>0</v>
      </c>
      <c r="AC27" s="387">
        <f>AD27*Simulation!$P$10</f>
        <v>0</v>
      </c>
      <c r="AD27" s="388">
        <f>SUM(AD25:AD25)</f>
        <v>0</v>
      </c>
      <c r="AE27" s="387">
        <f>AF27*Simulation!$P$10</f>
        <v>0</v>
      </c>
      <c r="AF27" s="388">
        <f>SUM(AF25:AF25)</f>
        <v>0</v>
      </c>
      <c r="AG27" s="387">
        <f>AH27*Simulation!$P$10</f>
        <v>0</v>
      </c>
      <c r="AH27" s="388">
        <f>SUM(AH25:AH25)</f>
        <v>0</v>
      </c>
      <c r="AI27" s="387">
        <f>AJ27*Simulation!$P$10</f>
        <v>0</v>
      </c>
      <c r="AJ27" s="388">
        <f>SUM(AJ25:AJ25)</f>
        <v>0</v>
      </c>
      <c r="AK27" s="387">
        <f>AL27*Simulation!$P$10</f>
        <v>0</v>
      </c>
      <c r="AL27" s="388">
        <f>SUM(AL25:AL25)</f>
        <v>0</v>
      </c>
      <c r="AM27" s="387">
        <f>AN27*Simulation!$P$10</f>
        <v>0</v>
      </c>
      <c r="AN27" s="388">
        <f>SUM(AN25:AN25)</f>
        <v>0</v>
      </c>
    </row>
    <row r="28" spans="1:40" ht="18" x14ac:dyDescent="0.2">
      <c r="A28" s="199"/>
      <c r="B28" s="172"/>
      <c r="C28" s="200"/>
      <c r="D28" s="201"/>
      <c r="E28" s="202"/>
      <c r="F28" s="203"/>
      <c r="G28" s="202"/>
      <c r="H28" s="203"/>
      <c r="I28" s="202"/>
      <c r="J28" s="203"/>
      <c r="K28" s="202"/>
      <c r="L28" s="203"/>
      <c r="M28" s="202"/>
      <c r="N28" s="203"/>
      <c r="O28" s="202"/>
      <c r="P28" s="203"/>
      <c r="Q28" s="202"/>
      <c r="R28" s="203"/>
      <c r="S28" s="202"/>
      <c r="T28" s="203"/>
      <c r="U28" s="202"/>
      <c r="V28" s="203"/>
      <c r="W28" s="202"/>
      <c r="X28" s="203"/>
      <c r="Y28" s="202"/>
      <c r="Z28" s="203"/>
      <c r="AA28" s="202"/>
      <c r="AB28" s="203"/>
      <c r="AC28" s="202"/>
      <c r="AD28" s="203"/>
      <c r="AE28" s="202"/>
      <c r="AF28" s="203"/>
      <c r="AG28" s="202"/>
      <c r="AH28" s="203"/>
      <c r="AI28" s="202"/>
      <c r="AJ28" s="203"/>
      <c r="AK28" s="202"/>
      <c r="AL28" s="203"/>
      <c r="AM28" s="202"/>
      <c r="AN28" s="203"/>
    </row>
    <row r="29" spans="1:40" ht="36" customHeight="1" x14ac:dyDescent="0.2">
      <c r="A29" s="204"/>
      <c r="B29" s="1561" t="s">
        <v>456</v>
      </c>
      <c r="C29" s="1564" t="s">
        <v>445</v>
      </c>
      <c r="D29" s="1564"/>
      <c r="E29" s="1547">
        <f>E27+E24+E18+E11</f>
        <v>1196.85446252</v>
      </c>
      <c r="F29" s="1547"/>
      <c r="G29" s="1547">
        <f>G27+G24+G18+G11</f>
        <v>1386.5171210000001</v>
      </c>
      <c r="H29" s="1547"/>
      <c r="I29" s="1547">
        <f>I27+I24+I18+I11</f>
        <v>1589.2534082000002</v>
      </c>
      <c r="J29" s="1547"/>
      <c r="K29" s="1547">
        <f>K27+K24+K18+K11</f>
        <v>1690.6215518000004</v>
      </c>
      <c r="L29" s="1547"/>
      <c r="M29" s="1547">
        <f>M27+M24+M18+M11</f>
        <v>1818.9896954000003</v>
      </c>
      <c r="N29" s="1547"/>
      <c r="O29" s="1547">
        <f>O27+O24+O18+O11</f>
        <v>1924.8578390000002</v>
      </c>
      <c r="P29" s="1547"/>
      <c r="Q29" s="1547">
        <f>Q27+Q24+Q18+Q11</f>
        <v>2039.7259826000004</v>
      </c>
      <c r="R29" s="1547"/>
      <c r="S29" s="1547">
        <f>S27+S24+S18+S11</f>
        <v>2141.0941262000006</v>
      </c>
      <c r="T29" s="1547"/>
      <c r="U29" s="1547">
        <f>U27+U24+U18+U11</f>
        <v>2233.4622698000003</v>
      </c>
      <c r="V29" s="1547"/>
      <c r="W29" s="1547">
        <f>W27+W24+W18+W11</f>
        <v>2494.1605570000002</v>
      </c>
      <c r="X29" s="1547"/>
      <c r="Y29" s="1547">
        <f>Y27+Y24+Y18+Y11</f>
        <v>2678.8968442000005</v>
      </c>
      <c r="Z29" s="1547"/>
      <c r="AA29" s="1547">
        <f>AA27+AA24+AA18+AA11</f>
        <v>2789.2649878000002</v>
      </c>
      <c r="AB29" s="1547"/>
      <c r="AC29" s="1547">
        <f>AC27+AC24+AC18+AC11</f>
        <v>2705.8968442000005</v>
      </c>
      <c r="AD29" s="1547"/>
      <c r="AE29" s="1547">
        <f>AE27+AE24+AE18+AE11</f>
        <v>2904.1331314000008</v>
      </c>
      <c r="AF29" s="1547"/>
      <c r="AG29" s="1547">
        <f>AG27+AG24+AG18+AG11</f>
        <v>3019.0012750000005</v>
      </c>
      <c r="AH29" s="1547"/>
      <c r="AI29" s="1547">
        <f>AI27+AI24+AI18+AI11</f>
        <v>3111.3694186000007</v>
      </c>
      <c r="AJ29" s="1547"/>
      <c r="AK29" s="1547">
        <f>AK27+AK24+AK18+AK11</f>
        <v>3318.6057058000001</v>
      </c>
      <c r="AL29" s="1547"/>
      <c r="AM29" s="1547">
        <f>AM27+AM24+AM18+AM11</f>
        <v>3142.8694186000007</v>
      </c>
      <c r="AN29" s="1547"/>
    </row>
    <row r="30" spans="1:40" ht="18" customHeight="1" x14ac:dyDescent="0.2">
      <c r="A30" s="154"/>
      <c r="B30" s="1562"/>
      <c r="C30" s="1565" t="s">
        <v>457</v>
      </c>
      <c r="D30" s="1565"/>
      <c r="E30" s="149">
        <f>E11-F11</f>
        <v>148.77172211999999</v>
      </c>
      <c r="F30" s="207">
        <f>E30/E$29</f>
        <v>0.1243022662979075</v>
      </c>
      <c r="G30" s="149">
        <f>G11-H11</f>
        <v>178.57895100000007</v>
      </c>
      <c r="H30" s="207">
        <f>G30/G$29</f>
        <v>0.1287967875010467</v>
      </c>
      <c r="I30" s="149">
        <f>I11-J11</f>
        <v>211.69809420000013</v>
      </c>
      <c r="J30" s="207">
        <f>I30/I$29</f>
        <v>0.13320600296196369</v>
      </c>
      <c r="K30" s="149">
        <f>K11-L11</f>
        <v>228.25766580000004</v>
      </c>
      <c r="L30" s="207">
        <f>K30/K$29</f>
        <v>0.13501405181838283</v>
      </c>
      <c r="M30" s="149">
        <f>M11-N11</f>
        <v>244.81723740000007</v>
      </c>
      <c r="N30" s="207">
        <f>M30/M$29</f>
        <v>0.13458967800593513</v>
      </c>
      <c r="O30" s="149">
        <f>O11-P11</f>
        <v>261.37680900000009</v>
      </c>
      <c r="P30" s="207">
        <f>O30/O$29</f>
        <v>0.1357901886072741</v>
      </c>
      <c r="Q30" s="149">
        <f>Q11-R11</f>
        <v>277.93638060000012</v>
      </c>
      <c r="R30" s="207">
        <f>Q30/Q$29</f>
        <v>0.13626162679249681</v>
      </c>
      <c r="S30" s="149">
        <f>S11-T11</f>
        <v>294.49595220000026</v>
      </c>
      <c r="T30" s="207">
        <f>S30/S$29</f>
        <v>0.13754460796297158</v>
      </c>
      <c r="U30" s="149">
        <f>U11-V11</f>
        <v>311.05552380000017</v>
      </c>
      <c r="V30" s="207">
        <f>U30/U$29</f>
        <v>0.13927055227481153</v>
      </c>
      <c r="W30" s="149">
        <f>W11-X11</f>
        <v>347.99666700000012</v>
      </c>
      <c r="X30" s="207">
        <f>W30/W$29</f>
        <v>0.13952456509799585</v>
      </c>
      <c r="Y30" s="149">
        <f>Y11-Z11</f>
        <v>381.11581020000017</v>
      </c>
      <c r="Z30" s="207">
        <f>Y30/Y$29</f>
        <v>0.14226595213068491</v>
      </c>
      <c r="AA30" s="149">
        <f>AA11-AB11</f>
        <v>397.6753818000002</v>
      </c>
      <c r="AB30" s="207">
        <f>AA30/AA$29</f>
        <v>0.14257353945910387</v>
      </c>
      <c r="AC30" s="149">
        <f>AC11-AD11</f>
        <v>381.11581020000017</v>
      </c>
      <c r="AD30" s="207">
        <f>AC30/AC$29</f>
        <v>0.1408463929498677</v>
      </c>
      <c r="AE30" s="149">
        <f>AE11-AF11</f>
        <v>414.23495340000022</v>
      </c>
      <c r="AF30" s="207">
        <f>AE30/AE$29</f>
        <v>0.14263635124754395</v>
      </c>
      <c r="AG30" s="149">
        <f>AG11-AH11</f>
        <v>430.79452500000002</v>
      </c>
      <c r="AH30" s="207">
        <f>AG30/AG$29</f>
        <v>0.14269438326090139</v>
      </c>
      <c r="AI30" s="149">
        <f>AI11-AJ11</f>
        <v>447.35409660000028</v>
      </c>
      <c r="AJ30" s="207">
        <f>AI30/AI$29</f>
        <v>0.14378045047485644</v>
      </c>
      <c r="AK30" s="149">
        <f>AK11-AL11</f>
        <v>480.4732398000001</v>
      </c>
      <c r="AL30" s="207">
        <f>AK30/AK$29</f>
        <v>0.14478165904441931</v>
      </c>
      <c r="AM30" s="149">
        <f>AM11-AN11</f>
        <v>447.35409660000028</v>
      </c>
      <c r="AN30" s="207">
        <f>AM30/AM$29</f>
        <v>0.14233938386128536</v>
      </c>
    </row>
    <row r="31" spans="1:40" ht="18" customHeight="1" x14ac:dyDescent="0.2">
      <c r="A31" s="154"/>
      <c r="B31" s="1562"/>
      <c r="C31" s="1565" t="s">
        <v>9</v>
      </c>
      <c r="D31" s="1565"/>
      <c r="E31" s="149">
        <f>E11</f>
        <v>644.67746252000006</v>
      </c>
      <c r="F31" s="207">
        <f>E31/E$29</f>
        <v>0.53864315395759932</v>
      </c>
      <c r="G31" s="149">
        <f>G11</f>
        <v>773.84212100000013</v>
      </c>
      <c r="H31" s="207">
        <f>G31/G$29</f>
        <v>0.55811941250453556</v>
      </c>
      <c r="I31" s="149">
        <f>I11</f>
        <v>917.35840820000033</v>
      </c>
      <c r="J31" s="207">
        <f>I31/I$29</f>
        <v>0.57722601283517583</v>
      </c>
      <c r="K31" s="149">
        <f>K11</f>
        <v>989.11655180000025</v>
      </c>
      <c r="L31" s="207">
        <f>K31/K$29</f>
        <v>0.58506089121299232</v>
      </c>
      <c r="M31" s="149">
        <f>M11</f>
        <v>1060.8746954000003</v>
      </c>
      <c r="N31" s="207">
        <f>M31/M$29</f>
        <v>0.58322193802571887</v>
      </c>
      <c r="O31" s="149">
        <f>O11</f>
        <v>1132.6328390000001</v>
      </c>
      <c r="P31" s="207">
        <f>O31/O$29</f>
        <v>0.58842415063152098</v>
      </c>
      <c r="Q31" s="149">
        <f>Q11</f>
        <v>1204.3909826000004</v>
      </c>
      <c r="R31" s="207">
        <f>Q31/Q$29</f>
        <v>0.59046704943415285</v>
      </c>
      <c r="S31" s="149">
        <f>S11</f>
        <v>1276.1491262000006</v>
      </c>
      <c r="T31" s="207">
        <f>S31/S$29</f>
        <v>0.59602663450620996</v>
      </c>
      <c r="U31" s="149">
        <f>U11</f>
        <v>1347.9072698000004</v>
      </c>
      <c r="V31" s="207">
        <f>U31/U$29</f>
        <v>0.60350572652418322</v>
      </c>
      <c r="W31" s="149">
        <f>W11</f>
        <v>1507.9855570000004</v>
      </c>
      <c r="X31" s="207">
        <f>W31/W$29</f>
        <v>0.60460644875798197</v>
      </c>
      <c r="Y31" s="149">
        <f>Y11</f>
        <v>1651.5018442000003</v>
      </c>
      <c r="Z31" s="207">
        <f>Y31/Y$29</f>
        <v>0.61648579256630121</v>
      </c>
      <c r="AA31" s="149">
        <f>AA11</f>
        <v>1723.2599878000003</v>
      </c>
      <c r="AB31" s="207">
        <f>AA31/AA$29</f>
        <v>0.61781867098944987</v>
      </c>
      <c r="AC31" s="149">
        <f>AC11</f>
        <v>1651.5018442000003</v>
      </c>
      <c r="AD31" s="207">
        <f>AC31/AC$29</f>
        <v>0.61033436944942643</v>
      </c>
      <c r="AE31" s="149">
        <f>AE11</f>
        <v>1795.0181314000006</v>
      </c>
      <c r="AF31" s="207">
        <f>AE31/AE$29</f>
        <v>0.6180908554060236</v>
      </c>
      <c r="AG31" s="149">
        <f>AG11</f>
        <v>1866.7762750000002</v>
      </c>
      <c r="AH31" s="207">
        <f>AG31/AG$29</f>
        <v>0.61834232746390605</v>
      </c>
      <c r="AI31" s="149">
        <f>AI11</f>
        <v>1938.5344186000007</v>
      </c>
      <c r="AJ31" s="207">
        <f>AI31/AI$29</f>
        <v>0.62304861872437778</v>
      </c>
      <c r="AK31" s="149">
        <f>AK11</f>
        <v>2082.0507058000003</v>
      </c>
      <c r="AL31" s="207">
        <f>AK31/AK$29</f>
        <v>0.6273871891924836</v>
      </c>
      <c r="AM31" s="149">
        <f>AM11</f>
        <v>1938.5344186000007</v>
      </c>
      <c r="AN31" s="207">
        <f>AM31/AM$29</f>
        <v>0.6168039967322364</v>
      </c>
    </row>
    <row r="32" spans="1:40" ht="18" customHeight="1" x14ac:dyDescent="0.2">
      <c r="A32" s="154"/>
      <c r="B32" s="1562"/>
      <c r="C32" s="1565" t="s">
        <v>458</v>
      </c>
      <c r="D32" s="1565"/>
      <c r="E32" s="149">
        <f>E18</f>
        <v>260.10000000000002</v>
      </c>
      <c r="F32" s="207">
        <f>E32/E$29</f>
        <v>0.21731965593573882</v>
      </c>
      <c r="G32" s="149">
        <f>G18</f>
        <v>261.90000000000003</v>
      </c>
      <c r="H32" s="207">
        <f>G32/G$29</f>
        <v>0.18889056329222206</v>
      </c>
      <c r="I32" s="149">
        <f>I18</f>
        <v>261.90000000000003</v>
      </c>
      <c r="J32" s="207">
        <f>I32/I$29</f>
        <v>0.16479436108092407</v>
      </c>
      <c r="K32" s="149">
        <f>K18</f>
        <v>261.90000000000003</v>
      </c>
      <c r="L32" s="207">
        <f>K32/K$29</f>
        <v>0.15491343980629832</v>
      </c>
      <c r="M32" s="149">
        <f>M18</f>
        <v>275.39999999999998</v>
      </c>
      <c r="N32" s="207">
        <f>M32/M$29</f>
        <v>0.15140272685241291</v>
      </c>
      <c r="O32" s="149">
        <f>O18</f>
        <v>273.15000000000003</v>
      </c>
      <c r="P32" s="207">
        <f>O32/O$29</f>
        <v>0.14190658367887915</v>
      </c>
      <c r="Q32" s="149">
        <f>Q18</f>
        <v>279.90000000000003</v>
      </c>
      <c r="R32" s="207">
        <f>Q32/Q$29</f>
        <v>0.13722431463230994</v>
      </c>
      <c r="S32" s="149">
        <f>S18</f>
        <v>279.90000000000003</v>
      </c>
      <c r="T32" s="207">
        <f>S32/S$29</f>
        <v>0.13072755493321755</v>
      </c>
      <c r="U32" s="149">
        <f>U18</f>
        <v>270.90000000000003</v>
      </c>
      <c r="V32" s="207">
        <f>U32/U$29</f>
        <v>0.12129150497100553</v>
      </c>
      <c r="W32" s="149">
        <f>W18</f>
        <v>285.3</v>
      </c>
      <c r="X32" s="207">
        <f>W32/W$29</f>
        <v>0.1143871829739628</v>
      </c>
      <c r="Y32" s="149">
        <f>Y18</f>
        <v>280.79999999999995</v>
      </c>
      <c r="Z32" s="207">
        <f>Y32/Y$29</f>
        <v>0.10481926566450352</v>
      </c>
      <c r="AA32" s="149">
        <f>AA18</f>
        <v>283.04999999999995</v>
      </c>
      <c r="AB32" s="207">
        <f>AA32/AA$29</f>
        <v>0.10147834688996411</v>
      </c>
      <c r="AC32" s="149">
        <f>AC18</f>
        <v>294.3</v>
      </c>
      <c r="AD32" s="207">
        <f>AC32/AC$29</f>
        <v>0.10876246100468398</v>
      </c>
      <c r="AE32" s="149">
        <f>AE18</f>
        <v>289.8</v>
      </c>
      <c r="AF32" s="207">
        <f>AE32/AE$29</f>
        <v>9.9788813696807213E-2</v>
      </c>
      <c r="AG32" s="149">
        <f>AG18</f>
        <v>296.55</v>
      </c>
      <c r="AH32" s="207">
        <f>AG32/AG$29</f>
        <v>9.8227848545708207E-2</v>
      </c>
      <c r="AI32" s="149">
        <f>AI18</f>
        <v>294.3</v>
      </c>
      <c r="AJ32" s="207">
        <f>AI32/AI$29</f>
        <v>9.4588575127290395E-2</v>
      </c>
      <c r="AK32" s="149">
        <f>AK18</f>
        <v>298.8</v>
      </c>
      <c r="AL32" s="207">
        <f>AK32/AK$29</f>
        <v>9.0037813012187828E-2</v>
      </c>
      <c r="AM32" s="149">
        <f>AM18</f>
        <v>312.3</v>
      </c>
      <c r="AN32" s="207">
        <f>AM32/AM$29</f>
        <v>9.9367793695709722E-2</v>
      </c>
    </row>
    <row r="33" spans="1:40" ht="18" customHeight="1" x14ac:dyDescent="0.2">
      <c r="A33" s="154"/>
      <c r="B33" s="1562"/>
      <c r="C33" s="1565" t="s">
        <v>459</v>
      </c>
      <c r="D33" s="1565"/>
      <c r="E33" s="149">
        <f>E24</f>
        <v>292.07699999999994</v>
      </c>
      <c r="F33" s="207">
        <f>E33/E$29</f>
        <v>0.24403719010666194</v>
      </c>
      <c r="G33" s="149">
        <f>G24</f>
        <v>350.77499999999998</v>
      </c>
      <c r="H33" s="207">
        <f>G33/G$29</f>
        <v>0.2529900242032424</v>
      </c>
      <c r="I33" s="149">
        <f>I24</f>
        <v>409.995</v>
      </c>
      <c r="J33" s="207">
        <f>I33/I$29</f>
        <v>0.25797962608390018</v>
      </c>
      <c r="K33" s="149">
        <f>K24</f>
        <v>439.60500000000002</v>
      </c>
      <c r="L33" s="207">
        <f>K33/K$29</f>
        <v>0.26002566898070933</v>
      </c>
      <c r="M33" s="149">
        <f>M24</f>
        <v>482.71500000000003</v>
      </c>
      <c r="N33" s="207">
        <f>M33/M$29</f>
        <v>0.26537533512186817</v>
      </c>
      <c r="O33" s="149">
        <f>O24</f>
        <v>519.07500000000005</v>
      </c>
      <c r="P33" s="207">
        <f>O33/O$29</f>
        <v>0.26966926568959981</v>
      </c>
      <c r="Q33" s="149">
        <f>Q24</f>
        <v>555.43499999999995</v>
      </c>
      <c r="R33" s="207">
        <f>Q33/Q$29</f>
        <v>0.27230863593353721</v>
      </c>
      <c r="S33" s="149">
        <f>S24</f>
        <v>585.04499999999996</v>
      </c>
      <c r="T33" s="207">
        <f>S33/S$29</f>
        <v>0.27324581056057257</v>
      </c>
      <c r="U33" s="149">
        <f>U24</f>
        <v>614.65499999999997</v>
      </c>
      <c r="V33" s="207">
        <f>U33/U$29</f>
        <v>0.27520276850481135</v>
      </c>
      <c r="W33" s="149">
        <f>W24</f>
        <v>700.875</v>
      </c>
      <c r="X33" s="207">
        <f>W33/W$29</f>
        <v>0.28100636826805531</v>
      </c>
      <c r="Y33" s="149">
        <f>Y24</f>
        <v>746.59500000000003</v>
      </c>
      <c r="Z33" s="207">
        <f>Y33/Y$29</f>
        <v>0.27869494176919524</v>
      </c>
      <c r="AA33" s="149">
        <f>AA24</f>
        <v>782.95500000000004</v>
      </c>
      <c r="AB33" s="207">
        <f>AA33/AA$29</f>
        <v>0.28070298212058603</v>
      </c>
      <c r="AC33" s="149">
        <f>AC24</f>
        <v>760.09500000000003</v>
      </c>
      <c r="AD33" s="207">
        <f>AC33/AC$29</f>
        <v>0.28090316954588945</v>
      </c>
      <c r="AE33" s="149">
        <f>AE24</f>
        <v>819.31500000000005</v>
      </c>
      <c r="AF33" s="207">
        <f>AE33/AE$29</f>
        <v>0.28212033089716909</v>
      </c>
      <c r="AG33" s="149">
        <f>AG24</f>
        <v>855.67500000000018</v>
      </c>
      <c r="AH33" s="207">
        <f>AG33/AG$29</f>
        <v>0.28342982399038569</v>
      </c>
      <c r="AI33" s="149">
        <f>AI24</f>
        <v>878.53499999999997</v>
      </c>
      <c r="AJ33" s="207">
        <f>AI33/AI$29</f>
        <v>0.28236280614833187</v>
      </c>
      <c r="AK33" s="149">
        <f>AK24</f>
        <v>937.75499999999988</v>
      </c>
      <c r="AL33" s="207">
        <f>AK33/AK$29</f>
        <v>0.28257499779532858</v>
      </c>
      <c r="AM33" s="149">
        <f>AM24</f>
        <v>892.03499999999997</v>
      </c>
      <c r="AN33" s="207">
        <f>AM33/AM$29</f>
        <v>0.28382820957205385</v>
      </c>
    </row>
    <row r="34" spans="1:40" ht="18" customHeight="1" x14ac:dyDescent="0.2">
      <c r="A34" s="154"/>
      <c r="B34" s="1563"/>
      <c r="C34" s="1565" t="s">
        <v>5</v>
      </c>
      <c r="D34" s="1565"/>
      <c r="E34" s="149">
        <f>E27</f>
        <v>0</v>
      </c>
      <c r="F34" s="207">
        <f>E34/E$29</f>
        <v>0</v>
      </c>
      <c r="G34" s="149">
        <f>G27</f>
        <v>0</v>
      </c>
      <c r="H34" s="207">
        <f>G34/G$29</f>
        <v>0</v>
      </c>
      <c r="I34" s="149">
        <f>I27</f>
        <v>0</v>
      </c>
      <c r="J34" s="207">
        <f>I34/I$29</f>
        <v>0</v>
      </c>
      <c r="K34" s="149">
        <f>K27</f>
        <v>0</v>
      </c>
      <c r="L34" s="207">
        <f>K34/K$29</f>
        <v>0</v>
      </c>
      <c r="M34" s="149">
        <f>M27</f>
        <v>0</v>
      </c>
      <c r="N34" s="207">
        <f>M34/M$29</f>
        <v>0</v>
      </c>
      <c r="O34" s="149">
        <f>O27</f>
        <v>0</v>
      </c>
      <c r="P34" s="207">
        <f>O34/O$29</f>
        <v>0</v>
      </c>
      <c r="Q34" s="149">
        <f>Q27</f>
        <v>0</v>
      </c>
      <c r="R34" s="207">
        <f>Q34/Q$29</f>
        <v>0</v>
      </c>
      <c r="S34" s="149">
        <f>S27</f>
        <v>0</v>
      </c>
      <c r="T34" s="207">
        <f>S34/S$29</f>
        <v>0</v>
      </c>
      <c r="U34" s="149">
        <f>U27</f>
        <v>0</v>
      </c>
      <c r="V34" s="207">
        <f>U34/U$29</f>
        <v>0</v>
      </c>
      <c r="W34" s="149">
        <f>W27</f>
        <v>0</v>
      </c>
      <c r="X34" s="207">
        <f>W34/W$29</f>
        <v>0</v>
      </c>
      <c r="Y34" s="149">
        <f>Y27</f>
        <v>0</v>
      </c>
      <c r="Z34" s="207">
        <f>Y34/Y$29</f>
        <v>0</v>
      </c>
      <c r="AA34" s="149">
        <f>AA27</f>
        <v>0</v>
      </c>
      <c r="AB34" s="207">
        <f>AA34/AA$29</f>
        <v>0</v>
      </c>
      <c r="AC34" s="149">
        <f>AC27</f>
        <v>0</v>
      </c>
      <c r="AD34" s="207">
        <f>AC34/AC$29</f>
        <v>0</v>
      </c>
      <c r="AE34" s="149">
        <f>AE27</f>
        <v>0</v>
      </c>
      <c r="AF34" s="207">
        <f>AE34/AE$29</f>
        <v>0</v>
      </c>
      <c r="AG34" s="149">
        <f>AG27</f>
        <v>0</v>
      </c>
      <c r="AH34" s="207">
        <f>AG34/AG$29</f>
        <v>0</v>
      </c>
      <c r="AI34" s="149">
        <f>AI27</f>
        <v>0</v>
      </c>
      <c r="AJ34" s="207">
        <f>AI34/AI$29</f>
        <v>0</v>
      </c>
      <c r="AK34" s="149">
        <f>AK27</f>
        <v>0</v>
      </c>
      <c r="AL34" s="207">
        <f>AK34/AK$29</f>
        <v>0</v>
      </c>
      <c r="AM34" s="149">
        <f>AM27</f>
        <v>0</v>
      </c>
      <c r="AN34" s="207">
        <f>AM34/AM$29</f>
        <v>0</v>
      </c>
    </row>
    <row r="35" spans="1:40" ht="18" x14ac:dyDescent="0.2">
      <c r="A35" s="154"/>
      <c r="B35" s="172"/>
      <c r="C35" s="154"/>
      <c r="D35" s="227"/>
      <c r="E35" s="154"/>
      <c r="F35" s="154"/>
      <c r="G35" s="154"/>
      <c r="H35" s="154"/>
      <c r="I35" s="154"/>
      <c r="J35" s="154"/>
      <c r="K35" s="154"/>
      <c r="L35" s="154"/>
      <c r="M35" s="154"/>
      <c r="N35" s="154"/>
      <c r="O35" s="154"/>
      <c r="P35" s="154"/>
      <c r="Q35" s="228"/>
      <c r="R35" s="229"/>
      <c r="S35" s="154"/>
      <c r="T35" s="230"/>
      <c r="U35" s="154"/>
      <c r="V35" s="154"/>
      <c r="W35" s="154"/>
      <c r="X35" s="154"/>
      <c r="Y35" s="154"/>
      <c r="Z35" s="154"/>
      <c r="AA35" s="154"/>
      <c r="AB35" s="154"/>
      <c r="AC35" s="154"/>
      <c r="AD35" s="154"/>
      <c r="AE35" s="154"/>
      <c r="AF35" s="154"/>
      <c r="AG35" s="154"/>
      <c r="AH35" s="154"/>
      <c r="AI35" s="154"/>
      <c r="AJ35" s="154"/>
      <c r="AK35" s="154"/>
      <c r="AL35" s="154"/>
      <c r="AM35" s="154"/>
    </row>
    <row r="36" spans="1:40" x14ac:dyDescent="0.2">
      <c r="A36" s="154"/>
      <c r="B36" s="1566" t="s">
        <v>1462</v>
      </c>
      <c r="C36" s="1568" t="s">
        <v>1463</v>
      </c>
      <c r="D36" s="1569"/>
      <c r="E36" s="149">
        <f>(VLOOKUP("Prix HT",$C$1:$N$51,E$1,0))-(VLOOKUP("Non margé",$D$1:$N$51,E$1,0))</f>
        <v>700.94872211999996</v>
      </c>
      <c r="F36" s="207">
        <f>E36/VLOOKUP("Prix HT",$C$1:$N$51,E$1,0)</f>
        <v>0.58565911234030832</v>
      </c>
      <c r="G36" s="149">
        <f>(VLOOKUP("Prix HT",$C$1:$N$51,G$1,0))-(VLOOKUP("Non margé",$D$1:$N$51,G$1,0))</f>
        <v>791.25395100000003</v>
      </c>
      <c r="H36" s="207">
        <f>G36/VLOOKUP("Prix HT",$C$1:$N$51,G$1,0)</f>
        <v>0.57067737499651117</v>
      </c>
      <c r="I36" s="149">
        <f>(VLOOKUP("Prix HT",$C$1:$N$51,I$1,0))-(VLOOKUP("Non margé",$D$1:$N$51,I$1,0))</f>
        <v>883.5930942</v>
      </c>
      <c r="J36" s="207">
        <f>I36/VLOOKUP("Prix HT",$C$1:$N$51,I$1,0)</f>
        <v>0.55597999012678778</v>
      </c>
      <c r="K36" s="149">
        <f>(VLOOKUP("Prix HT",$C$1:$N$51,K$1,0))-(VLOOKUP("Non margé",$D$1:$N$51,K$1,0))</f>
        <v>929.76266580000015</v>
      </c>
      <c r="L36" s="207">
        <f>K36/VLOOKUP("Prix HT",$C$1:$N$51,K$1,0)</f>
        <v>0.54995316060539057</v>
      </c>
      <c r="M36" s="149">
        <f>(VLOOKUP("Prix HT",$C$1:$N$51,M$1,0))-(VLOOKUP("Non margé",$D$1:$N$51,M$1,0))</f>
        <v>1002.9322374000001</v>
      </c>
      <c r="N36" s="207">
        <f>M36/VLOOKUP("Prix HT",$C$1:$N$51,M$1,0)</f>
        <v>0.55136773998021626</v>
      </c>
      <c r="O36" s="149">
        <f>(VLOOKUP("Prix HT",$C$1:$AM$51,O$1,0))-(VLOOKUP("Non margé",$D$1:$AM$51,O$1,0))</f>
        <v>1053.6018090000002</v>
      </c>
      <c r="P36" s="207">
        <f>O36/VLOOKUP("Prix HT",$C$1:$AM$51,O$1,0)</f>
        <v>0.54736603797575312</v>
      </c>
      <c r="Q36" s="149">
        <f>(VLOOKUP("Prix HT",$C$1:$AM$51,Q$1,0))-(VLOOKUP("Non margé",$D$1:$AM$51,Q$1,0))</f>
        <v>1113.2713806000002</v>
      </c>
      <c r="R36" s="207">
        <f>Q36/VLOOKUP("Prix HT",$C$1:$AM$51,Q$1,0)</f>
        <v>0.54579457735834402</v>
      </c>
      <c r="S36" s="149">
        <f>(VLOOKUP("Prix HT",$C$1:$AM$51,S$1,0))-(VLOOKUP("Non margé",$D$1:$AM$51,S$1,0))</f>
        <v>1159.4409522000001</v>
      </c>
      <c r="T36" s="207">
        <f>S36/VLOOKUP("Prix HT",$C$1:$AM$51,S$1,0)</f>
        <v>0.54151797345676156</v>
      </c>
      <c r="U36" s="149">
        <f>(VLOOKUP("Prix HT",$C$1:$AM$51,U$1,0))-(VLOOKUP("Non margé",$D$1:$AM$51,U$1,0))</f>
        <v>1196.6105238</v>
      </c>
      <c r="V36" s="207">
        <f>U36/VLOOKUP("Prix HT",$C$1:$AM$51,U$1,0)</f>
        <v>0.53576482575062834</v>
      </c>
      <c r="W36" s="149">
        <f>(VLOOKUP("Prix HT",$C$1:$AM$51,W$1,0))-(VLOOKUP("Non margé",$D$1:$AM$51,W$1,0))</f>
        <v>1334.1716669999998</v>
      </c>
      <c r="X36" s="207">
        <f>W36/VLOOKUP("Prix HT",$C$1:$AM$51,W$1,0)</f>
        <v>0.53491811634001385</v>
      </c>
      <c r="Y36" s="149">
        <f>(VLOOKUP("Prix HT",$C$1:$AM$51,Y$1,0))-(VLOOKUP("Non margé",$D$1:$AM$51,Y$1,0))</f>
        <v>1408.5108102000004</v>
      </c>
      <c r="Z36" s="207">
        <f>Y36/VLOOKUP("Prix HT",$C$1:$AM$51,Y$1,0)</f>
        <v>0.52578015956438373</v>
      </c>
      <c r="AA36" s="149">
        <f>(VLOOKUP("Prix HT",$C$1:$AM$51,AA$1,0))-(VLOOKUP("Non margé",$D$1:$AM$51,AA$1,0))</f>
        <v>1463.6803818000001</v>
      </c>
      <c r="AB36" s="207">
        <f>AA36/VLOOKUP("Prix HT",$C$1:$AM$51,AA$1,0)</f>
        <v>0.52475486846965391</v>
      </c>
      <c r="AC36" s="149">
        <f>(VLOOKUP("Prix HT",$C$1:$AM$51,AC$1,0))-(VLOOKUP("Non margé",$D$1:$AM$51,AC$1,0))</f>
        <v>1435.5108102000004</v>
      </c>
      <c r="AD36" s="207">
        <f>AC36/VLOOKUP("Prix HT",$C$1:$AM$51,AC$1,0)</f>
        <v>0.53051202350044124</v>
      </c>
      <c r="AE36" s="149">
        <f>(VLOOKUP("Prix HT",$C$1:$AM$51,AE$1,0))-(VLOOKUP("Non margé",$D$1:$AM$51,AE$1,0))</f>
        <v>1523.3499534000005</v>
      </c>
      <c r="AF36" s="207">
        <f>AE36/VLOOKUP("Prix HT",$C$1:$AM$51,AE$1,0)</f>
        <v>0.52454549584152033</v>
      </c>
      <c r="AG36" s="149">
        <f>(VLOOKUP("Prix HT",$C$1:$AM$51,AG$1,0))-(VLOOKUP("Non margé",$D$1:$AM$51,AG$1,0))</f>
        <v>1583.0195250000004</v>
      </c>
      <c r="AH36" s="207">
        <f>AG36/VLOOKUP("Prix HT",$C$1:$AM$51,AG$1,0)</f>
        <v>0.5243520557969954</v>
      </c>
      <c r="AI36" s="149">
        <f>(VLOOKUP("Prix HT",$C$1:$AM$51,AI$1,0))-(VLOOKUP("Non margé",$D$1:$AM$51,AI$1,0))</f>
        <v>1620.1890966000003</v>
      </c>
      <c r="AJ36" s="207">
        <f>AI36/VLOOKUP("Prix HT",$C$1:$AM$51,AI$1,0)</f>
        <v>0.52073183175047866</v>
      </c>
      <c r="AK36" s="149">
        <f t="shared" ref="AK36" si="16">(VLOOKUP("Prix HT",$C$1:$AM$51,AK$1,0))-(VLOOKUP("Non margé",$D$1:$AM$51,AK$1,0))</f>
        <v>1717.0282397999999</v>
      </c>
      <c r="AL36" s="207">
        <f t="shared" ref="AL36" si="17">AK36/VLOOKUP("Prix HT",$C$1:$AM$51,AK$1,0)</f>
        <v>0.51739446985193571</v>
      </c>
      <c r="AM36" s="149" t="e">
        <f t="shared" ref="AM36" si="18">(VLOOKUP("Prix HT",$C$1:$AM$51,AM$1,0))-(VLOOKUP("Non margé",$D$1:$AM$51,AM$1,0))</f>
        <v>#REF!</v>
      </c>
      <c r="AN36" s="207" t="e">
        <f t="shared" ref="AN36" si="19">AM36/VLOOKUP("Prix HT",$C$1:$AM$51,AM$1,0)</f>
        <v>#REF!</v>
      </c>
    </row>
    <row r="37" spans="1:40" ht="15" customHeight="1" x14ac:dyDescent="0.2">
      <c r="A37" s="154"/>
      <c r="B37" s="1566"/>
      <c r="C37" s="1568" t="s">
        <v>240</v>
      </c>
      <c r="D37" s="1569"/>
      <c r="E37" s="149" t="s">
        <v>1517</v>
      </c>
      <c r="F37" s="207"/>
      <c r="G37" s="149"/>
      <c r="H37" s="207"/>
      <c r="I37" s="149"/>
      <c r="J37" s="207"/>
      <c r="K37" s="149"/>
      <c r="L37" s="207"/>
      <c r="M37" s="149"/>
      <c r="N37" s="207"/>
      <c r="O37" s="149"/>
      <c r="P37" s="207"/>
      <c r="Q37" s="149"/>
      <c r="R37" s="207"/>
      <c r="S37" s="149"/>
      <c r="T37" s="207"/>
      <c r="U37" s="149"/>
      <c r="V37" s="207"/>
      <c r="W37" s="149"/>
      <c r="X37" s="207"/>
      <c r="Y37" s="149"/>
      <c r="Z37" s="207"/>
      <c r="AA37" s="149"/>
      <c r="AB37" s="207"/>
      <c r="AC37" s="149"/>
      <c r="AD37" s="207"/>
      <c r="AE37" s="149"/>
      <c r="AF37" s="207"/>
      <c r="AG37" s="149"/>
      <c r="AH37" s="207"/>
      <c r="AI37" s="149"/>
      <c r="AJ37" s="207"/>
      <c r="AK37" s="149"/>
      <c r="AL37" s="207"/>
      <c r="AM37" s="149"/>
      <c r="AN37" s="207"/>
    </row>
    <row r="38" spans="1:40" x14ac:dyDescent="0.2">
      <c r="A38" s="154"/>
      <c r="B38" s="1566"/>
      <c r="C38" s="1569"/>
      <c r="D38" s="1569"/>
      <c r="E38" s="149"/>
      <c r="F38" s="207"/>
      <c r="G38" s="149"/>
      <c r="H38" s="207"/>
      <c r="I38" s="149"/>
      <c r="J38" s="207"/>
      <c r="K38" s="149"/>
      <c r="L38" s="207"/>
      <c r="M38" s="149"/>
      <c r="N38" s="207"/>
      <c r="O38" s="149"/>
      <c r="P38" s="207"/>
      <c r="Q38" s="149"/>
      <c r="R38" s="207"/>
      <c r="S38" s="149"/>
      <c r="T38" s="207"/>
      <c r="U38" s="149"/>
      <c r="V38" s="207"/>
      <c r="W38" s="149"/>
      <c r="X38" s="207"/>
      <c r="Y38" s="149"/>
      <c r="Z38" s="207"/>
      <c r="AA38" s="149"/>
      <c r="AB38" s="207"/>
      <c r="AC38" s="149"/>
      <c r="AD38" s="207"/>
      <c r="AE38" s="149"/>
      <c r="AF38" s="207"/>
      <c r="AG38" s="149"/>
      <c r="AH38" s="207"/>
      <c r="AI38" s="149"/>
      <c r="AJ38" s="207"/>
      <c r="AK38" s="149"/>
      <c r="AL38" s="207"/>
      <c r="AM38" s="149"/>
      <c r="AN38" s="207"/>
    </row>
    <row r="39" spans="1:40" x14ac:dyDescent="0.2">
      <c r="A39" s="154"/>
      <c r="B39" s="1566"/>
      <c r="C39" s="1569"/>
      <c r="D39" s="1569"/>
      <c r="E39" s="149"/>
      <c r="F39" s="207"/>
      <c r="G39" s="149"/>
      <c r="H39" s="207"/>
      <c r="I39" s="149"/>
      <c r="J39" s="207"/>
      <c r="K39" s="149"/>
      <c r="L39" s="207"/>
      <c r="M39" s="149"/>
      <c r="N39" s="207"/>
      <c r="O39" s="149"/>
      <c r="P39" s="207"/>
      <c r="Q39" s="149"/>
      <c r="R39" s="207"/>
      <c r="S39" s="149"/>
      <c r="T39" s="207"/>
      <c r="U39" s="149"/>
      <c r="V39" s="207"/>
      <c r="W39" s="149"/>
      <c r="X39" s="207"/>
      <c r="Y39" s="149"/>
      <c r="Z39" s="207"/>
      <c r="AA39" s="149"/>
      <c r="AB39" s="207"/>
      <c r="AC39" s="149"/>
      <c r="AD39" s="207"/>
      <c r="AE39" s="149"/>
      <c r="AF39" s="207"/>
      <c r="AG39" s="149"/>
      <c r="AH39" s="207"/>
      <c r="AI39" s="149"/>
      <c r="AJ39" s="207"/>
      <c r="AK39" s="149"/>
      <c r="AL39" s="207"/>
      <c r="AM39" s="149"/>
      <c r="AN39" s="207"/>
    </row>
    <row r="40" spans="1:40" x14ac:dyDescent="0.2">
      <c r="A40" s="154"/>
      <c r="B40" s="1567"/>
      <c r="C40" s="1569"/>
      <c r="D40" s="1569"/>
      <c r="E40" s="149"/>
      <c r="F40" s="207"/>
      <c r="G40" s="149"/>
      <c r="H40" s="207"/>
      <c r="I40" s="149"/>
      <c r="J40" s="207"/>
      <c r="K40" s="149"/>
      <c r="L40" s="207"/>
      <c r="M40" s="149"/>
      <c r="N40" s="207"/>
      <c r="O40" s="149"/>
      <c r="P40" s="207"/>
      <c r="Q40" s="149"/>
      <c r="R40" s="207"/>
      <c r="S40" s="149"/>
      <c r="T40" s="207"/>
      <c r="U40" s="149"/>
      <c r="V40" s="207"/>
      <c r="W40" s="149"/>
      <c r="X40" s="207"/>
      <c r="Y40" s="149"/>
      <c r="Z40" s="207"/>
      <c r="AA40" s="149"/>
      <c r="AB40" s="207"/>
      <c r="AC40" s="149"/>
      <c r="AD40" s="207"/>
      <c r="AE40" s="149"/>
      <c r="AF40" s="207"/>
      <c r="AG40" s="149"/>
      <c r="AH40" s="207"/>
      <c r="AI40" s="149"/>
      <c r="AJ40" s="207"/>
      <c r="AK40" s="149"/>
      <c r="AL40" s="207"/>
      <c r="AM40" s="149"/>
      <c r="AN40" s="207"/>
    </row>
    <row r="41" spans="1:40" ht="18" x14ac:dyDescent="0.2">
      <c r="A41" s="154"/>
      <c r="B41" s="172"/>
      <c r="C41" s="231"/>
      <c r="D41" s="227"/>
      <c r="E41" s="154"/>
      <c r="F41" s="154"/>
      <c r="G41" s="154"/>
      <c r="H41" s="154"/>
      <c r="I41" s="154"/>
      <c r="J41" s="154"/>
      <c r="K41" s="154"/>
      <c r="L41" s="154"/>
      <c r="M41" s="154"/>
      <c r="N41" s="154"/>
      <c r="O41" s="154"/>
      <c r="P41" s="154"/>
      <c r="Q41" s="154"/>
      <c r="R41" s="154"/>
      <c r="S41" s="154"/>
      <c r="T41" s="154"/>
      <c r="U41" s="154"/>
      <c r="V41" s="154"/>
      <c r="W41" s="154"/>
      <c r="X41" s="154"/>
      <c r="Y41" s="154"/>
      <c r="Z41" s="154"/>
      <c r="AA41" s="154"/>
      <c r="AB41" s="154"/>
      <c r="AC41" s="154"/>
      <c r="AD41" s="154"/>
      <c r="AE41" s="154"/>
      <c r="AF41" s="154"/>
      <c r="AG41" s="154"/>
      <c r="AH41" s="154"/>
      <c r="AI41" s="154"/>
      <c r="AJ41" s="154"/>
      <c r="AK41" s="154"/>
      <c r="AL41" s="154"/>
      <c r="AM41" s="154"/>
    </row>
    <row r="42" spans="1:40" ht="18" x14ac:dyDescent="0.2">
      <c r="A42" s="154"/>
      <c r="B42" s="172"/>
      <c r="C42" s="231"/>
      <c r="D42" s="227"/>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row>
    <row r="43" spans="1:40" ht="18" x14ac:dyDescent="0.2">
      <c r="A43" s="154"/>
      <c r="B43" s="172"/>
      <c r="C43" s="231"/>
      <c r="D43" s="227"/>
      <c r="E43" s="154"/>
      <c r="F43" s="154"/>
      <c r="G43" s="154"/>
      <c r="H43" s="154"/>
      <c r="I43" s="154"/>
      <c r="J43" s="154"/>
      <c r="K43" s="154"/>
      <c r="L43" s="154"/>
      <c r="M43" s="154"/>
      <c r="N43" s="154"/>
      <c r="O43" s="154"/>
      <c r="P43" s="154"/>
      <c r="Q43" s="154"/>
      <c r="R43" s="154"/>
      <c r="S43" s="154"/>
      <c r="T43" s="154"/>
      <c r="U43" s="154"/>
      <c r="V43" s="154"/>
      <c r="W43" s="154"/>
      <c r="X43" s="154"/>
      <c r="Y43" s="154"/>
      <c r="Z43" s="154"/>
      <c r="AA43" s="154"/>
      <c r="AB43" s="154"/>
      <c r="AC43" s="154"/>
      <c r="AD43" s="154"/>
      <c r="AE43" s="154"/>
      <c r="AF43" s="154"/>
      <c r="AG43" s="154"/>
      <c r="AH43" s="154"/>
      <c r="AI43" s="154"/>
      <c r="AJ43" s="154"/>
      <c r="AK43" s="154"/>
      <c r="AL43" s="154"/>
      <c r="AM43" s="154"/>
    </row>
    <row r="44" spans="1:40" ht="28.5" x14ac:dyDescent="0.2">
      <c r="A44" s="154"/>
      <c r="B44" s="172"/>
      <c r="C44" s="231"/>
      <c r="D44" s="227"/>
      <c r="E44" s="154" t="str">
        <f>VLOOKUP(C4,MATIERES!A2:G448,3,0)</f>
        <v>MASSON BOIS</v>
      </c>
      <c r="F44" s="154"/>
      <c r="G44" s="154"/>
      <c r="H44" s="154"/>
      <c r="I44" s="154"/>
      <c r="J44" s="154"/>
      <c r="K44" s="154"/>
      <c r="L44" s="154"/>
      <c r="M44" s="154"/>
      <c r="N44" s="154"/>
      <c r="O44" s="154"/>
      <c r="P44" s="154"/>
      <c r="Q44" s="154"/>
      <c r="R44" s="154"/>
      <c r="S44" s="154"/>
      <c r="T44" s="154"/>
      <c r="U44" s="154"/>
      <c r="V44" s="154"/>
      <c r="W44" s="154"/>
      <c r="X44" s="154"/>
      <c r="Y44" s="154"/>
      <c r="Z44" s="154"/>
      <c r="AA44" s="154"/>
      <c r="AB44" s="154"/>
      <c r="AC44" s="154"/>
      <c r="AD44" s="154"/>
      <c r="AE44" s="154"/>
      <c r="AF44" s="154"/>
      <c r="AG44" s="154"/>
      <c r="AH44" s="154"/>
      <c r="AI44" s="154"/>
      <c r="AJ44" s="154"/>
      <c r="AK44" s="154"/>
      <c r="AL44" s="154"/>
      <c r="AM44" s="154"/>
    </row>
    <row r="45" spans="1:40" ht="28.5" x14ac:dyDescent="0.2">
      <c r="A45" s="154"/>
      <c r="B45" s="172"/>
      <c r="C45" s="231"/>
      <c r="D45" s="227"/>
      <c r="E45" s="154" t="str">
        <f>VLOOKUP(C5,MATIERES!A3:G448,3,0)</f>
        <v>HAMON BOIS</v>
      </c>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row>
    <row r="46" spans="1:40" ht="18" x14ac:dyDescent="0.2">
      <c r="A46" s="154"/>
      <c r="B46" s="172"/>
      <c r="C46" s="231"/>
      <c r="D46" s="227"/>
      <c r="E46" s="154" t="e">
        <f>VLOOKUP(#REF!,MATIERES!A4:G448,3,0)</f>
        <v>#REF!</v>
      </c>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row>
    <row r="47" spans="1:40" ht="18" x14ac:dyDescent="0.2">
      <c r="A47" s="154"/>
      <c r="B47" s="172"/>
      <c r="C47" s="231"/>
      <c r="D47" s="227"/>
      <c r="E47" s="154">
        <f>VLOOKUP(C6,MATIERES!A5:G448,3,0)</f>
        <v>0</v>
      </c>
      <c r="F47" s="154"/>
      <c r="G47" s="154"/>
      <c r="H47" s="154"/>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row>
    <row r="48" spans="1:40" ht="18" x14ac:dyDescent="0.2">
      <c r="A48" s="154"/>
      <c r="B48" s="172"/>
      <c r="C48" s="231"/>
      <c r="D48" s="227"/>
      <c r="E48" s="154" t="str">
        <f>VLOOKUP(C7,MATIERES!A6:G448,3,0)</f>
        <v>FOUSSIER</v>
      </c>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row>
    <row r="49" spans="1:39" ht="18" x14ac:dyDescent="0.2">
      <c r="A49" s="154"/>
      <c r="B49" s="172"/>
      <c r="C49" s="231"/>
      <c r="D49" s="227"/>
      <c r="E49" s="154" t="str">
        <f>VLOOKUP(C8,MATIERES!A7:G448,3,0)</f>
        <v>FOUSSIER</v>
      </c>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row>
    <row r="50" spans="1:39" ht="18" x14ac:dyDescent="0.2">
      <c r="A50" s="154"/>
      <c r="B50" s="172"/>
      <c r="C50" s="231"/>
      <c r="D50" s="227"/>
      <c r="E50" s="154" t="str">
        <f>VLOOKUP(C9,MATIERES!A8:G448,3,0)</f>
        <v>PUM</v>
      </c>
      <c r="F50" s="154"/>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row>
    <row r="51" spans="1:39" ht="18" x14ac:dyDescent="0.2">
      <c r="A51" s="154"/>
      <c r="B51" s="172"/>
      <c r="C51" s="231"/>
      <c r="D51" s="227"/>
      <c r="E51" s="154" t="e">
        <f>VLOOKUP(C10,MATIERES!A9:G448,3,0)</f>
        <v>#N/A</v>
      </c>
      <c r="F51" s="154"/>
      <c r="G51" s="154"/>
      <c r="H51" s="154"/>
      <c r="I51" s="154"/>
      <c r="J51" s="154"/>
      <c r="K51" s="154"/>
      <c r="L51" s="154"/>
      <c r="M51" s="154"/>
      <c r="N51" s="154"/>
      <c r="O51" s="154"/>
      <c r="P51" s="154"/>
      <c r="Q51" s="154"/>
      <c r="R51" s="154"/>
      <c r="S51" s="154"/>
      <c r="T51" s="154"/>
      <c r="U51" s="154"/>
      <c r="V51" s="154"/>
      <c r="W51" s="154"/>
      <c r="X51" s="154"/>
      <c r="Y51" s="154"/>
      <c r="Z51" s="154"/>
      <c r="AA51" s="154"/>
      <c r="AB51" s="154"/>
      <c r="AC51" s="154"/>
      <c r="AD51" s="154"/>
      <c r="AE51" s="154"/>
      <c r="AF51" s="154"/>
      <c r="AG51" s="154"/>
      <c r="AH51" s="154"/>
      <c r="AI51" s="154"/>
      <c r="AJ51" s="154"/>
      <c r="AK51" s="154"/>
      <c r="AL51" s="154"/>
      <c r="AM51" s="154"/>
    </row>
  </sheetData>
  <mergeCells count="48">
    <mergeCell ref="B36:B40"/>
    <mergeCell ref="C36:D36"/>
    <mergeCell ref="C37:D37"/>
    <mergeCell ref="C38:D38"/>
    <mergeCell ref="C39:D39"/>
    <mergeCell ref="C40:D40"/>
    <mergeCell ref="AE2:AF2"/>
    <mergeCell ref="B2:B3"/>
    <mergeCell ref="C2:C3"/>
    <mergeCell ref="E2:F2"/>
    <mergeCell ref="G2:H2"/>
    <mergeCell ref="I2:J2"/>
    <mergeCell ref="K2:L2"/>
    <mergeCell ref="M2:N2"/>
    <mergeCell ref="O2:P2"/>
    <mergeCell ref="Q2:R2"/>
    <mergeCell ref="S2:T2"/>
    <mergeCell ref="U2:V2"/>
    <mergeCell ref="A4:A10"/>
    <mergeCell ref="A12:A18"/>
    <mergeCell ref="A19:A24"/>
    <mergeCell ref="A25:A27"/>
    <mergeCell ref="B29:B34"/>
    <mergeCell ref="C32:D32"/>
    <mergeCell ref="C33:D33"/>
    <mergeCell ref="AK29:AL29"/>
    <mergeCell ref="Q29:R29"/>
    <mergeCell ref="S29:T29"/>
    <mergeCell ref="U29:V29"/>
    <mergeCell ref="W29:X29"/>
    <mergeCell ref="Y29:Z29"/>
    <mergeCell ref="AA29:AB29"/>
    <mergeCell ref="AM29:AN29"/>
    <mergeCell ref="AM2:AN2"/>
    <mergeCell ref="C34:D34"/>
    <mergeCell ref="AC29:AD29"/>
    <mergeCell ref="AE29:AF29"/>
    <mergeCell ref="AG29:AH29"/>
    <mergeCell ref="AI29:AJ29"/>
    <mergeCell ref="E29:F29"/>
    <mergeCell ref="G29:H29"/>
    <mergeCell ref="I29:J29"/>
    <mergeCell ref="K29:L29"/>
    <mergeCell ref="M29:N29"/>
    <mergeCell ref="O29:P29"/>
    <mergeCell ref="C29:D29"/>
    <mergeCell ref="C30:D30"/>
    <mergeCell ref="C31:D31"/>
  </mergeCells>
  <dataValidations count="8">
    <dataValidation type="list" allowBlank="1" showInputMessage="1" showErrorMessage="1" promptTitle="MINIPELLE" prompt="choisir catégorie" sqref="B25:B26" xr:uid="{00000000-0002-0000-1000-000000000000}">
      <formula1>CATEGORIE_MP</formula1>
    </dataValidation>
    <dataValidation type="list" allowBlank="1" showInputMessage="1" showErrorMessage="1" promptTitle="Catégorie MOC" prompt="choisir" sqref="B19:B23" xr:uid="{00000000-0002-0000-1000-000001000000}">
      <formula1>CATEGORIE_MOC</formula1>
    </dataValidation>
    <dataValidation type="list" allowBlank="1" showInputMessage="1" promptTitle="Main d'oeuvre CHANTIER" prompt="choisir la prestation" sqref="C19:C23" xr:uid="{00000000-0002-0000-1000-000004000000}">
      <formula1>INDIRECT(B19)</formula1>
    </dataValidation>
    <dataValidation type="list" allowBlank="1" showInputMessage="1" promptTitle="MINIPELLE" prompt="choisir la prestation" sqref="C25:C26" xr:uid="{00000000-0002-0000-1000-000005000000}">
      <formula1>INDIRECT(B25)</formula1>
    </dataValidation>
    <dataValidation type="list" allowBlank="1" showInputMessage="1" showErrorMessage="1" promptTitle="MO ATELIER" prompt="choisir catégorie" sqref="B12:B17" xr:uid="{00000000-0002-0000-1000-000006000000}">
      <formula1>CATEGORIE_MOA</formula1>
    </dataValidation>
    <dataValidation type="list" allowBlank="1" showInputMessage="1" showErrorMessage="1" promptTitle="Main d'oeuvre ATELIER" prompt="choisir la prestation" sqref="C12:C17" xr:uid="{00000000-0002-0000-1000-000007000000}">
      <formula1>INDIRECT(B12)</formula1>
    </dataValidation>
    <dataValidation type="list" allowBlank="1" showInputMessage="1" showErrorMessage="1" promptTitle="MATIERES" prompt="choisir catégorie" sqref="B4:B10" xr:uid="{00000000-0002-0000-1000-000002000000}">
      <formula1>MOA_ALIM</formula1>
    </dataValidation>
    <dataValidation type="list" allowBlank="1" showInputMessage="1" showErrorMessage="1" promptTitle="MATIERES" prompt="choisir le produit" sqref="C4:C10" xr:uid="{00000000-0002-0000-1000-000003000000}">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published="0" codeName="Feuil18"/>
  <dimension ref="A1:AN37"/>
  <sheetViews>
    <sheetView zoomScaleNormal="100" workbookViewId="0">
      <pane xSplit="4" ySplit="3" topLeftCell="AL4" activePane="bottomRight" state="frozen"/>
      <selection pane="topRight" activeCell="E1" sqref="E1"/>
      <selection pane="bottomLeft" activeCell="A4" sqref="A4"/>
      <selection pane="bottomRight" activeCell="AO8" sqref="AO8"/>
    </sheetView>
  </sheetViews>
  <sheetFormatPr baseColWidth="10" defaultRowHeight="18" x14ac:dyDescent="0.2"/>
  <cols>
    <col min="1" max="1" width="18.125" style="210" customWidth="1"/>
    <col min="2" max="2" width="22.5" style="233"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807" width="11.5" customWidth="1"/>
  </cols>
  <sheetData>
    <row r="1" spans="1:40"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t="s">
        <v>467</v>
      </c>
    </row>
    <row r="2" spans="1:40" ht="35.1" customHeight="1" x14ac:dyDescent="0.2">
      <c r="A2" s="174"/>
      <c r="B2" s="1572" t="s">
        <v>963</v>
      </c>
      <c r="C2" s="1574" t="s">
        <v>468</v>
      </c>
      <c r="D2" s="115" t="s">
        <v>203</v>
      </c>
      <c r="E2" s="1571">
        <v>2</v>
      </c>
      <c r="F2" s="1571"/>
      <c r="G2" s="1571">
        <v>3</v>
      </c>
      <c r="H2" s="1571"/>
      <c r="I2" s="1571">
        <v>4</v>
      </c>
      <c r="J2" s="1571"/>
      <c r="K2" s="1571">
        <v>5</v>
      </c>
      <c r="L2" s="1571"/>
      <c r="M2" s="1571">
        <v>6</v>
      </c>
      <c r="N2" s="1571"/>
      <c r="O2" s="1571">
        <v>7</v>
      </c>
      <c r="P2" s="1571"/>
      <c r="Q2" s="1571">
        <v>8</v>
      </c>
      <c r="R2" s="1571"/>
      <c r="S2" s="1571">
        <v>9</v>
      </c>
      <c r="T2" s="1571"/>
      <c r="U2" s="1571">
        <v>10</v>
      </c>
      <c r="V2" s="1571"/>
      <c r="W2" s="218">
        <v>12</v>
      </c>
      <c r="X2" s="213" t="s">
        <v>469</v>
      </c>
      <c r="Y2" s="213">
        <v>12</v>
      </c>
      <c r="Z2" s="214" t="s">
        <v>470</v>
      </c>
      <c r="AA2" s="218">
        <v>14</v>
      </c>
      <c r="AB2" s="213" t="s">
        <v>471</v>
      </c>
      <c r="AC2" s="218">
        <v>14</v>
      </c>
      <c r="AD2" s="213" t="s">
        <v>472</v>
      </c>
      <c r="AE2" s="1571">
        <v>16</v>
      </c>
      <c r="AF2" s="1571"/>
      <c r="AG2" s="218">
        <v>18</v>
      </c>
      <c r="AH2" s="213" t="s">
        <v>473</v>
      </c>
      <c r="AI2" s="218">
        <v>18</v>
      </c>
      <c r="AJ2" s="213" t="s">
        <v>474</v>
      </c>
      <c r="AK2" s="218">
        <v>20</v>
      </c>
      <c r="AL2" s="213" t="s">
        <v>475</v>
      </c>
      <c r="AM2" s="1619">
        <v>20</v>
      </c>
      <c r="AN2" s="1620"/>
    </row>
    <row r="3" spans="1:40" ht="35.1" customHeight="1" x14ac:dyDescent="0.2">
      <c r="A3" s="174"/>
      <c r="B3" s="1573"/>
      <c r="C3" s="1574"/>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1380" t="s">
        <v>477</v>
      </c>
    </row>
    <row r="4" spans="1:40" ht="15" customHeight="1" x14ac:dyDescent="0.2">
      <c r="A4" s="1549" t="s">
        <v>1078</v>
      </c>
      <c r="B4" s="361" t="s">
        <v>239</v>
      </c>
      <c r="C4" s="362" t="s">
        <v>1050</v>
      </c>
      <c r="D4" s="363" t="str">
        <f>IF($C4="","",VLOOKUP($C4,MATIERES!$A$2:$F$227,5,0))</f>
        <v>ml</v>
      </c>
      <c r="E4" s="364">
        <f>7*'Outils de calculs'!E26*1.1</f>
        <v>63.139999999999993</v>
      </c>
      <c r="F4" s="365">
        <f>IF($C4="","",E4*VLOOKUP($C4,MATIERES!$A$2:$F$349,4,0))</f>
        <v>441.97999999999996</v>
      </c>
      <c r="G4" s="364">
        <f>7*'Outils de calculs'!G26*1.1</f>
        <v>77</v>
      </c>
      <c r="H4" s="365">
        <f>IF($C4="","",G4*VLOOKUP($C4,MATIERES!$A$2:$F$349,4,0))</f>
        <v>539</v>
      </c>
      <c r="I4" s="364">
        <f>7*'Outils de calculs'!I26*1.1</f>
        <v>92.4</v>
      </c>
      <c r="J4" s="365">
        <f>IF($C4="","",I4*VLOOKUP($C4,MATIERES!$A$2:$F$349,4,0))</f>
        <v>646.80000000000007</v>
      </c>
      <c r="K4" s="364">
        <f>7*'Outils de calculs'!K26*1.1</f>
        <v>100.10000000000001</v>
      </c>
      <c r="L4" s="365">
        <f>IF($C4="","",K4*VLOOKUP($C4,MATIERES!$A$2:$F$349,4,0))</f>
        <v>700.7</v>
      </c>
      <c r="M4" s="364">
        <f>7*'Outils de calculs'!M26*1.1</f>
        <v>107.80000000000001</v>
      </c>
      <c r="N4" s="365">
        <f>IF($C4="","",M4*VLOOKUP($C4,MATIERES!$A$2:$F$349,4,0))</f>
        <v>754.60000000000014</v>
      </c>
      <c r="O4" s="364">
        <f>7*'Outils de calculs'!O26*1.1</f>
        <v>115.50000000000001</v>
      </c>
      <c r="P4" s="365">
        <f>IF($C4="","",O4*VLOOKUP($C4,MATIERES!$A$2:$F$349,4,0))</f>
        <v>808.50000000000011</v>
      </c>
      <c r="Q4" s="364">
        <f>7*'Outils de calculs'!Q26*1.1</f>
        <v>123.20000000000002</v>
      </c>
      <c r="R4" s="365">
        <f>IF($C4="","",Q4*VLOOKUP($C4,MATIERES!$A$2:$F$349,4,0))</f>
        <v>862.40000000000009</v>
      </c>
      <c r="S4" s="364">
        <f>7*'Outils de calculs'!S26*1.1</f>
        <v>130.9</v>
      </c>
      <c r="T4" s="365">
        <f>IF($C4="","",S4*VLOOKUP($C4,MATIERES!$A$2:$F$349,4,0))</f>
        <v>916.30000000000007</v>
      </c>
      <c r="U4" s="364">
        <f>7*'Outils de calculs'!U26*1.1</f>
        <v>138.60000000000002</v>
      </c>
      <c r="V4" s="365">
        <f>IF($C4="","",U4*VLOOKUP($C4,MATIERES!$A$2:$F$349,4,0))</f>
        <v>970.20000000000016</v>
      </c>
      <c r="W4" s="364">
        <f>7*'Outils de calculs'!W26*1.1</f>
        <v>154</v>
      </c>
      <c r="X4" s="365">
        <f>IF($C4="","",W4*VLOOKUP($C4,MATIERES!$A$2:$F$349,4,0))</f>
        <v>1078</v>
      </c>
      <c r="Y4" s="364">
        <f>7*'Outils de calculs'!Y26*1.1</f>
        <v>169.4</v>
      </c>
      <c r="Z4" s="365">
        <f>IF($C4="","",Y4*VLOOKUP($C4,MATIERES!$A$2:$F$349,4,0))</f>
        <v>1185.8</v>
      </c>
      <c r="AA4" s="364">
        <f>7*'Outils de calculs'!AA26*1.1</f>
        <v>177.10000000000002</v>
      </c>
      <c r="AB4" s="365">
        <f>IF($C4="","",AA4*VLOOKUP($C4,MATIERES!$A$2:$F$349,4,0))</f>
        <v>1239.7000000000003</v>
      </c>
      <c r="AC4" s="364">
        <f>7*'Outils de calculs'!AC26*1.1</f>
        <v>169.4</v>
      </c>
      <c r="AD4" s="365">
        <f>IF($C4="","",AC4*VLOOKUP($C4,MATIERES!$A$2:$F$349,4,0))</f>
        <v>1185.8</v>
      </c>
      <c r="AE4" s="364">
        <f>7*'Outils de calculs'!AE26*1.1</f>
        <v>184.8</v>
      </c>
      <c r="AF4" s="365">
        <f>IF($C4="","",AE4*VLOOKUP($C4,MATIERES!$A$2:$F$349,4,0))</f>
        <v>1293.6000000000001</v>
      </c>
      <c r="AG4" s="364">
        <f>7*'Outils de calculs'!AG26*1.1</f>
        <v>192.50000000000003</v>
      </c>
      <c r="AH4" s="365">
        <f>IF($C4="","",AG4*VLOOKUP($C4,MATIERES!$A$2:$F$349,4,0))</f>
        <v>1347.5000000000002</v>
      </c>
      <c r="AI4" s="364">
        <f>7*'Outils de calculs'!AI26*1.1</f>
        <v>200.20000000000002</v>
      </c>
      <c r="AJ4" s="365">
        <f>IF($C4="","",AI4*VLOOKUP($C4,MATIERES!$A$2:$F$349,4,0))</f>
        <v>1401.4</v>
      </c>
      <c r="AK4" s="364">
        <f>7*'Outils de calculs'!AK26*1.1</f>
        <v>215.60000000000002</v>
      </c>
      <c r="AL4" s="365">
        <f>IF($C4="","",AK4*VLOOKUP($C4,MATIERES!$A$2:$F$349,4,0))</f>
        <v>1509.2000000000003</v>
      </c>
      <c r="AM4" s="364">
        <f>7*'Outils de calculs'!AM26*1.1</f>
        <v>200.20000000000002</v>
      </c>
      <c r="AN4" s="365">
        <f>IF($C4="","",AM4*VLOOKUP($C4,MATIERES!$A$2:$F$349,4,0))</f>
        <v>1401.4</v>
      </c>
    </row>
    <row r="5" spans="1:40" ht="15" customHeight="1" x14ac:dyDescent="0.2">
      <c r="A5" s="1550"/>
      <c r="B5" s="361" t="s">
        <v>239</v>
      </c>
      <c r="C5" s="362" t="s">
        <v>119</v>
      </c>
      <c r="D5" s="363" t="str">
        <f>IF($C5="","",VLOOKUP($C5,MATIERES!$A$2:$F$227,5,0))</f>
        <v>ml</v>
      </c>
      <c r="E5" s="364">
        <f>'Outils de calculs'!E26*1.1</f>
        <v>9.02</v>
      </c>
      <c r="F5" s="365">
        <f>IF($C5="","",E5*VLOOKUP($C5,MATIERES!$A$2:$F$349,4,0))</f>
        <v>185.10483200000002</v>
      </c>
      <c r="G5" s="364">
        <f>'Outils de calculs'!G26*1.1</f>
        <v>11</v>
      </c>
      <c r="H5" s="365">
        <f>IF($C5="","",G5*VLOOKUP($C5,MATIERES!$A$2:$F$349,4,0))</f>
        <v>225.73760000000004</v>
      </c>
      <c r="I5" s="364">
        <f>'Outils de calculs'!I26*1.1</f>
        <v>13.200000000000001</v>
      </c>
      <c r="J5" s="365">
        <f>IF($C5="","",I5*VLOOKUP($C5,MATIERES!$A$2:$F$349,4,0))</f>
        <v>270.88512000000009</v>
      </c>
      <c r="K5" s="364">
        <f>'Outils de calculs'!K26*1.1</f>
        <v>14.3</v>
      </c>
      <c r="L5" s="365">
        <f>IF($C5="","",K5*VLOOKUP($C5,MATIERES!$A$2:$F$349,4,0))</f>
        <v>293.45888000000008</v>
      </c>
      <c r="M5" s="364">
        <f>'Outils de calculs'!M26*1.1</f>
        <v>15.400000000000002</v>
      </c>
      <c r="N5" s="365">
        <f>IF($C5="","",M5*VLOOKUP($C5,MATIERES!$A$2:$F$349,4,0))</f>
        <v>316.03264000000007</v>
      </c>
      <c r="O5" s="364">
        <f>'Outils de calculs'!O26*1.1</f>
        <v>16.5</v>
      </c>
      <c r="P5" s="365">
        <f>IF($C5="","",O5*VLOOKUP($C5,MATIERES!$A$2:$F$349,4,0))</f>
        <v>338.60640000000006</v>
      </c>
      <c r="Q5" s="364">
        <f>'Outils de calculs'!Q26*1.1</f>
        <v>17.600000000000001</v>
      </c>
      <c r="R5" s="365">
        <f>IF($C5="","",Q5*VLOOKUP($C5,MATIERES!$A$2:$F$349,4,0))</f>
        <v>361.18016000000006</v>
      </c>
      <c r="S5" s="364">
        <f>'Outils de calculs'!S26*1.1</f>
        <v>18.700000000000003</v>
      </c>
      <c r="T5" s="365">
        <f>IF($C5="","",S5*VLOOKUP($C5,MATIERES!$A$2:$F$349,4,0))</f>
        <v>383.75392000000011</v>
      </c>
      <c r="U5" s="364">
        <f>'Outils de calculs'!U26*1.1</f>
        <v>19.8</v>
      </c>
      <c r="V5" s="365">
        <f>IF($C5="","",U5*VLOOKUP($C5,MATIERES!$A$2:$F$349,4,0))</f>
        <v>406.3276800000001</v>
      </c>
      <c r="W5" s="364">
        <f>'Outils de calculs'!W26*1.1</f>
        <v>22</v>
      </c>
      <c r="X5" s="365">
        <f>IF($C5="","",W5*VLOOKUP($C5,MATIERES!$A$2:$F$349,4,0))</f>
        <v>451.47520000000009</v>
      </c>
      <c r="Y5" s="364">
        <f>'Outils de calculs'!Y26*1.1</f>
        <v>24.200000000000003</v>
      </c>
      <c r="Z5" s="365">
        <f>IF($C5="","",Y5*VLOOKUP($C5,MATIERES!$A$2:$F$349,4,0))</f>
        <v>496.62272000000013</v>
      </c>
      <c r="AA5" s="364">
        <f>'Outils de calculs'!AA26*1.1</f>
        <v>25.3</v>
      </c>
      <c r="AB5" s="365">
        <f>IF($C5="","",AA5*VLOOKUP($C5,MATIERES!$A$2:$F$349,4,0))</f>
        <v>519.19648000000007</v>
      </c>
      <c r="AC5" s="364">
        <f>'Outils de calculs'!AC26*1.1</f>
        <v>24.200000000000003</v>
      </c>
      <c r="AD5" s="365">
        <f>IF($C5="","",AC5*VLOOKUP($C5,MATIERES!$A$2:$F$349,4,0))</f>
        <v>496.62272000000013</v>
      </c>
      <c r="AE5" s="364">
        <f>'Outils de calculs'!AE26*1.1</f>
        <v>26.400000000000002</v>
      </c>
      <c r="AF5" s="365">
        <f>IF($C5="","",AE5*VLOOKUP($C5,MATIERES!$A$2:$F$349,4,0))</f>
        <v>541.77024000000017</v>
      </c>
      <c r="AG5" s="364">
        <f>'Outils de calculs'!AG26*1.1</f>
        <v>27.500000000000004</v>
      </c>
      <c r="AH5" s="365">
        <f>IF($C5="","",AG5*VLOOKUP($C5,MATIERES!$A$2:$F$349,4,0))</f>
        <v>564.34400000000016</v>
      </c>
      <c r="AI5" s="364">
        <f>'Outils de calculs'!AI26*1.1</f>
        <v>28.6</v>
      </c>
      <c r="AJ5" s="365">
        <f>IF($C5="","",AI5*VLOOKUP($C5,MATIERES!$A$2:$F$349,4,0))</f>
        <v>586.91776000000016</v>
      </c>
      <c r="AK5" s="364">
        <f>'Outils de calculs'!AK26*1.1</f>
        <v>30.800000000000004</v>
      </c>
      <c r="AL5" s="365">
        <f>IF($C5="","",AK5*VLOOKUP($C5,MATIERES!$A$2:$F$349,4,0))</f>
        <v>632.06528000000014</v>
      </c>
      <c r="AM5" s="364">
        <f>'Outils de calculs'!AM26*1.1</f>
        <v>28.6</v>
      </c>
      <c r="AN5" s="365">
        <f>IF($C5="","",AM5*VLOOKUP($C5,MATIERES!$A$2:$F$349,4,0))</f>
        <v>586.91776000000016</v>
      </c>
    </row>
    <row r="6" spans="1:40" ht="15" customHeight="1" x14ac:dyDescent="0.2">
      <c r="A6" s="1550"/>
      <c r="B6" s="361" t="s">
        <v>736</v>
      </c>
      <c r="C6" s="362" t="s">
        <v>739</v>
      </c>
      <c r="D6" s="363" t="str">
        <f>IF($C6="","",VLOOKUP($C6,MATIERES!$A$2:$F$227,5,0))</f>
        <v>pc</v>
      </c>
      <c r="E6" s="364">
        <f>'Outils de calculs'!E26+0.3</f>
        <v>8.5</v>
      </c>
      <c r="F6" s="365">
        <f>IF($C6="","",E6*VLOOKUP($C6,MATIERES!$A$2:$F$349,4,0))</f>
        <v>19.47775</v>
      </c>
      <c r="G6" s="364">
        <f>'Outils de calculs'!G26+0.3</f>
        <v>10.3</v>
      </c>
      <c r="H6" s="365">
        <f>IF($C6="","",G6*VLOOKUP($C6,MATIERES!$A$2:$F$349,4,0))</f>
        <v>23.602450000000001</v>
      </c>
      <c r="I6" s="364">
        <f>'Outils de calculs'!I26+0.3</f>
        <v>12.3</v>
      </c>
      <c r="J6" s="365">
        <f>IF($C6="","",I6*VLOOKUP($C6,MATIERES!$A$2:$F$349,4,0))</f>
        <v>28.185450000000003</v>
      </c>
      <c r="K6" s="364">
        <f>'Outils de calculs'!K26+0.3</f>
        <v>13.3</v>
      </c>
      <c r="L6" s="365">
        <f>IF($C6="","",K6*VLOOKUP($C6,MATIERES!$A$2:$F$349,4,0))</f>
        <v>30.476950000000002</v>
      </c>
      <c r="M6" s="364">
        <f>'Outils de calculs'!M26+0.3</f>
        <v>14.3</v>
      </c>
      <c r="N6" s="365">
        <f>IF($C6="","",M6*VLOOKUP($C6,MATIERES!$A$2:$F$349,4,0))</f>
        <v>32.768450000000001</v>
      </c>
      <c r="O6" s="364">
        <f>'Outils de calculs'!O26+0.3</f>
        <v>15.3</v>
      </c>
      <c r="P6" s="365">
        <f>IF($C6="","",O6*VLOOKUP($C6,MATIERES!$A$2:$F$349,4,0))</f>
        <v>35.059950000000001</v>
      </c>
      <c r="Q6" s="364">
        <f>'Outils de calculs'!Q26+0.3</f>
        <v>16.3</v>
      </c>
      <c r="R6" s="365">
        <f>IF($C6="","",Q6*VLOOKUP($C6,MATIERES!$A$2:$F$349,4,0))</f>
        <v>37.35145</v>
      </c>
      <c r="S6" s="364">
        <f>'Outils de calculs'!S26+0.3</f>
        <v>17.3</v>
      </c>
      <c r="T6" s="365">
        <f>IF($C6="","",S6*VLOOKUP($C6,MATIERES!$A$2:$F$349,4,0))</f>
        <v>39.642950000000006</v>
      </c>
      <c r="U6" s="364">
        <f>'Outils de calculs'!U26+0.3</f>
        <v>18.3</v>
      </c>
      <c r="V6" s="365">
        <f>IF($C6="","",U6*VLOOKUP($C6,MATIERES!$A$2:$F$349,4,0))</f>
        <v>41.934450000000005</v>
      </c>
      <c r="W6" s="364">
        <f>'Outils de calculs'!W26+0.3</f>
        <v>20.3</v>
      </c>
      <c r="X6" s="365">
        <f>IF($C6="","",W6*VLOOKUP($C6,MATIERES!$A$2:$F$349,4,0))</f>
        <v>46.517450000000004</v>
      </c>
      <c r="Y6" s="364">
        <f>'Outils de calculs'!Y26+0.3</f>
        <v>22.3</v>
      </c>
      <c r="Z6" s="365">
        <f>IF($C6="","",Y6*VLOOKUP($C6,MATIERES!$A$2:$F$349,4,0))</f>
        <v>51.100450000000002</v>
      </c>
      <c r="AA6" s="364">
        <f>'Outils de calculs'!AA26+0.3</f>
        <v>23.3</v>
      </c>
      <c r="AB6" s="365">
        <f>IF($C6="","",AA6*VLOOKUP($C6,MATIERES!$A$2:$F$349,4,0))</f>
        <v>53.391950000000001</v>
      </c>
      <c r="AC6" s="364">
        <f>'Outils de calculs'!AC26+0.3</f>
        <v>22.3</v>
      </c>
      <c r="AD6" s="365">
        <f>IF($C6="","",AC6*VLOOKUP($C6,MATIERES!$A$2:$F$349,4,0))</f>
        <v>51.100450000000002</v>
      </c>
      <c r="AE6" s="364">
        <f>'Outils de calculs'!AE26+0.3</f>
        <v>24.3</v>
      </c>
      <c r="AF6" s="365">
        <f>IF($C6="","",AE6*VLOOKUP($C6,MATIERES!$A$2:$F$349,4,0))</f>
        <v>55.683450000000001</v>
      </c>
      <c r="AG6" s="364">
        <f>'Outils de calculs'!AG26+0.3</f>
        <v>25.3</v>
      </c>
      <c r="AH6" s="365">
        <f>IF($C6="","",AG6*VLOOKUP($C6,MATIERES!$A$2:$F$349,4,0))</f>
        <v>57.974950000000007</v>
      </c>
      <c r="AI6" s="364">
        <f>'Outils de calculs'!AI26+0.3</f>
        <v>26.3</v>
      </c>
      <c r="AJ6" s="365">
        <f>IF($C6="","",AI6*VLOOKUP($C6,MATIERES!$A$2:$F$349,4,0))</f>
        <v>60.266450000000006</v>
      </c>
      <c r="AK6" s="364">
        <f>'Outils de calculs'!AK26+0.3</f>
        <v>28.3</v>
      </c>
      <c r="AL6" s="365">
        <f>IF($C6="","",AK6*VLOOKUP($C6,MATIERES!$A$2:$F$349,4,0))</f>
        <v>64.849450000000004</v>
      </c>
      <c r="AM6" s="364">
        <f>'Outils de calculs'!AM26+0.3</f>
        <v>26.3</v>
      </c>
      <c r="AN6" s="365">
        <f>IF($C6="","",AM6*VLOOKUP($C6,MATIERES!$A$2:$F$349,4,0))</f>
        <v>60.266450000000006</v>
      </c>
    </row>
    <row r="7" spans="1:40" ht="15" customHeight="1" x14ac:dyDescent="0.2">
      <c r="A7" s="1550"/>
      <c r="B7" s="361" t="s">
        <v>736</v>
      </c>
      <c r="C7" s="362" t="s">
        <v>1204</v>
      </c>
      <c r="D7" s="363" t="str">
        <f>IF($C7="","",VLOOKUP($C7,MATIERES!$A$2:$F$227,5,0))</f>
        <v>ml</v>
      </c>
      <c r="E7" s="364">
        <f>'Outils de calculs'!E26*1.8</f>
        <v>14.76</v>
      </c>
      <c r="F7" s="365">
        <f>IF($C7="","",E7*VLOOKUP($C7,MATIERES!$A$2:$F$349,4,0))</f>
        <v>29.52</v>
      </c>
      <c r="G7" s="364">
        <f>'Outils de calculs'!G26*1.8</f>
        <v>18</v>
      </c>
      <c r="H7" s="365">
        <f>IF($C7="","",G7*VLOOKUP($C7,MATIERES!$A$2:$F$349,4,0))</f>
        <v>36</v>
      </c>
      <c r="I7" s="364">
        <f>'Outils de calculs'!I26*1.8</f>
        <v>21.6</v>
      </c>
      <c r="J7" s="365">
        <f>IF($C7="","",I7*VLOOKUP($C7,MATIERES!$A$2:$F$349,4,0))</f>
        <v>43.2</v>
      </c>
      <c r="K7" s="364">
        <f>'Outils de calculs'!K26*1.8</f>
        <v>23.400000000000002</v>
      </c>
      <c r="L7" s="365">
        <f>IF($C7="","",K7*VLOOKUP($C7,MATIERES!$A$2:$F$349,4,0))</f>
        <v>46.800000000000004</v>
      </c>
      <c r="M7" s="364">
        <f>'Outils de calculs'!M26*1.8</f>
        <v>25.2</v>
      </c>
      <c r="N7" s="365">
        <f>IF($C7="","",M7*VLOOKUP($C7,MATIERES!$A$2:$F$349,4,0))</f>
        <v>50.4</v>
      </c>
      <c r="O7" s="364">
        <f>'Outils de calculs'!O26*1.8</f>
        <v>27</v>
      </c>
      <c r="P7" s="365">
        <f>IF($C7="","",O7*VLOOKUP($C7,MATIERES!$A$2:$F$349,4,0))</f>
        <v>54</v>
      </c>
      <c r="Q7" s="364">
        <f>'Outils de calculs'!Q26*1.8</f>
        <v>28.8</v>
      </c>
      <c r="R7" s="365">
        <f>IF($C7="","",Q7*VLOOKUP($C7,MATIERES!$A$2:$F$349,4,0))</f>
        <v>57.6</v>
      </c>
      <c r="S7" s="364">
        <f>'Outils de calculs'!S26*1.8</f>
        <v>30.6</v>
      </c>
      <c r="T7" s="365">
        <f>IF($C7="","",S7*VLOOKUP($C7,MATIERES!$A$2:$F$349,4,0))</f>
        <v>61.2</v>
      </c>
      <c r="U7" s="364">
        <f>'Outils de calculs'!U26*1.8</f>
        <v>32.4</v>
      </c>
      <c r="V7" s="365">
        <f>IF($C7="","",U7*VLOOKUP($C7,MATIERES!$A$2:$F$349,4,0))</f>
        <v>64.8</v>
      </c>
      <c r="W7" s="364">
        <f>'Outils de calculs'!W26*1.8</f>
        <v>36</v>
      </c>
      <c r="X7" s="365">
        <f>IF($C7="","",W7*VLOOKUP($C7,MATIERES!$A$2:$F$349,4,0))</f>
        <v>72</v>
      </c>
      <c r="Y7" s="364">
        <f>'Outils de calculs'!Y26*1.8</f>
        <v>39.6</v>
      </c>
      <c r="Z7" s="365">
        <f>IF($C7="","",Y7*VLOOKUP($C7,MATIERES!$A$2:$F$349,4,0))</f>
        <v>79.2</v>
      </c>
      <c r="AA7" s="364">
        <f>'Outils de calculs'!AA26*1.8</f>
        <v>41.4</v>
      </c>
      <c r="AB7" s="365">
        <f>IF($C7="","",AA7*VLOOKUP($C7,MATIERES!$A$2:$F$349,4,0))</f>
        <v>82.8</v>
      </c>
      <c r="AC7" s="364">
        <f>'Outils de calculs'!AC26*1.8</f>
        <v>39.6</v>
      </c>
      <c r="AD7" s="365">
        <f>IF($C7="","",AC7*VLOOKUP($C7,MATIERES!$A$2:$F$349,4,0))</f>
        <v>79.2</v>
      </c>
      <c r="AE7" s="364">
        <f>'Outils de calculs'!AE26*1.8</f>
        <v>43.2</v>
      </c>
      <c r="AF7" s="365">
        <f>IF($C7="","",AE7*VLOOKUP($C7,MATIERES!$A$2:$F$349,4,0))</f>
        <v>86.4</v>
      </c>
      <c r="AG7" s="364">
        <f>'Outils de calculs'!AG26*1.8</f>
        <v>45</v>
      </c>
      <c r="AH7" s="365">
        <f>IF($C7="","",AG7*VLOOKUP($C7,MATIERES!$A$2:$F$349,4,0))</f>
        <v>90</v>
      </c>
      <c r="AI7" s="364">
        <f>'Outils de calculs'!AI26*1.8</f>
        <v>46.800000000000004</v>
      </c>
      <c r="AJ7" s="365">
        <f>IF($C7="","",AI7*VLOOKUP($C7,MATIERES!$A$2:$F$349,4,0))</f>
        <v>93.600000000000009</v>
      </c>
      <c r="AK7" s="364">
        <f>'Outils de calculs'!AK26*1.8</f>
        <v>50.4</v>
      </c>
      <c r="AL7" s="365">
        <f>IF($C7="","",AK7*VLOOKUP($C7,MATIERES!$A$2:$F$349,4,0))</f>
        <v>100.8</v>
      </c>
      <c r="AM7" s="364">
        <f>'Outils de calculs'!AM26*1.8</f>
        <v>46.800000000000004</v>
      </c>
      <c r="AN7" s="365">
        <f>IF($C7="","",AM7*VLOOKUP($C7,MATIERES!$A$2:$F$349,4,0))</f>
        <v>93.600000000000009</v>
      </c>
    </row>
    <row r="8" spans="1:40" ht="15" customHeight="1" x14ac:dyDescent="0.2">
      <c r="A8" s="1550"/>
      <c r="B8" s="361" t="s">
        <v>127</v>
      </c>
      <c r="C8" s="362" t="s">
        <v>1209</v>
      </c>
      <c r="D8" s="363" t="str">
        <f>IF($C8="","",VLOOKUP($C8,MATIERES!$A$2:$F$413,5,0))</f>
        <v>t</v>
      </c>
      <c r="E8" s="364">
        <f>'Outils de calculs'!E26*0.08*1.6</f>
        <v>1.0495999999999999</v>
      </c>
      <c r="F8" s="365">
        <f>IF($C8="","",E8*VLOOKUP($C8,MATIERES!$A$2:$F$424,4,0))</f>
        <v>31.487999999999996</v>
      </c>
      <c r="G8" s="364">
        <f>'Outils de calculs'!G26*0.08*1.6</f>
        <v>1.2800000000000002</v>
      </c>
      <c r="H8" s="365">
        <f>IF($C8="","",G8*VLOOKUP($C8,MATIERES!$A$2:$F$424,4,0))</f>
        <v>38.400000000000006</v>
      </c>
      <c r="I8" s="364">
        <f>'Outils de calculs'!I26*0.08*1.6</f>
        <v>1.536</v>
      </c>
      <c r="J8" s="365">
        <f>IF($C8="","",I8*VLOOKUP($C8,MATIERES!$A$2:$F$424,4,0))</f>
        <v>46.08</v>
      </c>
      <c r="K8" s="364">
        <f>'Outils de calculs'!K26*0.08*1.6</f>
        <v>1.6640000000000001</v>
      </c>
      <c r="L8" s="365">
        <f>IF($C8="","",K8*VLOOKUP($C8,MATIERES!$A$2:$F$424,4,0))</f>
        <v>49.92</v>
      </c>
      <c r="M8" s="364">
        <f>'Outils de calculs'!M26*0.08*1.6</f>
        <v>1.7920000000000003</v>
      </c>
      <c r="N8" s="365">
        <f>IF($C8="","",M8*VLOOKUP($C8,MATIERES!$A$2:$F$424,4,0))</f>
        <v>53.760000000000005</v>
      </c>
      <c r="O8" s="364">
        <f>'Outils de calculs'!O26*0.08*1.6</f>
        <v>1.92</v>
      </c>
      <c r="P8" s="365">
        <f>IF($C8="","",O8*VLOOKUP($C8,MATIERES!$A$2:$F$424,4,0))</f>
        <v>57.599999999999994</v>
      </c>
      <c r="Q8" s="364">
        <f>'Outils de calculs'!Q26*0.08*1.6</f>
        <v>2.048</v>
      </c>
      <c r="R8" s="365">
        <f>IF($C8="","",Q8*VLOOKUP($C8,MATIERES!$A$2:$F$424,4,0))</f>
        <v>61.44</v>
      </c>
      <c r="S8" s="364">
        <f>'Outils de calculs'!S26*0.08*1.6</f>
        <v>2.1760000000000002</v>
      </c>
      <c r="T8" s="365">
        <f>IF($C8="","",S8*VLOOKUP($C8,MATIERES!$A$2:$F$424,4,0))</f>
        <v>65.28</v>
      </c>
      <c r="U8" s="364">
        <f>'Outils de calculs'!U26*0.08*1.6</f>
        <v>2.3039999999999998</v>
      </c>
      <c r="V8" s="365">
        <f>IF($C8="","",U8*VLOOKUP($C8,MATIERES!$A$2:$F$424,4,0))</f>
        <v>69.11999999999999</v>
      </c>
      <c r="W8" s="364">
        <f>'Outils de calculs'!W26*0.08*1.6</f>
        <v>2.5600000000000005</v>
      </c>
      <c r="X8" s="365">
        <f>IF($C8="","",W8*VLOOKUP($C8,MATIERES!$A$2:$F$424,4,0))</f>
        <v>76.800000000000011</v>
      </c>
      <c r="Y8" s="364">
        <f>'Outils de calculs'!Y26*0.08*1.6</f>
        <v>2.8160000000000003</v>
      </c>
      <c r="Z8" s="365">
        <f>IF($C8="","",Y8*VLOOKUP($C8,MATIERES!$A$2:$F$424,4,0))</f>
        <v>84.48</v>
      </c>
      <c r="AA8" s="364">
        <f>'Outils de calculs'!AA26*0.08*1.6</f>
        <v>2.9440000000000004</v>
      </c>
      <c r="AB8" s="365">
        <f>IF($C8="","",AA8*VLOOKUP($C8,MATIERES!$A$2:$F$424,4,0))</f>
        <v>88.320000000000007</v>
      </c>
      <c r="AC8" s="364">
        <f>'Outils de calculs'!AC26*0.08*1.6</f>
        <v>2.8160000000000003</v>
      </c>
      <c r="AD8" s="365">
        <f>IF($C8="","",AC8*VLOOKUP($C8,MATIERES!$A$2:$F$424,4,0))</f>
        <v>84.48</v>
      </c>
      <c r="AE8" s="364">
        <f>'Outils de calculs'!AE26*0.08*1.6</f>
        <v>3.0720000000000001</v>
      </c>
      <c r="AF8" s="365">
        <f>IF($C8="","",AE8*VLOOKUP($C8,MATIERES!$A$2:$F$424,4,0))</f>
        <v>92.16</v>
      </c>
      <c r="AG8" s="364">
        <f>'Outils de calculs'!AG26*0.08*1.6</f>
        <v>3.2</v>
      </c>
      <c r="AH8" s="365">
        <f>IF($C8="","",AG8*VLOOKUP($C8,MATIERES!$A$2:$F$424,4,0))</f>
        <v>96</v>
      </c>
      <c r="AI8" s="364">
        <f>'Outils de calculs'!AI26*0.08*1.6</f>
        <v>3.3280000000000003</v>
      </c>
      <c r="AJ8" s="365">
        <f>IF($C8="","",AI8*VLOOKUP($C8,MATIERES!$A$2:$F$424,4,0))</f>
        <v>99.84</v>
      </c>
      <c r="AK8" s="364">
        <f>'Outils de calculs'!AK26*0.08*1.6</f>
        <v>3.5840000000000005</v>
      </c>
      <c r="AL8" s="365">
        <f>IF($C8="","",AK8*VLOOKUP($C8,MATIERES!$A$2:$F$424,4,0))</f>
        <v>107.52000000000001</v>
      </c>
      <c r="AM8" s="364">
        <f>'Outils de calculs'!AM26*0.08*1.6</f>
        <v>3.3280000000000003</v>
      </c>
      <c r="AN8" s="365">
        <f>IF($C8="","",AM8*VLOOKUP($C8,MATIERES!$A$2:$F$424,4,0))</f>
        <v>99.84</v>
      </c>
    </row>
    <row r="9" spans="1:40" ht="15" customHeight="1" x14ac:dyDescent="0.2">
      <c r="A9" s="1550"/>
      <c r="B9" s="361" t="s">
        <v>239</v>
      </c>
      <c r="C9" s="362" t="s">
        <v>774</v>
      </c>
      <c r="D9" s="363" t="str">
        <f>IF($C9="","",VLOOKUP($C9,MATIERES!$A$2:$F$413,5,0))</f>
        <v>ml</v>
      </c>
      <c r="E9" s="364">
        <f>'Outils de calculs'!E31</f>
        <v>1.6</v>
      </c>
      <c r="F9" s="365">
        <f>IF($C9="","",E9*VLOOKUP($C9,MATIERES!$A$2:$F$349,4,0))</f>
        <v>2.2982400000000003</v>
      </c>
      <c r="G9" s="364">
        <f>'Outils de calculs'!G31</f>
        <v>2</v>
      </c>
      <c r="H9" s="365">
        <f>IF($C9="","",G9*VLOOKUP($C9,MATIERES!$A$2:$F$349,4,0))</f>
        <v>2.8728000000000002</v>
      </c>
      <c r="I9" s="364">
        <f>'Outils de calculs'!I31</f>
        <v>2</v>
      </c>
      <c r="J9" s="365">
        <f>IF($C9="","",I9*VLOOKUP($C9,MATIERES!$A$2:$F$349,4,0))</f>
        <v>2.8728000000000002</v>
      </c>
      <c r="K9" s="364">
        <f>'Outils de calculs'!K31</f>
        <v>2.5</v>
      </c>
      <c r="L9" s="365">
        <f>IF($C9="","",K9*VLOOKUP($C9,MATIERES!$A$2:$F$349,4,0))</f>
        <v>3.5910000000000002</v>
      </c>
      <c r="M9" s="364">
        <f>'Outils de calculs'!M31</f>
        <v>3</v>
      </c>
      <c r="N9" s="365">
        <f>IF($C9="","",M9*VLOOKUP($C9,MATIERES!$A$2:$F$349,4,0))</f>
        <v>4.3092000000000006</v>
      </c>
      <c r="O9" s="364">
        <f>'Outils de calculs'!O31</f>
        <v>3.5</v>
      </c>
      <c r="P9" s="365">
        <f>IF($C9="","",O9*VLOOKUP($C9,MATIERES!$A$2:$F$349,4,0))</f>
        <v>5.0274000000000001</v>
      </c>
      <c r="Q9" s="364">
        <f>'Outils de calculs'!Q31</f>
        <v>4</v>
      </c>
      <c r="R9" s="365">
        <f>IF($C9="","",Q9*VLOOKUP($C9,MATIERES!$A$2:$F$349,4,0))</f>
        <v>5.7456000000000005</v>
      </c>
      <c r="S9" s="364">
        <f>'Outils de calculs'!S31</f>
        <v>4</v>
      </c>
      <c r="T9" s="365">
        <f>IF($C9="","",S9*VLOOKUP($C9,MATIERES!$A$2:$F$349,4,0))</f>
        <v>5.7456000000000005</v>
      </c>
      <c r="U9" s="364">
        <f>'Outils de calculs'!U31</f>
        <v>4</v>
      </c>
      <c r="V9" s="365">
        <f>IF($C9="","",U9*VLOOKUP($C9,MATIERES!$A$2:$F$349,4,0))</f>
        <v>5.7456000000000005</v>
      </c>
      <c r="W9" s="364">
        <f>'Outils de calculs'!W31</f>
        <v>4</v>
      </c>
      <c r="X9" s="365">
        <f>IF($C9="","",W9*VLOOKUP($C9,MATIERES!$A$2:$F$349,4,0))</f>
        <v>5.7456000000000005</v>
      </c>
      <c r="Y9" s="364">
        <f>'Outils de calculs'!Y31</f>
        <v>3</v>
      </c>
      <c r="Z9" s="365">
        <f>IF($C9="","",Y9*VLOOKUP($C9,MATIERES!$A$2:$F$349,4,0))</f>
        <v>4.3092000000000006</v>
      </c>
      <c r="AA9" s="364">
        <f>'Outils de calculs'!AA31</f>
        <v>3.5</v>
      </c>
      <c r="AB9" s="365">
        <f>IF($C9="","",AA9*VLOOKUP($C9,MATIERES!$A$2:$F$349,4,0))</f>
        <v>5.0274000000000001</v>
      </c>
      <c r="AC9" s="364">
        <f>'Outils de calculs'!AC31</f>
        <v>4</v>
      </c>
      <c r="AD9" s="365">
        <f>IF($C9="","",AC9*VLOOKUP($C9,MATIERES!$A$2:$F$349,4,0))</f>
        <v>5.7456000000000005</v>
      </c>
      <c r="AE9" s="364">
        <f>'Outils de calculs'!AE31</f>
        <v>4</v>
      </c>
      <c r="AF9" s="365">
        <f>IF($C9="","",AE9*VLOOKUP($C9,MATIERES!$A$2:$F$349,4,0))</f>
        <v>5.7456000000000005</v>
      </c>
      <c r="AG9" s="364">
        <f>'Outils de calculs'!AG31</f>
        <v>4.5</v>
      </c>
      <c r="AH9" s="365">
        <f>IF($C9="","",AG9*VLOOKUP($C9,MATIERES!$A$2:$F$349,4,0))</f>
        <v>6.4638000000000009</v>
      </c>
      <c r="AI9" s="364">
        <f>'Outils de calculs'!AI31</f>
        <v>4</v>
      </c>
      <c r="AJ9" s="365">
        <f>IF($C9="","",AI9*VLOOKUP($C9,MATIERES!$A$2:$F$349,4,0))</f>
        <v>5.7456000000000005</v>
      </c>
      <c r="AK9" s="364">
        <f>'Outils de calculs'!AK31</f>
        <v>4</v>
      </c>
      <c r="AL9" s="365">
        <f>IF($C9="","",AK9*VLOOKUP($C9,MATIERES!$A$2:$F$349,4,0))</f>
        <v>5.7456000000000005</v>
      </c>
      <c r="AM9" s="364">
        <f>'Outils de calculs'!AM31</f>
        <v>5</v>
      </c>
      <c r="AN9" s="365">
        <f>IF($C9="","",AM9*VLOOKUP($C9,MATIERES!$A$2:$F$349,4,0))</f>
        <v>7.1820000000000004</v>
      </c>
    </row>
    <row r="10" spans="1:40" ht="30" customHeight="1" x14ac:dyDescent="0.2">
      <c r="A10" s="366"/>
      <c r="B10" s="367" t="s">
        <v>683</v>
      </c>
      <c r="C10" s="368" t="s">
        <v>446</v>
      </c>
      <c r="D10" s="369" t="s">
        <v>447</v>
      </c>
      <c r="E10" s="370">
        <f>F10*(1+Simulation!$P$11)</f>
        <v>922.82946859999993</v>
      </c>
      <c r="F10" s="371">
        <f>SUM(F4:F9)</f>
        <v>709.86882199999991</v>
      </c>
      <c r="G10" s="370">
        <f>H10*(1+Simulation!$P$11)</f>
        <v>1125.296705</v>
      </c>
      <c r="H10" s="371">
        <f>SUM(H4:H9)</f>
        <v>865.61284999999998</v>
      </c>
      <c r="I10" s="370">
        <f>J10*(1+Simulation!$P$11)</f>
        <v>1349.4303810000001</v>
      </c>
      <c r="J10" s="371">
        <f>SUM(J4:J9)</f>
        <v>1038.0233700000001</v>
      </c>
      <c r="K10" s="370">
        <f>L10*(1+Simulation!$P$11)</f>
        <v>1462.4308790000002</v>
      </c>
      <c r="L10" s="371">
        <f>SUM(L4:L9)</f>
        <v>1124.9468300000001</v>
      </c>
      <c r="M10" s="370">
        <f>N10*(1+Simulation!$P$11)</f>
        <v>1575.4313770000003</v>
      </c>
      <c r="N10" s="371">
        <f>SUM(N4:N9)</f>
        <v>1211.8702900000003</v>
      </c>
      <c r="O10" s="370">
        <f>P10*(1+Simulation!$P$11)</f>
        <v>1688.4318750000002</v>
      </c>
      <c r="P10" s="371">
        <f>SUM(P4:P9)</f>
        <v>1298.79375</v>
      </c>
      <c r="Q10" s="370">
        <f>R10*(1+Simulation!$P$11)</f>
        <v>1801.4323730000001</v>
      </c>
      <c r="R10" s="371">
        <f>SUM(R4:R9)</f>
        <v>1385.71721</v>
      </c>
      <c r="S10" s="370">
        <f>T10*(1+Simulation!$P$11)</f>
        <v>1913.4992110000003</v>
      </c>
      <c r="T10" s="371">
        <f>SUM(T4:T9)</f>
        <v>1471.9224700000002</v>
      </c>
      <c r="U10" s="370">
        <f>V10*(1+Simulation!$P$11)</f>
        <v>2025.566049</v>
      </c>
      <c r="V10" s="371">
        <f>SUM(V4:V9)</f>
        <v>1558.1277299999999</v>
      </c>
      <c r="W10" s="370">
        <f>X10*(1+Simulation!$P$11)</f>
        <v>2249.6997249999999</v>
      </c>
      <c r="X10" s="371">
        <f>SUM(X4:X9)</f>
        <v>1730.5382500000001</v>
      </c>
      <c r="Y10" s="370">
        <f>Z10*(1+Simulation!$P$11)</f>
        <v>2471.966081</v>
      </c>
      <c r="Z10" s="371">
        <f>SUM(Z4:Z9)</f>
        <v>1901.5123699999999</v>
      </c>
      <c r="AA10" s="370">
        <f>AB10*(1+Simulation!$P$11)</f>
        <v>2584.9665790000004</v>
      </c>
      <c r="AB10" s="371">
        <f>SUM(AB4:AB9)</f>
        <v>1988.4358300000001</v>
      </c>
      <c r="AC10" s="370">
        <f>AD10*(1+Simulation!$P$11)</f>
        <v>2473.8334009999999</v>
      </c>
      <c r="AD10" s="371">
        <f>SUM(AD4:AD9)</f>
        <v>1902.94877</v>
      </c>
      <c r="AE10" s="370">
        <f>AF10*(1+Simulation!$P$11)</f>
        <v>2697.9670770000007</v>
      </c>
      <c r="AF10" s="371">
        <f>SUM(AF4:AF9)</f>
        <v>2075.3592900000003</v>
      </c>
      <c r="AG10" s="370">
        <f>AH10*(1+Simulation!$P$11)</f>
        <v>2810.967575000001</v>
      </c>
      <c r="AH10" s="371">
        <f>SUM(AH4:AH9)</f>
        <v>2162.2827500000008</v>
      </c>
      <c r="AI10" s="370">
        <f>AJ10*(1+Simulation!$P$11)</f>
        <v>2922.1007530000011</v>
      </c>
      <c r="AJ10" s="371">
        <f>SUM(AJ4:AJ9)</f>
        <v>2247.7698100000007</v>
      </c>
      <c r="AK10" s="370">
        <f>AL10*(1+Simulation!$P$11)</f>
        <v>3146.2344290000015</v>
      </c>
      <c r="AL10" s="371">
        <f>SUM(AL4:AL9)</f>
        <v>2420.180330000001</v>
      </c>
      <c r="AM10" s="370">
        <f>AN10*(1+Simulation!$P$11)</f>
        <v>2923.9680730000005</v>
      </c>
      <c r="AN10" s="371">
        <f>SUM(AN4:AN9)</f>
        <v>2249.2062100000003</v>
      </c>
    </row>
    <row r="11" spans="1:40" ht="15" customHeight="1" x14ac:dyDescent="0.2">
      <c r="A11" s="1624" t="s">
        <v>448</v>
      </c>
      <c r="B11" s="361" t="s">
        <v>1155</v>
      </c>
      <c r="C11" s="362" t="s">
        <v>426</v>
      </c>
      <c r="D11" s="363" t="str">
        <f>IF($C11="","",VLOOKUP($C11,ATELIER!$A$2:$E$109,3,0))</f>
        <v>pc</v>
      </c>
      <c r="E11" s="364">
        <f>2*'Outils de calculs'!E26</f>
        <v>16.399999999999999</v>
      </c>
      <c r="F11" s="372">
        <f>IF($C11="","",E11*VLOOKUP($C11,ATELIER!$A$2:$F$109,4,0))</f>
        <v>2.4599999999999995</v>
      </c>
      <c r="G11" s="364">
        <f>2*'Outils de calculs'!G26</f>
        <v>20</v>
      </c>
      <c r="H11" s="372">
        <f>IF($C11="","",G11*VLOOKUP($C11,ATELIER!$A$2:$F$109,4,0))</f>
        <v>3</v>
      </c>
      <c r="I11" s="364">
        <f>2*'Outils de calculs'!I26</f>
        <v>24</v>
      </c>
      <c r="J11" s="372">
        <f>IF($C11="","",I11*VLOOKUP($C11,ATELIER!$A$2:$F$109,4,0))</f>
        <v>3.5999999999999996</v>
      </c>
      <c r="K11" s="364">
        <f>2*'Outils de calculs'!K26</f>
        <v>26</v>
      </c>
      <c r="L11" s="372">
        <f>IF($C11="","",K11*VLOOKUP($C11,ATELIER!$A$2:$F$109,4,0))</f>
        <v>3.9</v>
      </c>
      <c r="M11" s="364">
        <f>2*'Outils de calculs'!M26</f>
        <v>28</v>
      </c>
      <c r="N11" s="372">
        <f>IF($C11="","",M11*VLOOKUP($C11,ATELIER!$A$2:$F$109,4,0))</f>
        <v>4.2</v>
      </c>
      <c r="O11" s="364">
        <f>2*'Outils de calculs'!O26</f>
        <v>30</v>
      </c>
      <c r="P11" s="372">
        <f>IF($C11="","",O11*VLOOKUP($C11,ATELIER!$A$2:$F$109,4,0))</f>
        <v>4.5</v>
      </c>
      <c r="Q11" s="364">
        <f>2*'Outils de calculs'!Q26</f>
        <v>32</v>
      </c>
      <c r="R11" s="372">
        <f>IF($C11="","",Q11*VLOOKUP($C11,ATELIER!$A$2:$F$109,4,0))</f>
        <v>4.8</v>
      </c>
      <c r="S11" s="364">
        <f>2*'Outils de calculs'!S26</f>
        <v>34</v>
      </c>
      <c r="T11" s="372">
        <f>IF($C11="","",S11*VLOOKUP($C11,ATELIER!$A$2:$F$109,4,0))</f>
        <v>5.0999999999999996</v>
      </c>
      <c r="U11" s="364">
        <f>2*'Outils de calculs'!U26</f>
        <v>36</v>
      </c>
      <c r="V11" s="372">
        <f>IF($C11="","",U11*VLOOKUP($C11,ATELIER!$A$2:$F$109,4,0))</f>
        <v>5.3999999999999995</v>
      </c>
      <c r="W11" s="364">
        <f>2*'Outils de calculs'!W26</f>
        <v>40</v>
      </c>
      <c r="X11" s="372">
        <f>IF($C11="","",W11*VLOOKUP($C11,ATELIER!$A$2:$F$109,4,0))</f>
        <v>6</v>
      </c>
      <c r="Y11" s="364">
        <f>2*'Outils de calculs'!Y26</f>
        <v>44</v>
      </c>
      <c r="Z11" s="372">
        <f>IF($C11="","",Y11*VLOOKUP($C11,ATELIER!$A$2:$F$109,4,0))</f>
        <v>6.6</v>
      </c>
      <c r="AA11" s="364">
        <f>2*'Outils de calculs'!AA26</f>
        <v>46</v>
      </c>
      <c r="AB11" s="372">
        <f>IF($C11="","",AA11*VLOOKUP($C11,ATELIER!$A$2:$F$109,4,0))</f>
        <v>6.8999999999999995</v>
      </c>
      <c r="AC11" s="364">
        <f>2*'Outils de calculs'!AC26</f>
        <v>44</v>
      </c>
      <c r="AD11" s="372">
        <f>IF($C11="","",AC11*VLOOKUP($C11,ATELIER!$A$2:$F$109,4,0))</f>
        <v>6.6</v>
      </c>
      <c r="AE11" s="364">
        <f>2*'Outils de calculs'!AE26</f>
        <v>48</v>
      </c>
      <c r="AF11" s="372">
        <f>IF($C11="","",AE11*VLOOKUP($C11,ATELIER!$A$2:$F$109,4,0))</f>
        <v>7.1999999999999993</v>
      </c>
      <c r="AG11" s="364">
        <f>2*'Outils de calculs'!AG26</f>
        <v>50</v>
      </c>
      <c r="AH11" s="372">
        <f>IF($C11="","",AG11*VLOOKUP($C11,ATELIER!$A$2:$F$109,4,0))</f>
        <v>7.5</v>
      </c>
      <c r="AI11" s="364">
        <f>2*'Outils de calculs'!AI26</f>
        <v>52</v>
      </c>
      <c r="AJ11" s="372">
        <f>IF($C11="","",AI11*VLOOKUP($C11,ATELIER!$A$2:$F$109,4,0))</f>
        <v>7.8</v>
      </c>
      <c r="AK11" s="364">
        <f>2*'Outils de calculs'!AK26</f>
        <v>56</v>
      </c>
      <c r="AL11" s="372">
        <f>IF($C11="","",AK11*VLOOKUP($C11,ATELIER!$A$2:$F$109,4,0))</f>
        <v>8.4</v>
      </c>
      <c r="AM11" s="364">
        <f>2*'Outils de calculs'!AM26</f>
        <v>52</v>
      </c>
      <c r="AN11" s="372">
        <f>IF($C11="","",AM11*VLOOKUP($C11,ATELIER!$A$2:$F$109,4,0))</f>
        <v>7.8</v>
      </c>
    </row>
    <row r="12" spans="1:40" ht="15" customHeight="1" x14ac:dyDescent="0.2">
      <c r="A12" s="1625"/>
      <c r="B12" s="361" t="s">
        <v>1157</v>
      </c>
      <c r="C12" s="362" t="s">
        <v>1257</v>
      </c>
      <c r="D12" s="363" t="str">
        <f>IF($C12="","",VLOOKUP($C12,ATELIER!$A$2:$E$109,3,0))</f>
        <v>pc</v>
      </c>
      <c r="E12" s="364">
        <f>E7*3</f>
        <v>44.28</v>
      </c>
      <c r="F12" s="372">
        <f>IF($C12="","",E12*VLOOKUP($C12,ATELIER!$A$2:$F$109,4,0))</f>
        <v>0.88560000000000005</v>
      </c>
      <c r="G12" s="364">
        <f>G7*3</f>
        <v>54</v>
      </c>
      <c r="H12" s="372">
        <f>IF($C12="","",G12*VLOOKUP($C12,ATELIER!$A$2:$F$109,4,0))</f>
        <v>1.08</v>
      </c>
      <c r="I12" s="364">
        <f>I7*3</f>
        <v>64.800000000000011</v>
      </c>
      <c r="J12" s="372">
        <f>IF($C12="","",I12*VLOOKUP($C12,ATELIER!$A$2:$F$109,4,0))</f>
        <v>1.2960000000000003</v>
      </c>
      <c r="K12" s="364">
        <f>K7*3</f>
        <v>70.2</v>
      </c>
      <c r="L12" s="372">
        <f>IF($C12="","",K12*VLOOKUP($C12,ATELIER!$A$2:$F$109,4,0))</f>
        <v>1.4040000000000001</v>
      </c>
      <c r="M12" s="364">
        <f>M7*3</f>
        <v>75.599999999999994</v>
      </c>
      <c r="N12" s="372">
        <f>IF($C12="","",M12*VLOOKUP($C12,ATELIER!$A$2:$F$109,4,0))</f>
        <v>1.512</v>
      </c>
      <c r="O12" s="364">
        <f>O7*3</f>
        <v>81</v>
      </c>
      <c r="P12" s="372">
        <f>IF($C12="","",O12*VLOOKUP($C12,ATELIER!$A$2:$F$109,4,0))</f>
        <v>1.62</v>
      </c>
      <c r="Q12" s="364">
        <f>Q7*3</f>
        <v>86.4</v>
      </c>
      <c r="R12" s="372">
        <f>IF($C12="","",Q12*VLOOKUP($C12,ATELIER!$A$2:$F$109,4,0))</f>
        <v>1.7280000000000002</v>
      </c>
      <c r="S12" s="364">
        <f>S7*3</f>
        <v>91.800000000000011</v>
      </c>
      <c r="T12" s="372">
        <f>IF($C12="","",S12*VLOOKUP($C12,ATELIER!$A$2:$F$109,4,0))</f>
        <v>1.8360000000000003</v>
      </c>
      <c r="U12" s="364">
        <f>U7*3</f>
        <v>97.199999999999989</v>
      </c>
      <c r="V12" s="372">
        <f>IF($C12="","",U12*VLOOKUP($C12,ATELIER!$A$2:$F$109,4,0))</f>
        <v>1.9439999999999997</v>
      </c>
      <c r="W12" s="364">
        <f>W7*3</f>
        <v>108</v>
      </c>
      <c r="X12" s="372">
        <f>IF($C12="","",W12*VLOOKUP($C12,ATELIER!$A$2:$F$109,4,0))</f>
        <v>2.16</v>
      </c>
      <c r="Y12" s="364">
        <f>Y7*3</f>
        <v>118.80000000000001</v>
      </c>
      <c r="Z12" s="372">
        <f>IF($C12="","",Y12*VLOOKUP($C12,ATELIER!$A$2:$F$109,4,0))</f>
        <v>2.3760000000000003</v>
      </c>
      <c r="AA12" s="364">
        <f>AA7*3</f>
        <v>124.19999999999999</v>
      </c>
      <c r="AB12" s="372">
        <f>IF($C12="","",AA12*VLOOKUP($C12,ATELIER!$A$2:$F$109,4,0))</f>
        <v>2.484</v>
      </c>
      <c r="AC12" s="364">
        <f>AC7*3</f>
        <v>118.80000000000001</v>
      </c>
      <c r="AD12" s="372">
        <f>IF($C12="","",AC12*VLOOKUP($C12,ATELIER!$A$2:$F$109,4,0))</f>
        <v>2.3760000000000003</v>
      </c>
      <c r="AE12" s="364">
        <f>AE7*3</f>
        <v>129.60000000000002</v>
      </c>
      <c r="AF12" s="372">
        <f>IF($C12="","",AE12*VLOOKUP($C12,ATELIER!$A$2:$F$109,4,0))</f>
        <v>2.5920000000000005</v>
      </c>
      <c r="AG12" s="364">
        <f>AG7*3</f>
        <v>135</v>
      </c>
      <c r="AH12" s="372">
        <f>IF($C12="","",AG12*VLOOKUP($C12,ATELIER!$A$2:$F$109,4,0))</f>
        <v>2.7</v>
      </c>
      <c r="AI12" s="364">
        <f>AI7*3</f>
        <v>140.4</v>
      </c>
      <c r="AJ12" s="372">
        <f>IF($C12="","",AI12*VLOOKUP($C12,ATELIER!$A$2:$F$109,4,0))</f>
        <v>2.8080000000000003</v>
      </c>
      <c r="AK12" s="364">
        <f>AK7*3</f>
        <v>151.19999999999999</v>
      </c>
      <c r="AL12" s="372">
        <f>IF($C12="","",AK12*VLOOKUP($C12,ATELIER!$A$2:$F$109,4,0))</f>
        <v>3.024</v>
      </c>
      <c r="AM12" s="364">
        <f>AM7*3</f>
        <v>140.4</v>
      </c>
      <c r="AN12" s="372">
        <f>IF($C12="","",AM12*VLOOKUP($C12,ATELIER!$A$2:$F$109,4,0))</f>
        <v>2.8080000000000003</v>
      </c>
    </row>
    <row r="13" spans="1:40" ht="15" customHeight="1" x14ac:dyDescent="0.2">
      <c r="A13" s="1624"/>
      <c r="B13" s="361" t="s">
        <v>1155</v>
      </c>
      <c r="C13" s="362" t="s">
        <v>425</v>
      </c>
      <c r="D13" s="363" t="str">
        <f>IF($C13="","",VLOOKUP($C13,ATELIER!$A$2:$E$109,3,0))</f>
        <v>pc</v>
      </c>
      <c r="E13" s="364">
        <f>1</f>
        <v>1</v>
      </c>
      <c r="F13" s="372">
        <f>IF($C13="","",E13*VLOOKUP($C13,ATELIER!$A$2:$F$109,4,0))</f>
        <v>0.08</v>
      </c>
      <c r="G13" s="364">
        <f>1</f>
        <v>1</v>
      </c>
      <c r="H13" s="372">
        <f>IF($C13="","",G13*VLOOKUP($C13,ATELIER!$A$2:$F$109,4,0))</f>
        <v>0.08</v>
      </c>
      <c r="I13" s="364">
        <f>1</f>
        <v>1</v>
      </c>
      <c r="J13" s="372">
        <f>IF($C13="","",I13*VLOOKUP($C13,ATELIER!$A$2:$F$109,4,0))</f>
        <v>0.08</v>
      </c>
      <c r="K13" s="364">
        <f>1</f>
        <v>1</v>
      </c>
      <c r="L13" s="372">
        <f>IF($C13="","",K13*VLOOKUP($C13,ATELIER!$A$2:$F$109,4,0))</f>
        <v>0.08</v>
      </c>
      <c r="M13" s="364">
        <f>1</f>
        <v>1</v>
      </c>
      <c r="N13" s="372">
        <f>IF($C13="","",M13*VLOOKUP($C13,ATELIER!$A$2:$F$109,4,0))</f>
        <v>0.08</v>
      </c>
      <c r="O13" s="364">
        <f>1</f>
        <v>1</v>
      </c>
      <c r="P13" s="372">
        <f>IF($C13="","",O13*VLOOKUP($C13,ATELIER!$A$2:$F$109,4,0))</f>
        <v>0.08</v>
      </c>
      <c r="Q13" s="364">
        <f>1</f>
        <v>1</v>
      </c>
      <c r="R13" s="372">
        <f>IF($C13="","",Q13*VLOOKUP($C13,ATELIER!$A$2:$F$109,4,0))</f>
        <v>0.08</v>
      </c>
      <c r="S13" s="364">
        <f>1</f>
        <v>1</v>
      </c>
      <c r="T13" s="372">
        <f>IF($C13="","",S13*VLOOKUP($C13,ATELIER!$A$2:$F$109,4,0))</f>
        <v>0.08</v>
      </c>
      <c r="U13" s="364">
        <f>1</f>
        <v>1</v>
      </c>
      <c r="V13" s="372">
        <f>IF($C13="","",U13*VLOOKUP($C13,ATELIER!$A$2:$F$109,4,0))</f>
        <v>0.08</v>
      </c>
      <c r="W13" s="364">
        <f>1</f>
        <v>1</v>
      </c>
      <c r="X13" s="372">
        <f>IF($C13="","",W13*VLOOKUP($C13,ATELIER!$A$2:$F$109,4,0))</f>
        <v>0.08</v>
      </c>
      <c r="Y13" s="364">
        <f>1</f>
        <v>1</v>
      </c>
      <c r="Z13" s="372">
        <f>IF($C13="","",Y13*VLOOKUP($C13,ATELIER!$A$2:$F$109,4,0))</f>
        <v>0.08</v>
      </c>
      <c r="AA13" s="364">
        <f>1</f>
        <v>1</v>
      </c>
      <c r="AB13" s="372">
        <f>IF($C13="","",AA13*VLOOKUP($C13,ATELIER!$A$2:$F$109,4,0))</f>
        <v>0.08</v>
      </c>
      <c r="AC13" s="364">
        <f>1</f>
        <v>1</v>
      </c>
      <c r="AD13" s="372">
        <f>IF($C13="","",AC13*VLOOKUP($C13,ATELIER!$A$2:$F$109,4,0))</f>
        <v>0.08</v>
      </c>
      <c r="AE13" s="364">
        <f>1</f>
        <v>1</v>
      </c>
      <c r="AF13" s="372">
        <f>IF($C13="","",AE13*VLOOKUP($C13,ATELIER!$A$2:$F$109,4,0))</f>
        <v>0.08</v>
      </c>
      <c r="AG13" s="364">
        <f>1</f>
        <v>1</v>
      </c>
      <c r="AH13" s="372">
        <f>IF($C13="","",AG13*VLOOKUP($C13,ATELIER!$A$2:$F$109,4,0))</f>
        <v>0.08</v>
      </c>
      <c r="AI13" s="364">
        <f>1</f>
        <v>1</v>
      </c>
      <c r="AJ13" s="372">
        <f>IF($C13="","",AI13*VLOOKUP($C13,ATELIER!$A$2:$F$109,4,0))</f>
        <v>0.08</v>
      </c>
      <c r="AK13" s="364">
        <f>1</f>
        <v>1</v>
      </c>
      <c r="AL13" s="372">
        <f>IF($C13="","",AK13*VLOOKUP($C13,ATELIER!$A$2:$F$109,4,0))</f>
        <v>0.08</v>
      </c>
      <c r="AM13" s="364">
        <f>1</f>
        <v>1</v>
      </c>
      <c r="AN13" s="372">
        <f>IF($C13="","",AM13*VLOOKUP($C13,ATELIER!$A$2:$F$109,4,0))</f>
        <v>0.08</v>
      </c>
    </row>
    <row r="14" spans="1:40" ht="35.25" customHeight="1" x14ac:dyDescent="0.2">
      <c r="A14" s="1624"/>
      <c r="B14" s="375" t="s">
        <v>449</v>
      </c>
      <c r="C14" s="376" t="s">
        <v>450</v>
      </c>
      <c r="D14" s="377" t="s">
        <v>451</v>
      </c>
      <c r="E14" s="376">
        <f>F14*Simulation!$P$8</f>
        <v>154.15199999999999</v>
      </c>
      <c r="F14" s="377">
        <f>SUM(F11:F13)</f>
        <v>3.4255999999999998</v>
      </c>
      <c r="G14" s="376">
        <f>H14*Simulation!$P$8</f>
        <v>187.20000000000002</v>
      </c>
      <c r="H14" s="377">
        <f>SUM(H11:H13)</f>
        <v>4.16</v>
      </c>
      <c r="I14" s="376">
        <f>J14*Simulation!$P$8</f>
        <v>223.92</v>
      </c>
      <c r="J14" s="377">
        <f>SUM(J11:J13)</f>
        <v>4.976</v>
      </c>
      <c r="K14" s="376">
        <f>L14*Simulation!$P$8</f>
        <v>242.28000000000003</v>
      </c>
      <c r="L14" s="377">
        <f>SUM(L11:L13)</f>
        <v>5.3840000000000003</v>
      </c>
      <c r="M14" s="376">
        <f>N14*Simulation!$P$8</f>
        <v>260.64</v>
      </c>
      <c r="N14" s="377">
        <f>SUM(N11:N13)</f>
        <v>5.7919999999999998</v>
      </c>
      <c r="O14" s="376">
        <f>P14*Simulation!$P$8</f>
        <v>279</v>
      </c>
      <c r="P14" s="377">
        <f>SUM(P11:P13)</f>
        <v>6.2</v>
      </c>
      <c r="Q14" s="376">
        <f>R14*Simulation!$P$8</f>
        <v>297.36</v>
      </c>
      <c r="R14" s="377">
        <f>SUM(R11:R13)</f>
        <v>6.6080000000000005</v>
      </c>
      <c r="S14" s="376">
        <f>T14*Simulation!$P$8</f>
        <v>315.72000000000003</v>
      </c>
      <c r="T14" s="377">
        <f>SUM(T11:T13)</f>
        <v>7.016</v>
      </c>
      <c r="U14" s="376">
        <f>V14*Simulation!$P$8</f>
        <v>334.08</v>
      </c>
      <c r="V14" s="377">
        <f>SUM(V11:V13)</f>
        <v>7.4239999999999995</v>
      </c>
      <c r="W14" s="376">
        <f>X14*Simulation!$P$8</f>
        <v>370.8</v>
      </c>
      <c r="X14" s="377">
        <f>SUM(X11:X13)</f>
        <v>8.24</v>
      </c>
      <c r="Y14" s="376">
        <f>Z14*Simulation!$P$8</f>
        <v>407.52</v>
      </c>
      <c r="Z14" s="377">
        <f>SUM(Z11:Z13)</f>
        <v>9.0559999999999992</v>
      </c>
      <c r="AA14" s="376">
        <f>AB14*Simulation!$P$8</f>
        <v>425.88</v>
      </c>
      <c r="AB14" s="377">
        <f>SUM(AB11:AB13)</f>
        <v>9.4640000000000004</v>
      </c>
      <c r="AC14" s="376">
        <f>AD14*Simulation!$P$8</f>
        <v>407.52</v>
      </c>
      <c r="AD14" s="377">
        <f>SUM(AD11:AD13)</f>
        <v>9.0559999999999992</v>
      </c>
      <c r="AE14" s="376">
        <f>AF14*Simulation!$P$8</f>
        <v>444.24</v>
      </c>
      <c r="AF14" s="377">
        <f>SUM(AF11:AF13)</f>
        <v>9.8719999999999999</v>
      </c>
      <c r="AG14" s="376">
        <f>AH14*Simulation!$P$8</f>
        <v>462.59999999999997</v>
      </c>
      <c r="AH14" s="377">
        <f>SUM(AH11:AH13)</f>
        <v>10.28</v>
      </c>
      <c r="AI14" s="376">
        <f>AJ14*Simulation!$P$8</f>
        <v>480.96000000000004</v>
      </c>
      <c r="AJ14" s="377">
        <f>SUM(AJ11:AJ13)</f>
        <v>10.688000000000001</v>
      </c>
      <c r="AK14" s="376">
        <f>AL14*Simulation!$P$8</f>
        <v>517.67999999999995</v>
      </c>
      <c r="AL14" s="377">
        <f>SUM(AL11:AL13)</f>
        <v>11.504</v>
      </c>
      <c r="AM14" s="376">
        <f>AN14*Simulation!$P$8</f>
        <v>480.96000000000004</v>
      </c>
      <c r="AN14" s="377">
        <f>SUM(AN11:AN13)</f>
        <v>10.688000000000001</v>
      </c>
    </row>
    <row r="15" spans="1:40" ht="15" customHeight="1" x14ac:dyDescent="0.2">
      <c r="A15" s="1632" t="s">
        <v>452</v>
      </c>
      <c r="B15" s="361" t="s">
        <v>1160</v>
      </c>
      <c r="C15" s="378" t="s">
        <v>386</v>
      </c>
      <c r="D15" s="363" t="str">
        <f>IF(C15="","",VLOOKUP($C15,CHANTIER!$A$2:$C$83,3,0))</f>
        <v>ml</v>
      </c>
      <c r="E15" s="364">
        <f>'Outils de calculs'!E26</f>
        <v>8.1999999999999993</v>
      </c>
      <c r="F15" s="372">
        <f>IF($C15="","",E15*VLOOKUP($C15,CHANTIER!$A$2:$D$83,4,0))</f>
        <v>0.65599999999999992</v>
      </c>
      <c r="G15" s="364">
        <f>'Outils de calculs'!G26</f>
        <v>10</v>
      </c>
      <c r="H15" s="372">
        <f>IF($C15="","",G15*VLOOKUP($C15,CHANTIER!$A$2:$D$83,4,0))</f>
        <v>0.8</v>
      </c>
      <c r="I15" s="364">
        <f>'Outils de calculs'!I26</f>
        <v>12</v>
      </c>
      <c r="J15" s="372">
        <f>IF($C15="","",I15*VLOOKUP($C15,CHANTIER!$A$2:$D$83,4,0))</f>
        <v>0.96</v>
      </c>
      <c r="K15" s="364">
        <f>'Outils de calculs'!K26</f>
        <v>13</v>
      </c>
      <c r="L15" s="372">
        <f>IF($C15="","",K15*VLOOKUP($C15,CHANTIER!$A$2:$D$83,4,0))</f>
        <v>1.04</v>
      </c>
      <c r="M15" s="364">
        <f>'Outils de calculs'!M26</f>
        <v>14</v>
      </c>
      <c r="N15" s="372">
        <f>IF($C15="","",M15*VLOOKUP($C15,CHANTIER!$A$2:$D$83,4,0))</f>
        <v>1.1200000000000001</v>
      </c>
      <c r="O15" s="364">
        <f>'Outils de calculs'!O26</f>
        <v>15</v>
      </c>
      <c r="P15" s="372">
        <f>IF($C15="","",O15*VLOOKUP($C15,CHANTIER!$A$2:$D$83,4,0))</f>
        <v>1.2</v>
      </c>
      <c r="Q15" s="364">
        <f>'Outils de calculs'!Q26</f>
        <v>16</v>
      </c>
      <c r="R15" s="372">
        <f>IF($C15="","",Q15*VLOOKUP($C15,CHANTIER!$A$2:$D$83,4,0))</f>
        <v>1.28</v>
      </c>
      <c r="S15" s="364">
        <f>'Outils de calculs'!S26</f>
        <v>17</v>
      </c>
      <c r="T15" s="372">
        <f>IF($C15="","",S15*VLOOKUP($C15,CHANTIER!$A$2:$D$83,4,0))</f>
        <v>1.36</v>
      </c>
      <c r="U15" s="364">
        <f>'Outils de calculs'!U26</f>
        <v>18</v>
      </c>
      <c r="V15" s="372">
        <f>IF($C15="","",U15*VLOOKUP($C15,CHANTIER!$A$2:$D$83,4,0))</f>
        <v>1.44</v>
      </c>
      <c r="W15" s="364">
        <f>'Outils de calculs'!W26</f>
        <v>20</v>
      </c>
      <c r="X15" s="372">
        <f>IF($C15="","",W15*VLOOKUP($C15,CHANTIER!$A$2:$D$83,4,0))</f>
        <v>1.6</v>
      </c>
      <c r="Y15" s="364">
        <f>'Outils de calculs'!Y26</f>
        <v>22</v>
      </c>
      <c r="Z15" s="372">
        <f>IF($C15="","",Y15*VLOOKUP($C15,CHANTIER!$A$2:$D$83,4,0))</f>
        <v>1.76</v>
      </c>
      <c r="AA15" s="364">
        <f>'Outils de calculs'!AA26</f>
        <v>23</v>
      </c>
      <c r="AB15" s="372">
        <f>IF($C15="","",AA15*VLOOKUP($C15,CHANTIER!$A$2:$D$83,4,0))</f>
        <v>1.84</v>
      </c>
      <c r="AC15" s="364">
        <f>'Outils de calculs'!AC26</f>
        <v>22</v>
      </c>
      <c r="AD15" s="372">
        <f>IF($C15="","",AC15*VLOOKUP($C15,CHANTIER!$A$2:$D$83,4,0))</f>
        <v>1.76</v>
      </c>
      <c r="AE15" s="364">
        <f>'Outils de calculs'!AE26</f>
        <v>24</v>
      </c>
      <c r="AF15" s="372">
        <f>IF($C15="","",AE15*VLOOKUP($C15,CHANTIER!$A$2:$D$83,4,0))</f>
        <v>1.92</v>
      </c>
      <c r="AG15" s="364">
        <f>'Outils de calculs'!AG26</f>
        <v>25</v>
      </c>
      <c r="AH15" s="372">
        <f>IF($C15="","",AG15*VLOOKUP($C15,CHANTIER!$A$2:$D$83,4,0))</f>
        <v>2</v>
      </c>
      <c r="AI15" s="364">
        <f>'Outils de calculs'!AI26</f>
        <v>26</v>
      </c>
      <c r="AJ15" s="372">
        <f>IF($C15="","",AI15*VLOOKUP($C15,CHANTIER!$A$2:$D$83,4,0))</f>
        <v>2.08</v>
      </c>
      <c r="AK15" s="364">
        <f>'Outils de calculs'!AK26</f>
        <v>28</v>
      </c>
      <c r="AL15" s="372">
        <f>IF($C15="","",AK15*VLOOKUP($C15,CHANTIER!$A$2:$D$83,4,0))</f>
        <v>2.2400000000000002</v>
      </c>
      <c r="AM15" s="364">
        <f>'Outils de calculs'!AM26</f>
        <v>26</v>
      </c>
      <c r="AN15" s="372">
        <f>IF($C15="","",AM15*VLOOKUP($C15,CHANTIER!$A$2:$D$83,4,0))</f>
        <v>2.08</v>
      </c>
    </row>
    <row r="16" spans="1:40" ht="15" customHeight="1" x14ac:dyDescent="0.2">
      <c r="A16" s="1632"/>
      <c r="B16" s="361" t="s">
        <v>1160</v>
      </c>
      <c r="C16" s="378" t="s">
        <v>1053</v>
      </c>
      <c r="D16" s="363" t="str">
        <f>IF(C16="","",VLOOKUP($C16,CHANTIER!$A$2:$C$83,3,0))</f>
        <v>ml</v>
      </c>
      <c r="E16" s="364">
        <f>'Outils de calculs'!E26</f>
        <v>8.1999999999999993</v>
      </c>
      <c r="F16" s="372">
        <f>IF($C16="","",E16*VLOOKUP($C16,CHANTIER!$A$2:$D$83,4,0))</f>
        <v>1.64</v>
      </c>
      <c r="G16" s="364">
        <f>'Outils de calculs'!G26</f>
        <v>10</v>
      </c>
      <c r="H16" s="372">
        <f>IF($C16="","",G16*VLOOKUP($C16,CHANTIER!$A$2:$D$83,4,0))</f>
        <v>2</v>
      </c>
      <c r="I16" s="364">
        <f>'Outils de calculs'!I26</f>
        <v>12</v>
      </c>
      <c r="J16" s="372">
        <f>IF($C16="","",I16*VLOOKUP($C16,CHANTIER!$A$2:$D$83,4,0))</f>
        <v>2.4000000000000004</v>
      </c>
      <c r="K16" s="364">
        <f>'Outils de calculs'!K26</f>
        <v>13</v>
      </c>
      <c r="L16" s="372">
        <f>IF($C16="","",K16*VLOOKUP($C16,CHANTIER!$A$2:$D$83,4,0))</f>
        <v>2.6</v>
      </c>
      <c r="M16" s="364">
        <f>'Outils de calculs'!M26</f>
        <v>14</v>
      </c>
      <c r="N16" s="372">
        <f>IF($C16="","",M16*VLOOKUP($C16,CHANTIER!$A$2:$D$83,4,0))</f>
        <v>2.8000000000000003</v>
      </c>
      <c r="O16" s="364">
        <f>'Outils de calculs'!O26</f>
        <v>15</v>
      </c>
      <c r="P16" s="372">
        <f>IF($C16="","",O16*VLOOKUP($C16,CHANTIER!$A$2:$D$83,4,0))</f>
        <v>3</v>
      </c>
      <c r="Q16" s="364">
        <f>'Outils de calculs'!Q26</f>
        <v>16</v>
      </c>
      <c r="R16" s="372">
        <f>IF($C16="","",Q16*VLOOKUP($C16,CHANTIER!$A$2:$D$83,4,0))</f>
        <v>3.2</v>
      </c>
      <c r="S16" s="364">
        <f>'Outils de calculs'!S26</f>
        <v>17</v>
      </c>
      <c r="T16" s="372">
        <f>IF($C16="","",S16*VLOOKUP($C16,CHANTIER!$A$2:$D$83,4,0))</f>
        <v>3.4000000000000004</v>
      </c>
      <c r="U16" s="364">
        <f>'Outils de calculs'!U26</f>
        <v>18</v>
      </c>
      <c r="V16" s="372">
        <f>IF($C16="","",U16*VLOOKUP($C16,CHANTIER!$A$2:$D$83,4,0))</f>
        <v>3.6</v>
      </c>
      <c r="W16" s="364">
        <f>'Outils de calculs'!W26</f>
        <v>20</v>
      </c>
      <c r="X16" s="372">
        <f>IF($C16="","",W16*VLOOKUP($C16,CHANTIER!$A$2:$D$83,4,0))</f>
        <v>4</v>
      </c>
      <c r="Y16" s="364">
        <f>'Outils de calculs'!Y26</f>
        <v>22</v>
      </c>
      <c r="Z16" s="372">
        <f>IF($C16="","",Y16*VLOOKUP($C16,CHANTIER!$A$2:$D$83,4,0))</f>
        <v>4.4000000000000004</v>
      </c>
      <c r="AA16" s="364">
        <f>'Outils de calculs'!AA26</f>
        <v>23</v>
      </c>
      <c r="AB16" s="372">
        <f>IF($C16="","",AA16*VLOOKUP($C16,CHANTIER!$A$2:$D$83,4,0))</f>
        <v>4.6000000000000005</v>
      </c>
      <c r="AC16" s="364">
        <f>'Outils de calculs'!AC26</f>
        <v>22</v>
      </c>
      <c r="AD16" s="372">
        <f>IF($C16="","",AC16*VLOOKUP($C16,CHANTIER!$A$2:$D$83,4,0))</f>
        <v>4.4000000000000004</v>
      </c>
      <c r="AE16" s="364">
        <f>'Outils de calculs'!AE26</f>
        <v>24</v>
      </c>
      <c r="AF16" s="372">
        <f>IF($C16="","",AE16*VLOOKUP($C16,CHANTIER!$A$2:$D$83,4,0))</f>
        <v>4.8000000000000007</v>
      </c>
      <c r="AG16" s="364">
        <f>'Outils de calculs'!AG26</f>
        <v>25</v>
      </c>
      <c r="AH16" s="372">
        <f>IF($C16="","",AG16*VLOOKUP($C16,CHANTIER!$A$2:$D$83,4,0))</f>
        <v>5</v>
      </c>
      <c r="AI16" s="364">
        <f>'Outils de calculs'!AI26</f>
        <v>26</v>
      </c>
      <c r="AJ16" s="372">
        <f>IF($C16="","",AI16*VLOOKUP($C16,CHANTIER!$A$2:$D$83,4,0))</f>
        <v>5.2</v>
      </c>
      <c r="AK16" s="364">
        <f>'Outils de calculs'!AK26</f>
        <v>28</v>
      </c>
      <c r="AL16" s="372">
        <f>IF($C16="","",AK16*VLOOKUP($C16,CHANTIER!$A$2:$D$83,4,0))</f>
        <v>5.6000000000000005</v>
      </c>
      <c r="AM16" s="364">
        <f>'Outils de calculs'!AM26</f>
        <v>26</v>
      </c>
      <c r="AN16" s="372">
        <f>IF($C16="","",AM16*VLOOKUP($C16,CHANTIER!$A$2:$D$83,4,0))</f>
        <v>5.2</v>
      </c>
    </row>
    <row r="17" spans="1:40" ht="15" customHeight="1" x14ac:dyDescent="0.2">
      <c r="A17" s="1633"/>
      <c r="B17" s="361" t="s">
        <v>1160</v>
      </c>
      <c r="C17" s="378" t="s">
        <v>1254</v>
      </c>
      <c r="D17" s="363" t="str">
        <f>IF(C17="","",VLOOKUP($C17,CHANTIER!$A$2:$C$83,3,0))</f>
        <v>ml</v>
      </c>
      <c r="E17" s="364">
        <f>'Outils de calculs'!E26+0.3</f>
        <v>8.5</v>
      </c>
      <c r="F17" s="372">
        <f>IF($C17="","",E17*VLOOKUP($C17,CHANTIER!$A$2:$D$83,4,0))</f>
        <v>0.42500000000000004</v>
      </c>
      <c r="G17" s="364">
        <f>'Outils de calculs'!G26+0.3</f>
        <v>10.3</v>
      </c>
      <c r="H17" s="372">
        <f>IF($C17="","",G17*VLOOKUP($C17,CHANTIER!$A$2:$D$83,4,0))</f>
        <v>0.51500000000000001</v>
      </c>
      <c r="I17" s="364">
        <f>'Outils de calculs'!I26+0.3</f>
        <v>12.3</v>
      </c>
      <c r="J17" s="372">
        <f>IF($C17="","",I17*VLOOKUP($C17,CHANTIER!$A$2:$D$83,4,0))</f>
        <v>0.6150000000000001</v>
      </c>
      <c r="K17" s="364">
        <f>'Outils de calculs'!K26+0.3</f>
        <v>13.3</v>
      </c>
      <c r="L17" s="372">
        <f>IF($C17="","",K17*VLOOKUP($C17,CHANTIER!$A$2:$D$83,4,0))</f>
        <v>0.66500000000000004</v>
      </c>
      <c r="M17" s="364">
        <f>'Outils de calculs'!M26+0.3</f>
        <v>14.3</v>
      </c>
      <c r="N17" s="372">
        <f>IF($C17="","",M17*VLOOKUP($C17,CHANTIER!$A$2:$D$83,4,0))</f>
        <v>0.71500000000000008</v>
      </c>
      <c r="O17" s="364">
        <f>'Outils de calculs'!O26+0.3</f>
        <v>15.3</v>
      </c>
      <c r="P17" s="372">
        <f>IF($C17="","",O17*VLOOKUP($C17,CHANTIER!$A$2:$D$83,4,0))</f>
        <v>0.76500000000000012</v>
      </c>
      <c r="Q17" s="364">
        <f>'Outils de calculs'!Q26+0.3</f>
        <v>16.3</v>
      </c>
      <c r="R17" s="372">
        <f>IF($C17="","",Q17*VLOOKUP($C17,CHANTIER!$A$2:$D$83,4,0))</f>
        <v>0.81500000000000006</v>
      </c>
      <c r="S17" s="364">
        <f>'Outils de calculs'!S26+0.3</f>
        <v>17.3</v>
      </c>
      <c r="T17" s="372">
        <f>IF($C17="","",S17*VLOOKUP($C17,CHANTIER!$A$2:$D$83,4,0))</f>
        <v>0.8650000000000001</v>
      </c>
      <c r="U17" s="364">
        <f>'Outils de calculs'!U26+0.3</f>
        <v>18.3</v>
      </c>
      <c r="V17" s="372">
        <f>IF($C17="","",U17*VLOOKUP($C17,CHANTIER!$A$2:$D$83,4,0))</f>
        <v>0.91500000000000004</v>
      </c>
      <c r="W17" s="364">
        <f>'Outils de calculs'!W26+0.3</f>
        <v>20.3</v>
      </c>
      <c r="X17" s="372">
        <f>IF($C17="","",W17*VLOOKUP($C17,CHANTIER!$A$2:$D$83,4,0))</f>
        <v>1.0150000000000001</v>
      </c>
      <c r="Y17" s="364">
        <f>'Outils de calculs'!Y26+0.3</f>
        <v>22.3</v>
      </c>
      <c r="Z17" s="372">
        <f>IF($C17="","",Y17*VLOOKUP($C17,CHANTIER!$A$2:$D$83,4,0))</f>
        <v>1.115</v>
      </c>
      <c r="AA17" s="364">
        <f>'Outils de calculs'!AA26+0.3</f>
        <v>23.3</v>
      </c>
      <c r="AB17" s="372">
        <f>IF($C17="","",AA17*VLOOKUP($C17,CHANTIER!$A$2:$D$83,4,0))</f>
        <v>1.165</v>
      </c>
      <c r="AC17" s="364">
        <f>'Outils de calculs'!AC26+0.3</f>
        <v>22.3</v>
      </c>
      <c r="AD17" s="372">
        <f>IF($C17="","",AC17*VLOOKUP($C17,CHANTIER!$A$2:$D$83,4,0))</f>
        <v>1.115</v>
      </c>
      <c r="AE17" s="364">
        <f>'Outils de calculs'!AE26+0.3</f>
        <v>24.3</v>
      </c>
      <c r="AF17" s="372">
        <f>IF($C17="","",AE17*VLOOKUP($C17,CHANTIER!$A$2:$D$83,4,0))</f>
        <v>1.2150000000000001</v>
      </c>
      <c r="AG17" s="364">
        <f>'Outils de calculs'!AG26+0.3</f>
        <v>25.3</v>
      </c>
      <c r="AH17" s="372">
        <f>IF($C17="","",AG17*VLOOKUP($C17,CHANTIER!$A$2:$D$83,4,0))</f>
        <v>1.2650000000000001</v>
      </c>
      <c r="AI17" s="364">
        <f>'Outils de calculs'!AI26+0.3</f>
        <v>26.3</v>
      </c>
      <c r="AJ17" s="372">
        <f>IF($C17="","",AI17*VLOOKUP($C17,CHANTIER!$A$2:$D$83,4,0))</f>
        <v>1.3150000000000002</v>
      </c>
      <c r="AK17" s="364">
        <f>'Outils de calculs'!AK26+0.3</f>
        <v>28.3</v>
      </c>
      <c r="AL17" s="372">
        <f>IF($C17="","",AK17*VLOOKUP($C17,CHANTIER!$A$2:$D$83,4,0))</f>
        <v>1.415</v>
      </c>
      <c r="AM17" s="364">
        <f>'Outils de calculs'!AM26+0.3</f>
        <v>26.3</v>
      </c>
      <c r="AN17" s="372">
        <f>IF($C17="","",AM17*VLOOKUP($C17,CHANTIER!$A$2:$D$83,4,0))</f>
        <v>1.3150000000000002</v>
      </c>
    </row>
    <row r="18" spans="1:40" ht="15" customHeight="1" x14ac:dyDescent="0.2">
      <c r="A18" s="1632"/>
      <c r="B18" s="361" t="s">
        <v>1160</v>
      </c>
      <c r="C18" s="378" t="s">
        <v>1052</v>
      </c>
      <c r="D18" s="363" t="str">
        <f>IF(C18="","",VLOOKUP($C18,CHANTIER!$A$2:$C$83,3,0))</f>
        <v>pc</v>
      </c>
      <c r="E18" s="364">
        <f>'Outils de calculs'!E26*1.8/4</f>
        <v>3.69</v>
      </c>
      <c r="F18" s="372">
        <f>IF($C18="","",E18*VLOOKUP($C18,CHANTIER!$A$2:$D$83,4,0))</f>
        <v>2.952</v>
      </c>
      <c r="G18" s="364">
        <f>'Outils de calculs'!G26*1.8/4</f>
        <v>4.5</v>
      </c>
      <c r="H18" s="372">
        <f>IF($C18="","",G18*VLOOKUP($C18,CHANTIER!$A$2:$D$83,4,0))</f>
        <v>3.6</v>
      </c>
      <c r="I18" s="364">
        <f>'Outils de calculs'!I26*1.8/4</f>
        <v>5.4</v>
      </c>
      <c r="J18" s="372">
        <f>IF($C18="","",I18*VLOOKUP($C18,CHANTIER!$A$2:$D$83,4,0))</f>
        <v>4.32</v>
      </c>
      <c r="K18" s="364">
        <f>'Outils de calculs'!K26*1.8/4</f>
        <v>5.8500000000000005</v>
      </c>
      <c r="L18" s="372">
        <f>IF($C18="","",K18*VLOOKUP($C18,CHANTIER!$A$2:$D$83,4,0))</f>
        <v>4.6800000000000006</v>
      </c>
      <c r="M18" s="364">
        <f>'Outils de calculs'!M26*1.8/4</f>
        <v>6.3</v>
      </c>
      <c r="N18" s="372">
        <f>IF($C18="","",M18*VLOOKUP($C18,CHANTIER!$A$2:$D$83,4,0))</f>
        <v>5.04</v>
      </c>
      <c r="O18" s="364">
        <f>'Outils de calculs'!O26*1.8/4</f>
        <v>6.75</v>
      </c>
      <c r="P18" s="372">
        <f>IF($C18="","",O18*VLOOKUP($C18,CHANTIER!$A$2:$D$83,4,0))</f>
        <v>5.4</v>
      </c>
      <c r="Q18" s="364">
        <f>'Outils de calculs'!Q26*1.8/4</f>
        <v>7.2</v>
      </c>
      <c r="R18" s="372">
        <f>IF($C18="","",Q18*VLOOKUP($C18,CHANTIER!$A$2:$D$83,4,0))</f>
        <v>5.7600000000000007</v>
      </c>
      <c r="S18" s="364">
        <f>'Outils de calculs'!S26*1.8/4</f>
        <v>7.65</v>
      </c>
      <c r="T18" s="372">
        <f>IF($C18="","",S18*VLOOKUP($C18,CHANTIER!$A$2:$D$83,4,0))</f>
        <v>6.120000000000001</v>
      </c>
      <c r="U18" s="364">
        <f>'Outils de calculs'!U26*1.8/4</f>
        <v>8.1</v>
      </c>
      <c r="V18" s="372">
        <f>IF($C18="","",U18*VLOOKUP($C18,CHANTIER!$A$2:$D$83,4,0))</f>
        <v>6.48</v>
      </c>
      <c r="W18" s="364">
        <f>'Outils de calculs'!W26*1.8/4</f>
        <v>9</v>
      </c>
      <c r="X18" s="372">
        <f>IF($C18="","",W18*VLOOKUP($C18,CHANTIER!$A$2:$D$83,4,0))</f>
        <v>7.2</v>
      </c>
      <c r="Y18" s="364">
        <f>'Outils de calculs'!Y26*1.8/4</f>
        <v>9.9</v>
      </c>
      <c r="Z18" s="372">
        <f>IF($C18="","",Y18*VLOOKUP($C18,CHANTIER!$A$2:$D$83,4,0))</f>
        <v>7.9200000000000008</v>
      </c>
      <c r="AA18" s="364">
        <f>'Outils de calculs'!AA26*1.8/4</f>
        <v>10.35</v>
      </c>
      <c r="AB18" s="372">
        <f>IF($C18="","",AA18*VLOOKUP($C18,CHANTIER!$A$2:$D$83,4,0))</f>
        <v>8.2799999999999994</v>
      </c>
      <c r="AC18" s="364">
        <f>'Outils de calculs'!AC26*1.8/4</f>
        <v>9.9</v>
      </c>
      <c r="AD18" s="372">
        <f>IF($C18="","",AC18*VLOOKUP($C18,CHANTIER!$A$2:$D$83,4,0))</f>
        <v>7.9200000000000008</v>
      </c>
      <c r="AE18" s="364">
        <f>'Outils de calculs'!AE26*1.8/4</f>
        <v>10.8</v>
      </c>
      <c r="AF18" s="372">
        <f>IF($C18="","",AE18*VLOOKUP($C18,CHANTIER!$A$2:$D$83,4,0))</f>
        <v>8.64</v>
      </c>
      <c r="AG18" s="364">
        <f>'Outils de calculs'!AG26*1.8/4</f>
        <v>11.25</v>
      </c>
      <c r="AH18" s="372">
        <f>IF($C18="","",AG18*VLOOKUP($C18,CHANTIER!$A$2:$D$83,4,0))</f>
        <v>9</v>
      </c>
      <c r="AI18" s="364">
        <f>'Outils de calculs'!AI26*1.8/4</f>
        <v>11.700000000000001</v>
      </c>
      <c r="AJ18" s="372">
        <f>IF($C18="","",AI18*VLOOKUP($C18,CHANTIER!$A$2:$D$83,4,0))</f>
        <v>9.3600000000000012</v>
      </c>
      <c r="AK18" s="364">
        <f>'Outils de calculs'!AK26*1.8/4</f>
        <v>12.6</v>
      </c>
      <c r="AL18" s="372">
        <f>IF($C18="","",AK18*VLOOKUP($C18,CHANTIER!$A$2:$D$83,4,0))</f>
        <v>10.08</v>
      </c>
      <c r="AM18" s="364">
        <f>'Outils de calculs'!AM26*1.8/4</f>
        <v>11.700000000000001</v>
      </c>
      <c r="AN18" s="372">
        <f>IF($C18="","",AM18*VLOOKUP($C18,CHANTIER!$A$2:$D$83,4,0))</f>
        <v>9.3600000000000012</v>
      </c>
    </row>
    <row r="19" spans="1:40" ht="15" customHeight="1" x14ac:dyDescent="0.2">
      <c r="A19" s="1632"/>
      <c r="B19" s="361" t="s">
        <v>1160</v>
      </c>
      <c r="C19" s="378" t="s">
        <v>1050</v>
      </c>
      <c r="D19" s="363" t="str">
        <f>IF(C19="","",VLOOKUP($C19,CHANTIER!$A$2:$C$83,3,0))</f>
        <v>ml</v>
      </c>
      <c r="E19" s="364">
        <f>7*'Outils de calculs'!E26*1.1</f>
        <v>63.139999999999993</v>
      </c>
      <c r="F19" s="372">
        <f>IF($C19="","",E19*VLOOKUP($C19,CHANTIER!$A$2:$D$83,4,0))</f>
        <v>3.157</v>
      </c>
      <c r="G19" s="364">
        <f>7*'Outils de calculs'!G26*1.1</f>
        <v>77</v>
      </c>
      <c r="H19" s="372">
        <f>IF($C19="","",G19*VLOOKUP($C19,CHANTIER!$A$2:$D$83,4,0))</f>
        <v>3.85</v>
      </c>
      <c r="I19" s="364">
        <f>7*'Outils de calculs'!I26*1.1</f>
        <v>92.4</v>
      </c>
      <c r="J19" s="372">
        <f>IF($C19="","",I19*VLOOKUP($C19,CHANTIER!$A$2:$D$83,4,0))</f>
        <v>4.62</v>
      </c>
      <c r="K19" s="364">
        <f>7*'Outils de calculs'!K26*1.1</f>
        <v>100.10000000000001</v>
      </c>
      <c r="L19" s="372">
        <f>IF($C19="","",K19*VLOOKUP($C19,CHANTIER!$A$2:$D$83,4,0))</f>
        <v>5.0050000000000008</v>
      </c>
      <c r="M19" s="364">
        <f>7*'Outils de calculs'!M26*1.1</f>
        <v>107.80000000000001</v>
      </c>
      <c r="N19" s="372">
        <f>IF($C19="","",M19*VLOOKUP($C19,CHANTIER!$A$2:$D$83,4,0))</f>
        <v>5.3900000000000006</v>
      </c>
      <c r="O19" s="364">
        <f>7*'Outils de calculs'!O26*1.1</f>
        <v>115.50000000000001</v>
      </c>
      <c r="P19" s="372">
        <f>IF($C19="","",O19*VLOOKUP($C19,CHANTIER!$A$2:$D$83,4,0))</f>
        <v>5.7750000000000012</v>
      </c>
      <c r="Q19" s="364">
        <f>7*'Outils de calculs'!Q26*1.1</f>
        <v>123.20000000000002</v>
      </c>
      <c r="R19" s="372">
        <f>IF($C19="","",Q19*VLOOKUP($C19,CHANTIER!$A$2:$D$83,4,0))</f>
        <v>6.160000000000001</v>
      </c>
      <c r="S19" s="364">
        <f>7*'Outils de calculs'!S26*1.1</f>
        <v>130.9</v>
      </c>
      <c r="T19" s="372">
        <f>IF($C19="","",S19*VLOOKUP($C19,CHANTIER!$A$2:$D$83,4,0))</f>
        <v>6.5450000000000008</v>
      </c>
      <c r="U19" s="364">
        <f>7*'Outils de calculs'!U26*1.1</f>
        <v>138.60000000000002</v>
      </c>
      <c r="V19" s="372">
        <f>IF($C19="","",U19*VLOOKUP($C19,CHANTIER!$A$2:$D$83,4,0))</f>
        <v>6.9300000000000015</v>
      </c>
      <c r="W19" s="364">
        <f>7*'Outils de calculs'!W26*1.1</f>
        <v>154</v>
      </c>
      <c r="X19" s="372">
        <f>IF($C19="","",W19*VLOOKUP($C19,CHANTIER!$A$2:$D$83,4,0))</f>
        <v>7.7</v>
      </c>
      <c r="Y19" s="364">
        <f>7*'Outils de calculs'!Y26*1.1</f>
        <v>169.4</v>
      </c>
      <c r="Z19" s="372">
        <f>IF($C19="","",Y19*VLOOKUP($C19,CHANTIER!$A$2:$D$83,4,0))</f>
        <v>8.4700000000000006</v>
      </c>
      <c r="AA19" s="364">
        <f>7*'Outils de calculs'!AA26*1.1</f>
        <v>177.10000000000002</v>
      </c>
      <c r="AB19" s="372">
        <f>IF($C19="","",AA19*VLOOKUP($C19,CHANTIER!$A$2:$D$83,4,0))</f>
        <v>8.8550000000000022</v>
      </c>
      <c r="AC19" s="364">
        <f>7*'Outils de calculs'!AC26*1.1</f>
        <v>169.4</v>
      </c>
      <c r="AD19" s="372">
        <f>IF($C19="","",AC19*VLOOKUP($C19,CHANTIER!$A$2:$D$83,4,0))</f>
        <v>8.4700000000000006</v>
      </c>
      <c r="AE19" s="364">
        <f>7*'Outils de calculs'!AE26*1.1</f>
        <v>184.8</v>
      </c>
      <c r="AF19" s="372">
        <f>IF($C19="","",AE19*VLOOKUP($C19,CHANTIER!$A$2:$D$83,4,0))</f>
        <v>9.24</v>
      </c>
      <c r="AG19" s="364">
        <f>7*'Outils de calculs'!AG26*1.1</f>
        <v>192.50000000000003</v>
      </c>
      <c r="AH19" s="372">
        <f>IF($C19="","",AG19*VLOOKUP($C19,CHANTIER!$A$2:$D$83,4,0))</f>
        <v>9.6250000000000018</v>
      </c>
      <c r="AI19" s="364">
        <f>7*'Outils de calculs'!AI26*1.1</f>
        <v>200.20000000000002</v>
      </c>
      <c r="AJ19" s="372">
        <f>IF($C19="","",AI19*VLOOKUP($C19,CHANTIER!$A$2:$D$83,4,0))</f>
        <v>10.010000000000002</v>
      </c>
      <c r="AK19" s="364">
        <f>7*'Outils de calculs'!AK26*1.1</f>
        <v>215.60000000000002</v>
      </c>
      <c r="AL19" s="372">
        <f>IF($C19="","",AK19*VLOOKUP($C19,CHANTIER!$A$2:$D$83,4,0))</f>
        <v>10.780000000000001</v>
      </c>
      <c r="AM19" s="364">
        <f>7*'Outils de calculs'!AM26*1.1</f>
        <v>200.20000000000002</v>
      </c>
      <c r="AN19" s="372">
        <f>IF($C19="","",AM19*VLOOKUP($C19,CHANTIER!$A$2:$D$83,4,0))</f>
        <v>10.010000000000002</v>
      </c>
    </row>
    <row r="20" spans="1:40" ht="15" customHeight="1" x14ac:dyDescent="0.2">
      <c r="A20" s="1632"/>
      <c r="B20" s="361" t="s">
        <v>1160</v>
      </c>
      <c r="C20" s="378" t="s">
        <v>1255</v>
      </c>
      <c r="D20" s="363" t="str">
        <f>IF(C20="","",VLOOKUP($C20,CHANTIER!$A$2:$C$83,3,0))</f>
        <v>ml</v>
      </c>
      <c r="E20" s="364">
        <f>E9</f>
        <v>1.6</v>
      </c>
      <c r="F20" s="372">
        <f>IF($C20="","",E20*VLOOKUP($C20,CHANTIER!$A$2:$D$83,4,0))</f>
        <v>0.24</v>
      </c>
      <c r="G20" s="364">
        <f>G9</f>
        <v>2</v>
      </c>
      <c r="H20" s="372">
        <f>IF($C20="","",G20*VLOOKUP($C20,CHANTIER!$A$2:$D$83,4,0))</f>
        <v>0.3</v>
      </c>
      <c r="I20" s="364">
        <f>I9</f>
        <v>2</v>
      </c>
      <c r="J20" s="372">
        <f>IF($C20="","",I20*VLOOKUP($C20,CHANTIER!$A$2:$D$83,4,0))</f>
        <v>0.3</v>
      </c>
      <c r="K20" s="364">
        <f>K9</f>
        <v>2.5</v>
      </c>
      <c r="L20" s="372">
        <f>IF($C20="","",K20*VLOOKUP($C20,CHANTIER!$A$2:$D$83,4,0))</f>
        <v>0.375</v>
      </c>
      <c r="M20" s="364">
        <f>M9</f>
        <v>3</v>
      </c>
      <c r="N20" s="372">
        <f>IF($C20="","",M20*VLOOKUP($C20,CHANTIER!$A$2:$D$83,4,0))</f>
        <v>0.44999999999999996</v>
      </c>
      <c r="O20" s="364">
        <f>O9</f>
        <v>3.5</v>
      </c>
      <c r="P20" s="372">
        <f>IF($C20="","",O20*VLOOKUP($C20,CHANTIER!$A$2:$D$83,4,0))</f>
        <v>0.52500000000000002</v>
      </c>
      <c r="Q20" s="364">
        <f>Q9</f>
        <v>4</v>
      </c>
      <c r="R20" s="372">
        <f>IF($C20="","",Q20*VLOOKUP($C20,CHANTIER!$A$2:$D$83,4,0))</f>
        <v>0.6</v>
      </c>
      <c r="S20" s="364">
        <f>S9</f>
        <v>4</v>
      </c>
      <c r="T20" s="372">
        <f>IF($C20="","",S20*VLOOKUP($C20,CHANTIER!$A$2:$D$83,4,0))</f>
        <v>0.6</v>
      </c>
      <c r="U20" s="364">
        <f>U9</f>
        <v>4</v>
      </c>
      <c r="V20" s="372">
        <f>IF($C20="","",U20*VLOOKUP($C20,CHANTIER!$A$2:$D$83,4,0))</f>
        <v>0.6</v>
      </c>
      <c r="W20" s="364">
        <f>W9</f>
        <v>4</v>
      </c>
      <c r="X20" s="372">
        <f>IF($C20="","",W20*VLOOKUP($C20,CHANTIER!$A$2:$D$83,4,0))</f>
        <v>0.6</v>
      </c>
      <c r="Y20" s="364">
        <f>Y9</f>
        <v>3</v>
      </c>
      <c r="Z20" s="372">
        <f>IF($C20="","",Y20*VLOOKUP($C20,CHANTIER!$A$2:$D$83,4,0))</f>
        <v>0.44999999999999996</v>
      </c>
      <c r="AA20" s="364">
        <f>AA9</f>
        <v>3.5</v>
      </c>
      <c r="AB20" s="372">
        <f>IF($C20="","",AA20*VLOOKUP($C20,CHANTIER!$A$2:$D$83,4,0))</f>
        <v>0.52500000000000002</v>
      </c>
      <c r="AC20" s="364">
        <f>AC9</f>
        <v>4</v>
      </c>
      <c r="AD20" s="372">
        <f>IF($C20="","",AC20*VLOOKUP($C20,CHANTIER!$A$2:$D$83,4,0))</f>
        <v>0.6</v>
      </c>
      <c r="AE20" s="364">
        <f>AE9</f>
        <v>4</v>
      </c>
      <c r="AF20" s="372">
        <f>IF($C20="","",AE20*VLOOKUP($C20,CHANTIER!$A$2:$D$83,4,0))</f>
        <v>0.6</v>
      </c>
      <c r="AG20" s="364">
        <f>AG9</f>
        <v>4.5</v>
      </c>
      <c r="AH20" s="372">
        <f>IF($C20="","",AG20*VLOOKUP($C20,CHANTIER!$A$2:$D$83,4,0))</f>
        <v>0.67499999999999993</v>
      </c>
      <c r="AI20" s="364">
        <f>AI9</f>
        <v>4</v>
      </c>
      <c r="AJ20" s="372">
        <f>IF($C20="","",AI20*VLOOKUP($C20,CHANTIER!$A$2:$D$83,4,0))</f>
        <v>0.6</v>
      </c>
      <c r="AK20" s="364">
        <f>AK9</f>
        <v>4</v>
      </c>
      <c r="AL20" s="372">
        <f>IF($C20="","",AK20*VLOOKUP($C20,CHANTIER!$A$2:$D$83,4,0))</f>
        <v>0.6</v>
      </c>
      <c r="AM20" s="364">
        <f>AM9</f>
        <v>5</v>
      </c>
      <c r="AN20" s="372">
        <f>IF($C20="","",AM20*VLOOKUP($C20,CHANTIER!$A$2:$D$83,4,0))</f>
        <v>0.75</v>
      </c>
    </row>
    <row r="21" spans="1:40" ht="15" customHeight="1" x14ac:dyDescent="0.2">
      <c r="A21" s="1632"/>
      <c r="B21" s="361"/>
      <c r="C21" s="378"/>
      <c r="D21" s="363" t="str">
        <f>IF(C21="","",VLOOKUP($C21,CHANTIER!$A$2:$C$83,3,0))</f>
        <v/>
      </c>
      <c r="E21" s="364"/>
      <c r="F21" s="372" t="str">
        <f>IF($C21="","",E21*VLOOKUP($C21,CHANTIER!$A$2:$D$83,4,0))</f>
        <v/>
      </c>
      <c r="G21" s="364"/>
      <c r="H21" s="372" t="str">
        <f>IF($C21="","",G21*VLOOKUP($C21,CHANTIER!$A$2:$D$83,4,0))</f>
        <v/>
      </c>
      <c r="I21" s="364"/>
      <c r="J21" s="372" t="str">
        <f>IF($C21="","",I21*VLOOKUP($C21,CHANTIER!$A$2:$D$83,4,0))</f>
        <v/>
      </c>
      <c r="K21" s="364"/>
      <c r="L21" s="372" t="str">
        <f>IF($C21="","",K21*VLOOKUP($C21,CHANTIER!$A$2:$D$83,4,0))</f>
        <v/>
      </c>
      <c r="M21" s="364">
        <v>11</v>
      </c>
      <c r="N21" s="372" t="str">
        <f>IF($C21="","",M21*VLOOKUP($C21,CHANTIER!$A$2:$D$83,4,0))</f>
        <v/>
      </c>
      <c r="O21" s="364">
        <v>12</v>
      </c>
      <c r="P21" s="372" t="str">
        <f>IF($C21="","",O21*VLOOKUP($C21,CHANTIER!$A$2:$D$83,4,0))</f>
        <v/>
      </c>
      <c r="Q21" s="364">
        <v>13</v>
      </c>
      <c r="R21" s="372" t="str">
        <f>IF($C21="","",Q21*VLOOKUP($C21,CHANTIER!$A$2:$D$83,4,0))</f>
        <v/>
      </c>
      <c r="S21" s="364">
        <v>14</v>
      </c>
      <c r="T21" s="372" t="str">
        <f>IF($C21="","",S21*VLOOKUP($C21,CHANTIER!$A$2:$D$83,4,0))</f>
        <v/>
      </c>
      <c r="U21" s="364">
        <v>15</v>
      </c>
      <c r="V21" s="372" t="str">
        <f>IF($C21="","",U21*VLOOKUP($C21,CHANTIER!$A$2:$D$83,4,0))</f>
        <v/>
      </c>
      <c r="W21" s="364">
        <v>16</v>
      </c>
      <c r="X21" s="372" t="str">
        <f>IF($C21="","",W21*VLOOKUP($C21,CHANTIER!$A$2:$D$83,4,0))</f>
        <v/>
      </c>
      <c r="Y21" s="364">
        <v>17</v>
      </c>
      <c r="Z21" s="372" t="str">
        <f>IF($C21="","",Y21*VLOOKUP($C21,CHANTIER!$A$2:$D$83,4,0))</f>
        <v/>
      </c>
      <c r="AA21" s="364">
        <v>18</v>
      </c>
      <c r="AB21" s="372" t="str">
        <f>IF($C21="","",AA21*VLOOKUP($C21,CHANTIER!$A$2:$D$83,4,0))</f>
        <v/>
      </c>
      <c r="AC21" s="364">
        <v>19</v>
      </c>
      <c r="AD21" s="372" t="str">
        <f>IF($C21="","",AC21*VLOOKUP($C21,CHANTIER!$A$2:$D$83,4,0))</f>
        <v/>
      </c>
      <c r="AE21" s="364">
        <v>20</v>
      </c>
      <c r="AF21" s="372" t="str">
        <f>IF($C21="","",AE21*VLOOKUP($C21,CHANTIER!$A$2:$D$83,4,0))</f>
        <v/>
      </c>
      <c r="AG21" s="364">
        <v>21</v>
      </c>
      <c r="AH21" s="372" t="str">
        <f>IF($C21="","",AG21*VLOOKUP($C21,CHANTIER!$A$2:$D$83,4,0))</f>
        <v/>
      </c>
      <c r="AI21" s="364">
        <v>22</v>
      </c>
      <c r="AJ21" s="372" t="str">
        <f>IF($C21="","",AI21*VLOOKUP($C21,CHANTIER!$A$2:$D$83,4,0))</f>
        <v/>
      </c>
      <c r="AK21" s="364">
        <v>23</v>
      </c>
      <c r="AL21" s="372" t="str">
        <f>IF($C21="","",AK21*VLOOKUP($C21,CHANTIER!$A$2:$D$83,4,0))</f>
        <v/>
      </c>
      <c r="AM21" s="364">
        <v>24</v>
      </c>
      <c r="AN21" s="372" t="str">
        <f>IF($C21="","",AM21*VLOOKUP($C21,CHANTIER!$A$2:$D$83,4,0))</f>
        <v/>
      </c>
    </row>
    <row r="22" spans="1:40" ht="30.75" customHeight="1" x14ac:dyDescent="0.2">
      <c r="A22" s="1632"/>
      <c r="B22" s="379" t="s">
        <v>453</v>
      </c>
      <c r="C22" s="380" t="s">
        <v>450</v>
      </c>
      <c r="D22" s="381" t="s">
        <v>451</v>
      </c>
      <c r="E22" s="382">
        <f>F22*Simulation!$P$9</f>
        <v>408.15000000000003</v>
      </c>
      <c r="F22" s="383">
        <f>SUM(F15:F21)</f>
        <v>9.07</v>
      </c>
      <c r="G22" s="382">
        <f>H22*Simulation!$P$9</f>
        <v>497.92500000000007</v>
      </c>
      <c r="H22" s="383">
        <f>SUM(H15:H21)</f>
        <v>11.065000000000001</v>
      </c>
      <c r="I22" s="382">
        <f>J22*Simulation!$P$9</f>
        <v>594.67500000000018</v>
      </c>
      <c r="J22" s="383">
        <f>SUM(J15:J21)</f>
        <v>13.215000000000003</v>
      </c>
      <c r="K22" s="382">
        <f>L22*Simulation!$P$9</f>
        <v>646.42499999999995</v>
      </c>
      <c r="L22" s="383">
        <f>SUM(L15:L21)</f>
        <v>14.365</v>
      </c>
      <c r="M22" s="382">
        <f>N22*Simulation!$P$9</f>
        <v>698.17500000000007</v>
      </c>
      <c r="N22" s="383">
        <f>SUM(N15:N21)</f>
        <v>15.515000000000001</v>
      </c>
      <c r="O22" s="382">
        <f>P22*Simulation!$P$9</f>
        <v>749.92499999999995</v>
      </c>
      <c r="P22" s="383">
        <f>SUM(P15:P21)</f>
        <v>16.664999999999999</v>
      </c>
      <c r="Q22" s="382">
        <f>R22*Simulation!$P$9</f>
        <v>801.67500000000018</v>
      </c>
      <c r="R22" s="383">
        <f>SUM(R15:R21)</f>
        <v>17.815000000000005</v>
      </c>
      <c r="S22" s="382">
        <f>T22*Simulation!$P$9</f>
        <v>850.05000000000018</v>
      </c>
      <c r="T22" s="383">
        <f>SUM(T15:T21)</f>
        <v>18.890000000000004</v>
      </c>
      <c r="U22" s="382">
        <f>V22*Simulation!$P$9</f>
        <v>898.42500000000018</v>
      </c>
      <c r="V22" s="383">
        <f>SUM(V15:V21)</f>
        <v>19.965000000000003</v>
      </c>
      <c r="W22" s="382">
        <f>X22*Simulation!$P$9</f>
        <v>995.17500000000007</v>
      </c>
      <c r="X22" s="383">
        <f>SUM(X15:X21)</f>
        <v>22.115000000000002</v>
      </c>
      <c r="Y22" s="382">
        <f>Z22*Simulation!$P$9</f>
        <v>1085.175</v>
      </c>
      <c r="Z22" s="383">
        <f>SUM(Z15:Z21)</f>
        <v>24.114999999999998</v>
      </c>
      <c r="AA22" s="382">
        <f>AB22*Simulation!$P$9</f>
        <v>1136.925</v>
      </c>
      <c r="AB22" s="383">
        <f>SUM(AB15:AB21)</f>
        <v>25.265000000000001</v>
      </c>
      <c r="AC22" s="382">
        <f>AD22*Simulation!$P$9</f>
        <v>1091.925</v>
      </c>
      <c r="AD22" s="383">
        <f>SUM(AD15:AD21)</f>
        <v>24.265000000000001</v>
      </c>
      <c r="AE22" s="382">
        <f>AF22*Simulation!$P$9</f>
        <v>1188.6750000000002</v>
      </c>
      <c r="AF22" s="383">
        <f>SUM(AF15:AF21)</f>
        <v>26.415000000000006</v>
      </c>
      <c r="AG22" s="382">
        <f>AH22*Simulation!$P$9</f>
        <v>1240.425</v>
      </c>
      <c r="AH22" s="383">
        <f>SUM(AH15:AH21)</f>
        <v>27.565000000000001</v>
      </c>
      <c r="AI22" s="382">
        <f>AJ22*Simulation!$P$9</f>
        <v>1285.4250000000002</v>
      </c>
      <c r="AJ22" s="383">
        <f>SUM(AJ15:AJ21)</f>
        <v>28.565000000000005</v>
      </c>
      <c r="AK22" s="382">
        <f>AL22*Simulation!$P$9</f>
        <v>1382.1750000000002</v>
      </c>
      <c r="AL22" s="383">
        <f>SUM(AL15:AL21)</f>
        <v>30.715000000000003</v>
      </c>
      <c r="AM22" s="382">
        <f>AN22*Simulation!$P$9</f>
        <v>1292.1750000000002</v>
      </c>
      <c r="AN22" s="383">
        <f>SUM(AN15:AN21)</f>
        <v>28.715000000000003</v>
      </c>
    </row>
    <row r="23" spans="1:40" ht="15" customHeight="1" x14ac:dyDescent="0.2">
      <c r="A23" s="1634" t="s">
        <v>4</v>
      </c>
      <c r="B23" s="361" t="s">
        <v>1171</v>
      </c>
      <c r="C23" s="378" t="s">
        <v>386</v>
      </c>
      <c r="D23" s="363" t="str">
        <f>IF(C23="","",VLOOKUP($C23,MINIPELLE!$A$2:$C$28,3,0))</f>
        <v>ml</v>
      </c>
      <c r="E23" s="364">
        <f>'Outils de calculs'!E26</f>
        <v>8.1999999999999993</v>
      </c>
      <c r="F23" s="372">
        <f>IF($C23="","",E23*VLOOKUP($C23,MINIPELLE!$A$2:$D$28,4,0))</f>
        <v>0.65599999999999992</v>
      </c>
      <c r="G23" s="364">
        <f>'Outils de calculs'!G26</f>
        <v>10</v>
      </c>
      <c r="H23" s="372">
        <f>IF($C23="","",G23*VLOOKUP($C23,MINIPELLE!$A$2:$D$28,4,0))</f>
        <v>0.8</v>
      </c>
      <c r="I23" s="364">
        <f>'Outils de calculs'!I26</f>
        <v>12</v>
      </c>
      <c r="J23" s="372">
        <f>IF($C23="","",I23*VLOOKUP($C23,MINIPELLE!$A$2:$D$28,4,0))</f>
        <v>0.96</v>
      </c>
      <c r="K23" s="364">
        <f>'Outils de calculs'!K26</f>
        <v>13</v>
      </c>
      <c r="L23" s="372">
        <f>IF($C23="","",K23*VLOOKUP($C23,MINIPELLE!$A$2:$D$28,4,0))</f>
        <v>1.04</v>
      </c>
      <c r="M23" s="364">
        <f>'Outils de calculs'!M26</f>
        <v>14</v>
      </c>
      <c r="N23" s="372">
        <f>IF($C23="","",M23*VLOOKUP($C23,MINIPELLE!$A$2:$D$28,4,0))</f>
        <v>1.1200000000000001</v>
      </c>
      <c r="O23" s="364">
        <f>'Outils de calculs'!O26</f>
        <v>15</v>
      </c>
      <c r="P23" s="372">
        <f>IF($C23="","",O23*VLOOKUP($C23,MINIPELLE!$A$2:$D$28,4,0))</f>
        <v>1.2</v>
      </c>
      <c r="Q23" s="364">
        <f>'Outils de calculs'!Q26</f>
        <v>16</v>
      </c>
      <c r="R23" s="372">
        <f>IF($C23="","",Q23*VLOOKUP($C23,MINIPELLE!$A$2:$D$28,4,0))</f>
        <v>1.28</v>
      </c>
      <c r="S23" s="364">
        <f>'Outils de calculs'!S26</f>
        <v>17</v>
      </c>
      <c r="T23" s="372">
        <f>IF($C23="","",S23*VLOOKUP($C23,MINIPELLE!$A$2:$D$28,4,0))</f>
        <v>1.36</v>
      </c>
      <c r="U23" s="364">
        <f>'Outils de calculs'!U26</f>
        <v>18</v>
      </c>
      <c r="V23" s="372">
        <f>IF($C23="","",U23*VLOOKUP($C23,MINIPELLE!$A$2:$D$28,4,0))</f>
        <v>1.44</v>
      </c>
      <c r="W23" s="364">
        <f>'Outils de calculs'!W26</f>
        <v>20</v>
      </c>
      <c r="X23" s="372">
        <f>IF($C23="","",W23*VLOOKUP($C23,MINIPELLE!$A$2:$D$28,4,0))</f>
        <v>1.6</v>
      </c>
      <c r="Y23" s="364">
        <f>'Outils de calculs'!Y26</f>
        <v>22</v>
      </c>
      <c r="Z23" s="372">
        <f>IF($C23="","",Y23*VLOOKUP($C23,MINIPELLE!$A$2:$D$28,4,0))</f>
        <v>1.76</v>
      </c>
      <c r="AA23" s="364">
        <f>'Outils de calculs'!AA26</f>
        <v>23</v>
      </c>
      <c r="AB23" s="372">
        <f>IF($C23="","",AA23*VLOOKUP($C23,MINIPELLE!$A$2:$D$28,4,0))</f>
        <v>1.84</v>
      </c>
      <c r="AC23" s="364">
        <f>'Outils de calculs'!AC26</f>
        <v>22</v>
      </c>
      <c r="AD23" s="372">
        <f>IF($C23="","",AC23*VLOOKUP($C23,MINIPELLE!$A$2:$D$28,4,0))</f>
        <v>1.76</v>
      </c>
      <c r="AE23" s="364">
        <f>'Outils de calculs'!AE26</f>
        <v>24</v>
      </c>
      <c r="AF23" s="372">
        <f>IF($C23="","",AE23*VLOOKUP($C23,MINIPELLE!$A$2:$D$28,4,0))</f>
        <v>1.92</v>
      </c>
      <c r="AG23" s="364">
        <f>'Outils de calculs'!AG26</f>
        <v>25</v>
      </c>
      <c r="AH23" s="372">
        <f>IF($C23="","",AG23*VLOOKUP($C23,MINIPELLE!$A$2:$D$28,4,0))</f>
        <v>2</v>
      </c>
      <c r="AI23" s="364">
        <f>'Outils de calculs'!AI26</f>
        <v>26</v>
      </c>
      <c r="AJ23" s="372">
        <f>IF($C23="","",AI23*VLOOKUP($C23,MINIPELLE!$A$2:$D$28,4,0))</f>
        <v>2.08</v>
      </c>
      <c r="AK23" s="364">
        <f>'Outils de calculs'!AK26</f>
        <v>28</v>
      </c>
      <c r="AL23" s="372">
        <f>IF($C23="","",AK23*VLOOKUP($C23,MINIPELLE!$A$2:$D$28,4,0))</f>
        <v>2.2400000000000002</v>
      </c>
      <c r="AM23" s="364">
        <f>'Outils de calculs'!AM26</f>
        <v>26</v>
      </c>
      <c r="AN23" s="372">
        <f>IF($C23="","",AM23*VLOOKUP($C23,MINIPELLE!$A$2:$D$28,4,0))</f>
        <v>2.08</v>
      </c>
    </row>
    <row r="24" spans="1:40" ht="15" customHeight="1" x14ac:dyDescent="0.2">
      <c r="A24" s="1634"/>
      <c r="B24" s="361"/>
      <c r="C24" s="378"/>
      <c r="D24" s="363"/>
      <c r="E24" s="364"/>
      <c r="F24" s="372"/>
      <c r="G24" s="364"/>
      <c r="H24" s="372"/>
      <c r="I24" s="364"/>
      <c r="J24" s="372"/>
      <c r="K24" s="364"/>
      <c r="L24" s="372"/>
      <c r="M24" s="364"/>
      <c r="N24" s="372"/>
      <c r="O24" s="364"/>
      <c r="P24" s="372"/>
      <c r="Q24" s="364"/>
      <c r="R24" s="372"/>
      <c r="S24" s="364"/>
      <c r="T24" s="372"/>
      <c r="U24" s="364"/>
      <c r="V24" s="372"/>
      <c r="W24" s="364"/>
      <c r="X24" s="372"/>
      <c r="Y24" s="364"/>
      <c r="Z24" s="372"/>
      <c r="AA24" s="364"/>
      <c r="AB24" s="372"/>
      <c r="AC24" s="364"/>
      <c r="AD24" s="372"/>
      <c r="AE24" s="364"/>
      <c r="AF24" s="372"/>
      <c r="AG24" s="364"/>
      <c r="AH24" s="372"/>
      <c r="AI24" s="364"/>
      <c r="AJ24" s="372"/>
      <c r="AK24" s="364"/>
      <c r="AL24" s="372"/>
      <c r="AM24" s="364"/>
      <c r="AN24" s="372"/>
    </row>
    <row r="25" spans="1:40" ht="15" customHeight="1" x14ac:dyDescent="0.2">
      <c r="A25" s="1634"/>
      <c r="B25" s="361"/>
      <c r="C25" s="378"/>
      <c r="D25" s="363"/>
      <c r="E25" s="364"/>
      <c r="F25" s="372"/>
      <c r="G25" s="364"/>
      <c r="H25" s="372"/>
      <c r="I25" s="364"/>
      <c r="J25" s="372"/>
      <c r="K25" s="364"/>
      <c r="L25" s="372"/>
      <c r="M25" s="364"/>
      <c r="N25" s="372"/>
      <c r="O25" s="364"/>
      <c r="P25" s="372"/>
      <c r="Q25" s="364"/>
      <c r="R25" s="372"/>
      <c r="S25" s="364"/>
      <c r="T25" s="372"/>
      <c r="U25" s="364"/>
      <c r="V25" s="372"/>
      <c r="W25" s="364"/>
      <c r="X25" s="372"/>
      <c r="Y25" s="364"/>
      <c r="Z25" s="372"/>
      <c r="AA25" s="364"/>
      <c r="AB25" s="372"/>
      <c r="AC25" s="364"/>
      <c r="AD25" s="372"/>
      <c r="AE25" s="364"/>
      <c r="AF25" s="372"/>
      <c r="AG25" s="364"/>
      <c r="AH25" s="372"/>
      <c r="AI25" s="364"/>
      <c r="AJ25" s="372"/>
      <c r="AK25" s="364"/>
      <c r="AL25" s="372"/>
      <c r="AM25" s="364"/>
      <c r="AN25" s="372"/>
    </row>
    <row r="26" spans="1:40" ht="15" customHeight="1" x14ac:dyDescent="0.2">
      <c r="A26" s="1635"/>
      <c r="B26" s="361"/>
      <c r="C26" s="378"/>
      <c r="D26" s="363" t="str">
        <f>IF(C26="","",VLOOKUP($C26,MINIPELLE!$A$2:$C$28,3,0))</f>
        <v/>
      </c>
      <c r="E26" s="364">
        <v>3</v>
      </c>
      <c r="F26" s="389" t="str">
        <f>IF($C26="","",E26*VLOOKUP($C26,MINIPELLE!$A$2:$D$28,4,0))</f>
        <v/>
      </c>
      <c r="G26" s="364">
        <v>3</v>
      </c>
      <c r="H26" s="389" t="str">
        <f>IF($C26="","",G26*VLOOKUP($C26,MINIPELLE!$A$2:$D$28,4,0))</f>
        <v/>
      </c>
      <c r="I26" s="364">
        <v>3</v>
      </c>
      <c r="J26" s="389" t="str">
        <f>IF($C26="","",I26*VLOOKUP($C26,MINIPELLE!$A$2:$D$28,4,0))</f>
        <v/>
      </c>
      <c r="K26" s="364">
        <v>3</v>
      </c>
      <c r="L26" s="389" t="str">
        <f>IF($C26="","",K26*VLOOKUP($C26,MINIPELLE!$A$2:$D$28,4,0))</f>
        <v/>
      </c>
      <c r="M26" s="364">
        <v>3</v>
      </c>
      <c r="N26" s="389" t="str">
        <f>IF($C26="","",M26*VLOOKUP($C26,MINIPELLE!$A$2:$D$28,4,0))</f>
        <v/>
      </c>
      <c r="O26" s="364">
        <v>3</v>
      </c>
      <c r="P26" s="389" t="str">
        <f>IF($C26="","",O26*VLOOKUP($C26,MINIPELLE!$A$2:$D$28,4,0))</f>
        <v/>
      </c>
      <c r="Q26" s="364">
        <v>3</v>
      </c>
      <c r="R26" s="389" t="str">
        <f>IF($C26="","",Q26*VLOOKUP($C26,MINIPELLE!$A$2:$D$28,4,0))</f>
        <v/>
      </c>
      <c r="S26" s="364">
        <v>3</v>
      </c>
      <c r="T26" s="389" t="str">
        <f>IF($C26="","",S26*VLOOKUP($C26,MINIPELLE!$A$2:$D$28,4,0))</f>
        <v/>
      </c>
      <c r="U26" s="364">
        <v>3</v>
      </c>
      <c r="V26" s="389" t="str">
        <f>IF($C26="","",U26*VLOOKUP($C26,MINIPELLE!$A$2:$D$28,4,0))</f>
        <v/>
      </c>
      <c r="W26" s="364">
        <v>3</v>
      </c>
      <c r="X26" s="389" t="str">
        <f>IF($C26="","",W26*VLOOKUP($C26,MINIPELLE!$A$2:$D$28,4,0))</f>
        <v/>
      </c>
      <c r="Y26" s="364">
        <v>3</v>
      </c>
      <c r="Z26" s="389" t="str">
        <f>IF($C26="","",Y26*VLOOKUP($C26,MINIPELLE!$A$2:$D$28,4,0))</f>
        <v/>
      </c>
      <c r="AA26" s="364">
        <v>3</v>
      </c>
      <c r="AB26" s="389" t="str">
        <f>IF($C26="","",AA26*VLOOKUP($C26,MINIPELLE!$A$2:$D$28,4,0))</f>
        <v/>
      </c>
      <c r="AC26" s="364">
        <v>3</v>
      </c>
      <c r="AD26" s="389" t="str">
        <f>IF($C26="","",AC26*VLOOKUP($C26,MINIPELLE!$A$2:$D$28,4,0))</f>
        <v/>
      </c>
      <c r="AE26" s="364">
        <v>3</v>
      </c>
      <c r="AF26" s="389" t="str">
        <f>IF($C26="","",AE26*VLOOKUP($C26,MINIPELLE!$A$2:$D$28,4,0))</f>
        <v/>
      </c>
      <c r="AG26" s="364">
        <v>3</v>
      </c>
      <c r="AH26" s="389" t="str">
        <f>IF($C26="","",AG26*VLOOKUP($C26,MINIPELLE!$A$2:$D$28,4,0))</f>
        <v/>
      </c>
      <c r="AI26" s="364">
        <v>3</v>
      </c>
      <c r="AJ26" s="389" t="str">
        <f>IF($C26="","",AI26*VLOOKUP($C26,MINIPELLE!$A$2:$D$28,4,0))</f>
        <v/>
      </c>
      <c r="AK26" s="364">
        <v>3</v>
      </c>
      <c r="AL26" s="389" t="str">
        <f>IF($C26="","",AK26*VLOOKUP($C26,MINIPELLE!$A$2:$D$28,4,0))</f>
        <v/>
      </c>
      <c r="AM26" s="364">
        <v>4</v>
      </c>
      <c r="AN26" s="389" t="str">
        <f>IF($C26="","",AM26*VLOOKUP($C26,MINIPELLE!$A$2:$D$28,4,0))</f>
        <v/>
      </c>
    </row>
    <row r="27" spans="1:40" ht="29.25" customHeight="1" x14ac:dyDescent="0.2">
      <c r="A27" s="1635"/>
      <c r="B27" s="384" t="s">
        <v>454</v>
      </c>
      <c r="C27" s="385" t="s">
        <v>455</v>
      </c>
      <c r="D27" s="386" t="s">
        <v>451</v>
      </c>
      <c r="E27" s="387">
        <f>F27*Simulation!$P$10</f>
        <v>52.47999999999999</v>
      </c>
      <c r="F27" s="388">
        <f>SUM(F23:F26)</f>
        <v>0.65599999999999992</v>
      </c>
      <c r="G27" s="387">
        <f>H27*Simulation!$P$10</f>
        <v>64</v>
      </c>
      <c r="H27" s="388">
        <f>SUM(H23:H26)</f>
        <v>0.8</v>
      </c>
      <c r="I27" s="387">
        <f>J27*Simulation!$P$10</f>
        <v>76.8</v>
      </c>
      <c r="J27" s="388">
        <f>SUM(J23:J26)</f>
        <v>0.96</v>
      </c>
      <c r="K27" s="387">
        <f>L27*Simulation!$P$10</f>
        <v>83.2</v>
      </c>
      <c r="L27" s="388">
        <f>SUM(L23:L26)</f>
        <v>1.04</v>
      </c>
      <c r="M27" s="387">
        <f>N27*Simulation!$P$10</f>
        <v>89.600000000000009</v>
      </c>
      <c r="N27" s="388">
        <f>SUM(N23:N26)</f>
        <v>1.1200000000000001</v>
      </c>
      <c r="O27" s="387">
        <f>P27*Simulation!$P$10</f>
        <v>96</v>
      </c>
      <c r="P27" s="388">
        <f>SUM(P23:P26)</f>
        <v>1.2</v>
      </c>
      <c r="Q27" s="387">
        <f>R27*Simulation!$P$10</f>
        <v>102.4</v>
      </c>
      <c r="R27" s="388">
        <f>SUM(R23:R26)</f>
        <v>1.28</v>
      </c>
      <c r="S27" s="387">
        <f>T27*Simulation!$P$10</f>
        <v>108.80000000000001</v>
      </c>
      <c r="T27" s="388">
        <f>SUM(T23:T26)</f>
        <v>1.36</v>
      </c>
      <c r="U27" s="387">
        <f>V27*Simulation!$P$10</f>
        <v>115.19999999999999</v>
      </c>
      <c r="V27" s="388">
        <f>SUM(V23:V26)</f>
        <v>1.44</v>
      </c>
      <c r="W27" s="387">
        <f>X27*Simulation!$P$10</f>
        <v>128</v>
      </c>
      <c r="X27" s="388">
        <f>SUM(X23:X26)</f>
        <v>1.6</v>
      </c>
      <c r="Y27" s="387">
        <f>Z27*Simulation!$P$10</f>
        <v>140.80000000000001</v>
      </c>
      <c r="Z27" s="388">
        <f>SUM(Z23:Z26)</f>
        <v>1.76</v>
      </c>
      <c r="AA27" s="387">
        <f>AB27*Simulation!$P$10</f>
        <v>147.20000000000002</v>
      </c>
      <c r="AB27" s="388">
        <f>SUM(AB23:AB26)</f>
        <v>1.84</v>
      </c>
      <c r="AC27" s="387">
        <f>AD27*Simulation!$P$10</f>
        <v>140.80000000000001</v>
      </c>
      <c r="AD27" s="388">
        <f>SUM(AD23:AD26)</f>
        <v>1.76</v>
      </c>
      <c r="AE27" s="387">
        <f>AF27*Simulation!$P$10</f>
        <v>153.6</v>
      </c>
      <c r="AF27" s="388">
        <f>SUM(AF23:AF26)</f>
        <v>1.92</v>
      </c>
      <c r="AG27" s="387">
        <f>AH27*Simulation!$P$10</f>
        <v>160</v>
      </c>
      <c r="AH27" s="388">
        <f>SUM(AH23:AH26)</f>
        <v>2</v>
      </c>
      <c r="AI27" s="387">
        <f>AJ27*Simulation!$P$10</f>
        <v>166.4</v>
      </c>
      <c r="AJ27" s="388">
        <f>SUM(AJ23:AJ26)</f>
        <v>2.08</v>
      </c>
      <c r="AK27" s="387">
        <f>AL27*Simulation!$P$10</f>
        <v>179.20000000000002</v>
      </c>
      <c r="AL27" s="388">
        <f>SUM(AL23:AL26)</f>
        <v>2.2400000000000002</v>
      </c>
      <c r="AM27" s="387">
        <f>AN27*Simulation!$P$10</f>
        <v>166.4</v>
      </c>
      <c r="AN27" s="388">
        <f>SUM(AN23:AN26)</f>
        <v>2.08</v>
      </c>
    </row>
    <row r="28" spans="1:40" x14ac:dyDescent="0.2">
      <c r="A28" s="199"/>
      <c r="B28" s="172"/>
      <c r="C28" s="200"/>
      <c r="D28" s="201"/>
      <c r="E28" s="202"/>
      <c r="F28" s="203"/>
      <c r="G28" s="202"/>
      <c r="H28" s="203"/>
      <c r="I28" s="202"/>
      <c r="J28" s="203"/>
      <c r="K28" s="202"/>
      <c r="L28" s="203"/>
      <c r="M28" s="202"/>
      <c r="N28" s="203"/>
      <c r="O28" s="202"/>
      <c r="P28" s="203"/>
      <c r="Q28" s="202"/>
      <c r="R28" s="203"/>
      <c r="S28" s="202"/>
      <c r="T28" s="203"/>
      <c r="U28" s="202"/>
      <c r="V28" s="203"/>
      <c r="W28" s="202"/>
      <c r="X28" s="203"/>
      <c r="Y28" s="202"/>
      <c r="Z28" s="203"/>
      <c r="AA28" s="202"/>
      <c r="AB28" s="203"/>
      <c r="AC28" s="202"/>
      <c r="AD28" s="203"/>
      <c r="AE28" s="202"/>
      <c r="AF28" s="203"/>
      <c r="AG28" s="202"/>
      <c r="AH28" s="203"/>
      <c r="AI28" s="202"/>
      <c r="AJ28" s="203"/>
      <c r="AK28" s="202"/>
      <c r="AL28" s="203"/>
      <c r="AM28" s="202"/>
      <c r="AN28" s="203"/>
    </row>
    <row r="29" spans="1:40" ht="36" customHeight="1" x14ac:dyDescent="0.2">
      <c r="A29" s="204"/>
      <c r="B29" s="1561" t="s">
        <v>456</v>
      </c>
      <c r="C29" s="1564" t="s">
        <v>445</v>
      </c>
      <c r="D29" s="1564"/>
      <c r="E29" s="1547">
        <f>E27+E22+E14+E10</f>
        <v>1537.6114685999999</v>
      </c>
      <c r="F29" s="1547"/>
      <c r="G29" s="1547">
        <f>G27+G22+G14+G10</f>
        <v>1874.4217050000002</v>
      </c>
      <c r="H29" s="1547"/>
      <c r="I29" s="1547">
        <f>I27+I22+I14+I10</f>
        <v>2244.8253810000001</v>
      </c>
      <c r="J29" s="1547"/>
      <c r="K29" s="1547">
        <f>K27+K22+K14+K10</f>
        <v>2434.3358790000002</v>
      </c>
      <c r="L29" s="1547"/>
      <c r="M29" s="1547">
        <f>M27+M22+M14+M10</f>
        <v>2623.8463770000003</v>
      </c>
      <c r="N29" s="1547"/>
      <c r="O29" s="1547">
        <f>O27+O22+O14+O10</f>
        <v>2813.3568750000004</v>
      </c>
      <c r="P29" s="1547"/>
      <c r="Q29" s="1547">
        <f>Q27+Q22+Q14+Q10</f>
        <v>3002.867373</v>
      </c>
      <c r="R29" s="1547"/>
      <c r="S29" s="1547">
        <f>S27+S22+S14+S10</f>
        <v>3188.0692110000005</v>
      </c>
      <c r="T29" s="1547"/>
      <c r="U29" s="1547">
        <f>U27+U22+U14+U10</f>
        <v>3373.2710489999999</v>
      </c>
      <c r="V29" s="1547"/>
      <c r="W29" s="1547">
        <f>W27+W22+W14+W10</f>
        <v>3743.6747249999999</v>
      </c>
      <c r="X29" s="1547"/>
      <c r="Y29" s="1547">
        <f>Y27+Y22+Y14+Y10</f>
        <v>4105.4610809999995</v>
      </c>
      <c r="Z29" s="1547"/>
      <c r="AA29" s="1547">
        <f>AA27+AA22+AA14+AA10</f>
        <v>4294.9715790000009</v>
      </c>
      <c r="AB29" s="1547"/>
      <c r="AC29" s="1547">
        <f>AC27+AC22+AC14+AC10</f>
        <v>4114.0784009999998</v>
      </c>
      <c r="AD29" s="1547"/>
      <c r="AE29" s="1547">
        <f>AE27+AE22+AE14+AE10</f>
        <v>4484.4820770000006</v>
      </c>
      <c r="AF29" s="1547"/>
      <c r="AG29" s="1547">
        <f>AG27+AG22+AG14+AG10</f>
        <v>4673.9925750000011</v>
      </c>
      <c r="AH29" s="1547"/>
      <c r="AI29" s="1547">
        <f>AI27+AI22+AI14+AI10</f>
        <v>4854.8857530000014</v>
      </c>
      <c r="AJ29" s="1547"/>
      <c r="AK29" s="1547">
        <f>AK27+AK22+AK14+AK10</f>
        <v>5225.2894290000022</v>
      </c>
      <c r="AL29" s="1547"/>
      <c r="AM29" s="1547">
        <f>AM27+AM22+AM14+AM10</f>
        <v>4863.5030730000008</v>
      </c>
      <c r="AN29" s="1547"/>
    </row>
    <row r="30" spans="1:40" ht="18" customHeight="1" x14ac:dyDescent="0.2">
      <c r="A30" s="154"/>
      <c r="B30" s="1562"/>
      <c r="C30" s="1565" t="s">
        <v>457</v>
      </c>
      <c r="D30" s="1565"/>
      <c r="E30" s="149">
        <f>E10-F10</f>
        <v>212.96064660000002</v>
      </c>
      <c r="F30" s="207">
        <f>E30/E$29</f>
        <v>0.1385009483532933</v>
      </c>
      <c r="G30" s="149">
        <f>G10-H10</f>
        <v>259.68385499999999</v>
      </c>
      <c r="H30" s="207">
        <f>G30/G$29</f>
        <v>0.13854078530316633</v>
      </c>
      <c r="I30" s="149">
        <f>I10-J10</f>
        <v>311.40701100000001</v>
      </c>
      <c r="J30" s="207">
        <f>I30/I$29</f>
        <v>0.13872215346267952</v>
      </c>
      <c r="K30" s="149">
        <f>K10-L10</f>
        <v>337.48404900000014</v>
      </c>
      <c r="L30" s="207">
        <f>K30/K$29</f>
        <v>0.13863495662670636</v>
      </c>
      <c r="M30" s="149">
        <f>M10-N10</f>
        <v>363.56108700000004</v>
      </c>
      <c r="N30" s="207">
        <f>M30/M$29</f>
        <v>0.13856035558593985</v>
      </c>
      <c r="O30" s="149">
        <f>O10-P10</f>
        <v>389.63812500000017</v>
      </c>
      <c r="P30" s="207">
        <f>O30/O$29</f>
        <v>0.13849580494476021</v>
      </c>
      <c r="Q30" s="149">
        <f>Q10-R10</f>
        <v>415.71516300000008</v>
      </c>
      <c r="R30" s="207">
        <f>Q30/Q$29</f>
        <v>0.13843940186565146</v>
      </c>
      <c r="S30" s="149">
        <f>S10-T10</f>
        <v>441.57674100000008</v>
      </c>
      <c r="T30" s="207">
        <f>S30/S$29</f>
        <v>0.13850914512031276</v>
      </c>
      <c r="U30" s="149">
        <f>U10-V10</f>
        <v>467.43831900000009</v>
      </c>
      <c r="V30" s="207">
        <f>U30/U$29</f>
        <v>0.13857123018281362</v>
      </c>
      <c r="W30" s="149">
        <f>W10-X10</f>
        <v>519.16147499999988</v>
      </c>
      <c r="X30" s="207">
        <f>W30/W$29</f>
        <v>0.13867697199574408</v>
      </c>
      <c r="Y30" s="149">
        <f>Y10-Z10</f>
        <v>570.45371100000011</v>
      </c>
      <c r="Z30" s="207">
        <f>Y30/Y$29</f>
        <v>0.1389499741308107</v>
      </c>
      <c r="AA30" s="149">
        <f>AA10-AB10</f>
        <v>596.53074900000024</v>
      </c>
      <c r="AB30" s="207">
        <f>AA30/AA$29</f>
        <v>0.13889049974549322</v>
      </c>
      <c r="AC30" s="149">
        <f>AC10-AD10</f>
        <v>570.8846309999999</v>
      </c>
      <c r="AD30" s="207">
        <f>AC30/AC$29</f>
        <v>0.13876367325941971</v>
      </c>
      <c r="AE30" s="149">
        <f>AE10-AF10</f>
        <v>622.60778700000037</v>
      </c>
      <c r="AF30" s="207">
        <f>AE30/AE$29</f>
        <v>0.1388360520366955</v>
      </c>
      <c r="AG30" s="149">
        <f>AG10-AH10</f>
        <v>648.68482500000027</v>
      </c>
      <c r="AH30" s="207">
        <f>AG30/AG$29</f>
        <v>0.13878601957342651</v>
      </c>
      <c r="AI30" s="149">
        <f>AI10-AJ10</f>
        <v>674.33094300000039</v>
      </c>
      <c r="AJ30" s="207">
        <f>AI30/AI$29</f>
        <v>0.13889738653135308</v>
      </c>
      <c r="AK30" s="149">
        <f>AK10-AL10</f>
        <v>726.05409900000041</v>
      </c>
      <c r="AL30" s="207">
        <f>AK30/AK$29</f>
        <v>0.13895002542260135</v>
      </c>
      <c r="AM30" s="149">
        <f>AM10-AN10</f>
        <v>674.76186300000018</v>
      </c>
      <c r="AN30" s="207">
        <f>AM30/AM$29</f>
        <v>0.13873988622439185</v>
      </c>
    </row>
    <row r="31" spans="1:40" ht="18" customHeight="1" x14ac:dyDescent="0.2">
      <c r="A31" s="154"/>
      <c r="B31" s="1562"/>
      <c r="C31" s="1565" t="s">
        <v>9</v>
      </c>
      <c r="D31" s="1565"/>
      <c r="E31" s="149">
        <f>E10</f>
        <v>922.82946859999993</v>
      </c>
      <c r="F31" s="207">
        <f>E31/E$29</f>
        <v>0.60017077619760417</v>
      </c>
      <c r="G31" s="149">
        <f>G10</f>
        <v>1125.296705</v>
      </c>
      <c r="H31" s="207">
        <f>G31/G$29</f>
        <v>0.60034340298038746</v>
      </c>
      <c r="I31" s="149">
        <f>I10</f>
        <v>1349.4303810000001</v>
      </c>
      <c r="J31" s="207">
        <f>I31/I$29</f>
        <v>0.6011293316716112</v>
      </c>
      <c r="K31" s="149">
        <f>K10</f>
        <v>1462.4308790000002</v>
      </c>
      <c r="L31" s="207">
        <f>K31/K$29</f>
        <v>0.60075147871572743</v>
      </c>
      <c r="M31" s="149">
        <f>M10</f>
        <v>1575.4313770000003</v>
      </c>
      <c r="N31" s="207">
        <f>M31/M$29</f>
        <v>0.60042820753907278</v>
      </c>
      <c r="O31" s="149">
        <f>O10</f>
        <v>1688.4318750000002</v>
      </c>
      <c r="P31" s="207">
        <f>O31/O$29</f>
        <v>0.60014848809396071</v>
      </c>
      <c r="Q31" s="149">
        <f>Q10</f>
        <v>1801.4323730000001</v>
      </c>
      <c r="R31" s="207">
        <f>Q31/Q$29</f>
        <v>0.59990407475115626</v>
      </c>
      <c r="S31" s="149">
        <f>S10</f>
        <v>1913.4992110000003</v>
      </c>
      <c r="T31" s="207">
        <f>S31/S$29</f>
        <v>0.60020629552135529</v>
      </c>
      <c r="U31" s="149">
        <f>U10</f>
        <v>2025.566049</v>
      </c>
      <c r="V31" s="207">
        <f>U31/U$29</f>
        <v>0.60047533079219217</v>
      </c>
      <c r="W31" s="149">
        <f>W10</f>
        <v>2249.6997249999999</v>
      </c>
      <c r="X31" s="207">
        <f>W31/W$29</f>
        <v>0.60093354531489107</v>
      </c>
      <c r="Y31" s="149">
        <f>Y10</f>
        <v>2471.966081</v>
      </c>
      <c r="Z31" s="207">
        <f>Y31/Y$29</f>
        <v>0.60211655456684632</v>
      </c>
      <c r="AA31" s="149">
        <f>AA10</f>
        <v>2584.9665790000004</v>
      </c>
      <c r="AB31" s="207">
        <f>AA31/AA$29</f>
        <v>0.60185883223047043</v>
      </c>
      <c r="AC31" s="149">
        <f>AC10</f>
        <v>2473.8334009999999</v>
      </c>
      <c r="AD31" s="207">
        <f>AC31/AC$29</f>
        <v>0.60130925079081887</v>
      </c>
      <c r="AE31" s="149">
        <f>AE10</f>
        <v>2697.9670770000007</v>
      </c>
      <c r="AF31" s="207">
        <f>AE31/AE$29</f>
        <v>0.60162289215901366</v>
      </c>
      <c r="AG31" s="149">
        <f>AG10</f>
        <v>2810.967575000001</v>
      </c>
      <c r="AH31" s="207">
        <f>AG31/AG$29</f>
        <v>0.60140608481818147</v>
      </c>
      <c r="AI31" s="149">
        <f>AI10</f>
        <v>2922.1007530000011</v>
      </c>
      <c r="AJ31" s="207">
        <f>AI31/AI$29</f>
        <v>0.60188867496919662</v>
      </c>
      <c r="AK31" s="149">
        <f>AK10</f>
        <v>3146.2344290000015</v>
      </c>
      <c r="AL31" s="207">
        <f>AK31/AK$29</f>
        <v>0.60211677683127252</v>
      </c>
      <c r="AM31" s="149">
        <f>AM10</f>
        <v>2923.9680730000005</v>
      </c>
      <c r="AN31" s="207">
        <f>AM31/AM$29</f>
        <v>0.60120617363903128</v>
      </c>
    </row>
    <row r="32" spans="1:40" ht="18" customHeight="1" x14ac:dyDescent="0.2">
      <c r="A32" s="154"/>
      <c r="B32" s="1562"/>
      <c r="C32" s="1565" t="s">
        <v>458</v>
      </c>
      <c r="D32" s="1565"/>
      <c r="E32" s="149">
        <f>E14</f>
        <v>154.15199999999999</v>
      </c>
      <c r="F32" s="207">
        <f>E32/E$29</f>
        <v>0.10025419499527789</v>
      </c>
      <c r="G32" s="149">
        <f>G14</f>
        <v>187.20000000000002</v>
      </c>
      <c r="H32" s="207">
        <f>G32/G$29</f>
        <v>9.9870802552406421E-2</v>
      </c>
      <c r="I32" s="149">
        <f>I14</f>
        <v>223.92</v>
      </c>
      <c r="J32" s="207">
        <f>I32/I$29</f>
        <v>9.9749406744613064E-2</v>
      </c>
      <c r="K32" s="149">
        <f>K14</f>
        <v>242.28000000000003</v>
      </c>
      <c r="L32" s="207">
        <f>K32/K$29</f>
        <v>9.9526118022598475E-2</v>
      </c>
      <c r="M32" s="149">
        <f>M14</f>
        <v>260.64</v>
      </c>
      <c r="N32" s="207">
        <f>M32/M$29</f>
        <v>9.9335083899997678E-2</v>
      </c>
      <c r="O32" s="149">
        <f>O14</f>
        <v>279</v>
      </c>
      <c r="P32" s="207">
        <f>O32/O$29</f>
        <v>9.9169786271782523E-2</v>
      </c>
      <c r="Q32" s="149">
        <f>Q14</f>
        <v>297.36</v>
      </c>
      <c r="R32" s="207">
        <f>Q32/Q$29</f>
        <v>9.9025352459347529E-2</v>
      </c>
      <c r="S32" s="149">
        <f>S14</f>
        <v>315.72000000000003</v>
      </c>
      <c r="T32" s="207">
        <f>S32/S$29</f>
        <v>9.9031727075011733E-2</v>
      </c>
      <c r="U32" s="149">
        <f>U14</f>
        <v>334.08</v>
      </c>
      <c r="V32" s="207">
        <f>U32/U$29</f>
        <v>9.9037401722887761E-2</v>
      </c>
      <c r="W32" s="149">
        <f>W14</f>
        <v>370.8</v>
      </c>
      <c r="X32" s="207">
        <f>W32/W$29</f>
        <v>9.9047066649199877E-2</v>
      </c>
      <c r="Y32" s="149">
        <f>Y14</f>
        <v>407.52</v>
      </c>
      <c r="Z32" s="207">
        <f>Y32/Y$29</f>
        <v>9.9262906640619555E-2</v>
      </c>
      <c r="AA32" s="149">
        <f>AA14</f>
        <v>425.88</v>
      </c>
      <c r="AB32" s="207">
        <f>AA32/AA$29</f>
        <v>9.9157815637783031E-2</v>
      </c>
      <c r="AC32" s="149">
        <f>AC14</f>
        <v>407.52</v>
      </c>
      <c r="AD32" s="207">
        <f>AC32/AC$29</f>
        <v>9.9054991246871962E-2</v>
      </c>
      <c r="AE32" s="149">
        <f>AE14</f>
        <v>444.24</v>
      </c>
      <c r="AF32" s="207">
        <f>AE32/AE$29</f>
        <v>9.9061606752408909E-2</v>
      </c>
      <c r="AG32" s="149">
        <f>AG14</f>
        <v>462.59999999999997</v>
      </c>
      <c r="AH32" s="207">
        <f>AG32/AG$29</f>
        <v>9.8973199588362606E-2</v>
      </c>
      <c r="AI32" s="149">
        <f>AI14</f>
        <v>480.96000000000004</v>
      </c>
      <c r="AJ32" s="207">
        <f>AI32/AI$29</f>
        <v>9.9067212797499568E-2</v>
      </c>
      <c r="AK32" s="149">
        <f>AK14</f>
        <v>517.67999999999995</v>
      </c>
      <c r="AL32" s="207">
        <f>AK32/AK$29</f>
        <v>9.9072024054191341E-2</v>
      </c>
      <c r="AM32" s="149">
        <f>AM14</f>
        <v>480.96000000000004</v>
      </c>
      <c r="AN32" s="207">
        <f>AM32/AM$29</f>
        <v>9.8891682143695023E-2</v>
      </c>
    </row>
    <row r="33" spans="1:40" ht="18" customHeight="1" x14ac:dyDescent="0.2">
      <c r="A33" s="154"/>
      <c r="B33" s="1562"/>
      <c r="C33" s="1565" t="s">
        <v>459</v>
      </c>
      <c r="D33" s="1565"/>
      <c r="E33" s="149">
        <f>E22</f>
        <v>408.15000000000003</v>
      </c>
      <c r="F33" s="207">
        <f>E33/E$29</f>
        <v>0.26544416995772147</v>
      </c>
      <c r="G33" s="149">
        <f>G22</f>
        <v>497.92500000000007</v>
      </c>
      <c r="H33" s="207">
        <f>G33/G$29</f>
        <v>0.26564193034672529</v>
      </c>
      <c r="I33" s="149">
        <f>I22</f>
        <v>594.67500000000018</v>
      </c>
      <c r="J33" s="207">
        <f>I33/I$29</f>
        <v>0.2649092464087745</v>
      </c>
      <c r="K33" s="149">
        <f>K22</f>
        <v>646.42499999999995</v>
      </c>
      <c r="L33" s="207">
        <f>K33/K$29</f>
        <v>0.26554470382515361</v>
      </c>
      <c r="M33" s="149">
        <f>M22</f>
        <v>698.17500000000007</v>
      </c>
      <c r="N33" s="207">
        <f>M33/M$29</f>
        <v>0.26608836787093654</v>
      </c>
      <c r="O33" s="149">
        <f>O22</f>
        <v>749.92499999999995</v>
      </c>
      <c r="P33" s="207">
        <f>O33/O$29</f>
        <v>0.26655878842246056</v>
      </c>
      <c r="Q33" s="149">
        <f>Q22</f>
        <v>801.67500000000018</v>
      </c>
      <c r="R33" s="207">
        <f>Q33/Q$29</f>
        <v>0.26696983263669438</v>
      </c>
      <c r="S33" s="149">
        <f>S22</f>
        <v>850.05000000000018</v>
      </c>
      <c r="T33" s="207">
        <f>S33/S$29</f>
        <v>0.26663473837613622</v>
      </c>
      <c r="U33" s="149">
        <f>U22</f>
        <v>898.42500000000018</v>
      </c>
      <c r="V33" s="207">
        <f>U33/U$29</f>
        <v>0.26633643930461404</v>
      </c>
      <c r="W33" s="149">
        <f>W22</f>
        <v>995.17500000000007</v>
      </c>
      <c r="X33" s="207">
        <f>W33/W$29</f>
        <v>0.26582838336736109</v>
      </c>
      <c r="Y33" s="149">
        <f>Y22</f>
        <v>1085.175</v>
      </c>
      <c r="Z33" s="207">
        <f>Y33/Y$29</f>
        <v>0.26432475636467984</v>
      </c>
      <c r="AA33" s="149">
        <f>AA22</f>
        <v>1136.925</v>
      </c>
      <c r="AB33" s="207">
        <f>AA33/AA$29</f>
        <v>0.26471071556303766</v>
      </c>
      <c r="AC33" s="149">
        <f>AC22</f>
        <v>1091.925</v>
      </c>
      <c r="AD33" s="207">
        <f>AC33/AC$29</f>
        <v>0.26541181124175667</v>
      </c>
      <c r="AE33" s="149">
        <f>AE22</f>
        <v>1188.6750000000002</v>
      </c>
      <c r="AF33" s="207">
        <f>AE33/AE$29</f>
        <v>0.26506405412934381</v>
      </c>
      <c r="AG33" s="149">
        <f>AG22</f>
        <v>1240.425</v>
      </c>
      <c r="AH33" s="207">
        <f>AG33/AG$29</f>
        <v>0.26538873994681084</v>
      </c>
      <c r="AI33" s="149">
        <f>AI22</f>
        <v>1285.4250000000002</v>
      </c>
      <c r="AJ33" s="207">
        <f>AI33/AI$29</f>
        <v>0.26476936129870648</v>
      </c>
      <c r="AK33" s="149">
        <f>AK22</f>
        <v>1382.1750000000002</v>
      </c>
      <c r="AL33" s="207">
        <f>AK33/AK$29</f>
        <v>0.26451644808975033</v>
      </c>
      <c r="AM33" s="149">
        <f>AM22</f>
        <v>1292.1750000000002</v>
      </c>
      <c r="AN33" s="207">
        <f>AM33/AM$29</f>
        <v>0.26568812245099199</v>
      </c>
    </row>
    <row r="34" spans="1:40" ht="18" customHeight="1" x14ac:dyDescent="0.2">
      <c r="A34" s="154"/>
      <c r="B34" s="1563"/>
      <c r="C34" s="1565" t="s">
        <v>5</v>
      </c>
      <c r="D34" s="1565"/>
      <c r="E34" s="149">
        <f>E27</f>
        <v>52.47999999999999</v>
      </c>
      <c r="F34" s="207">
        <f>E34/E$29</f>
        <v>3.4130858849396588E-2</v>
      </c>
      <c r="G34" s="149">
        <f>G27</f>
        <v>64</v>
      </c>
      <c r="H34" s="207">
        <f>G34/G$29</f>
        <v>3.4143864120480823E-2</v>
      </c>
      <c r="I34" s="149">
        <f>I27</f>
        <v>76.8</v>
      </c>
      <c r="J34" s="207">
        <f>I34/I$29</f>
        <v>3.4212015175001262E-2</v>
      </c>
      <c r="K34" s="149">
        <f>K27</f>
        <v>83.2</v>
      </c>
      <c r="L34" s="207">
        <f>K34/K$29</f>
        <v>3.4177699436520527E-2</v>
      </c>
      <c r="M34" s="149">
        <f>M27</f>
        <v>89.600000000000009</v>
      </c>
      <c r="N34" s="207">
        <f>M34/M$29</f>
        <v>3.4148340689993069E-2</v>
      </c>
      <c r="O34" s="149">
        <f>O27</f>
        <v>96</v>
      </c>
      <c r="P34" s="207">
        <f>O34/O$29</f>
        <v>3.4122937211796135E-2</v>
      </c>
      <c r="Q34" s="149">
        <f>Q27</f>
        <v>102.4</v>
      </c>
      <c r="R34" s="207">
        <f>Q34/Q$29</f>
        <v>3.4100740152801949E-2</v>
      </c>
      <c r="S34" s="149">
        <f>S27</f>
        <v>108.80000000000001</v>
      </c>
      <c r="T34" s="207">
        <f>S34/S$29</f>
        <v>3.4127239027496759E-2</v>
      </c>
      <c r="U34" s="149">
        <f>U27</f>
        <v>115.19999999999999</v>
      </c>
      <c r="V34" s="207">
        <f>U34/U$29</f>
        <v>3.4150828180306118E-2</v>
      </c>
      <c r="W34" s="149">
        <f>W27</f>
        <v>128</v>
      </c>
      <c r="X34" s="207">
        <f>W34/W$29</f>
        <v>3.4191004668547964E-2</v>
      </c>
      <c r="Y34" s="149">
        <f>Y27</f>
        <v>140.80000000000001</v>
      </c>
      <c r="Z34" s="207">
        <f>Y34/Y$29</f>
        <v>3.4295782427854422E-2</v>
      </c>
      <c r="AA34" s="149">
        <f>AA27</f>
        <v>147.20000000000002</v>
      </c>
      <c r="AB34" s="207">
        <f>AA34/AA$29</f>
        <v>3.4272636568708707E-2</v>
      </c>
      <c r="AC34" s="149">
        <f>AC27</f>
        <v>140.80000000000001</v>
      </c>
      <c r="AD34" s="207">
        <f>AC34/AC$29</f>
        <v>3.4223946720552546E-2</v>
      </c>
      <c r="AE34" s="149">
        <f>AE27</f>
        <v>153.6</v>
      </c>
      <c r="AF34" s="207">
        <f>AE34/AE$29</f>
        <v>3.4251446959233767E-2</v>
      </c>
      <c r="AG34" s="149">
        <f>AG27</f>
        <v>160</v>
      </c>
      <c r="AH34" s="207">
        <f>AG34/AG$29</f>
        <v>3.4231975646645089E-2</v>
      </c>
      <c r="AI34" s="149">
        <f>AI27</f>
        <v>166.4</v>
      </c>
      <c r="AJ34" s="207">
        <f>AI34/AI$29</f>
        <v>3.4274750934597316E-2</v>
      </c>
      <c r="AK34" s="149">
        <f>AK27</f>
        <v>179.20000000000002</v>
      </c>
      <c r="AL34" s="207">
        <f>AK34/AK$29</f>
        <v>3.4294751024785762E-2</v>
      </c>
      <c r="AM34" s="149">
        <f>AM27</f>
        <v>166.4</v>
      </c>
      <c r="AN34" s="207">
        <f>AM34/AM$29</f>
        <v>3.4214021766281709E-2</v>
      </c>
    </row>
    <row r="35" spans="1:40" x14ac:dyDescent="0.2">
      <c r="A35" s="154"/>
      <c r="B35" s="172"/>
      <c r="C35" s="154"/>
      <c r="D35" s="227"/>
      <c r="E35" s="154"/>
      <c r="F35" s="154"/>
      <c r="G35" s="154"/>
      <c r="H35" s="154"/>
      <c r="I35" s="154"/>
      <c r="J35" s="154"/>
      <c r="K35" s="154"/>
      <c r="L35" s="154"/>
      <c r="M35" s="154"/>
      <c r="N35" s="154"/>
      <c r="O35" s="154"/>
      <c r="P35" s="154"/>
      <c r="Q35" s="228"/>
      <c r="R35" s="229"/>
      <c r="S35" s="154"/>
      <c r="T35" s="230"/>
      <c r="U35" s="154"/>
      <c r="V35" s="154"/>
      <c r="W35" s="154"/>
      <c r="X35" s="154"/>
      <c r="Y35" s="154"/>
      <c r="Z35" s="154"/>
      <c r="AA35" s="154"/>
      <c r="AB35" s="154"/>
      <c r="AC35" s="154"/>
      <c r="AD35" s="154"/>
      <c r="AE35" s="154"/>
      <c r="AF35" s="154"/>
      <c r="AG35" s="154"/>
      <c r="AH35" s="154"/>
      <c r="AI35" s="154"/>
      <c r="AJ35" s="154"/>
      <c r="AK35" s="154"/>
      <c r="AL35" s="154"/>
      <c r="AM35" s="154"/>
    </row>
    <row r="36" spans="1:40" x14ac:dyDescent="0.2">
      <c r="A36" s="154"/>
      <c r="B36" s="172"/>
      <c r="C36" s="154"/>
      <c r="D36" s="227"/>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4"/>
      <c r="AC36" s="154"/>
      <c r="AD36" s="154"/>
      <c r="AE36" s="154"/>
      <c r="AF36" s="154"/>
      <c r="AG36" s="154"/>
      <c r="AH36" s="154"/>
      <c r="AI36" s="154"/>
      <c r="AJ36" s="154"/>
      <c r="AK36" s="154"/>
      <c r="AL36" s="154"/>
      <c r="AM36" s="154"/>
    </row>
    <row r="37" spans="1:40" ht="36" x14ac:dyDescent="0.2">
      <c r="A37" s="154"/>
      <c r="B37" s="1375" t="s">
        <v>1462</v>
      </c>
      <c r="C37" s="1568" t="s">
        <v>1463</v>
      </c>
      <c r="D37" s="1569"/>
      <c r="E37" s="149">
        <f>(VLOOKUP("Prix HT",$C$1:$N$37,E$1,0))-(VLOOKUP("Non margé",$D$1:$N$37,E$1,0))</f>
        <v>827.74264659999994</v>
      </c>
      <c r="F37" s="207">
        <f>E37/VLOOKUP("Prix HT",$C$1:$N$37,E$1,0)</f>
        <v>0.53833017215568912</v>
      </c>
      <c r="G37" s="149">
        <f>(VLOOKUP("Prix HT",$C$1:$N$37,G$1,0))-(VLOOKUP("Non margé",$D$1:$N$37,G$1,0))</f>
        <v>1008.8088550000002</v>
      </c>
      <c r="H37" s="207">
        <f>G37/VLOOKUP("Prix HT",$C$1:$N$37,G$1,0)</f>
        <v>0.53819738232277892</v>
      </c>
      <c r="I37" s="149">
        <f>(VLOOKUP("Prix HT",$C$1:$N$37,I$1,0))-(VLOOKUP("Non margé",$D$1:$N$37,I$1,0))</f>
        <v>1206.802011</v>
      </c>
      <c r="J37" s="207">
        <f>I37/VLOOKUP("Prix HT",$C$1:$N$37,I$1,0)</f>
        <v>0.53759282179106826</v>
      </c>
      <c r="K37" s="149">
        <f>(VLOOKUP("Prix HT",$C$1:$N$37,K$1,0))-(VLOOKUP("Non margé",$D$1:$N$37,K$1,0))</f>
        <v>1309.3890490000001</v>
      </c>
      <c r="L37" s="207">
        <f>K37/VLOOKUP("Prix HT",$C$1:$N$37,K$1,0)</f>
        <v>0.5378834779109789</v>
      </c>
      <c r="M37" s="149">
        <f>(VLOOKUP("Prix HT",$C$1:$N$37,M$1,0))-(VLOOKUP("Non margé",$D$1:$N$37,M$1,0))</f>
        <v>1411.976087</v>
      </c>
      <c r="N37" s="207">
        <f>M37/VLOOKUP("Prix HT",$C$1:$N$37,M$1,0)</f>
        <v>0.53813214804686704</v>
      </c>
      <c r="O37" s="149">
        <f>(VLOOKUP("Prix HT",$C$1:$AM$37,O$1,0))-(VLOOKUP("Non margé",$D$1:$AM$37,O$1,0))</f>
        <v>1514.5631250000004</v>
      </c>
      <c r="P37" s="207">
        <f>O37/VLOOKUP("Prix HT",$C$1:$AM$37,O$1,0)</f>
        <v>0.53834731685079951</v>
      </c>
      <c r="Q37" s="149">
        <f>(VLOOKUP("Prix HT",$C$1:$AM$37,Q$1,0))-(VLOOKUP("Non margé",$D$1:$AM$37,Q$1,0))</f>
        <v>1617.150163</v>
      </c>
      <c r="R37" s="207">
        <f>Q37/VLOOKUP("Prix HT",$C$1:$AM$37,Q$1,0)</f>
        <v>0.53853532711449525</v>
      </c>
      <c r="S37" s="149">
        <f>(VLOOKUP("Prix HT",$C$1:$AM$37,S$1,0))-(VLOOKUP("Non margé",$D$1:$AM$37,S$1,0))</f>
        <v>1716.1467410000002</v>
      </c>
      <c r="T37" s="207">
        <f>S37/VLOOKUP("Prix HT",$C$1:$AM$37,S$1,0)</f>
        <v>0.53830284959895747</v>
      </c>
      <c r="U37" s="149">
        <f>(VLOOKUP("Prix HT",$C$1:$AM$37,U$1,0))-(VLOOKUP("Non margé",$D$1:$AM$37,U$1,0))</f>
        <v>1815.143319</v>
      </c>
      <c r="V37" s="207">
        <f>U37/VLOOKUP("Prix HT",$C$1:$AM$37,U$1,0)</f>
        <v>0.53809589939062141</v>
      </c>
      <c r="W37" s="149">
        <f>(VLOOKUP("Prix HT",$C$1:$AM$37,W$1,0))-(VLOOKUP("Non margé",$D$1:$AM$37,W$1,0))</f>
        <v>2013.1364749999998</v>
      </c>
      <c r="X37" s="207">
        <f>W37/VLOOKUP("Prix HT",$C$1:$AM$37,W$1,0)</f>
        <v>0.53774342668085295</v>
      </c>
      <c r="Y37" s="149">
        <f>(VLOOKUP("Prix HT",$C$1:$AM$37,Y$1,0))-(VLOOKUP("Non margé",$D$1:$AM$37,Y$1,0))</f>
        <v>2203.9487109999995</v>
      </c>
      <c r="Z37" s="207">
        <f>Y37/VLOOKUP("Prix HT",$C$1:$AM$37,Y$1,0)</f>
        <v>0.53683341956396435</v>
      </c>
      <c r="AA37" s="149">
        <f>(VLOOKUP("Prix HT",$C$1:$AM$37,AA$1,0))-(VLOOKUP("Non margé",$D$1:$AM$37,AA$1,0))</f>
        <v>2306.5357490000006</v>
      </c>
      <c r="AB37" s="207">
        <f>AA37/VLOOKUP("Prix HT",$C$1:$AM$37,AA$1,0)</f>
        <v>0.53703166751502274</v>
      </c>
      <c r="AC37" s="149">
        <f>(VLOOKUP("Prix HT",$C$1:$AM$37,AC$1,0))-(VLOOKUP("Non margé",$D$1:$AM$37,AC$1,0))</f>
        <v>2211.1296309999998</v>
      </c>
      <c r="AD37" s="207">
        <f>AC37/VLOOKUP("Prix HT",$C$1:$AM$37,AC$1,0)</f>
        <v>0.53745442246860087</v>
      </c>
      <c r="AE37" s="149">
        <f>(VLOOKUP("Prix HT",$C$1:$AM$37,AE$1,0))-(VLOOKUP("Non margé",$D$1:$AM$37,AE$1,0))</f>
        <v>2409.1227870000002</v>
      </c>
      <c r="AF37" s="207">
        <f>AE37/VLOOKUP("Prix HT",$C$1:$AM$37,AE$1,0)</f>
        <v>0.53721315987768192</v>
      </c>
      <c r="AG37" s="149">
        <f>(VLOOKUP("Prix HT",$C$1:$AM$37,AG$1,0))-(VLOOKUP("Non margé",$D$1:$AM$37,AG$1,0))</f>
        <v>2511.7098250000004</v>
      </c>
      <c r="AH37" s="207">
        <f>AG37/VLOOKUP("Prix HT",$C$1:$AM$37,AG$1,0)</f>
        <v>0.53737993475524504</v>
      </c>
      <c r="AI37" s="149">
        <f>(VLOOKUP("Prix HT",$C$1:$AM$37,AI$1,0))-(VLOOKUP("Non margé",$D$1:$AM$37,AI$1,0))</f>
        <v>2607.1159430000007</v>
      </c>
      <c r="AJ37" s="207">
        <f>AI37/VLOOKUP("Prix HT",$C$1:$AM$37,AI$1,0)</f>
        <v>0.53700871156215646</v>
      </c>
      <c r="AK37" s="149">
        <f>(VLOOKUP("Prix HT",$C$1:$AM$37,AK$1,0))-(VLOOKUP("Non margé",$D$1:$AM$37,AK$1,0))</f>
        <v>2805.1090990000012</v>
      </c>
      <c r="AL37" s="207">
        <f>AK37/VLOOKUP("Prix HT",$C$1:$AM$37,AK$1,0)</f>
        <v>0.53683324859132886</v>
      </c>
      <c r="AM37" s="149" t="e">
        <f>(VLOOKUP("Prix HT",$C$1:$AM$37,AM$1,0))-(VLOOKUP("Non margé",$D$1:$AM$37,AM$1,0))</f>
        <v>#REF!</v>
      </c>
    </row>
  </sheetData>
  <mergeCells count="43">
    <mergeCell ref="C37:D37"/>
    <mergeCell ref="AE2:AF2"/>
    <mergeCell ref="B2:B3"/>
    <mergeCell ref="C2:C3"/>
    <mergeCell ref="E2:F2"/>
    <mergeCell ref="G2:H2"/>
    <mergeCell ref="I2:J2"/>
    <mergeCell ref="K2:L2"/>
    <mergeCell ref="M2:N2"/>
    <mergeCell ref="O2:P2"/>
    <mergeCell ref="Q2:R2"/>
    <mergeCell ref="S2:T2"/>
    <mergeCell ref="U2:V2"/>
    <mergeCell ref="C32:D32"/>
    <mergeCell ref="C33:D33"/>
    <mergeCell ref="A4:A9"/>
    <mergeCell ref="A11:A14"/>
    <mergeCell ref="A15:A22"/>
    <mergeCell ref="A23:A27"/>
    <mergeCell ref="B29:B34"/>
    <mergeCell ref="AK29:AL29"/>
    <mergeCell ref="Q29:R29"/>
    <mergeCell ref="S29:T29"/>
    <mergeCell ref="U29:V29"/>
    <mergeCell ref="W29:X29"/>
    <mergeCell ref="Y29:Z29"/>
    <mergeCell ref="AA29:AB29"/>
    <mergeCell ref="AM29:AN29"/>
    <mergeCell ref="AM2:AN2"/>
    <mergeCell ref="C34:D34"/>
    <mergeCell ref="AC29:AD29"/>
    <mergeCell ref="AE29:AF29"/>
    <mergeCell ref="AG29:AH29"/>
    <mergeCell ref="AI29:AJ29"/>
    <mergeCell ref="E29:F29"/>
    <mergeCell ref="G29:H29"/>
    <mergeCell ref="I29:J29"/>
    <mergeCell ref="K29:L29"/>
    <mergeCell ref="M29:N29"/>
    <mergeCell ref="O29:P29"/>
    <mergeCell ref="C29:D29"/>
    <mergeCell ref="C30:D30"/>
    <mergeCell ref="C31:D31"/>
  </mergeCells>
  <dataValidations count="8">
    <dataValidation type="list" allowBlank="1" showInputMessage="1" showErrorMessage="1" promptTitle="MINIPELLE" prompt="choisir catégorie" sqref="B23:B26" xr:uid="{00000000-0002-0000-1100-000000000000}">
      <formula1>CATEGORIE_MP</formula1>
    </dataValidation>
    <dataValidation type="list" allowBlank="1" showInputMessage="1" showErrorMessage="1" promptTitle="Catégorie MOC" prompt="choisir" sqref="B15:B21" xr:uid="{00000000-0002-0000-1100-000001000000}">
      <formula1>CATEGORIE_MOC</formula1>
    </dataValidation>
    <dataValidation type="list" allowBlank="1" showInputMessage="1" showErrorMessage="1" promptTitle="MATIERES" prompt="choisir catégorie" sqref="B4:B9" xr:uid="{00000000-0002-0000-1100-000002000000}">
      <formula1>MOA_ALIM</formula1>
    </dataValidation>
    <dataValidation type="list" allowBlank="1" showInputMessage="1" showErrorMessage="1" promptTitle="MATIERES" prompt="choisir le produit" sqref="C4:C9" xr:uid="{00000000-0002-0000-1100-000003000000}">
      <formula1>INDIRECT(B4)</formula1>
    </dataValidation>
    <dataValidation type="list" allowBlank="1" showInputMessage="1" promptTitle="Main d'oeuvre CHANTIER" prompt="choisir la prestation" sqref="C15:C21" xr:uid="{00000000-0002-0000-1100-000004000000}">
      <formula1>INDIRECT(B15)</formula1>
    </dataValidation>
    <dataValidation type="list" allowBlank="1" showInputMessage="1" promptTitle="MINIPELLE" prompt="choisir la prestation" sqref="C23:C26" xr:uid="{00000000-0002-0000-1100-000005000000}">
      <formula1>INDIRECT(B23)</formula1>
    </dataValidation>
    <dataValidation type="list" allowBlank="1" showInputMessage="1" showErrorMessage="1" promptTitle="MO ATELIER" prompt="choisir catégorie" sqref="B11:B13" xr:uid="{00000000-0002-0000-1100-000006000000}">
      <formula1>CATEGORIE_MOA</formula1>
    </dataValidation>
    <dataValidation type="list" allowBlank="1" showInputMessage="1" showErrorMessage="1" promptTitle="Main d'oeuvre ATELIER" prompt="choisir la prestation" sqref="C11:C13" xr:uid="{00000000-0002-0000-1100-000007000000}">
      <formula1>INDIRECT(B11)</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published="0" codeName="Feuil19"/>
  <dimension ref="A1:AN40"/>
  <sheetViews>
    <sheetView zoomScale="70" zoomScaleNormal="70" workbookViewId="0">
      <pane xSplit="4" ySplit="3" topLeftCell="E4" activePane="bottomRight" state="frozen"/>
      <selection pane="topRight" activeCell="E1" sqref="E1"/>
      <selection pane="bottomLeft" activeCell="A4" sqref="A4"/>
      <selection pane="bottomRight" activeCell="K27" sqref="K27:L27"/>
    </sheetView>
  </sheetViews>
  <sheetFormatPr baseColWidth="10" defaultRowHeight="18" x14ac:dyDescent="0.2"/>
  <cols>
    <col min="1" max="1" width="18.125" style="210" customWidth="1"/>
    <col min="2" max="2" width="22.5" style="233"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807" width="11.5" customWidth="1"/>
  </cols>
  <sheetData>
    <row r="1" spans="1:40"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t="s">
        <v>467</v>
      </c>
    </row>
    <row r="2" spans="1:40" ht="35.1" customHeight="1" x14ac:dyDescent="0.2">
      <c r="A2" s="174"/>
      <c r="B2" s="1572" t="s">
        <v>972</v>
      </c>
      <c r="C2" s="1574" t="s">
        <v>468</v>
      </c>
      <c r="D2" s="115" t="s">
        <v>203</v>
      </c>
      <c r="E2" s="1571">
        <v>2</v>
      </c>
      <c r="F2" s="1571"/>
      <c r="G2" s="1571">
        <v>3</v>
      </c>
      <c r="H2" s="1571"/>
      <c r="I2" s="1571">
        <v>4</v>
      </c>
      <c r="J2" s="1571"/>
      <c r="K2" s="1571">
        <v>5</v>
      </c>
      <c r="L2" s="1571"/>
      <c r="M2" s="1571">
        <v>6</v>
      </c>
      <c r="N2" s="1571"/>
      <c r="O2" s="1571">
        <v>7</v>
      </c>
      <c r="P2" s="1571"/>
      <c r="Q2" s="1571">
        <v>8</v>
      </c>
      <c r="R2" s="1571"/>
      <c r="S2" s="1571">
        <v>9</v>
      </c>
      <c r="T2" s="1571"/>
      <c r="U2" s="1571">
        <v>10</v>
      </c>
      <c r="V2" s="1571"/>
      <c r="W2" s="218">
        <v>12</v>
      </c>
      <c r="X2" s="213" t="s">
        <v>469</v>
      </c>
      <c r="Y2" s="213">
        <v>12</v>
      </c>
      <c r="Z2" s="214" t="s">
        <v>470</v>
      </c>
      <c r="AA2" s="218">
        <v>14</v>
      </c>
      <c r="AB2" s="213" t="s">
        <v>471</v>
      </c>
      <c r="AC2" s="218">
        <v>14</v>
      </c>
      <c r="AD2" s="213" t="s">
        <v>472</v>
      </c>
      <c r="AE2" s="1571">
        <v>16</v>
      </c>
      <c r="AF2" s="1571"/>
      <c r="AG2" s="218">
        <v>18</v>
      </c>
      <c r="AH2" s="213" t="s">
        <v>473</v>
      </c>
      <c r="AI2" s="218">
        <v>18</v>
      </c>
      <c r="AJ2" s="213" t="s">
        <v>474</v>
      </c>
      <c r="AK2" s="218">
        <v>20</v>
      </c>
      <c r="AL2" s="213" t="s">
        <v>475</v>
      </c>
      <c r="AM2" s="1619">
        <v>20</v>
      </c>
      <c r="AN2" s="1620"/>
    </row>
    <row r="3" spans="1:40" ht="35.1" customHeight="1" x14ac:dyDescent="0.2">
      <c r="A3" s="174"/>
      <c r="B3" s="1573"/>
      <c r="C3" s="1574"/>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1380" t="s">
        <v>477</v>
      </c>
    </row>
    <row r="4" spans="1:40" ht="15" customHeight="1" x14ac:dyDescent="0.2">
      <c r="A4" s="1630" t="s">
        <v>1078</v>
      </c>
      <c r="B4" s="361" t="s">
        <v>239</v>
      </c>
      <c r="C4" s="362" t="s">
        <v>780</v>
      </c>
      <c r="D4" s="363" t="str">
        <f>IF($C4="","",VLOOKUP($C4,MATIERES!$A$2:$F$227,5,0))</f>
        <v>ml</v>
      </c>
      <c r="E4" s="364">
        <f>4*1.3</f>
        <v>5.2</v>
      </c>
      <c r="F4" s="365">
        <f>IF($C4="","",E4*VLOOKUP($C4,MATIERES!$A$2:$F$349,4,0))</f>
        <v>12.740000000000002</v>
      </c>
      <c r="G4" s="364">
        <f>4*1.3</f>
        <v>5.2</v>
      </c>
      <c r="H4" s="365">
        <f>IF($C4="","",G4*VLOOKUP($C4,MATIERES!$A$2:$F$349,4,0))</f>
        <v>12.740000000000002</v>
      </c>
      <c r="I4" s="364">
        <f>4*1.3</f>
        <v>5.2</v>
      </c>
      <c r="J4" s="365">
        <f>IF($C4="","",I4*VLOOKUP($C4,MATIERES!$A$2:$F$349,4,0))</f>
        <v>12.740000000000002</v>
      </c>
      <c r="K4" s="364">
        <f>4*1.3</f>
        <v>5.2</v>
      </c>
      <c r="L4" s="365">
        <f>IF($C4="","",K4*VLOOKUP($C4,MATIERES!$A$2:$F$349,4,0))</f>
        <v>12.740000000000002</v>
      </c>
      <c r="M4" s="364">
        <f>4*1.3</f>
        <v>5.2</v>
      </c>
      <c r="N4" s="365">
        <f>IF($C4="","",M4*VLOOKUP($C4,MATIERES!$A$2:$F$349,4,0))</f>
        <v>12.740000000000002</v>
      </c>
      <c r="O4" s="364">
        <f>4*1.3</f>
        <v>5.2</v>
      </c>
      <c r="P4" s="365">
        <f>IF($C4="","",O4*VLOOKUP($C4,MATIERES!$A$2:$F$349,4,0))</f>
        <v>12.740000000000002</v>
      </c>
      <c r="Q4" s="364">
        <f>4*1.3</f>
        <v>5.2</v>
      </c>
      <c r="R4" s="365">
        <f>IF($C4="","",Q4*VLOOKUP($C4,MATIERES!$A$2:$F$349,4,0))</f>
        <v>12.740000000000002</v>
      </c>
      <c r="S4" s="364">
        <f>4*1.3</f>
        <v>5.2</v>
      </c>
      <c r="T4" s="365">
        <f>IF($C4="","",S4*VLOOKUP($C4,MATIERES!$A$2:$F$349,4,0))</f>
        <v>12.740000000000002</v>
      </c>
      <c r="U4" s="364">
        <f>4*1.3</f>
        <v>5.2</v>
      </c>
      <c r="V4" s="365">
        <f>IF($C4="","",U4*VLOOKUP($C4,MATIERES!$A$2:$F$349,4,0))</f>
        <v>12.740000000000002</v>
      </c>
      <c r="W4" s="364">
        <f>4*1.3</f>
        <v>5.2</v>
      </c>
      <c r="X4" s="365">
        <f>IF($C4="","",W4*VLOOKUP($C4,MATIERES!$A$2:$F$349,4,0))</f>
        <v>12.740000000000002</v>
      </c>
      <c r="Y4" s="364">
        <f>4*1.3</f>
        <v>5.2</v>
      </c>
      <c r="Z4" s="365">
        <f>IF($C4="","",Y4*VLOOKUP($C4,MATIERES!$A$2:$F$349,4,0))</f>
        <v>12.740000000000002</v>
      </c>
      <c r="AA4" s="364">
        <f>4*1.3</f>
        <v>5.2</v>
      </c>
      <c r="AB4" s="365">
        <f>IF($C4="","",AA4*VLOOKUP($C4,MATIERES!$A$2:$F$349,4,0))</f>
        <v>12.740000000000002</v>
      </c>
      <c r="AC4" s="364">
        <f>4*1.3</f>
        <v>5.2</v>
      </c>
      <c r="AD4" s="365">
        <f>IF($C4="","",AC4*VLOOKUP($C4,MATIERES!$A$2:$F$349,4,0))</f>
        <v>12.740000000000002</v>
      </c>
      <c r="AE4" s="364">
        <f>4*1.3</f>
        <v>5.2</v>
      </c>
      <c r="AF4" s="365">
        <f>IF($C4="","",AE4*VLOOKUP($C4,MATIERES!$A$2:$F$349,4,0))</f>
        <v>12.740000000000002</v>
      </c>
      <c r="AG4" s="364">
        <f>4*1.3</f>
        <v>5.2</v>
      </c>
      <c r="AH4" s="365">
        <f>IF($C4="","",AG4*VLOOKUP($C4,MATIERES!$A$2:$F$349,4,0))</f>
        <v>12.740000000000002</v>
      </c>
      <c r="AI4" s="364">
        <f>4*1.3</f>
        <v>5.2</v>
      </c>
      <c r="AJ4" s="365">
        <f>IF($C4="","",AI4*VLOOKUP($C4,MATIERES!$A$2:$F$349,4,0))</f>
        <v>12.740000000000002</v>
      </c>
      <c r="AK4" s="364">
        <f>4*1.3</f>
        <v>5.2</v>
      </c>
      <c r="AL4" s="365">
        <f>IF($C4="","",AK4*VLOOKUP($C4,MATIERES!$A$2:$F$349,4,0))</f>
        <v>12.740000000000002</v>
      </c>
      <c r="AM4" s="364">
        <f>4*1.3</f>
        <v>5.2</v>
      </c>
      <c r="AN4" s="365">
        <f>IF($C4="","",AM4*VLOOKUP($C4,MATIERES!$A$2:$F$349,4,0))</f>
        <v>12.740000000000002</v>
      </c>
    </row>
    <row r="5" spans="1:40" ht="15" customHeight="1" x14ac:dyDescent="0.2">
      <c r="A5" s="1631"/>
      <c r="B5" s="361" t="s">
        <v>239</v>
      </c>
      <c r="C5" s="362" t="s">
        <v>779</v>
      </c>
      <c r="D5" s="363" t="str">
        <f>IF($C5="","",VLOOKUP($C5,MATIERES!$A$2:$F$227,5,0))</f>
        <v>ml</v>
      </c>
      <c r="E5" s="364">
        <f>'Outils de calculs'!E26*1.1</f>
        <v>9.02</v>
      </c>
      <c r="F5" s="365">
        <f>IF($C5="","",E5*VLOOKUP($C5,MATIERES!$A$2:$F$349,4,0))</f>
        <v>17.047799999999999</v>
      </c>
      <c r="G5" s="364">
        <f>'Outils de calculs'!G26*1.1</f>
        <v>11</v>
      </c>
      <c r="H5" s="365">
        <f>IF($C5="","",G5*VLOOKUP($C5,MATIERES!$A$2:$F$349,4,0))</f>
        <v>20.79</v>
      </c>
      <c r="I5" s="364">
        <f>'Outils de calculs'!I26*1.1</f>
        <v>13.200000000000001</v>
      </c>
      <c r="J5" s="365">
        <f>IF($C5="","",I5*VLOOKUP($C5,MATIERES!$A$2:$F$349,4,0))</f>
        <v>24.948</v>
      </c>
      <c r="K5" s="364">
        <f>'Outils de calculs'!K26*1.1</f>
        <v>14.3</v>
      </c>
      <c r="L5" s="365">
        <f>IF($C5="","",K5*VLOOKUP($C5,MATIERES!$A$2:$F$349,4,0))</f>
        <v>27.027000000000001</v>
      </c>
      <c r="M5" s="364">
        <f>'Outils de calculs'!M26*1.1</f>
        <v>15.400000000000002</v>
      </c>
      <c r="N5" s="365">
        <f>IF($C5="","",M5*VLOOKUP($C5,MATIERES!$A$2:$F$349,4,0))</f>
        <v>29.106000000000002</v>
      </c>
      <c r="O5" s="364">
        <f>'Outils de calculs'!O26*1.1</f>
        <v>16.5</v>
      </c>
      <c r="P5" s="365">
        <f>IF($C5="","",O5*VLOOKUP($C5,MATIERES!$A$2:$F$349,4,0))</f>
        <v>31.184999999999999</v>
      </c>
      <c r="Q5" s="364">
        <f>'Outils de calculs'!Q26*1.1</f>
        <v>17.600000000000001</v>
      </c>
      <c r="R5" s="365">
        <f>IF($C5="","",Q5*VLOOKUP($C5,MATIERES!$A$2:$F$349,4,0))</f>
        <v>33.264000000000003</v>
      </c>
      <c r="S5" s="364">
        <f>'Outils de calculs'!S26*1.1</f>
        <v>18.700000000000003</v>
      </c>
      <c r="T5" s="365">
        <f>IF($C5="","",S5*VLOOKUP($C5,MATIERES!$A$2:$F$349,4,0))</f>
        <v>35.343000000000004</v>
      </c>
      <c r="U5" s="364">
        <f>'Outils de calculs'!U26*1.1</f>
        <v>19.8</v>
      </c>
      <c r="V5" s="365">
        <f>IF($C5="","",U5*VLOOKUP($C5,MATIERES!$A$2:$F$349,4,0))</f>
        <v>37.421999999999997</v>
      </c>
      <c r="W5" s="364">
        <f>'Outils de calculs'!W26*1.1</f>
        <v>22</v>
      </c>
      <c r="X5" s="365">
        <f>IF($C5="","",W5*VLOOKUP($C5,MATIERES!$A$2:$F$349,4,0))</f>
        <v>41.58</v>
      </c>
      <c r="Y5" s="364">
        <f>'Outils de calculs'!Y26*1.1</f>
        <v>24.200000000000003</v>
      </c>
      <c r="Z5" s="365">
        <f>IF($C5="","",Y5*VLOOKUP($C5,MATIERES!$A$2:$F$349,4,0))</f>
        <v>45.738</v>
      </c>
      <c r="AA5" s="364">
        <f>'Outils de calculs'!AA26*1.1</f>
        <v>25.3</v>
      </c>
      <c r="AB5" s="365">
        <f>IF($C5="","",AA5*VLOOKUP($C5,MATIERES!$A$2:$F$349,4,0))</f>
        <v>47.817</v>
      </c>
      <c r="AC5" s="364">
        <f>'Outils de calculs'!AC26*1.1</f>
        <v>24.200000000000003</v>
      </c>
      <c r="AD5" s="365">
        <f>IF($C5="","",AC5*VLOOKUP($C5,MATIERES!$A$2:$F$349,4,0))</f>
        <v>45.738</v>
      </c>
      <c r="AE5" s="364">
        <f>'Outils de calculs'!AE26*1.1</f>
        <v>26.400000000000002</v>
      </c>
      <c r="AF5" s="365">
        <f>IF($C5="","",AE5*VLOOKUP($C5,MATIERES!$A$2:$F$349,4,0))</f>
        <v>49.896000000000001</v>
      </c>
      <c r="AG5" s="364">
        <f>'Outils de calculs'!AG26*1.1</f>
        <v>27.500000000000004</v>
      </c>
      <c r="AH5" s="365">
        <f>IF($C5="","",AG5*VLOOKUP($C5,MATIERES!$A$2:$F$349,4,0))</f>
        <v>51.975000000000001</v>
      </c>
      <c r="AI5" s="364">
        <f>'Outils de calculs'!AI26*1.1</f>
        <v>28.6</v>
      </c>
      <c r="AJ5" s="365">
        <f>IF($C5="","",AI5*VLOOKUP($C5,MATIERES!$A$2:$F$349,4,0))</f>
        <v>54.054000000000002</v>
      </c>
      <c r="AK5" s="364">
        <f>'Outils de calculs'!AK26*1.1</f>
        <v>30.800000000000004</v>
      </c>
      <c r="AL5" s="365">
        <f>IF($C5="","",AK5*VLOOKUP($C5,MATIERES!$A$2:$F$349,4,0))</f>
        <v>58.212000000000003</v>
      </c>
      <c r="AM5" s="364">
        <f>'Outils de calculs'!AM26*1.1</f>
        <v>28.6</v>
      </c>
      <c r="AN5" s="365">
        <f>IF($C5="","",AM5*VLOOKUP($C5,MATIERES!$A$2:$F$349,4,0))</f>
        <v>54.054000000000002</v>
      </c>
    </row>
    <row r="6" spans="1:40" ht="15" customHeight="1" x14ac:dyDescent="0.2">
      <c r="A6" s="1631"/>
      <c r="B6" s="361" t="s">
        <v>1069</v>
      </c>
      <c r="C6" s="362" t="s">
        <v>761</v>
      </c>
      <c r="D6" s="363" t="str">
        <f>IF($C6="","",VLOOKUP($C6,MATIERES!$A$2:$F$227,5,0))</f>
        <v>ml</v>
      </c>
      <c r="E6" s="364">
        <f>'Outils de calculs'!E26*1.92</f>
        <v>15.743999999999998</v>
      </c>
      <c r="F6" s="365">
        <f>IF($C6="","",E6*VLOOKUP($C6,MATIERES!$A$2:$F$349,4,0))</f>
        <v>106.11455999999998</v>
      </c>
      <c r="G6" s="364">
        <f>'Outils de calculs'!G26*1.92</f>
        <v>19.2</v>
      </c>
      <c r="H6" s="365">
        <f>IF($C6="","",G6*VLOOKUP($C6,MATIERES!$A$2:$F$349,4,0))</f>
        <v>129.40799999999999</v>
      </c>
      <c r="I6" s="364">
        <f>'Outils de calculs'!I26*1.92</f>
        <v>23.04</v>
      </c>
      <c r="J6" s="365">
        <f>IF($C6="","",I6*VLOOKUP($C6,MATIERES!$A$2:$F$349,4,0))</f>
        <v>155.28960000000001</v>
      </c>
      <c r="K6" s="364">
        <f>'Outils de calculs'!K26*1.92</f>
        <v>24.96</v>
      </c>
      <c r="L6" s="365">
        <f>IF($C6="","",K6*VLOOKUP($C6,MATIERES!$A$2:$F$349,4,0))</f>
        <v>168.2304</v>
      </c>
      <c r="M6" s="364">
        <f>'Outils de calculs'!M26*1.92</f>
        <v>26.88</v>
      </c>
      <c r="N6" s="365">
        <f>IF($C6="","",M6*VLOOKUP($C6,MATIERES!$A$2:$F$349,4,0))</f>
        <v>181.1712</v>
      </c>
      <c r="O6" s="364">
        <f>'Outils de calculs'!O26*1.92</f>
        <v>28.799999999999997</v>
      </c>
      <c r="P6" s="365">
        <f>IF($C6="","",O6*VLOOKUP($C6,MATIERES!$A$2:$F$349,4,0))</f>
        <v>194.11199999999999</v>
      </c>
      <c r="Q6" s="364">
        <f>'Outils de calculs'!Q26*1.92</f>
        <v>30.72</v>
      </c>
      <c r="R6" s="365">
        <f>IF($C6="","",Q6*VLOOKUP($C6,MATIERES!$A$2:$F$349,4,0))</f>
        <v>207.05279999999999</v>
      </c>
      <c r="S6" s="364">
        <f>'Outils de calculs'!S26*1.92</f>
        <v>32.64</v>
      </c>
      <c r="T6" s="365">
        <f>IF($C6="","",S6*VLOOKUP($C6,MATIERES!$A$2:$F$349,4,0))</f>
        <v>219.99360000000001</v>
      </c>
      <c r="U6" s="364">
        <f>'Outils de calculs'!U26*1.92</f>
        <v>34.56</v>
      </c>
      <c r="V6" s="365">
        <f>IF($C6="","",U6*VLOOKUP($C6,MATIERES!$A$2:$F$349,4,0))</f>
        <v>232.93440000000001</v>
      </c>
      <c r="W6" s="364">
        <f>'Outils de calculs'!W26*1.92</f>
        <v>38.4</v>
      </c>
      <c r="X6" s="365">
        <f>IF($C6="","",W6*VLOOKUP($C6,MATIERES!$A$2:$F$349,4,0))</f>
        <v>258.81599999999997</v>
      </c>
      <c r="Y6" s="364">
        <f>'Outils de calculs'!Y26*1.92</f>
        <v>42.239999999999995</v>
      </c>
      <c r="Z6" s="365">
        <f>IF($C6="","",Y6*VLOOKUP($C6,MATIERES!$A$2:$F$349,4,0))</f>
        <v>284.69759999999997</v>
      </c>
      <c r="AA6" s="364">
        <f>'Outils de calculs'!AA26*1.92</f>
        <v>44.16</v>
      </c>
      <c r="AB6" s="365">
        <f>IF($C6="","",AA6*VLOOKUP($C6,MATIERES!$A$2:$F$349,4,0))</f>
        <v>297.63839999999999</v>
      </c>
      <c r="AC6" s="364">
        <f>'Outils de calculs'!AC26*1.92</f>
        <v>42.239999999999995</v>
      </c>
      <c r="AD6" s="365">
        <f>IF($C6="","",AC6*VLOOKUP($C6,MATIERES!$A$2:$F$349,4,0))</f>
        <v>284.69759999999997</v>
      </c>
      <c r="AE6" s="364">
        <f>'Outils de calculs'!AE26*1.92</f>
        <v>46.08</v>
      </c>
      <c r="AF6" s="365">
        <f>IF($C6="","",AE6*VLOOKUP($C6,MATIERES!$A$2:$F$349,4,0))</f>
        <v>310.57920000000001</v>
      </c>
      <c r="AG6" s="364">
        <f>'Outils de calculs'!AG26*1.92</f>
        <v>48</v>
      </c>
      <c r="AH6" s="365">
        <f>IF($C6="","",AG6*VLOOKUP($C6,MATIERES!$A$2:$F$349,4,0))</f>
        <v>323.52</v>
      </c>
      <c r="AI6" s="364">
        <f>'Outils de calculs'!AI26*1.92</f>
        <v>49.92</v>
      </c>
      <c r="AJ6" s="365">
        <f>IF($C6="","",AI6*VLOOKUP($C6,MATIERES!$A$2:$F$349,4,0))</f>
        <v>336.46080000000001</v>
      </c>
      <c r="AK6" s="364">
        <f>'Outils de calculs'!AK26*1.92</f>
        <v>53.76</v>
      </c>
      <c r="AL6" s="365">
        <f>IF($C6="","",AK6*VLOOKUP($C6,MATIERES!$A$2:$F$349,4,0))</f>
        <v>362.3424</v>
      </c>
      <c r="AM6" s="364">
        <f>'Outils de calculs'!AM26*1.92</f>
        <v>49.92</v>
      </c>
      <c r="AN6" s="365">
        <f>IF($C6="","",AM6*VLOOKUP($C6,MATIERES!$A$2:$F$349,4,0))</f>
        <v>336.46080000000001</v>
      </c>
    </row>
    <row r="7" spans="1:40" ht="15" customHeight="1" x14ac:dyDescent="0.2">
      <c r="A7" s="1631"/>
      <c r="B7" s="361" t="s">
        <v>764</v>
      </c>
      <c r="C7" s="362" t="s">
        <v>768</v>
      </c>
      <c r="D7" s="363" t="str">
        <f>IF($C7="","",VLOOKUP($C7,MATIERES!$A$2:$F$413,5,0))</f>
        <v>pc</v>
      </c>
      <c r="E7" s="364">
        <f>12</f>
        <v>12</v>
      </c>
      <c r="F7" s="365">
        <f>IF($C7="","",E7*VLOOKUP($C7,MATIERES!$A$2:$F$349,4,0))</f>
        <v>4.7380000000000004</v>
      </c>
      <c r="G7" s="364">
        <f>12</f>
        <v>12</v>
      </c>
      <c r="H7" s="365">
        <f>IF($C7="","",G7*VLOOKUP($C7,MATIERES!$A$2:$F$349,4,0))</f>
        <v>4.7380000000000004</v>
      </c>
      <c r="I7" s="364">
        <f>12</f>
        <v>12</v>
      </c>
      <c r="J7" s="365">
        <f>IF($C7="","",I7*VLOOKUP($C7,MATIERES!$A$2:$F$349,4,0))</f>
        <v>4.7380000000000004</v>
      </c>
      <c r="K7" s="364">
        <f>12</f>
        <v>12</v>
      </c>
      <c r="L7" s="365">
        <f>IF($C7="","",K7*VLOOKUP($C7,MATIERES!$A$2:$F$349,4,0))</f>
        <v>4.7380000000000004</v>
      </c>
      <c r="M7" s="364">
        <f>12</f>
        <v>12</v>
      </c>
      <c r="N7" s="365">
        <f>IF($C7="","",M7*VLOOKUP($C7,MATIERES!$A$2:$F$349,4,0))</f>
        <v>4.7380000000000004</v>
      </c>
      <c r="O7" s="364">
        <f>12</f>
        <v>12</v>
      </c>
      <c r="P7" s="365">
        <f>IF($C7="","",O7*VLOOKUP($C7,MATIERES!$A$2:$F$349,4,0))</f>
        <v>4.7380000000000004</v>
      </c>
      <c r="Q7" s="364">
        <f>12</f>
        <v>12</v>
      </c>
      <c r="R7" s="365">
        <f>IF($C7="","",Q7*VLOOKUP($C7,MATIERES!$A$2:$F$349,4,0))</f>
        <v>4.7380000000000004</v>
      </c>
      <c r="S7" s="364">
        <f>12</f>
        <v>12</v>
      </c>
      <c r="T7" s="365">
        <f>IF($C7="","",S7*VLOOKUP($C7,MATIERES!$A$2:$F$349,4,0))</f>
        <v>4.7380000000000004</v>
      </c>
      <c r="U7" s="364">
        <f>12</f>
        <v>12</v>
      </c>
      <c r="V7" s="365">
        <f>IF($C7="","",U7*VLOOKUP($C7,MATIERES!$A$2:$F$349,4,0))</f>
        <v>4.7380000000000004</v>
      </c>
      <c r="W7" s="364">
        <f>12</f>
        <v>12</v>
      </c>
      <c r="X7" s="365">
        <f>IF($C7="","",W7*VLOOKUP($C7,MATIERES!$A$2:$F$349,4,0))</f>
        <v>4.7380000000000004</v>
      </c>
      <c r="Y7" s="364">
        <f>12</f>
        <v>12</v>
      </c>
      <c r="Z7" s="365">
        <f>IF($C7="","",Y7*VLOOKUP($C7,MATIERES!$A$2:$F$349,4,0))</f>
        <v>4.7380000000000004</v>
      </c>
      <c r="AA7" s="364">
        <f>12</f>
        <v>12</v>
      </c>
      <c r="AB7" s="365">
        <f>IF($C7="","",AA7*VLOOKUP($C7,MATIERES!$A$2:$F$349,4,0))</f>
        <v>4.7380000000000004</v>
      </c>
      <c r="AC7" s="364">
        <f>12</f>
        <v>12</v>
      </c>
      <c r="AD7" s="365">
        <f>IF($C7="","",AC7*VLOOKUP($C7,MATIERES!$A$2:$F$349,4,0))</f>
        <v>4.7380000000000004</v>
      </c>
      <c r="AE7" s="364">
        <f>12</f>
        <v>12</v>
      </c>
      <c r="AF7" s="365">
        <f>IF($C7="","",AE7*VLOOKUP($C7,MATIERES!$A$2:$F$349,4,0))</f>
        <v>4.7380000000000004</v>
      </c>
      <c r="AG7" s="364">
        <f>12</f>
        <v>12</v>
      </c>
      <c r="AH7" s="365">
        <f>IF($C7="","",AG7*VLOOKUP($C7,MATIERES!$A$2:$F$349,4,0))</f>
        <v>4.7380000000000004</v>
      </c>
      <c r="AI7" s="364">
        <f>12</f>
        <v>12</v>
      </c>
      <c r="AJ7" s="365">
        <f>IF($C7="","",AI7*VLOOKUP($C7,MATIERES!$A$2:$F$349,4,0))</f>
        <v>4.7380000000000004</v>
      </c>
      <c r="AK7" s="364">
        <f>12</f>
        <v>12</v>
      </c>
      <c r="AL7" s="365">
        <f>IF($C7="","",AK7*VLOOKUP($C7,MATIERES!$A$2:$F$349,4,0))</f>
        <v>4.7380000000000004</v>
      </c>
      <c r="AM7" s="364">
        <f>12</f>
        <v>12</v>
      </c>
      <c r="AN7" s="365">
        <f>IF($C7="","",AM7*VLOOKUP($C7,MATIERES!$A$2:$F$349,4,0))</f>
        <v>4.7380000000000004</v>
      </c>
    </row>
    <row r="8" spans="1:40" ht="15" customHeight="1" x14ac:dyDescent="0.2">
      <c r="A8" s="1631"/>
      <c r="B8" s="361" t="s">
        <v>764</v>
      </c>
      <c r="C8" s="362" t="s">
        <v>767</v>
      </c>
      <c r="D8" s="363" t="str">
        <f>IF($C8="","",VLOOKUP($C8,MATIERES!$A$2:$F$413,5,0))</f>
        <v>pc</v>
      </c>
      <c r="E8" s="364">
        <f>E6*4</f>
        <v>62.975999999999992</v>
      </c>
      <c r="F8" s="365">
        <f>IF($C8="","",E8*VLOOKUP($C8,MATIERES!$A$2:$F$349,4,0))</f>
        <v>11.776511999999999</v>
      </c>
      <c r="G8" s="364">
        <f>G6*4</f>
        <v>76.8</v>
      </c>
      <c r="H8" s="365">
        <f>IF($C8="","",G8*VLOOKUP($C8,MATIERES!$A$2:$F$349,4,0))</f>
        <v>14.361599999999999</v>
      </c>
      <c r="I8" s="364">
        <f>I6*4</f>
        <v>92.16</v>
      </c>
      <c r="J8" s="365">
        <f>IF($C8="","",I8*VLOOKUP($C8,MATIERES!$A$2:$F$349,4,0))</f>
        <v>17.233919999999998</v>
      </c>
      <c r="K8" s="364">
        <f>K6*4</f>
        <v>99.84</v>
      </c>
      <c r="L8" s="365">
        <f>IF($C8="","",K8*VLOOKUP($C8,MATIERES!$A$2:$F$349,4,0))</f>
        <v>18.670080000000002</v>
      </c>
      <c r="M8" s="364">
        <f>M6*4</f>
        <v>107.52</v>
      </c>
      <c r="N8" s="365">
        <f>IF($C8="","",M8*VLOOKUP($C8,MATIERES!$A$2:$F$349,4,0))</f>
        <v>20.10624</v>
      </c>
      <c r="O8" s="364">
        <f>O6*4</f>
        <v>115.19999999999999</v>
      </c>
      <c r="P8" s="365">
        <f>IF($C8="","",O8*VLOOKUP($C8,MATIERES!$A$2:$F$349,4,0))</f>
        <v>21.542399999999997</v>
      </c>
      <c r="Q8" s="364">
        <f>Q6*4</f>
        <v>122.88</v>
      </c>
      <c r="R8" s="365">
        <f>IF($C8="","",Q8*VLOOKUP($C8,MATIERES!$A$2:$F$349,4,0))</f>
        <v>22.978559999999998</v>
      </c>
      <c r="S8" s="364">
        <f>S6*4</f>
        <v>130.56</v>
      </c>
      <c r="T8" s="365">
        <f>IF($C8="","",S8*VLOOKUP($C8,MATIERES!$A$2:$F$349,4,0))</f>
        <v>24.414719999999999</v>
      </c>
      <c r="U8" s="364">
        <f>U6*4</f>
        <v>138.24</v>
      </c>
      <c r="V8" s="365">
        <f>IF($C8="","",U8*VLOOKUP($C8,MATIERES!$A$2:$F$349,4,0))</f>
        <v>25.85088</v>
      </c>
      <c r="W8" s="364">
        <f>W6*4</f>
        <v>153.6</v>
      </c>
      <c r="X8" s="365">
        <f>IF($C8="","",W8*VLOOKUP($C8,MATIERES!$A$2:$F$349,4,0))</f>
        <v>28.723199999999999</v>
      </c>
      <c r="Y8" s="364">
        <f>Y6*4</f>
        <v>168.95999999999998</v>
      </c>
      <c r="Z8" s="365">
        <f>IF($C8="","",Y8*VLOOKUP($C8,MATIERES!$A$2:$F$349,4,0))</f>
        <v>31.595519999999997</v>
      </c>
      <c r="AA8" s="364">
        <f>AA6*4</f>
        <v>176.64</v>
      </c>
      <c r="AB8" s="365">
        <f>IF($C8="","",AA8*VLOOKUP($C8,MATIERES!$A$2:$F$349,4,0))</f>
        <v>33.031679999999994</v>
      </c>
      <c r="AC8" s="364">
        <f>AC6*4</f>
        <v>168.95999999999998</v>
      </c>
      <c r="AD8" s="365">
        <f>IF($C8="","",AC8*VLOOKUP($C8,MATIERES!$A$2:$F$349,4,0))</f>
        <v>31.595519999999997</v>
      </c>
      <c r="AE8" s="364">
        <f>AE6*4</f>
        <v>184.32</v>
      </c>
      <c r="AF8" s="365">
        <f>IF($C8="","",AE8*VLOOKUP($C8,MATIERES!$A$2:$F$349,4,0))</f>
        <v>34.467839999999995</v>
      </c>
      <c r="AG8" s="364">
        <f>AG6*4</f>
        <v>192</v>
      </c>
      <c r="AH8" s="365">
        <f>IF($C8="","",AG8*VLOOKUP($C8,MATIERES!$A$2:$F$349,4,0))</f>
        <v>35.903999999999996</v>
      </c>
      <c r="AI8" s="364">
        <f>AI6*4</f>
        <v>199.68</v>
      </c>
      <c r="AJ8" s="365">
        <f>IF($C8="","",AI8*VLOOKUP($C8,MATIERES!$A$2:$F$349,4,0))</f>
        <v>37.340160000000004</v>
      </c>
      <c r="AK8" s="364">
        <f>AK6*4</f>
        <v>215.04</v>
      </c>
      <c r="AL8" s="365">
        <f>IF($C8="","",AK8*VLOOKUP($C8,MATIERES!$A$2:$F$349,4,0))</f>
        <v>40.212479999999999</v>
      </c>
      <c r="AM8" s="364">
        <f>AM6*4</f>
        <v>199.68</v>
      </c>
      <c r="AN8" s="365">
        <f>IF($C8="","",AM8*VLOOKUP($C8,MATIERES!$A$2:$F$349,4,0))</f>
        <v>37.340160000000004</v>
      </c>
    </row>
    <row r="9" spans="1:40" ht="15" customHeight="1" x14ac:dyDescent="0.2">
      <c r="A9" s="1631"/>
      <c r="B9" s="361"/>
      <c r="C9" s="362"/>
      <c r="D9" s="363" t="str">
        <f>IF($C9="","",VLOOKUP($C9,MATIERES!$A$2:$F$413,5,0))</f>
        <v/>
      </c>
      <c r="E9" s="364"/>
      <c r="F9" s="365"/>
      <c r="G9" s="364"/>
      <c r="H9" s="365"/>
      <c r="I9" s="364"/>
      <c r="J9" s="365"/>
      <c r="K9" s="364"/>
      <c r="L9" s="365"/>
      <c r="M9" s="364"/>
      <c r="N9" s="365"/>
      <c r="O9" s="364"/>
      <c r="P9" s="365"/>
      <c r="Q9" s="364"/>
      <c r="R9" s="365"/>
      <c r="S9" s="364"/>
      <c r="T9" s="365"/>
      <c r="U9" s="364"/>
      <c r="V9" s="365"/>
      <c r="W9" s="364"/>
      <c r="X9" s="365"/>
      <c r="Y9" s="364"/>
      <c r="Z9" s="365"/>
      <c r="AA9" s="364"/>
      <c r="AB9" s="365"/>
      <c r="AC9" s="364"/>
      <c r="AD9" s="365"/>
      <c r="AE9" s="364"/>
      <c r="AF9" s="365"/>
      <c r="AG9" s="364"/>
      <c r="AH9" s="365"/>
      <c r="AI9" s="364"/>
      <c r="AJ9" s="365"/>
      <c r="AK9" s="364"/>
      <c r="AL9" s="365"/>
      <c r="AM9" s="364"/>
      <c r="AN9" s="365"/>
    </row>
    <row r="10" spans="1:40" ht="30" customHeight="1" x14ac:dyDescent="0.2">
      <c r="A10" s="449"/>
      <c r="B10" s="367" t="s">
        <v>683</v>
      </c>
      <c r="C10" s="368" t="s">
        <v>446</v>
      </c>
      <c r="D10" s="369" t="s">
        <v>447</v>
      </c>
      <c r="E10" s="370">
        <f>F10*(1+Simulation!$P$11)</f>
        <v>198.14193359999999</v>
      </c>
      <c r="F10" s="371">
        <f>SUM(F4:F9)</f>
        <v>152.41687199999998</v>
      </c>
      <c r="G10" s="370">
        <f>H10*(1+Simulation!$P$11)</f>
        <v>236.64887999999999</v>
      </c>
      <c r="H10" s="371">
        <f>SUM(H4:H9)</f>
        <v>182.0376</v>
      </c>
      <c r="I10" s="370">
        <f>J10*(1+Simulation!$P$11)</f>
        <v>279.43437600000004</v>
      </c>
      <c r="J10" s="371">
        <f>SUM(J4:J9)</f>
        <v>214.94952000000001</v>
      </c>
      <c r="K10" s="370">
        <f>L10*(1+Simulation!$P$11)</f>
        <v>300.82712400000003</v>
      </c>
      <c r="L10" s="371">
        <f>SUM(L4:L9)</f>
        <v>231.40548000000001</v>
      </c>
      <c r="M10" s="370">
        <f>N10*(1+Simulation!$P$11)</f>
        <v>322.21987200000001</v>
      </c>
      <c r="N10" s="371">
        <f>SUM(N4:N9)</f>
        <v>247.86144000000002</v>
      </c>
      <c r="O10" s="370">
        <f>P10*(1+Simulation!$P$11)</f>
        <v>343.61261999999999</v>
      </c>
      <c r="P10" s="371">
        <f>SUM(P4:P9)</f>
        <v>264.31739999999996</v>
      </c>
      <c r="Q10" s="370">
        <f>R10*(1+Simulation!$P$11)</f>
        <v>365.00536800000003</v>
      </c>
      <c r="R10" s="371">
        <f>SUM(R4:R9)</f>
        <v>280.77336000000003</v>
      </c>
      <c r="S10" s="370">
        <f>T10*(1+Simulation!$P$11)</f>
        <v>386.39811600000007</v>
      </c>
      <c r="T10" s="371">
        <f>SUM(T4:T9)</f>
        <v>297.22932000000003</v>
      </c>
      <c r="U10" s="370">
        <f>V10*(1+Simulation!$P$11)</f>
        <v>407.79086400000006</v>
      </c>
      <c r="V10" s="371">
        <f>SUM(V4:V9)</f>
        <v>313.68528000000003</v>
      </c>
      <c r="W10" s="370">
        <f>X10*(1+Simulation!$P$11)</f>
        <v>450.57636000000002</v>
      </c>
      <c r="X10" s="371">
        <f>SUM(X4:X9)</f>
        <v>346.59719999999999</v>
      </c>
      <c r="Y10" s="370">
        <f>Z10*(1+Simulation!$P$11)</f>
        <v>493.36185599999999</v>
      </c>
      <c r="Z10" s="371">
        <f>SUM(Z4:Z9)</f>
        <v>379.50912</v>
      </c>
      <c r="AA10" s="370">
        <f>AB10*(1+Simulation!$P$11)</f>
        <v>514.75460399999997</v>
      </c>
      <c r="AB10" s="371">
        <f>SUM(AB4:AB9)</f>
        <v>395.96508</v>
      </c>
      <c r="AC10" s="370">
        <f>AD10*(1+Simulation!$P$11)</f>
        <v>493.36185599999999</v>
      </c>
      <c r="AD10" s="371">
        <f>SUM(AD4:AD9)</f>
        <v>379.50912</v>
      </c>
      <c r="AE10" s="370">
        <f>AF10*(1+Simulation!$P$11)</f>
        <v>536.14735200000007</v>
      </c>
      <c r="AF10" s="371">
        <f>SUM(AF4:AF9)</f>
        <v>412.42104000000006</v>
      </c>
      <c r="AG10" s="370">
        <f>AH10*(1+Simulation!$P$11)</f>
        <v>557.54010000000005</v>
      </c>
      <c r="AH10" s="371">
        <f>SUM(AH4:AH9)</f>
        <v>428.87700000000001</v>
      </c>
      <c r="AI10" s="370">
        <f>AJ10*(1+Simulation!$P$11)</f>
        <v>578.93284800000015</v>
      </c>
      <c r="AJ10" s="371">
        <f>SUM(AJ4:AJ9)</f>
        <v>445.33296000000007</v>
      </c>
      <c r="AK10" s="370">
        <f>AL10*(1+Simulation!$P$11)</f>
        <v>621.718344</v>
      </c>
      <c r="AL10" s="371">
        <f>SUM(AL4:AL9)</f>
        <v>478.24487999999997</v>
      </c>
      <c r="AM10" s="370">
        <f>AN10*(1+Simulation!$P$11)</f>
        <v>578.93284800000015</v>
      </c>
      <c r="AN10" s="371">
        <f>SUM(AN4:AN9)</f>
        <v>445.33296000000007</v>
      </c>
    </row>
    <row r="11" spans="1:40" ht="15" customHeight="1" x14ac:dyDescent="0.2">
      <c r="A11" s="1624" t="s">
        <v>448</v>
      </c>
      <c r="B11" s="361" t="s">
        <v>1155</v>
      </c>
      <c r="C11" s="362" t="s">
        <v>425</v>
      </c>
      <c r="D11" s="363" t="str">
        <f>IF($C11="","",VLOOKUP($C11,ATELIER!$A$2:$E$109,3,0))</f>
        <v>pc</v>
      </c>
      <c r="E11" s="364">
        <f>4</f>
        <v>4</v>
      </c>
      <c r="F11" s="372">
        <f>IF($C11="","",E11*VLOOKUP($C11,ATELIER!$A$2:$F$109,4,0))</f>
        <v>0.32</v>
      </c>
      <c r="G11" s="364">
        <f>4</f>
        <v>4</v>
      </c>
      <c r="H11" s="372">
        <f>IF($C11="","",G11*VLOOKUP($C11,ATELIER!$A$2:$F$109,4,0))</f>
        <v>0.32</v>
      </c>
      <c r="I11" s="364">
        <f>4</f>
        <v>4</v>
      </c>
      <c r="J11" s="372">
        <f>IF($C11="","",I11*VLOOKUP($C11,ATELIER!$A$2:$F$109,4,0))</f>
        <v>0.32</v>
      </c>
      <c r="K11" s="364">
        <f>4</f>
        <v>4</v>
      </c>
      <c r="L11" s="372">
        <f>IF($C11="","",K11*VLOOKUP($C11,ATELIER!$A$2:$F$109,4,0))</f>
        <v>0.32</v>
      </c>
      <c r="M11" s="364">
        <f>4</f>
        <v>4</v>
      </c>
      <c r="N11" s="372">
        <f>IF($C11="","",M11*VLOOKUP($C11,ATELIER!$A$2:$F$109,4,0))</f>
        <v>0.32</v>
      </c>
      <c r="O11" s="364">
        <f>4</f>
        <v>4</v>
      </c>
      <c r="P11" s="372">
        <f>IF($C11="","",O11*VLOOKUP($C11,ATELIER!$A$2:$F$109,4,0))</f>
        <v>0.32</v>
      </c>
      <c r="Q11" s="364">
        <f>4</f>
        <v>4</v>
      </c>
      <c r="R11" s="372">
        <f>IF($C11="","",Q11*VLOOKUP($C11,ATELIER!$A$2:$F$109,4,0))</f>
        <v>0.32</v>
      </c>
      <c r="S11" s="364">
        <f>4</f>
        <v>4</v>
      </c>
      <c r="T11" s="372">
        <f>IF($C11="","",S11*VLOOKUP($C11,ATELIER!$A$2:$F$109,4,0))</f>
        <v>0.32</v>
      </c>
      <c r="U11" s="364">
        <f>4</f>
        <v>4</v>
      </c>
      <c r="V11" s="372">
        <f>IF($C11="","",U11*VLOOKUP($C11,ATELIER!$A$2:$F$109,4,0))</f>
        <v>0.32</v>
      </c>
      <c r="W11" s="364">
        <f>4</f>
        <v>4</v>
      </c>
      <c r="X11" s="372">
        <f>IF($C11="","",W11*VLOOKUP($C11,ATELIER!$A$2:$F$109,4,0))</f>
        <v>0.32</v>
      </c>
      <c r="Y11" s="364">
        <f>4</f>
        <v>4</v>
      </c>
      <c r="Z11" s="372">
        <f>IF($C11="","",Y11*VLOOKUP($C11,ATELIER!$A$2:$F$109,4,0))</f>
        <v>0.32</v>
      </c>
      <c r="AA11" s="364">
        <f>4</f>
        <v>4</v>
      </c>
      <c r="AB11" s="372">
        <f>IF($C11="","",AA11*VLOOKUP($C11,ATELIER!$A$2:$F$109,4,0))</f>
        <v>0.32</v>
      </c>
      <c r="AC11" s="364">
        <f>4</f>
        <v>4</v>
      </c>
      <c r="AD11" s="372">
        <f>IF($C11="","",AC11*VLOOKUP($C11,ATELIER!$A$2:$F$109,4,0))</f>
        <v>0.32</v>
      </c>
      <c r="AE11" s="364">
        <f>4</f>
        <v>4</v>
      </c>
      <c r="AF11" s="372">
        <f>IF($C11="","",AE11*VLOOKUP($C11,ATELIER!$A$2:$F$109,4,0))</f>
        <v>0.32</v>
      </c>
      <c r="AG11" s="364">
        <f>4</f>
        <v>4</v>
      </c>
      <c r="AH11" s="372">
        <f>IF($C11="","",AG11*VLOOKUP($C11,ATELIER!$A$2:$F$109,4,0))</f>
        <v>0.32</v>
      </c>
      <c r="AI11" s="364">
        <f>4</f>
        <v>4</v>
      </c>
      <c r="AJ11" s="372">
        <f>IF($C11="","",AI11*VLOOKUP($C11,ATELIER!$A$2:$F$109,4,0))</f>
        <v>0.32</v>
      </c>
      <c r="AK11" s="364">
        <f>4</f>
        <v>4</v>
      </c>
      <c r="AL11" s="372">
        <f>IF($C11="","",AK11*VLOOKUP($C11,ATELIER!$A$2:$F$109,4,0))</f>
        <v>0.32</v>
      </c>
      <c r="AM11" s="364">
        <f>4</f>
        <v>4</v>
      </c>
      <c r="AN11" s="372">
        <f>IF($C11="","",AM11*VLOOKUP($C11,ATELIER!$A$2:$F$109,4,0))</f>
        <v>0.32</v>
      </c>
    </row>
    <row r="12" spans="1:40" ht="15" customHeight="1" x14ac:dyDescent="0.2">
      <c r="A12" s="1624"/>
      <c r="B12" s="361" t="s">
        <v>1155</v>
      </c>
      <c r="C12" s="362" t="s">
        <v>1250</v>
      </c>
      <c r="D12" s="363" t="str">
        <f>IF($C12="","",VLOOKUP($C12,ATELIER!$A$2:$E$109,3,0))</f>
        <v>pc</v>
      </c>
      <c r="E12" s="364">
        <f>4</f>
        <v>4</v>
      </c>
      <c r="F12" s="372">
        <f>IF($C12="","",E12*VLOOKUP($C12,ATELIER!$A$2:$F$109,4,0))</f>
        <v>0.32</v>
      </c>
      <c r="G12" s="364">
        <f>4</f>
        <v>4</v>
      </c>
      <c r="H12" s="372">
        <f>IF($C12="","",G12*VLOOKUP($C12,ATELIER!$A$2:$F$109,4,0))</f>
        <v>0.32</v>
      </c>
      <c r="I12" s="364">
        <f>4</f>
        <v>4</v>
      </c>
      <c r="J12" s="372">
        <f>IF($C12="","",I12*VLOOKUP($C12,ATELIER!$A$2:$F$109,4,0))</f>
        <v>0.32</v>
      </c>
      <c r="K12" s="364">
        <f>4</f>
        <v>4</v>
      </c>
      <c r="L12" s="372">
        <f>IF($C12="","",K12*VLOOKUP($C12,ATELIER!$A$2:$F$109,4,0))</f>
        <v>0.32</v>
      </c>
      <c r="M12" s="364">
        <f>4</f>
        <v>4</v>
      </c>
      <c r="N12" s="372">
        <f>IF($C12="","",M12*VLOOKUP($C12,ATELIER!$A$2:$F$109,4,0))</f>
        <v>0.32</v>
      </c>
      <c r="O12" s="364">
        <f>4</f>
        <v>4</v>
      </c>
      <c r="P12" s="372">
        <f>IF($C12="","",O12*VLOOKUP($C12,ATELIER!$A$2:$F$109,4,0))</f>
        <v>0.32</v>
      </c>
      <c r="Q12" s="364">
        <f>4</f>
        <v>4</v>
      </c>
      <c r="R12" s="372">
        <f>IF($C12="","",Q12*VLOOKUP($C12,ATELIER!$A$2:$F$109,4,0))</f>
        <v>0.32</v>
      </c>
      <c r="S12" s="364">
        <f>4</f>
        <v>4</v>
      </c>
      <c r="T12" s="372">
        <f>IF($C12="","",S12*VLOOKUP($C12,ATELIER!$A$2:$F$109,4,0))</f>
        <v>0.32</v>
      </c>
      <c r="U12" s="364">
        <f>4</f>
        <v>4</v>
      </c>
      <c r="V12" s="372">
        <f>IF($C12="","",U12*VLOOKUP($C12,ATELIER!$A$2:$F$109,4,0))</f>
        <v>0.32</v>
      </c>
      <c r="W12" s="364">
        <f>4</f>
        <v>4</v>
      </c>
      <c r="X12" s="372">
        <f>IF($C12="","",W12*VLOOKUP($C12,ATELIER!$A$2:$F$109,4,0))</f>
        <v>0.32</v>
      </c>
      <c r="Y12" s="364">
        <f>4</f>
        <v>4</v>
      </c>
      <c r="Z12" s="372">
        <f>IF($C12="","",Y12*VLOOKUP($C12,ATELIER!$A$2:$F$109,4,0))</f>
        <v>0.32</v>
      </c>
      <c r="AA12" s="364">
        <f>4</f>
        <v>4</v>
      </c>
      <c r="AB12" s="372">
        <f>IF($C12="","",AA12*VLOOKUP($C12,ATELIER!$A$2:$F$109,4,0))</f>
        <v>0.32</v>
      </c>
      <c r="AC12" s="364">
        <f>4</f>
        <v>4</v>
      </c>
      <c r="AD12" s="372">
        <f>IF($C12="","",AC12*VLOOKUP($C12,ATELIER!$A$2:$F$109,4,0))</f>
        <v>0.32</v>
      </c>
      <c r="AE12" s="364">
        <f>4</f>
        <v>4</v>
      </c>
      <c r="AF12" s="372">
        <f>IF($C12="","",AE12*VLOOKUP($C12,ATELIER!$A$2:$F$109,4,0))</f>
        <v>0.32</v>
      </c>
      <c r="AG12" s="364">
        <f>4</f>
        <v>4</v>
      </c>
      <c r="AH12" s="372">
        <f>IF($C12="","",AG12*VLOOKUP($C12,ATELIER!$A$2:$F$109,4,0))</f>
        <v>0.32</v>
      </c>
      <c r="AI12" s="364">
        <f>4</f>
        <v>4</v>
      </c>
      <c r="AJ12" s="372">
        <f>IF($C12="","",AI12*VLOOKUP($C12,ATELIER!$A$2:$F$109,4,0))</f>
        <v>0.32</v>
      </c>
      <c r="AK12" s="364">
        <f>4</f>
        <v>4</v>
      </c>
      <c r="AL12" s="372">
        <f>IF($C12="","",AK12*VLOOKUP($C12,ATELIER!$A$2:$F$109,4,0))</f>
        <v>0.32</v>
      </c>
      <c r="AM12" s="364">
        <f>4</f>
        <v>4</v>
      </c>
      <c r="AN12" s="372">
        <f>IF($C12="","",AM12*VLOOKUP($C12,ATELIER!$A$2:$F$109,4,0))</f>
        <v>0.32</v>
      </c>
    </row>
    <row r="13" spans="1:40" ht="15" customHeight="1" x14ac:dyDescent="0.2">
      <c r="A13" s="1625"/>
      <c r="B13" s="361" t="s">
        <v>1154</v>
      </c>
      <c r="C13" s="362" t="s">
        <v>428</v>
      </c>
      <c r="D13" s="363" t="str">
        <f>IF($C13="","",VLOOKUP($C13,ATELIER!$A$2:$E$109,3,0))</f>
        <v>pc</v>
      </c>
      <c r="E13" s="364">
        <f>E6/1.92</f>
        <v>8.1999999999999993</v>
      </c>
      <c r="F13" s="372">
        <f>IF($C13="","",E13*VLOOKUP($C13,ATELIER!$A$2:$F$109,4,0))</f>
        <v>1.2299999999999998</v>
      </c>
      <c r="G13" s="364">
        <f t="shared" ref="G13" si="0">G6/1.92</f>
        <v>10</v>
      </c>
      <c r="H13" s="372">
        <f>IF($C13="","",G13*VLOOKUP($C13,ATELIER!$A$2:$F$109,4,0))</f>
        <v>1.5</v>
      </c>
      <c r="I13" s="364">
        <f t="shared" ref="I13" si="1">I6/1.92</f>
        <v>12</v>
      </c>
      <c r="J13" s="372">
        <f>IF($C13="","",I13*VLOOKUP($C13,ATELIER!$A$2:$F$109,4,0))</f>
        <v>1.7999999999999998</v>
      </c>
      <c r="K13" s="364">
        <f t="shared" ref="K13" si="2">K6/1.92</f>
        <v>13.000000000000002</v>
      </c>
      <c r="L13" s="372">
        <f>IF($C13="","",K13*VLOOKUP($C13,ATELIER!$A$2:$F$109,4,0))</f>
        <v>1.9500000000000002</v>
      </c>
      <c r="M13" s="364">
        <f t="shared" ref="M13" si="3">M6/1.92</f>
        <v>14</v>
      </c>
      <c r="N13" s="372">
        <f>IF($C13="","",M13*VLOOKUP($C13,ATELIER!$A$2:$F$109,4,0))</f>
        <v>2.1</v>
      </c>
      <c r="O13" s="364">
        <f t="shared" ref="O13" si="4">O6/1.92</f>
        <v>14.999999999999998</v>
      </c>
      <c r="P13" s="372">
        <f>IF($C13="","",O13*VLOOKUP($C13,ATELIER!$A$2:$F$109,4,0))</f>
        <v>2.2499999999999996</v>
      </c>
      <c r="Q13" s="364">
        <f t="shared" ref="Q13" si="5">Q6/1.92</f>
        <v>16</v>
      </c>
      <c r="R13" s="372">
        <f>IF($C13="","",Q13*VLOOKUP($C13,ATELIER!$A$2:$F$109,4,0))</f>
        <v>2.4</v>
      </c>
      <c r="S13" s="364">
        <f t="shared" ref="S13" si="6">S6/1.92</f>
        <v>17</v>
      </c>
      <c r="T13" s="372">
        <f>IF($C13="","",S13*VLOOKUP($C13,ATELIER!$A$2:$F$109,4,0))</f>
        <v>2.5499999999999998</v>
      </c>
      <c r="U13" s="364">
        <f t="shared" ref="U13" si="7">U6/1.92</f>
        <v>18.000000000000004</v>
      </c>
      <c r="V13" s="372">
        <f>IF($C13="","",U13*VLOOKUP($C13,ATELIER!$A$2:$F$109,4,0))</f>
        <v>2.7000000000000006</v>
      </c>
      <c r="W13" s="364">
        <f t="shared" ref="W13" si="8">W6/1.92</f>
        <v>20</v>
      </c>
      <c r="X13" s="372">
        <f>IF($C13="","",W13*VLOOKUP($C13,ATELIER!$A$2:$F$109,4,0))</f>
        <v>3</v>
      </c>
      <c r="Y13" s="364">
        <f t="shared" ref="Y13" si="9">Y6/1.92</f>
        <v>21.999999999999996</v>
      </c>
      <c r="Z13" s="372">
        <f>IF($C13="","",Y13*VLOOKUP($C13,ATELIER!$A$2:$F$109,4,0))</f>
        <v>3.2999999999999994</v>
      </c>
      <c r="AA13" s="364">
        <f t="shared" ref="AA13" si="10">AA6/1.92</f>
        <v>23</v>
      </c>
      <c r="AB13" s="372">
        <f>IF($C13="","",AA13*VLOOKUP($C13,ATELIER!$A$2:$F$109,4,0))</f>
        <v>3.4499999999999997</v>
      </c>
      <c r="AC13" s="364">
        <f t="shared" ref="AC13" si="11">AC6/1.92</f>
        <v>21.999999999999996</v>
      </c>
      <c r="AD13" s="372">
        <f>IF($C13="","",AC13*VLOOKUP($C13,ATELIER!$A$2:$F$109,4,0))</f>
        <v>3.2999999999999994</v>
      </c>
      <c r="AE13" s="364">
        <f t="shared" ref="AE13" si="12">AE6/1.92</f>
        <v>24</v>
      </c>
      <c r="AF13" s="372">
        <f>IF($C13="","",AE13*VLOOKUP($C13,ATELIER!$A$2:$F$109,4,0))</f>
        <v>3.5999999999999996</v>
      </c>
      <c r="AG13" s="364">
        <f t="shared" ref="AG13" si="13">AG6/1.92</f>
        <v>25</v>
      </c>
      <c r="AH13" s="372">
        <f>IF($C13="","",AG13*VLOOKUP($C13,ATELIER!$A$2:$F$109,4,0))</f>
        <v>3.75</v>
      </c>
      <c r="AI13" s="364">
        <f t="shared" ref="AI13" si="14">AI6/1.92</f>
        <v>26.000000000000004</v>
      </c>
      <c r="AJ13" s="372">
        <f>IF($C13="","",AI13*VLOOKUP($C13,ATELIER!$A$2:$F$109,4,0))</f>
        <v>3.9000000000000004</v>
      </c>
      <c r="AK13" s="364">
        <f t="shared" ref="AK13:AM13" si="15">AK6/1.92</f>
        <v>28</v>
      </c>
      <c r="AL13" s="372">
        <f>IF($C13="","",AK13*VLOOKUP($C13,ATELIER!$A$2:$F$109,4,0))</f>
        <v>4.2</v>
      </c>
      <c r="AM13" s="364">
        <f t="shared" si="15"/>
        <v>26.000000000000004</v>
      </c>
      <c r="AN13" s="372">
        <f>IF($C13="","",AM13*VLOOKUP($C13,ATELIER!$A$2:$F$109,4,0))</f>
        <v>3.9000000000000004</v>
      </c>
    </row>
    <row r="14" spans="1:40" ht="15" customHeight="1" x14ac:dyDescent="0.2">
      <c r="A14" s="1624"/>
      <c r="B14" s="361" t="s">
        <v>1154</v>
      </c>
      <c r="C14" s="362" t="s">
        <v>431</v>
      </c>
      <c r="D14" s="363" t="str">
        <f>IF($C14="","",VLOOKUP($C14,ATELIER!$A$2:$E$109,3,0))</f>
        <v>pc</v>
      </c>
      <c r="E14" s="364">
        <f>E13*4</f>
        <v>32.799999999999997</v>
      </c>
      <c r="F14" s="372">
        <f>IF($C14="","",E14*VLOOKUP($C14,ATELIER!$A$2:$F$109,4,0))</f>
        <v>3.28</v>
      </c>
      <c r="G14" s="364">
        <f>G13*4</f>
        <v>40</v>
      </c>
      <c r="H14" s="372">
        <f>IF($C14="","",G14*VLOOKUP($C14,ATELIER!$A$2:$F$109,4,0))</f>
        <v>4</v>
      </c>
      <c r="I14" s="364">
        <f>I13*4</f>
        <v>48</v>
      </c>
      <c r="J14" s="372">
        <f>IF($C14="","",I14*VLOOKUP($C14,ATELIER!$A$2:$F$109,4,0))</f>
        <v>4.8000000000000007</v>
      </c>
      <c r="K14" s="364">
        <f>K13*4</f>
        <v>52.000000000000007</v>
      </c>
      <c r="L14" s="372">
        <f>IF($C14="","",K14*VLOOKUP($C14,ATELIER!$A$2:$F$109,4,0))</f>
        <v>5.2000000000000011</v>
      </c>
      <c r="M14" s="364">
        <f>M13*4</f>
        <v>56</v>
      </c>
      <c r="N14" s="372">
        <f>IF($C14="","",M14*VLOOKUP($C14,ATELIER!$A$2:$F$109,4,0))</f>
        <v>5.6000000000000005</v>
      </c>
      <c r="O14" s="364">
        <f>O13*4</f>
        <v>59.999999999999993</v>
      </c>
      <c r="P14" s="372">
        <f>IF($C14="","",O14*VLOOKUP($C14,ATELIER!$A$2:$F$109,4,0))</f>
        <v>6</v>
      </c>
      <c r="Q14" s="364">
        <f>Q13*4</f>
        <v>64</v>
      </c>
      <c r="R14" s="372">
        <f>IF($C14="","",Q14*VLOOKUP($C14,ATELIER!$A$2:$F$109,4,0))</f>
        <v>6.4</v>
      </c>
      <c r="S14" s="364">
        <f>S13*4</f>
        <v>68</v>
      </c>
      <c r="T14" s="372">
        <f>IF($C14="","",S14*VLOOKUP($C14,ATELIER!$A$2:$F$109,4,0))</f>
        <v>6.8000000000000007</v>
      </c>
      <c r="U14" s="364">
        <f>U13*4</f>
        <v>72.000000000000014</v>
      </c>
      <c r="V14" s="372">
        <f>IF($C14="","",U14*VLOOKUP($C14,ATELIER!$A$2:$F$109,4,0))</f>
        <v>7.200000000000002</v>
      </c>
      <c r="W14" s="364">
        <f>W13*4</f>
        <v>80</v>
      </c>
      <c r="X14" s="372">
        <f>IF($C14="","",W14*VLOOKUP($C14,ATELIER!$A$2:$F$109,4,0))</f>
        <v>8</v>
      </c>
      <c r="Y14" s="364">
        <f>Y13*4</f>
        <v>87.999999999999986</v>
      </c>
      <c r="Z14" s="372">
        <f>IF($C14="","",Y14*VLOOKUP($C14,ATELIER!$A$2:$F$109,4,0))</f>
        <v>8.7999999999999989</v>
      </c>
      <c r="AA14" s="364">
        <f>AA13*4</f>
        <v>92</v>
      </c>
      <c r="AB14" s="372">
        <f>IF($C14="","",AA14*VLOOKUP($C14,ATELIER!$A$2:$F$109,4,0))</f>
        <v>9.2000000000000011</v>
      </c>
      <c r="AC14" s="364">
        <f>AC13*4</f>
        <v>87.999999999999986</v>
      </c>
      <c r="AD14" s="372">
        <f>IF($C14="","",AC14*VLOOKUP($C14,ATELIER!$A$2:$F$109,4,0))</f>
        <v>8.7999999999999989</v>
      </c>
      <c r="AE14" s="364">
        <f>AE13*4</f>
        <v>96</v>
      </c>
      <c r="AF14" s="372">
        <f>IF($C14="","",AE14*VLOOKUP($C14,ATELIER!$A$2:$F$109,4,0))</f>
        <v>9.6000000000000014</v>
      </c>
      <c r="AG14" s="364">
        <f>AG13*4</f>
        <v>100</v>
      </c>
      <c r="AH14" s="372">
        <f>IF($C14="","",AG14*VLOOKUP($C14,ATELIER!$A$2:$F$109,4,0))</f>
        <v>10</v>
      </c>
      <c r="AI14" s="364">
        <f>AI13*4</f>
        <v>104.00000000000001</v>
      </c>
      <c r="AJ14" s="372">
        <f>IF($C14="","",AI14*VLOOKUP($C14,ATELIER!$A$2:$F$109,4,0))</f>
        <v>10.400000000000002</v>
      </c>
      <c r="AK14" s="364">
        <f>AK13*4</f>
        <v>112</v>
      </c>
      <c r="AL14" s="372">
        <f>IF($C14="","",AK14*VLOOKUP($C14,ATELIER!$A$2:$F$109,4,0))</f>
        <v>11.200000000000001</v>
      </c>
      <c r="AM14" s="364">
        <f>AM13*4</f>
        <v>104.00000000000001</v>
      </c>
      <c r="AN14" s="372">
        <f>IF($C14="","",AM14*VLOOKUP($C14,ATELIER!$A$2:$F$109,4,0))</f>
        <v>10.400000000000002</v>
      </c>
    </row>
    <row r="15" spans="1:40" ht="15" customHeight="1" x14ac:dyDescent="0.2">
      <c r="A15" s="1624"/>
      <c r="B15" s="361"/>
      <c r="C15" s="362"/>
      <c r="D15" s="363" t="str">
        <f>IF($C15="","",VLOOKUP($C15,ATELIER!$A$2:$E$109,3,0))</f>
        <v/>
      </c>
      <c r="E15" s="364"/>
      <c r="F15" s="372"/>
      <c r="G15" s="364"/>
      <c r="H15" s="372"/>
      <c r="I15" s="364"/>
      <c r="J15" s="372"/>
      <c r="K15" s="364"/>
      <c r="L15" s="372"/>
      <c r="M15" s="364"/>
      <c r="N15" s="372"/>
      <c r="O15" s="364"/>
      <c r="P15" s="372"/>
      <c r="Q15" s="364"/>
      <c r="R15" s="372"/>
      <c r="S15" s="364"/>
      <c r="T15" s="372"/>
      <c r="U15" s="364"/>
      <c r="V15" s="372"/>
      <c r="W15" s="364"/>
      <c r="X15" s="372"/>
      <c r="Y15" s="364"/>
      <c r="Z15" s="372"/>
      <c r="AA15" s="364"/>
      <c r="AB15" s="372"/>
      <c r="AC15" s="364"/>
      <c r="AD15" s="372"/>
      <c r="AE15" s="364"/>
      <c r="AF15" s="372"/>
      <c r="AG15" s="364"/>
      <c r="AH15" s="372"/>
      <c r="AI15" s="364"/>
      <c r="AJ15" s="372"/>
      <c r="AK15" s="364"/>
      <c r="AL15" s="372"/>
      <c r="AM15" s="364"/>
      <c r="AN15" s="372"/>
    </row>
    <row r="16" spans="1:40" ht="35.25" customHeight="1" x14ac:dyDescent="0.2">
      <c r="A16" s="1624"/>
      <c r="B16" s="375" t="s">
        <v>449</v>
      </c>
      <c r="C16" s="376" t="s">
        <v>450</v>
      </c>
      <c r="D16" s="377" t="s">
        <v>451</v>
      </c>
      <c r="E16" s="376">
        <f>F16*Simulation!$P$8</f>
        <v>231.74999999999997</v>
      </c>
      <c r="F16" s="377">
        <f>SUM(F11:F15)</f>
        <v>5.1499999999999995</v>
      </c>
      <c r="G16" s="376">
        <f>H16*Simulation!$P$8</f>
        <v>276.3</v>
      </c>
      <c r="H16" s="377">
        <f>SUM(H11:H15)</f>
        <v>6.1400000000000006</v>
      </c>
      <c r="I16" s="376">
        <f>J16*Simulation!$P$8</f>
        <v>325.8</v>
      </c>
      <c r="J16" s="377">
        <f>SUM(J11:J15)</f>
        <v>7.24</v>
      </c>
      <c r="K16" s="376">
        <f>L16*Simulation!$P$8</f>
        <v>350.55000000000007</v>
      </c>
      <c r="L16" s="377">
        <f>SUM(L11:L15)</f>
        <v>7.7900000000000009</v>
      </c>
      <c r="M16" s="376">
        <f>N16*Simulation!$P$8</f>
        <v>375.3</v>
      </c>
      <c r="N16" s="377">
        <f>SUM(N11:N15)</f>
        <v>8.34</v>
      </c>
      <c r="O16" s="376">
        <f>P16*Simulation!$P$8</f>
        <v>400.05</v>
      </c>
      <c r="P16" s="377">
        <f>SUM(P11:P15)</f>
        <v>8.89</v>
      </c>
      <c r="Q16" s="376">
        <f>R16*Simulation!$P$8</f>
        <v>424.80000000000007</v>
      </c>
      <c r="R16" s="377">
        <f>SUM(R11:R15)</f>
        <v>9.4400000000000013</v>
      </c>
      <c r="S16" s="376">
        <f>T16*Simulation!$P$8</f>
        <v>449.55</v>
      </c>
      <c r="T16" s="377">
        <f>SUM(T11:T15)</f>
        <v>9.99</v>
      </c>
      <c r="U16" s="376">
        <f>V16*Simulation!$P$8</f>
        <v>474.30000000000013</v>
      </c>
      <c r="V16" s="377">
        <f>SUM(V11:V15)</f>
        <v>10.540000000000003</v>
      </c>
      <c r="W16" s="376">
        <f>X16*Simulation!$P$8</f>
        <v>523.80000000000007</v>
      </c>
      <c r="X16" s="377">
        <f>SUM(X11:X15)</f>
        <v>11.64</v>
      </c>
      <c r="Y16" s="376">
        <f>Z16*Simulation!$P$8</f>
        <v>573.29999999999995</v>
      </c>
      <c r="Z16" s="377">
        <f>SUM(Z11:Z15)</f>
        <v>12.739999999999998</v>
      </c>
      <c r="AA16" s="376">
        <f>AB16*Simulation!$P$8</f>
        <v>598.05000000000007</v>
      </c>
      <c r="AB16" s="377">
        <f>SUM(AB11:AB15)</f>
        <v>13.290000000000001</v>
      </c>
      <c r="AC16" s="376">
        <f>AD16*Simulation!$P$8</f>
        <v>573.29999999999995</v>
      </c>
      <c r="AD16" s="377">
        <f>SUM(AD11:AD15)</f>
        <v>12.739999999999998</v>
      </c>
      <c r="AE16" s="376">
        <f>AF16*Simulation!$P$8</f>
        <v>622.79999999999995</v>
      </c>
      <c r="AF16" s="377">
        <f>SUM(AF11:AF15)</f>
        <v>13.84</v>
      </c>
      <c r="AG16" s="376">
        <f>AH16*Simulation!$P$8</f>
        <v>647.55000000000007</v>
      </c>
      <c r="AH16" s="377">
        <f>SUM(AH11:AH15)</f>
        <v>14.39</v>
      </c>
      <c r="AI16" s="376">
        <f>AJ16*Simulation!$P$8</f>
        <v>672.30000000000007</v>
      </c>
      <c r="AJ16" s="377">
        <f>SUM(AJ11:AJ15)</f>
        <v>14.940000000000001</v>
      </c>
      <c r="AK16" s="376">
        <f>AL16*Simulation!$P$8</f>
        <v>721.8</v>
      </c>
      <c r="AL16" s="377">
        <f>SUM(AL11:AL15)</f>
        <v>16.04</v>
      </c>
      <c r="AM16" s="376">
        <f>AN16*Simulation!$P$8</f>
        <v>672.30000000000007</v>
      </c>
      <c r="AN16" s="377">
        <f>SUM(AN11:AN15)</f>
        <v>14.940000000000001</v>
      </c>
    </row>
    <row r="17" spans="1:40" ht="15" customHeight="1" x14ac:dyDescent="0.2">
      <c r="A17" s="1626" t="s">
        <v>452</v>
      </c>
      <c r="B17" s="361" t="s">
        <v>1160</v>
      </c>
      <c r="C17" s="378" t="s">
        <v>1253</v>
      </c>
      <c r="D17" s="363" t="str">
        <f>IF(C17="","",VLOOKUP($C17,CHANTIER!$A$2:$C$83,3,0))</f>
        <v>ml</v>
      </c>
      <c r="E17" s="364">
        <f>E5</f>
        <v>9.02</v>
      </c>
      <c r="F17" s="372">
        <f>IF($C17="","",E17*VLOOKUP($C17,CHANTIER!$A$2:$D$83,4,0))</f>
        <v>1.353</v>
      </c>
      <c r="G17" s="364">
        <f>G5</f>
        <v>11</v>
      </c>
      <c r="H17" s="372">
        <f>IF($C17="","",G17*VLOOKUP($C17,CHANTIER!$A$2:$D$83,4,0))</f>
        <v>1.65</v>
      </c>
      <c r="I17" s="364">
        <f>I5</f>
        <v>13.200000000000001</v>
      </c>
      <c r="J17" s="372">
        <f>IF($C17="","",I17*VLOOKUP($C17,CHANTIER!$A$2:$D$83,4,0))</f>
        <v>1.98</v>
      </c>
      <c r="K17" s="364">
        <f>K5</f>
        <v>14.3</v>
      </c>
      <c r="L17" s="372">
        <f>IF($C17="","",K17*VLOOKUP($C17,CHANTIER!$A$2:$D$83,4,0))</f>
        <v>2.145</v>
      </c>
      <c r="M17" s="364">
        <f>M5</f>
        <v>15.400000000000002</v>
      </c>
      <c r="N17" s="372">
        <f>IF($C17="","",M17*VLOOKUP($C17,CHANTIER!$A$2:$D$83,4,0))</f>
        <v>2.31</v>
      </c>
      <c r="O17" s="364">
        <f>O5</f>
        <v>16.5</v>
      </c>
      <c r="P17" s="372">
        <f>IF($C17="","",O17*VLOOKUP($C17,CHANTIER!$A$2:$D$83,4,0))</f>
        <v>2.4750000000000001</v>
      </c>
      <c r="Q17" s="364">
        <f>Q5</f>
        <v>17.600000000000001</v>
      </c>
      <c r="R17" s="372">
        <f>IF($C17="","",Q17*VLOOKUP($C17,CHANTIER!$A$2:$D$83,4,0))</f>
        <v>2.64</v>
      </c>
      <c r="S17" s="364">
        <f>S5</f>
        <v>18.700000000000003</v>
      </c>
      <c r="T17" s="372">
        <f>IF($C17="","",S17*VLOOKUP($C17,CHANTIER!$A$2:$D$83,4,0))</f>
        <v>2.8050000000000002</v>
      </c>
      <c r="U17" s="364">
        <f>U5</f>
        <v>19.8</v>
      </c>
      <c r="V17" s="372">
        <f>IF($C17="","",U17*VLOOKUP($C17,CHANTIER!$A$2:$D$83,4,0))</f>
        <v>2.97</v>
      </c>
      <c r="W17" s="364">
        <f>W5</f>
        <v>22</v>
      </c>
      <c r="X17" s="372">
        <f>IF($C17="","",W17*VLOOKUP($C17,CHANTIER!$A$2:$D$83,4,0))</f>
        <v>3.3</v>
      </c>
      <c r="Y17" s="364">
        <f>Y5</f>
        <v>24.200000000000003</v>
      </c>
      <c r="Z17" s="372">
        <f>IF($C17="","",Y17*VLOOKUP($C17,CHANTIER!$A$2:$D$83,4,0))</f>
        <v>3.6300000000000003</v>
      </c>
      <c r="AA17" s="364">
        <f>AA5</f>
        <v>25.3</v>
      </c>
      <c r="AB17" s="372">
        <f>IF($C17="","",AA17*VLOOKUP($C17,CHANTIER!$A$2:$D$83,4,0))</f>
        <v>3.7949999999999999</v>
      </c>
      <c r="AC17" s="364">
        <f>AC5</f>
        <v>24.200000000000003</v>
      </c>
      <c r="AD17" s="372">
        <f>IF($C17="","",AC17*VLOOKUP($C17,CHANTIER!$A$2:$D$83,4,0))</f>
        <v>3.6300000000000003</v>
      </c>
      <c r="AE17" s="364">
        <f>AE5</f>
        <v>26.400000000000002</v>
      </c>
      <c r="AF17" s="372">
        <f>IF($C17="","",AE17*VLOOKUP($C17,CHANTIER!$A$2:$D$83,4,0))</f>
        <v>3.96</v>
      </c>
      <c r="AG17" s="364">
        <f>AG5</f>
        <v>27.500000000000004</v>
      </c>
      <c r="AH17" s="372">
        <f>IF($C17="","",AG17*VLOOKUP($C17,CHANTIER!$A$2:$D$83,4,0))</f>
        <v>4.125</v>
      </c>
      <c r="AI17" s="364">
        <f>AI5</f>
        <v>28.6</v>
      </c>
      <c r="AJ17" s="372">
        <f>IF($C17="","",AI17*VLOOKUP($C17,CHANTIER!$A$2:$D$83,4,0))</f>
        <v>4.29</v>
      </c>
      <c r="AK17" s="364">
        <f>AK5</f>
        <v>30.800000000000004</v>
      </c>
      <c r="AL17" s="372">
        <f>IF($C17="","",AK17*VLOOKUP($C17,CHANTIER!$A$2:$D$83,4,0))</f>
        <v>4.62</v>
      </c>
      <c r="AM17" s="364">
        <f>AM5</f>
        <v>28.6</v>
      </c>
      <c r="AN17" s="372">
        <f>IF($C17="","",AM17*VLOOKUP($C17,CHANTIER!$A$2:$D$83,4,0))</f>
        <v>4.29</v>
      </c>
    </row>
    <row r="18" spans="1:40" ht="15" customHeight="1" x14ac:dyDescent="0.2">
      <c r="A18" s="1626"/>
      <c r="B18" s="361" t="s">
        <v>1160</v>
      </c>
      <c r="C18" s="378" t="s">
        <v>1255</v>
      </c>
      <c r="D18" s="363" t="str">
        <f>IF(C18="","",VLOOKUP($C18,CHANTIER!$A$2:$C$83,3,0))</f>
        <v>ml</v>
      </c>
      <c r="E18" s="364">
        <f>1</f>
        <v>1</v>
      </c>
      <c r="F18" s="372">
        <f>IF($C18="","",E18*VLOOKUP($C18,CHANTIER!$A$2:$D$83,4,0))</f>
        <v>0.15</v>
      </c>
      <c r="G18" s="364">
        <f>1</f>
        <v>1</v>
      </c>
      <c r="H18" s="372">
        <f>IF($C18="","",G18*VLOOKUP($C18,CHANTIER!$A$2:$D$83,4,0))</f>
        <v>0.15</v>
      </c>
      <c r="I18" s="364">
        <f>1</f>
        <v>1</v>
      </c>
      <c r="J18" s="372">
        <f>IF($C18="","",I18*VLOOKUP($C18,CHANTIER!$A$2:$D$83,4,0))</f>
        <v>0.15</v>
      </c>
      <c r="K18" s="364">
        <f>1</f>
        <v>1</v>
      </c>
      <c r="L18" s="372">
        <f>IF($C18="","",K18*VLOOKUP($C18,CHANTIER!$A$2:$D$83,4,0))</f>
        <v>0.15</v>
      </c>
      <c r="M18" s="364">
        <f>1</f>
        <v>1</v>
      </c>
      <c r="N18" s="372">
        <f>IF($C18="","",M18*VLOOKUP($C18,CHANTIER!$A$2:$D$83,4,0))</f>
        <v>0.15</v>
      </c>
      <c r="O18" s="364">
        <f>1</f>
        <v>1</v>
      </c>
      <c r="P18" s="372">
        <f>IF($C18="","",O18*VLOOKUP($C18,CHANTIER!$A$2:$D$83,4,0))</f>
        <v>0.15</v>
      </c>
      <c r="Q18" s="364">
        <f>1</f>
        <v>1</v>
      </c>
      <c r="R18" s="372">
        <f>IF($C18="","",Q18*VLOOKUP($C18,CHANTIER!$A$2:$D$83,4,0))</f>
        <v>0.15</v>
      </c>
      <c r="S18" s="364">
        <f>1</f>
        <v>1</v>
      </c>
      <c r="T18" s="372">
        <f>IF($C18="","",S18*VLOOKUP($C18,CHANTIER!$A$2:$D$83,4,0))</f>
        <v>0.15</v>
      </c>
      <c r="U18" s="364">
        <f>1</f>
        <v>1</v>
      </c>
      <c r="V18" s="372">
        <f>IF($C18="","",U18*VLOOKUP($C18,CHANTIER!$A$2:$D$83,4,0))</f>
        <v>0.15</v>
      </c>
      <c r="W18" s="364">
        <f>1</f>
        <v>1</v>
      </c>
      <c r="X18" s="372">
        <f>IF($C18="","",W18*VLOOKUP($C18,CHANTIER!$A$2:$D$83,4,0))</f>
        <v>0.15</v>
      </c>
      <c r="Y18" s="364">
        <f>1</f>
        <v>1</v>
      </c>
      <c r="Z18" s="372">
        <f>IF($C18="","",Y18*VLOOKUP($C18,CHANTIER!$A$2:$D$83,4,0))</f>
        <v>0.15</v>
      </c>
      <c r="AA18" s="364">
        <f>1</f>
        <v>1</v>
      </c>
      <c r="AB18" s="372">
        <f>IF($C18="","",AA18*VLOOKUP($C18,CHANTIER!$A$2:$D$83,4,0))</f>
        <v>0.15</v>
      </c>
      <c r="AC18" s="364">
        <f>1</f>
        <v>1</v>
      </c>
      <c r="AD18" s="372">
        <f>IF($C18="","",AC18*VLOOKUP($C18,CHANTIER!$A$2:$D$83,4,0))</f>
        <v>0.15</v>
      </c>
      <c r="AE18" s="364">
        <f>1</f>
        <v>1</v>
      </c>
      <c r="AF18" s="372">
        <f>IF($C18="","",AE18*VLOOKUP($C18,CHANTIER!$A$2:$D$83,4,0))</f>
        <v>0.15</v>
      </c>
      <c r="AG18" s="364">
        <f>1</f>
        <v>1</v>
      </c>
      <c r="AH18" s="372">
        <f>IF($C18="","",AG18*VLOOKUP($C18,CHANTIER!$A$2:$D$83,4,0))</f>
        <v>0.15</v>
      </c>
      <c r="AI18" s="364">
        <f>1</f>
        <v>1</v>
      </c>
      <c r="AJ18" s="372">
        <f>IF($C18="","",AI18*VLOOKUP($C18,CHANTIER!$A$2:$D$83,4,0))</f>
        <v>0.15</v>
      </c>
      <c r="AK18" s="364">
        <f>1</f>
        <v>1</v>
      </c>
      <c r="AL18" s="372">
        <f>IF($C18="","",AK18*VLOOKUP($C18,CHANTIER!$A$2:$D$83,4,0))</f>
        <v>0.15</v>
      </c>
      <c r="AM18" s="364">
        <f>1</f>
        <v>1</v>
      </c>
      <c r="AN18" s="372">
        <f>IF($C18="","",AM18*VLOOKUP($C18,CHANTIER!$A$2:$D$83,4,0))</f>
        <v>0.15</v>
      </c>
    </row>
    <row r="19" spans="1:40" ht="15" customHeight="1" x14ac:dyDescent="0.2">
      <c r="A19" s="1627"/>
      <c r="B19" s="361" t="s">
        <v>1160</v>
      </c>
      <c r="C19" s="378" t="s">
        <v>1248</v>
      </c>
      <c r="D19" s="363" t="str">
        <f>IF(C19="","",VLOOKUP($C19,CHANTIER!$A$2:$C$83,3,0))</f>
        <v>pc</v>
      </c>
      <c r="E19" s="364">
        <f>4</f>
        <v>4</v>
      </c>
      <c r="F19" s="372">
        <f>IF($C19="","",E19*VLOOKUP($C19,CHANTIER!$A$2:$D$83,4,0))</f>
        <v>0.6</v>
      </c>
      <c r="G19" s="364">
        <f>4</f>
        <v>4</v>
      </c>
      <c r="H19" s="372">
        <f>IF($C19="","",G19*VLOOKUP($C19,CHANTIER!$A$2:$D$83,4,0))</f>
        <v>0.6</v>
      </c>
      <c r="I19" s="364">
        <f>4</f>
        <v>4</v>
      </c>
      <c r="J19" s="372">
        <f>IF($C19="","",I19*VLOOKUP($C19,CHANTIER!$A$2:$D$83,4,0))</f>
        <v>0.6</v>
      </c>
      <c r="K19" s="364">
        <f>4</f>
        <v>4</v>
      </c>
      <c r="L19" s="372">
        <f>IF($C19="","",K19*VLOOKUP($C19,CHANTIER!$A$2:$D$83,4,0))</f>
        <v>0.6</v>
      </c>
      <c r="M19" s="364">
        <f>4</f>
        <v>4</v>
      </c>
      <c r="N19" s="372">
        <f>IF($C19="","",M19*VLOOKUP($C19,CHANTIER!$A$2:$D$83,4,0))</f>
        <v>0.6</v>
      </c>
      <c r="O19" s="364">
        <f>4</f>
        <v>4</v>
      </c>
      <c r="P19" s="372">
        <f>IF($C19="","",O19*VLOOKUP($C19,CHANTIER!$A$2:$D$83,4,0))</f>
        <v>0.6</v>
      </c>
      <c r="Q19" s="364">
        <f>4</f>
        <v>4</v>
      </c>
      <c r="R19" s="372">
        <f>IF($C19="","",Q19*VLOOKUP($C19,CHANTIER!$A$2:$D$83,4,0))</f>
        <v>0.6</v>
      </c>
      <c r="S19" s="364">
        <f>4</f>
        <v>4</v>
      </c>
      <c r="T19" s="372">
        <f>IF($C19="","",S19*VLOOKUP($C19,CHANTIER!$A$2:$D$83,4,0))</f>
        <v>0.6</v>
      </c>
      <c r="U19" s="364">
        <f>4</f>
        <v>4</v>
      </c>
      <c r="V19" s="372">
        <f>IF($C19="","",U19*VLOOKUP($C19,CHANTIER!$A$2:$D$83,4,0))</f>
        <v>0.6</v>
      </c>
      <c r="W19" s="364">
        <f>4</f>
        <v>4</v>
      </c>
      <c r="X19" s="372">
        <f>IF($C19="","",W19*VLOOKUP($C19,CHANTIER!$A$2:$D$83,4,0))</f>
        <v>0.6</v>
      </c>
      <c r="Y19" s="364">
        <f>4</f>
        <v>4</v>
      </c>
      <c r="Z19" s="372">
        <f>IF($C19="","",Y19*VLOOKUP($C19,CHANTIER!$A$2:$D$83,4,0))</f>
        <v>0.6</v>
      </c>
      <c r="AA19" s="364">
        <f>4</f>
        <v>4</v>
      </c>
      <c r="AB19" s="372">
        <f>IF($C19="","",AA19*VLOOKUP($C19,CHANTIER!$A$2:$D$83,4,0))</f>
        <v>0.6</v>
      </c>
      <c r="AC19" s="364">
        <f>4</f>
        <v>4</v>
      </c>
      <c r="AD19" s="372">
        <f>IF($C19="","",AC19*VLOOKUP($C19,CHANTIER!$A$2:$D$83,4,0))</f>
        <v>0.6</v>
      </c>
      <c r="AE19" s="364">
        <f>4</f>
        <v>4</v>
      </c>
      <c r="AF19" s="372">
        <f>IF($C19="","",AE19*VLOOKUP($C19,CHANTIER!$A$2:$D$83,4,0))</f>
        <v>0.6</v>
      </c>
      <c r="AG19" s="364">
        <f>4</f>
        <v>4</v>
      </c>
      <c r="AH19" s="372">
        <f>IF($C19="","",AG19*VLOOKUP($C19,CHANTIER!$A$2:$D$83,4,0))</f>
        <v>0.6</v>
      </c>
      <c r="AI19" s="364">
        <f>4</f>
        <v>4</v>
      </c>
      <c r="AJ19" s="372">
        <f>IF($C19="","",AI19*VLOOKUP($C19,CHANTIER!$A$2:$D$83,4,0))</f>
        <v>0.6</v>
      </c>
      <c r="AK19" s="364">
        <f>4</f>
        <v>4</v>
      </c>
      <c r="AL19" s="372">
        <f>IF($C19="","",AK19*VLOOKUP($C19,CHANTIER!$A$2:$D$83,4,0))</f>
        <v>0.6</v>
      </c>
      <c r="AM19" s="364">
        <f>4</f>
        <v>4</v>
      </c>
      <c r="AN19" s="372">
        <f>IF($C19="","",AM19*VLOOKUP($C19,CHANTIER!$A$2:$D$83,4,0))</f>
        <v>0.6</v>
      </c>
    </row>
    <row r="20" spans="1:40" ht="15" customHeight="1" x14ac:dyDescent="0.2">
      <c r="A20" s="1626"/>
      <c r="B20" s="361" t="s">
        <v>1160</v>
      </c>
      <c r="C20" s="378" t="s">
        <v>409</v>
      </c>
      <c r="D20" s="363" t="str">
        <f>IF(C20="","",VLOOKUP($C20,CHANTIER!$A$2:$C$83,3,0))</f>
        <v>ml</v>
      </c>
      <c r="E20" s="364">
        <f>E6</f>
        <v>15.743999999999998</v>
      </c>
      <c r="F20" s="372">
        <f>IF($C20="","",E20*VLOOKUP($C20,CHANTIER!$A$2:$D$83,4,0))</f>
        <v>3.1487999999999996</v>
      </c>
      <c r="G20" s="364">
        <f>G6</f>
        <v>19.2</v>
      </c>
      <c r="H20" s="372">
        <f>IF($C20="","",G20*VLOOKUP($C20,CHANTIER!$A$2:$D$83,4,0))</f>
        <v>3.84</v>
      </c>
      <c r="I20" s="364">
        <f>I6</f>
        <v>23.04</v>
      </c>
      <c r="J20" s="372">
        <f>IF($C20="","",I20*VLOOKUP($C20,CHANTIER!$A$2:$D$83,4,0))</f>
        <v>4.6079999999999997</v>
      </c>
      <c r="K20" s="364">
        <f>K6</f>
        <v>24.96</v>
      </c>
      <c r="L20" s="372">
        <f>IF($C20="","",K20*VLOOKUP($C20,CHANTIER!$A$2:$D$83,4,0))</f>
        <v>4.9920000000000009</v>
      </c>
      <c r="M20" s="364">
        <f>M6</f>
        <v>26.88</v>
      </c>
      <c r="N20" s="372">
        <f>IF($C20="","",M20*VLOOKUP($C20,CHANTIER!$A$2:$D$83,4,0))</f>
        <v>5.3760000000000003</v>
      </c>
      <c r="O20" s="364">
        <f>O6</f>
        <v>28.799999999999997</v>
      </c>
      <c r="P20" s="372">
        <f>IF($C20="","",O20*VLOOKUP($C20,CHANTIER!$A$2:$D$83,4,0))</f>
        <v>5.76</v>
      </c>
      <c r="Q20" s="364">
        <f>Q6</f>
        <v>30.72</v>
      </c>
      <c r="R20" s="372">
        <f>IF($C20="","",Q20*VLOOKUP($C20,CHANTIER!$A$2:$D$83,4,0))</f>
        <v>6.1440000000000001</v>
      </c>
      <c r="S20" s="364">
        <f>S6</f>
        <v>32.64</v>
      </c>
      <c r="T20" s="372">
        <f>IF($C20="","",S20*VLOOKUP($C20,CHANTIER!$A$2:$D$83,4,0))</f>
        <v>6.5280000000000005</v>
      </c>
      <c r="U20" s="364">
        <f>U6</f>
        <v>34.56</v>
      </c>
      <c r="V20" s="372">
        <f>IF($C20="","",U20*VLOOKUP($C20,CHANTIER!$A$2:$D$83,4,0))</f>
        <v>6.9120000000000008</v>
      </c>
      <c r="W20" s="364">
        <f>W6</f>
        <v>38.4</v>
      </c>
      <c r="X20" s="372">
        <f>IF($C20="","",W20*VLOOKUP($C20,CHANTIER!$A$2:$D$83,4,0))</f>
        <v>7.68</v>
      </c>
      <c r="Y20" s="364">
        <f>Y6</f>
        <v>42.239999999999995</v>
      </c>
      <c r="Z20" s="372">
        <f>IF($C20="","",Y20*VLOOKUP($C20,CHANTIER!$A$2:$D$83,4,0))</f>
        <v>8.4479999999999986</v>
      </c>
      <c r="AA20" s="364">
        <f>AA6</f>
        <v>44.16</v>
      </c>
      <c r="AB20" s="372">
        <f>IF($C20="","",AA20*VLOOKUP($C20,CHANTIER!$A$2:$D$83,4,0))</f>
        <v>8.831999999999999</v>
      </c>
      <c r="AC20" s="364">
        <f>AC6</f>
        <v>42.239999999999995</v>
      </c>
      <c r="AD20" s="372">
        <f>IF($C20="","",AC20*VLOOKUP($C20,CHANTIER!$A$2:$D$83,4,0))</f>
        <v>8.4479999999999986</v>
      </c>
      <c r="AE20" s="364">
        <f>AE6</f>
        <v>46.08</v>
      </c>
      <c r="AF20" s="372">
        <f>IF($C20="","",AE20*VLOOKUP($C20,CHANTIER!$A$2:$D$83,4,0))</f>
        <v>9.2159999999999993</v>
      </c>
      <c r="AG20" s="364">
        <f>AG6</f>
        <v>48</v>
      </c>
      <c r="AH20" s="372">
        <f>IF($C20="","",AG20*VLOOKUP($C20,CHANTIER!$A$2:$D$83,4,0))</f>
        <v>9.6000000000000014</v>
      </c>
      <c r="AI20" s="364">
        <f>AI6</f>
        <v>49.92</v>
      </c>
      <c r="AJ20" s="372">
        <f>IF($C20="","",AI20*VLOOKUP($C20,CHANTIER!$A$2:$D$83,4,0))</f>
        <v>9.9840000000000018</v>
      </c>
      <c r="AK20" s="364">
        <f>AK6</f>
        <v>53.76</v>
      </c>
      <c r="AL20" s="372">
        <f>IF($C20="","",AK20*VLOOKUP($C20,CHANTIER!$A$2:$D$83,4,0))</f>
        <v>10.752000000000001</v>
      </c>
      <c r="AM20" s="364">
        <f>AM6</f>
        <v>49.92</v>
      </c>
      <c r="AN20" s="372">
        <f>IF($C20="","",AM20*VLOOKUP($C20,CHANTIER!$A$2:$D$83,4,0))</f>
        <v>9.9840000000000018</v>
      </c>
    </row>
    <row r="21" spans="1:40" ht="15" customHeight="1" x14ac:dyDescent="0.2">
      <c r="A21" s="1626"/>
      <c r="B21" s="361"/>
      <c r="C21" s="378"/>
      <c r="D21" s="363" t="str">
        <f>IF(C21="","",VLOOKUP($C21,CHANTIER!$A$2:$C$83,3,0))</f>
        <v/>
      </c>
      <c r="E21" s="364"/>
      <c r="F21" s="372" t="str">
        <f>IF($C21="","",E21*VLOOKUP($C21,CHANTIER!$A$2:$D$83,4,0))</f>
        <v/>
      </c>
      <c r="G21" s="364">
        <v>5</v>
      </c>
      <c r="H21" s="372" t="str">
        <f>IF($C21="","",G21*VLOOKUP($C21,CHANTIER!$A$2:$D$83,4,0))</f>
        <v/>
      </c>
      <c r="I21" s="364">
        <v>5</v>
      </c>
      <c r="J21" s="372" t="str">
        <f>IF($C21="","",I21*VLOOKUP($C21,CHANTIER!$A$2:$D$83,4,0))</f>
        <v/>
      </c>
      <c r="K21" s="364">
        <v>5</v>
      </c>
      <c r="L21" s="372" t="str">
        <f>IF($C21="","",K21*VLOOKUP($C21,CHANTIER!$A$2:$D$83,4,0))</f>
        <v/>
      </c>
      <c r="M21" s="364">
        <v>5</v>
      </c>
      <c r="N21" s="372" t="str">
        <f>IF($C21="","",M21*VLOOKUP($C21,CHANTIER!$A$2:$D$83,4,0))</f>
        <v/>
      </c>
      <c r="O21" s="364">
        <v>5</v>
      </c>
      <c r="P21" s="372" t="str">
        <f>IF($C21="","",O21*VLOOKUP($C21,CHANTIER!$A$2:$D$83,4,0))</f>
        <v/>
      </c>
      <c r="Q21" s="364">
        <v>5</v>
      </c>
      <c r="R21" s="372" t="str">
        <f>IF($C21="","",Q21*VLOOKUP($C21,CHANTIER!$A$2:$D$83,4,0))</f>
        <v/>
      </c>
      <c r="S21" s="364">
        <v>5</v>
      </c>
      <c r="T21" s="372" t="str">
        <f>IF($C21="","",S21*VLOOKUP($C21,CHANTIER!$A$2:$D$83,4,0))</f>
        <v/>
      </c>
      <c r="U21" s="364">
        <v>5</v>
      </c>
      <c r="V21" s="372" t="str">
        <f>IF($C21="","",U21*VLOOKUP($C21,CHANTIER!$A$2:$D$83,4,0))</f>
        <v/>
      </c>
      <c r="W21" s="364">
        <v>5</v>
      </c>
      <c r="X21" s="372" t="str">
        <f>IF($C21="","",W21*VLOOKUP($C21,CHANTIER!$A$2:$D$83,4,0))</f>
        <v/>
      </c>
      <c r="Y21" s="364">
        <v>5</v>
      </c>
      <c r="Z21" s="372" t="str">
        <f>IF($C21="","",Y21*VLOOKUP($C21,CHANTIER!$A$2:$D$83,4,0))</f>
        <v/>
      </c>
      <c r="AA21" s="364">
        <v>5</v>
      </c>
      <c r="AB21" s="372" t="str">
        <f>IF($C21="","",AA21*VLOOKUP($C21,CHANTIER!$A$2:$D$83,4,0))</f>
        <v/>
      </c>
      <c r="AC21" s="364">
        <v>5</v>
      </c>
      <c r="AD21" s="372" t="str">
        <f>IF($C21="","",AC21*VLOOKUP($C21,CHANTIER!$A$2:$D$83,4,0))</f>
        <v/>
      </c>
      <c r="AE21" s="364">
        <v>5</v>
      </c>
      <c r="AF21" s="372" t="str">
        <f>IF($C21="","",AE21*VLOOKUP($C21,CHANTIER!$A$2:$D$83,4,0))</f>
        <v/>
      </c>
      <c r="AG21" s="364">
        <v>5</v>
      </c>
      <c r="AH21" s="372" t="str">
        <f>IF($C21="","",AG21*VLOOKUP($C21,CHANTIER!$A$2:$D$83,4,0))</f>
        <v/>
      </c>
      <c r="AI21" s="364">
        <v>5</v>
      </c>
      <c r="AJ21" s="372" t="str">
        <f>IF($C21="","",AI21*VLOOKUP($C21,CHANTIER!$A$2:$D$83,4,0))</f>
        <v/>
      </c>
      <c r="AK21" s="364">
        <v>5</v>
      </c>
      <c r="AL21" s="372" t="str">
        <f>IF($C21="","",AK21*VLOOKUP($C21,CHANTIER!$A$2:$D$83,4,0))</f>
        <v/>
      </c>
      <c r="AM21" s="364">
        <v>6</v>
      </c>
      <c r="AN21" s="372" t="str">
        <f>IF($C21="","",AM21*VLOOKUP($C21,CHANTIER!$A$2:$D$83,4,0))</f>
        <v/>
      </c>
    </row>
    <row r="22" spans="1:40" ht="30.75" customHeight="1" x14ac:dyDescent="0.2">
      <c r="A22" s="1626"/>
      <c r="B22" s="379" t="s">
        <v>453</v>
      </c>
      <c r="C22" s="380" t="s">
        <v>450</v>
      </c>
      <c r="D22" s="381" t="s">
        <v>451</v>
      </c>
      <c r="E22" s="382">
        <f>F22*Simulation!$P$9</f>
        <v>236.33099999999996</v>
      </c>
      <c r="F22" s="383">
        <f>SUM(F17:F21)</f>
        <v>5.2517999999999994</v>
      </c>
      <c r="G22" s="382">
        <f>H22*Simulation!$P$9</f>
        <v>280.8</v>
      </c>
      <c r="H22" s="383">
        <f>SUM(H17:H21)</f>
        <v>6.24</v>
      </c>
      <c r="I22" s="382">
        <f>J22*Simulation!$P$9</f>
        <v>330.21</v>
      </c>
      <c r="J22" s="383">
        <f>SUM(J17:J21)</f>
        <v>7.3379999999999992</v>
      </c>
      <c r="K22" s="382">
        <f>L22*Simulation!$P$9</f>
        <v>354.91500000000002</v>
      </c>
      <c r="L22" s="383">
        <f>SUM(L17:L21)</f>
        <v>7.8870000000000005</v>
      </c>
      <c r="M22" s="382">
        <f>N22*Simulation!$P$9</f>
        <v>379.62</v>
      </c>
      <c r="N22" s="383">
        <f>SUM(N17:N21)</f>
        <v>8.4359999999999999</v>
      </c>
      <c r="O22" s="382">
        <f>P22*Simulation!$P$9</f>
        <v>404.32499999999999</v>
      </c>
      <c r="P22" s="383">
        <f>SUM(P17:P21)</f>
        <v>8.9849999999999994</v>
      </c>
      <c r="Q22" s="382">
        <f>R22*Simulation!$P$9</f>
        <v>429.03000000000003</v>
      </c>
      <c r="R22" s="383">
        <f>SUM(R17:R21)</f>
        <v>9.5340000000000007</v>
      </c>
      <c r="S22" s="382">
        <f>T22*Simulation!$P$9</f>
        <v>453.73500000000001</v>
      </c>
      <c r="T22" s="383">
        <f>SUM(T17:T21)</f>
        <v>10.083</v>
      </c>
      <c r="U22" s="382">
        <f>V22*Simulation!$P$9</f>
        <v>478.44000000000005</v>
      </c>
      <c r="V22" s="383">
        <f>SUM(V17:V21)</f>
        <v>10.632000000000001</v>
      </c>
      <c r="W22" s="382">
        <f>X22*Simulation!$P$9</f>
        <v>527.85</v>
      </c>
      <c r="X22" s="383">
        <f>SUM(X17:X21)</f>
        <v>11.73</v>
      </c>
      <c r="Y22" s="382">
        <f>Z22*Simulation!$P$9</f>
        <v>577.26</v>
      </c>
      <c r="Z22" s="383">
        <f>SUM(Z17:Z21)</f>
        <v>12.827999999999999</v>
      </c>
      <c r="AA22" s="382">
        <f>AB22*Simulation!$P$9</f>
        <v>601.96499999999992</v>
      </c>
      <c r="AB22" s="383">
        <f>SUM(AB17:AB21)</f>
        <v>13.376999999999999</v>
      </c>
      <c r="AC22" s="382">
        <f>AD22*Simulation!$P$9</f>
        <v>577.26</v>
      </c>
      <c r="AD22" s="383">
        <f>SUM(AD17:AD21)</f>
        <v>12.827999999999999</v>
      </c>
      <c r="AE22" s="382">
        <f>AF22*Simulation!$P$9</f>
        <v>626.66999999999996</v>
      </c>
      <c r="AF22" s="383">
        <f>SUM(AF17:AF21)</f>
        <v>13.925999999999998</v>
      </c>
      <c r="AG22" s="382">
        <f>AH22*Simulation!$P$9</f>
        <v>651.37500000000011</v>
      </c>
      <c r="AH22" s="383">
        <f>SUM(AH17:AH21)</f>
        <v>14.475000000000001</v>
      </c>
      <c r="AI22" s="382">
        <f>AJ22*Simulation!$P$9</f>
        <v>676.08</v>
      </c>
      <c r="AJ22" s="383">
        <f>SUM(AJ17:AJ21)</f>
        <v>15.024000000000001</v>
      </c>
      <c r="AK22" s="382">
        <f>AL22*Simulation!$P$9</f>
        <v>725.49</v>
      </c>
      <c r="AL22" s="383">
        <f>SUM(AL17:AL21)</f>
        <v>16.122</v>
      </c>
      <c r="AM22" s="382">
        <f>AN22*Simulation!$P$9</f>
        <v>676.08</v>
      </c>
      <c r="AN22" s="383">
        <f>SUM(AN17:AN21)</f>
        <v>15.024000000000001</v>
      </c>
    </row>
    <row r="23" spans="1:40" ht="15" customHeight="1" x14ac:dyDescent="0.2">
      <c r="A23" s="1628" t="s">
        <v>4</v>
      </c>
      <c r="B23" s="361" t="s">
        <v>1170</v>
      </c>
      <c r="C23" s="378" t="s">
        <v>405</v>
      </c>
      <c r="D23" s="363" t="str">
        <f>IF(C23="","",VLOOKUP($C23,MINIPELLE!$A$2:$C$28,3,0))</f>
        <v>ml</v>
      </c>
      <c r="E23" s="364">
        <f>E6</f>
        <v>15.743999999999998</v>
      </c>
      <c r="F23" s="372">
        <f>IF($C23="","",E23*VLOOKUP($C23,MINIPELLE!$A$2:$D$28,4,0))</f>
        <v>1.25952</v>
      </c>
      <c r="G23" s="364">
        <f>G6</f>
        <v>19.2</v>
      </c>
      <c r="H23" s="372">
        <f>IF($C23="","",G23*VLOOKUP($C23,MINIPELLE!$A$2:$D$28,4,0))</f>
        <v>1.536</v>
      </c>
      <c r="I23" s="364">
        <f>I6</f>
        <v>23.04</v>
      </c>
      <c r="J23" s="372">
        <f>IF($C23="","",I23*VLOOKUP($C23,MINIPELLE!$A$2:$D$28,4,0))</f>
        <v>1.8431999999999999</v>
      </c>
      <c r="K23" s="364">
        <f>K6</f>
        <v>24.96</v>
      </c>
      <c r="L23" s="372">
        <f>IF($C23="","",K23*VLOOKUP($C23,MINIPELLE!$A$2:$D$28,4,0))</f>
        <v>1.9968000000000001</v>
      </c>
      <c r="M23" s="364">
        <f>M6</f>
        <v>26.88</v>
      </c>
      <c r="N23" s="372">
        <f>IF($C23="","",M23*VLOOKUP($C23,MINIPELLE!$A$2:$D$28,4,0))</f>
        <v>2.1503999999999999</v>
      </c>
      <c r="O23" s="364">
        <f>O6</f>
        <v>28.799999999999997</v>
      </c>
      <c r="P23" s="372">
        <f>IF($C23="","",O23*VLOOKUP($C23,MINIPELLE!$A$2:$D$28,4,0))</f>
        <v>2.3039999999999998</v>
      </c>
      <c r="Q23" s="364">
        <f>Q6</f>
        <v>30.72</v>
      </c>
      <c r="R23" s="372">
        <f>IF($C23="","",Q23*VLOOKUP($C23,MINIPELLE!$A$2:$D$28,4,0))</f>
        <v>2.4575999999999998</v>
      </c>
      <c r="S23" s="364">
        <f>S6</f>
        <v>32.64</v>
      </c>
      <c r="T23" s="372">
        <f>IF($C23="","",S23*VLOOKUP($C23,MINIPELLE!$A$2:$D$28,4,0))</f>
        <v>2.6112000000000002</v>
      </c>
      <c r="U23" s="364">
        <f>U6</f>
        <v>34.56</v>
      </c>
      <c r="V23" s="372">
        <f>IF($C23="","",U23*VLOOKUP($C23,MINIPELLE!$A$2:$D$28,4,0))</f>
        <v>2.7648000000000001</v>
      </c>
      <c r="W23" s="364">
        <f>W6</f>
        <v>38.4</v>
      </c>
      <c r="X23" s="372">
        <f>IF($C23="","",W23*VLOOKUP($C23,MINIPELLE!$A$2:$D$28,4,0))</f>
        <v>3.0720000000000001</v>
      </c>
      <c r="Y23" s="364">
        <f>Y6</f>
        <v>42.239999999999995</v>
      </c>
      <c r="Z23" s="372">
        <f>IF($C23="","",Y23*VLOOKUP($C23,MINIPELLE!$A$2:$D$28,4,0))</f>
        <v>3.3791999999999995</v>
      </c>
      <c r="AA23" s="364">
        <f>AA6</f>
        <v>44.16</v>
      </c>
      <c r="AB23" s="372">
        <f>IF($C23="","",AA23*VLOOKUP($C23,MINIPELLE!$A$2:$D$28,4,0))</f>
        <v>3.5327999999999999</v>
      </c>
      <c r="AC23" s="364">
        <f>AC6</f>
        <v>42.239999999999995</v>
      </c>
      <c r="AD23" s="372">
        <f>IF($C23="","",AC23*VLOOKUP($C23,MINIPELLE!$A$2:$D$28,4,0))</f>
        <v>3.3791999999999995</v>
      </c>
      <c r="AE23" s="364">
        <f>AE6</f>
        <v>46.08</v>
      </c>
      <c r="AF23" s="372">
        <f>IF($C23="","",AE23*VLOOKUP($C23,MINIPELLE!$A$2:$D$28,4,0))</f>
        <v>3.6863999999999999</v>
      </c>
      <c r="AG23" s="364">
        <f>AG6</f>
        <v>48</v>
      </c>
      <c r="AH23" s="372">
        <f>IF($C23="","",AG23*VLOOKUP($C23,MINIPELLE!$A$2:$D$28,4,0))</f>
        <v>3.84</v>
      </c>
      <c r="AI23" s="364">
        <f>AI6</f>
        <v>49.92</v>
      </c>
      <c r="AJ23" s="372">
        <f>IF($C23="","",AI23*VLOOKUP($C23,MINIPELLE!$A$2:$D$28,4,0))</f>
        <v>3.9936000000000003</v>
      </c>
      <c r="AK23" s="364">
        <f>AK6</f>
        <v>53.76</v>
      </c>
      <c r="AL23" s="372">
        <f>IF($C23="","",AK23*VLOOKUP($C23,MINIPELLE!$A$2:$D$28,4,0))</f>
        <v>4.3007999999999997</v>
      </c>
      <c r="AM23" s="364">
        <f>AM6</f>
        <v>49.92</v>
      </c>
      <c r="AN23" s="372">
        <f>IF($C23="","",AM23*VLOOKUP($C23,MINIPELLE!$A$2:$D$28,4,0))</f>
        <v>3.9936000000000003</v>
      </c>
    </row>
    <row r="24" spans="1:40" ht="15" customHeight="1" x14ac:dyDescent="0.2">
      <c r="A24" s="1629"/>
      <c r="B24" s="361"/>
      <c r="C24" s="378"/>
      <c r="D24" s="363" t="str">
        <f>IF(C24="","",VLOOKUP($C24,MINIPELLE!$A$2:$C$28,3,0))</f>
        <v/>
      </c>
      <c r="E24" s="364"/>
      <c r="F24" s="389"/>
      <c r="G24" s="364"/>
      <c r="H24" s="389"/>
      <c r="I24" s="364"/>
      <c r="J24" s="389"/>
      <c r="K24" s="364"/>
      <c r="L24" s="389"/>
      <c r="M24" s="364"/>
      <c r="N24" s="389"/>
      <c r="O24" s="364"/>
      <c r="P24" s="389"/>
      <c r="Q24" s="364"/>
      <c r="R24" s="389"/>
      <c r="S24" s="364"/>
      <c r="T24" s="389"/>
      <c r="U24" s="364"/>
      <c r="V24" s="389"/>
      <c r="W24" s="364"/>
      <c r="X24" s="389"/>
      <c r="Y24" s="364"/>
      <c r="Z24" s="389"/>
      <c r="AA24" s="364"/>
      <c r="AB24" s="389"/>
      <c r="AC24" s="364"/>
      <c r="AD24" s="389"/>
      <c r="AE24" s="364"/>
      <c r="AF24" s="389"/>
      <c r="AG24" s="364"/>
      <c r="AH24" s="389"/>
      <c r="AI24" s="364"/>
      <c r="AJ24" s="389"/>
      <c r="AK24" s="364"/>
      <c r="AL24" s="389"/>
      <c r="AM24" s="364"/>
      <c r="AN24" s="389"/>
    </row>
    <row r="25" spans="1:40" ht="29.25" customHeight="1" x14ac:dyDescent="0.2">
      <c r="A25" s="1629"/>
      <c r="B25" s="384" t="s">
        <v>454</v>
      </c>
      <c r="C25" s="385" t="s">
        <v>455</v>
      </c>
      <c r="D25" s="386" t="s">
        <v>451</v>
      </c>
      <c r="E25" s="387">
        <f>F25*Simulation!$P$10</f>
        <v>100.7616</v>
      </c>
      <c r="F25" s="388">
        <f>SUM(F23:F24)</f>
        <v>1.25952</v>
      </c>
      <c r="G25" s="387">
        <f>H25*Simulation!$P$10</f>
        <v>122.88</v>
      </c>
      <c r="H25" s="388">
        <f>SUM(H23:H24)</f>
        <v>1.536</v>
      </c>
      <c r="I25" s="387">
        <f>J25*Simulation!$P$10</f>
        <v>147.45599999999999</v>
      </c>
      <c r="J25" s="388">
        <f>SUM(J23:J24)</f>
        <v>1.8431999999999999</v>
      </c>
      <c r="K25" s="387">
        <f>L25*Simulation!$P$10</f>
        <v>159.744</v>
      </c>
      <c r="L25" s="388">
        <f>SUM(L23:L24)</f>
        <v>1.9968000000000001</v>
      </c>
      <c r="M25" s="387">
        <f>N25*Simulation!$P$10</f>
        <v>172.03199999999998</v>
      </c>
      <c r="N25" s="388">
        <f>SUM(N23:N24)</f>
        <v>2.1503999999999999</v>
      </c>
      <c r="O25" s="387">
        <f>P25*Simulation!$P$10</f>
        <v>184.32</v>
      </c>
      <c r="P25" s="388">
        <f>SUM(P23:P24)</f>
        <v>2.3039999999999998</v>
      </c>
      <c r="Q25" s="387">
        <f>R25*Simulation!$P$10</f>
        <v>196.60799999999998</v>
      </c>
      <c r="R25" s="388">
        <f>SUM(R23:R24)</f>
        <v>2.4575999999999998</v>
      </c>
      <c r="S25" s="387">
        <f>T25*Simulation!$P$10</f>
        <v>208.89600000000002</v>
      </c>
      <c r="T25" s="388">
        <f>SUM(T23:T24)</f>
        <v>2.6112000000000002</v>
      </c>
      <c r="U25" s="387">
        <f>V25*Simulation!$P$10</f>
        <v>221.18400000000003</v>
      </c>
      <c r="V25" s="388">
        <f>SUM(V23:V24)</f>
        <v>2.7648000000000001</v>
      </c>
      <c r="W25" s="387">
        <f>X25*Simulation!$P$10</f>
        <v>245.76</v>
      </c>
      <c r="X25" s="388">
        <f>SUM(X23:X24)</f>
        <v>3.0720000000000001</v>
      </c>
      <c r="Y25" s="387">
        <f>Z25*Simulation!$P$10</f>
        <v>270.33599999999996</v>
      </c>
      <c r="Z25" s="388">
        <f>SUM(Z23:Z24)</f>
        <v>3.3791999999999995</v>
      </c>
      <c r="AA25" s="387">
        <f>AB25*Simulation!$P$10</f>
        <v>282.62400000000002</v>
      </c>
      <c r="AB25" s="388">
        <f>SUM(AB23:AB24)</f>
        <v>3.5327999999999999</v>
      </c>
      <c r="AC25" s="387">
        <f>AD25*Simulation!$P$10</f>
        <v>270.33599999999996</v>
      </c>
      <c r="AD25" s="388">
        <f>SUM(AD23:AD24)</f>
        <v>3.3791999999999995</v>
      </c>
      <c r="AE25" s="387">
        <f>AF25*Simulation!$P$10</f>
        <v>294.91199999999998</v>
      </c>
      <c r="AF25" s="388">
        <f>SUM(AF23:AF24)</f>
        <v>3.6863999999999999</v>
      </c>
      <c r="AG25" s="387">
        <f>AH25*Simulation!$P$10</f>
        <v>307.2</v>
      </c>
      <c r="AH25" s="388">
        <f>SUM(AH23:AH24)</f>
        <v>3.84</v>
      </c>
      <c r="AI25" s="387">
        <f>AJ25*Simulation!$P$10</f>
        <v>319.488</v>
      </c>
      <c r="AJ25" s="388">
        <f>SUM(AJ23:AJ24)</f>
        <v>3.9936000000000003</v>
      </c>
      <c r="AK25" s="387">
        <f>AL25*Simulation!$P$10</f>
        <v>344.06399999999996</v>
      </c>
      <c r="AL25" s="388">
        <f>SUM(AL23:AL24)</f>
        <v>4.3007999999999997</v>
      </c>
      <c r="AM25" s="387">
        <f>AN25*Simulation!$P$10</f>
        <v>319.488</v>
      </c>
      <c r="AN25" s="388">
        <f>SUM(AN23:AN24)</f>
        <v>3.9936000000000003</v>
      </c>
    </row>
    <row r="26" spans="1:40" x14ac:dyDescent="0.2">
      <c r="A26" s="199"/>
      <c r="B26" s="172"/>
      <c r="C26" s="200"/>
      <c r="D26" s="201"/>
      <c r="E26" s="202"/>
      <c r="F26" s="203"/>
      <c r="G26" s="202"/>
      <c r="H26" s="203"/>
      <c r="I26" s="202"/>
      <c r="J26" s="203"/>
      <c r="K26" s="202"/>
      <c r="L26" s="203"/>
      <c r="M26" s="202"/>
      <c r="N26" s="203"/>
      <c r="O26" s="202"/>
      <c r="P26" s="203"/>
      <c r="Q26" s="202"/>
      <c r="R26" s="203"/>
      <c r="S26" s="202"/>
      <c r="T26" s="203"/>
      <c r="U26" s="202"/>
      <c r="V26" s="203"/>
      <c r="W26" s="202"/>
      <c r="X26" s="203"/>
      <c r="Y26" s="202"/>
      <c r="Z26" s="203"/>
      <c r="AA26" s="202"/>
      <c r="AB26" s="203"/>
      <c r="AC26" s="202"/>
      <c r="AD26" s="203"/>
      <c r="AE26" s="202"/>
      <c r="AF26" s="203"/>
      <c r="AG26" s="202"/>
      <c r="AH26" s="203"/>
      <c r="AI26" s="202"/>
      <c r="AJ26" s="203"/>
      <c r="AK26" s="202"/>
      <c r="AL26" s="203"/>
      <c r="AM26" s="202"/>
      <c r="AN26" s="203"/>
    </row>
    <row r="27" spans="1:40" ht="36" customHeight="1" x14ac:dyDescent="0.2">
      <c r="A27" s="204"/>
      <c r="B27" s="1561" t="s">
        <v>456</v>
      </c>
      <c r="C27" s="1564" t="s">
        <v>445</v>
      </c>
      <c r="D27" s="1564"/>
      <c r="E27" s="1547">
        <f>E25+E22+E16+E10</f>
        <v>766.98453359999996</v>
      </c>
      <c r="F27" s="1547"/>
      <c r="G27" s="1547">
        <f>G25+G22+G16+G10</f>
        <v>916.62887999999998</v>
      </c>
      <c r="H27" s="1547"/>
      <c r="I27" s="1547">
        <f>I25+I22+I16+I10</f>
        <v>1082.9003760000001</v>
      </c>
      <c r="J27" s="1547"/>
      <c r="K27" s="1547">
        <f>K25+K22+K16+K10</f>
        <v>1166.0361240000002</v>
      </c>
      <c r="L27" s="1547"/>
      <c r="M27" s="1547">
        <f>M25+M22+M16+M10</f>
        <v>1249.1718719999999</v>
      </c>
      <c r="N27" s="1547"/>
      <c r="O27" s="1547">
        <f>O25+O22+O16+O10</f>
        <v>1332.30762</v>
      </c>
      <c r="P27" s="1547"/>
      <c r="Q27" s="1547">
        <f>Q25+Q22+Q16+Q10</f>
        <v>1415.4433680000002</v>
      </c>
      <c r="R27" s="1547"/>
      <c r="S27" s="1547">
        <f>S25+S22+S16+S10</f>
        <v>1498.5791160000001</v>
      </c>
      <c r="T27" s="1547"/>
      <c r="U27" s="1547">
        <f>U25+U22+U16+U10</f>
        <v>1581.7148640000003</v>
      </c>
      <c r="V27" s="1547"/>
      <c r="W27" s="1547">
        <f>W25+W22+W16+W10</f>
        <v>1747.9863600000001</v>
      </c>
      <c r="X27" s="1547"/>
      <c r="Y27" s="1547">
        <f>Y25+Y22+Y16+Y10</f>
        <v>1914.2578559999999</v>
      </c>
      <c r="Z27" s="1547"/>
      <c r="AA27" s="1547">
        <f>AA25+AA22+AA16+AA10</f>
        <v>1997.3936040000001</v>
      </c>
      <c r="AB27" s="1547"/>
      <c r="AC27" s="1547">
        <f>AC25+AC22+AC16+AC10</f>
        <v>1914.2578559999999</v>
      </c>
      <c r="AD27" s="1547"/>
      <c r="AE27" s="1547">
        <f>AE25+AE22+AE16+AE10</f>
        <v>2080.529352</v>
      </c>
      <c r="AF27" s="1547"/>
      <c r="AG27" s="1547">
        <f>AG25+AG22+AG16+AG10</f>
        <v>2163.6651000000002</v>
      </c>
      <c r="AH27" s="1547"/>
      <c r="AI27" s="1547">
        <f>AI25+AI22+AI16+AI10</f>
        <v>2246.8008479999999</v>
      </c>
      <c r="AJ27" s="1547"/>
      <c r="AK27" s="1547">
        <f>AK25+AK22+AK16+AK10</f>
        <v>2413.0723440000002</v>
      </c>
      <c r="AL27" s="1547"/>
      <c r="AM27" s="1547">
        <f>AM25+AM22+AM16+AM10</f>
        <v>2246.8008479999999</v>
      </c>
      <c r="AN27" s="1547"/>
    </row>
    <row r="28" spans="1:40" ht="18" customHeight="1" x14ac:dyDescent="0.2">
      <c r="A28" s="154"/>
      <c r="B28" s="1562"/>
      <c r="C28" s="1565" t="s">
        <v>457</v>
      </c>
      <c r="D28" s="1565"/>
      <c r="E28" s="149">
        <f>E10-F10</f>
        <v>45.725061600000004</v>
      </c>
      <c r="F28" s="207">
        <f>E28/E$27</f>
        <v>5.9616667086336152E-2</v>
      </c>
      <c r="G28" s="149">
        <f>G10-H10</f>
        <v>54.611279999999994</v>
      </c>
      <c r="H28" s="207">
        <f>G28/G$27</f>
        <v>5.9578397748061347E-2</v>
      </c>
      <c r="I28" s="149">
        <f>I10-J10</f>
        <v>64.484856000000036</v>
      </c>
      <c r="J28" s="207">
        <f>I28/I$27</f>
        <v>5.9548281106146767E-2</v>
      </c>
      <c r="K28" s="149">
        <f>K10-L10</f>
        <v>69.421644000000015</v>
      </c>
      <c r="L28" s="207">
        <f>K28/K$27</f>
        <v>5.9536443658241248E-2</v>
      </c>
      <c r="M28" s="149">
        <f>M10-N10</f>
        <v>74.358431999999993</v>
      </c>
      <c r="N28" s="207">
        <f>M28/M$27</f>
        <v>5.9526181838330729E-2</v>
      </c>
      <c r="O28" s="149">
        <f>O10-P10</f>
        <v>79.295220000000029</v>
      </c>
      <c r="P28" s="207">
        <f>O28/O$27</f>
        <v>5.9517200689732618E-2</v>
      </c>
      <c r="Q28" s="149">
        <f>Q10-R10</f>
        <v>84.232008000000008</v>
      </c>
      <c r="R28" s="207">
        <f>Q28/Q$27</f>
        <v>5.9509274552622012E-2</v>
      </c>
      <c r="S28" s="149">
        <f>S10-T10</f>
        <v>89.168796000000043</v>
      </c>
      <c r="T28" s="207">
        <f>S28/S$27</f>
        <v>5.9502227842337045E-2</v>
      </c>
      <c r="U28" s="149">
        <f>U10-V10</f>
        <v>94.105584000000022</v>
      </c>
      <c r="V28" s="207">
        <f>U28/U$27</f>
        <v>5.9495921889496768E-2</v>
      </c>
      <c r="W28" s="149">
        <f>W10-X10</f>
        <v>103.97916000000004</v>
      </c>
      <c r="X28" s="207">
        <f>W28/W$27</f>
        <v>5.9485109483348619E-2</v>
      </c>
      <c r="Y28" s="149">
        <f>Y10-Z10</f>
        <v>113.85273599999999</v>
      </c>
      <c r="Z28" s="207">
        <f>Y28/Y$27</f>
        <v>5.9476175397762086E-2</v>
      </c>
      <c r="AA28" s="149">
        <f>AA10-AB10</f>
        <v>118.78952399999997</v>
      </c>
      <c r="AB28" s="207">
        <f>AA28/AA$27</f>
        <v>5.9472266138286864E-2</v>
      </c>
      <c r="AC28" s="149">
        <f>AC10-AD10</f>
        <v>113.85273599999999</v>
      </c>
      <c r="AD28" s="207">
        <f>AC28/AC$27</f>
        <v>5.9476175397762086E-2</v>
      </c>
      <c r="AE28" s="149">
        <f>AE10-AF10</f>
        <v>123.72631200000001</v>
      </c>
      <c r="AF28" s="207">
        <f>AE28/AE$27</f>
        <v>5.9468669298543018E-2</v>
      </c>
      <c r="AG28" s="149">
        <f>AG10-AH10</f>
        <v>128.66310000000004</v>
      </c>
      <c r="AH28" s="207">
        <f>AG28/AG$27</f>
        <v>5.946534886568168E-2</v>
      </c>
      <c r="AI28" s="149">
        <f>AI10-AJ10</f>
        <v>133.59988800000008</v>
      </c>
      <c r="AJ28" s="207">
        <f>AI28/AI$27</f>
        <v>5.9462274157019587E-2</v>
      </c>
      <c r="AK28" s="149">
        <f>AK10-AL10</f>
        <v>143.47346400000004</v>
      </c>
      <c r="AL28" s="207">
        <f>AK28/AK$27</f>
        <v>5.9456760323303437E-2</v>
      </c>
      <c r="AM28" s="149">
        <f>AM10-AN10</f>
        <v>133.59988800000008</v>
      </c>
      <c r="AN28" s="207">
        <f>AM28/AM$27</f>
        <v>5.9462274157019587E-2</v>
      </c>
    </row>
    <row r="29" spans="1:40" ht="18" customHeight="1" x14ac:dyDescent="0.2">
      <c r="A29" s="154"/>
      <c r="B29" s="1562"/>
      <c r="C29" s="1565" t="s">
        <v>9</v>
      </c>
      <c r="D29" s="1565"/>
      <c r="E29" s="149">
        <f>E10</f>
        <v>198.14193359999999</v>
      </c>
      <c r="F29" s="207">
        <f>E29/E$27</f>
        <v>0.25833889070745664</v>
      </c>
      <c r="G29" s="149">
        <f>G10</f>
        <v>236.64887999999999</v>
      </c>
      <c r="H29" s="207">
        <f>G29/G$27</f>
        <v>0.25817305690826586</v>
      </c>
      <c r="I29" s="149">
        <f>I10</f>
        <v>279.43437600000004</v>
      </c>
      <c r="J29" s="207">
        <f>I29/I$27</f>
        <v>0.25804255145996924</v>
      </c>
      <c r="K29" s="149">
        <f>K10</f>
        <v>300.82712400000003</v>
      </c>
      <c r="L29" s="207">
        <f>K29/K$27</f>
        <v>0.2579912558523787</v>
      </c>
      <c r="M29" s="149">
        <f>M10</f>
        <v>322.21987200000001</v>
      </c>
      <c r="N29" s="207">
        <f>M29/M$27</f>
        <v>0.25794678796609988</v>
      </c>
      <c r="O29" s="149">
        <f>O10</f>
        <v>343.61261999999999</v>
      </c>
      <c r="P29" s="207">
        <f>O29/O$27</f>
        <v>0.25790786965550794</v>
      </c>
      <c r="Q29" s="149">
        <f>Q10</f>
        <v>365.00536800000003</v>
      </c>
      <c r="R29" s="207">
        <f>Q29/Q$27</f>
        <v>0.25787352306136208</v>
      </c>
      <c r="S29" s="149">
        <f>S10</f>
        <v>386.39811600000007</v>
      </c>
      <c r="T29" s="207">
        <f>S29/S$27</f>
        <v>0.25784298731679378</v>
      </c>
      <c r="U29" s="149">
        <f>U10</f>
        <v>407.79086400000006</v>
      </c>
      <c r="V29" s="207">
        <f>U29/U$27</f>
        <v>0.25781566152115265</v>
      </c>
      <c r="W29" s="149">
        <f>W10</f>
        <v>450.57636000000002</v>
      </c>
      <c r="X29" s="207">
        <f>W29/W$27</f>
        <v>0.25776880776117728</v>
      </c>
      <c r="Y29" s="149">
        <f>Y10</f>
        <v>493.36185599999999</v>
      </c>
      <c r="Z29" s="207">
        <f>Y29/Y$27</f>
        <v>0.25773009339030239</v>
      </c>
      <c r="AA29" s="149">
        <f>AA10</f>
        <v>514.75460399999997</v>
      </c>
      <c r="AB29" s="207">
        <f>AA29/AA$27</f>
        <v>0.25771315326590982</v>
      </c>
      <c r="AC29" s="149">
        <f>AC10</f>
        <v>493.36185599999999</v>
      </c>
      <c r="AD29" s="207">
        <f>AC29/AC$27</f>
        <v>0.25773009339030239</v>
      </c>
      <c r="AE29" s="149">
        <f>AE10</f>
        <v>536.14735200000007</v>
      </c>
      <c r="AF29" s="207">
        <f>AE29/AE$27</f>
        <v>0.25769756696035312</v>
      </c>
      <c r="AG29" s="149">
        <f>AG10</f>
        <v>557.54010000000005</v>
      </c>
      <c r="AH29" s="207">
        <f>AG29/AG$27</f>
        <v>0.25768317841795385</v>
      </c>
      <c r="AI29" s="149">
        <f>AI10</f>
        <v>578.93284800000015</v>
      </c>
      <c r="AJ29" s="207">
        <f>AI29/AI$27</f>
        <v>0.25766985468041809</v>
      </c>
      <c r="AK29" s="149">
        <f>AK10</f>
        <v>621.718344</v>
      </c>
      <c r="AL29" s="207">
        <f>AK29/AK$27</f>
        <v>0.2576459614009815</v>
      </c>
      <c r="AM29" s="149">
        <f>AM10</f>
        <v>578.93284800000015</v>
      </c>
      <c r="AN29" s="207">
        <f>AM29/AM$27</f>
        <v>0.25766985468041809</v>
      </c>
    </row>
    <row r="30" spans="1:40" ht="18" customHeight="1" x14ac:dyDescent="0.2">
      <c r="A30" s="154"/>
      <c r="B30" s="1562"/>
      <c r="C30" s="1565" t="s">
        <v>458</v>
      </c>
      <c r="D30" s="1565"/>
      <c r="E30" s="149">
        <f>E16</f>
        <v>231.74999999999997</v>
      </c>
      <c r="F30" s="207">
        <f>E30/E$27</f>
        <v>0.30215733153344515</v>
      </c>
      <c r="G30" s="149">
        <f>G16</f>
        <v>276.3</v>
      </c>
      <c r="H30" s="207">
        <f>G30/G$27</f>
        <v>0.30143060733587185</v>
      </c>
      <c r="I30" s="149">
        <f>I16</f>
        <v>325.8</v>
      </c>
      <c r="J30" s="207">
        <f>I30/I$27</f>
        <v>0.30085870059758851</v>
      </c>
      <c r="K30" s="149">
        <f>K16</f>
        <v>350.55000000000007</v>
      </c>
      <c r="L30" s="207">
        <f>K30/K$27</f>
        <v>0.30063391072093409</v>
      </c>
      <c r="M30" s="149">
        <f>M16</f>
        <v>375.3</v>
      </c>
      <c r="N30" s="207">
        <f>M30/M$27</f>
        <v>0.30043904158610452</v>
      </c>
      <c r="O30" s="149">
        <f>O16</f>
        <v>400.05</v>
      </c>
      <c r="P30" s="207">
        <f>O30/O$27</f>
        <v>0.30026849204690431</v>
      </c>
      <c r="Q30" s="149">
        <f>Q16</f>
        <v>424.80000000000007</v>
      </c>
      <c r="R30" s="207">
        <f>Q30/Q$27</f>
        <v>0.30011797688538822</v>
      </c>
      <c r="S30" s="149">
        <f>S16</f>
        <v>449.55</v>
      </c>
      <c r="T30" s="207">
        <f>S30/S$27</f>
        <v>0.2999841617971673</v>
      </c>
      <c r="U30" s="149">
        <f>U16</f>
        <v>474.30000000000013</v>
      </c>
      <c r="V30" s="207">
        <f>U30/U$27</f>
        <v>0.29986441348887777</v>
      </c>
      <c r="W30" s="149">
        <f>W16</f>
        <v>523.80000000000007</v>
      </c>
      <c r="X30" s="207">
        <f>W30/W$27</f>
        <v>0.29965908887298187</v>
      </c>
      <c r="Y30" s="149">
        <f>Y16</f>
        <v>573.29999999999995</v>
      </c>
      <c r="Z30" s="207">
        <f>Y30/Y$27</f>
        <v>0.29948943304741488</v>
      </c>
      <c r="AA30" s="149">
        <f>AA16</f>
        <v>598.05000000000007</v>
      </c>
      <c r="AB30" s="207">
        <f>AA30/AA$27</f>
        <v>0.29941519728627308</v>
      </c>
      <c r="AC30" s="149">
        <f>AC16</f>
        <v>573.29999999999995</v>
      </c>
      <c r="AD30" s="207">
        <f>AC30/AC$27</f>
        <v>0.29948943304741488</v>
      </c>
      <c r="AE30" s="149">
        <f>AE16</f>
        <v>622.79999999999995</v>
      </c>
      <c r="AF30" s="207">
        <f>AE30/AE$27</f>
        <v>0.29934689428981437</v>
      </c>
      <c r="AG30" s="149">
        <f>AG16</f>
        <v>647.55000000000007</v>
      </c>
      <c r="AH30" s="207">
        <f>AG30/AG$27</f>
        <v>0.29928384018395454</v>
      </c>
      <c r="AI30" s="149">
        <f>AI16</f>
        <v>672.30000000000007</v>
      </c>
      <c r="AJ30" s="207">
        <f>AI30/AI$27</f>
        <v>0.29922545231298581</v>
      </c>
      <c r="AK30" s="149">
        <f>AK16</f>
        <v>721.8</v>
      </c>
      <c r="AL30" s="207">
        <f>AK30/AK$27</f>
        <v>0.29912074612877826</v>
      </c>
      <c r="AM30" s="149">
        <f>AM16</f>
        <v>672.30000000000007</v>
      </c>
      <c r="AN30" s="207">
        <f>AM30/AM$27</f>
        <v>0.29922545231298581</v>
      </c>
    </row>
    <row r="31" spans="1:40" ht="18" customHeight="1" x14ac:dyDescent="0.2">
      <c r="A31" s="154"/>
      <c r="B31" s="1562"/>
      <c r="C31" s="1565" t="s">
        <v>459</v>
      </c>
      <c r="D31" s="1565"/>
      <c r="E31" s="149">
        <f>E22</f>
        <v>236.33099999999996</v>
      </c>
      <c r="F31" s="207">
        <f>E31/E$27</f>
        <v>0.30813007257230041</v>
      </c>
      <c r="G31" s="149">
        <f>G22</f>
        <v>280.8</v>
      </c>
      <c r="H31" s="207">
        <f>G31/G$27</f>
        <v>0.30633990061495775</v>
      </c>
      <c r="I31" s="149">
        <f>I22</f>
        <v>330.21</v>
      </c>
      <c r="J31" s="207">
        <f>I31/I$27</f>
        <v>0.30493109737363316</v>
      </c>
      <c r="K31" s="149">
        <f>K22</f>
        <v>354.91500000000002</v>
      </c>
      <c r="L31" s="207">
        <f>K31/K$27</f>
        <v>0.30437736249756181</v>
      </c>
      <c r="M31" s="149">
        <f>M22</f>
        <v>379.62</v>
      </c>
      <c r="N31" s="207">
        <f>M31/M$27</f>
        <v>0.30389733271227554</v>
      </c>
      <c r="O31" s="149">
        <f>O22</f>
        <v>404.32499999999999</v>
      </c>
      <c r="P31" s="207">
        <f>O31/O$27</f>
        <v>0.30347721046585319</v>
      </c>
      <c r="Q31" s="149">
        <f>Q22</f>
        <v>429.03000000000003</v>
      </c>
      <c r="R31" s="207">
        <f>Q31/Q$27</f>
        <v>0.3031064397908147</v>
      </c>
      <c r="S31" s="149">
        <f>S22</f>
        <v>453.73500000000001</v>
      </c>
      <c r="T31" s="207">
        <f>S31/S$27</f>
        <v>0.30277680714723104</v>
      </c>
      <c r="U31" s="149">
        <f>U22</f>
        <v>478.44000000000005</v>
      </c>
      <c r="V31" s="207">
        <f>U31/U$27</f>
        <v>0.30248182582673128</v>
      </c>
      <c r="W31" s="149">
        <f>W22</f>
        <v>527.85</v>
      </c>
      <c r="X31" s="207">
        <f>W31/W$27</f>
        <v>0.30197604059107186</v>
      </c>
      <c r="Y31" s="149">
        <f>Y22</f>
        <v>577.26</v>
      </c>
      <c r="Z31" s="207">
        <f>Y31/Y$27</f>
        <v>0.30155811986909248</v>
      </c>
      <c r="AA31" s="149">
        <f>AA22</f>
        <v>601.96499999999992</v>
      </c>
      <c r="AB31" s="207">
        <f>AA31/AA$27</f>
        <v>0.30137525162516737</v>
      </c>
      <c r="AC31" s="149">
        <f>AC22</f>
        <v>577.26</v>
      </c>
      <c r="AD31" s="207">
        <f>AC31/AC$27</f>
        <v>0.30155811986909248</v>
      </c>
      <c r="AE31" s="149">
        <f>AE22</f>
        <v>626.66999999999996</v>
      </c>
      <c r="AF31" s="207">
        <f>AE31/AE$27</f>
        <v>0.30120699782369614</v>
      </c>
      <c r="AG31" s="149">
        <f>AG22</f>
        <v>651.37500000000011</v>
      </c>
      <c r="AH31" s="207">
        <f>AG31/AG$27</f>
        <v>0.30105167384730663</v>
      </c>
      <c r="AI31" s="149">
        <f>AI22</f>
        <v>676.08</v>
      </c>
      <c r="AJ31" s="207">
        <f>AI31/AI$27</f>
        <v>0.30090784441434398</v>
      </c>
      <c r="AK31" s="149">
        <f>AK22</f>
        <v>725.49</v>
      </c>
      <c r="AL31" s="207">
        <f>AK31/AK$27</f>
        <v>0.30064991702544663</v>
      </c>
      <c r="AM31" s="149">
        <f>AM22</f>
        <v>676.08</v>
      </c>
      <c r="AN31" s="207">
        <f>AM31/AM$27</f>
        <v>0.30090784441434398</v>
      </c>
    </row>
    <row r="32" spans="1:40" ht="18" customHeight="1" x14ac:dyDescent="0.2">
      <c r="A32" s="154"/>
      <c r="B32" s="1563"/>
      <c r="C32" s="1565" t="s">
        <v>5</v>
      </c>
      <c r="D32" s="1565"/>
      <c r="E32" s="149">
        <f>E25</f>
        <v>100.7616</v>
      </c>
      <c r="F32" s="207">
        <f>E32/E$27</f>
        <v>0.13137370518679781</v>
      </c>
      <c r="G32" s="149">
        <f>G25</f>
        <v>122.88</v>
      </c>
      <c r="H32" s="207">
        <f>G32/G$27</f>
        <v>0.13405643514090457</v>
      </c>
      <c r="I32" s="149">
        <f>I25</f>
        <v>147.45599999999999</v>
      </c>
      <c r="J32" s="207">
        <f>I32/I$27</f>
        <v>0.13616765056880908</v>
      </c>
      <c r="K32" s="149">
        <f>K25</f>
        <v>159.744</v>
      </c>
      <c r="L32" s="207">
        <f>K32/K$27</f>
        <v>0.13699747092912531</v>
      </c>
      <c r="M32" s="149">
        <f>M25</f>
        <v>172.03199999999998</v>
      </c>
      <c r="N32" s="207">
        <f>M32/M$27</f>
        <v>0.13771683773552018</v>
      </c>
      <c r="O32" s="149">
        <f>O25</f>
        <v>184.32</v>
      </c>
      <c r="P32" s="207">
        <f>O32/O$27</f>
        <v>0.13834642783173454</v>
      </c>
      <c r="Q32" s="149">
        <f>Q25</f>
        <v>196.60799999999998</v>
      </c>
      <c r="R32" s="207">
        <f>Q32/Q$27</f>
        <v>0.13890206026243498</v>
      </c>
      <c r="S32" s="149">
        <f>S25</f>
        <v>208.89600000000002</v>
      </c>
      <c r="T32" s="207">
        <f>S32/S$27</f>
        <v>0.13939604373880785</v>
      </c>
      <c r="U32" s="149">
        <f>U25</f>
        <v>221.18400000000003</v>
      </c>
      <c r="V32" s="207">
        <f>U32/U$27</f>
        <v>0.13983809916323831</v>
      </c>
      <c r="W32" s="149">
        <f>W25</f>
        <v>245.76</v>
      </c>
      <c r="X32" s="207">
        <f>W32/W$27</f>
        <v>0.14059606277476902</v>
      </c>
      <c r="Y32" s="149">
        <f>Y25</f>
        <v>270.33599999999996</v>
      </c>
      <c r="Z32" s="207">
        <f>Y32/Y$27</f>
        <v>0.14122235369319019</v>
      </c>
      <c r="AA32" s="149">
        <f>AA25</f>
        <v>282.62400000000002</v>
      </c>
      <c r="AB32" s="207">
        <f>AA32/AA$27</f>
        <v>0.14149639782264969</v>
      </c>
      <c r="AC32" s="149">
        <f>AC25</f>
        <v>270.33599999999996</v>
      </c>
      <c r="AD32" s="207">
        <f>AC32/AC$27</f>
        <v>0.14122235369319019</v>
      </c>
      <c r="AE32" s="149">
        <f>AE25</f>
        <v>294.91199999999998</v>
      </c>
      <c r="AF32" s="207">
        <f>AE32/AE$27</f>
        <v>0.14174854092613637</v>
      </c>
      <c r="AG32" s="149">
        <f>AG25</f>
        <v>307.2</v>
      </c>
      <c r="AH32" s="207">
        <f>AG32/AG$27</f>
        <v>0.141981307550785</v>
      </c>
      <c r="AI32" s="149">
        <f>AI25</f>
        <v>319.488</v>
      </c>
      <c r="AJ32" s="207">
        <f>AI32/AI$27</f>
        <v>0.14219684859225229</v>
      </c>
      <c r="AK32" s="149">
        <f>AK25</f>
        <v>344.06399999999996</v>
      </c>
      <c r="AL32" s="207">
        <f>AK32/AK$27</f>
        <v>0.14258337544479352</v>
      </c>
      <c r="AM32" s="149">
        <f>AM25</f>
        <v>319.488</v>
      </c>
      <c r="AN32" s="207">
        <f>AM32/AM$27</f>
        <v>0.14219684859225229</v>
      </c>
    </row>
    <row r="33" spans="1:40" x14ac:dyDescent="0.2">
      <c r="A33" s="154"/>
      <c r="B33" s="172"/>
      <c r="C33" s="154"/>
      <c r="D33" s="227"/>
      <c r="E33" s="154"/>
      <c r="F33" s="154"/>
      <c r="G33" s="154"/>
      <c r="H33" s="154"/>
      <c r="I33" s="154"/>
      <c r="J33" s="154"/>
      <c r="K33" s="154"/>
      <c r="L33" s="154"/>
      <c r="M33" s="154"/>
      <c r="N33" s="154"/>
      <c r="O33" s="154"/>
      <c r="P33" s="154"/>
      <c r="Q33" s="228"/>
      <c r="R33" s="229"/>
      <c r="S33" s="154"/>
      <c r="T33" s="230"/>
      <c r="U33" s="154"/>
      <c r="V33" s="154"/>
      <c r="W33" s="154"/>
      <c r="X33" s="154"/>
      <c r="Y33" s="154"/>
      <c r="Z33" s="154"/>
      <c r="AA33" s="154"/>
      <c r="AB33" s="154"/>
      <c r="AC33" s="154"/>
      <c r="AD33" s="154"/>
      <c r="AE33" s="154"/>
      <c r="AF33" s="154"/>
      <c r="AG33" s="154"/>
      <c r="AH33" s="154"/>
      <c r="AI33" s="154"/>
      <c r="AJ33" s="154"/>
      <c r="AK33" s="154"/>
      <c r="AL33" s="154"/>
      <c r="AM33" s="154"/>
      <c r="AN33" s="154"/>
    </row>
    <row r="34" spans="1:40" ht="36" x14ac:dyDescent="0.2">
      <c r="A34" s="154"/>
      <c r="B34" s="1375" t="s">
        <v>1462</v>
      </c>
      <c r="C34" s="1568" t="s">
        <v>1463</v>
      </c>
      <c r="D34" s="1569"/>
      <c r="E34" s="149">
        <f>(VLOOKUP("Prix HT",$C$1:$N$34,E$1,0))-(VLOOKUP("Non margé",$D$1:$N$34,E$1,0))</f>
        <v>614.56766159999995</v>
      </c>
      <c r="F34" s="207">
        <f>E34/VLOOKUP("Prix HT",$C$1:$N$34,E$1,0)</f>
        <v>0.80127777637887954</v>
      </c>
      <c r="G34" s="149">
        <f>(VLOOKUP("Prix HT",$C$1:$N$34,G$1,0))-(VLOOKUP("Non margé",$D$1:$N$34,G$1,0))</f>
        <v>734.59127999999998</v>
      </c>
      <c r="H34" s="207">
        <f>G34/VLOOKUP("Prix HT",$C$1:$N$34,G$1,0)</f>
        <v>0.80140534083979553</v>
      </c>
      <c r="I34" s="149">
        <f>(VLOOKUP("Prix HT",$C$1:$N$34,I$1,0))-(VLOOKUP("Non margé",$D$1:$N$34,I$1,0))</f>
        <v>867.95085600000004</v>
      </c>
      <c r="J34" s="207">
        <f>I34/VLOOKUP("Prix HT",$C$1:$N$34,I$1,0)</f>
        <v>0.8015057296461775</v>
      </c>
      <c r="K34" s="149">
        <f>(VLOOKUP("Prix HT",$C$1:$N$34,K$1,0))-(VLOOKUP("Non margé",$D$1:$N$34,K$1,0))</f>
        <v>934.63064400000019</v>
      </c>
      <c r="L34" s="207">
        <f>K34/VLOOKUP("Prix HT",$C$1:$N$34,K$1,0)</f>
        <v>0.80154518780586259</v>
      </c>
      <c r="M34" s="149">
        <f>(VLOOKUP("Prix HT",$C$1:$N$34,M$1,0))-(VLOOKUP("Non margé",$D$1:$N$34,M$1,0))</f>
        <v>1001.3104319999999</v>
      </c>
      <c r="N34" s="207">
        <f>M34/VLOOKUP("Prix HT",$C$1:$N$34,M$1,0)</f>
        <v>0.80157939387223087</v>
      </c>
      <c r="O34" s="149">
        <f>(VLOOKUP("Prix HT",$C$1:$AM$34,O$1,0))-(VLOOKUP("Non margé",$D$1:$AM$34,O$1,0))</f>
        <v>1067.9902200000001</v>
      </c>
      <c r="P34" s="207">
        <f>O34/VLOOKUP("Prix HT",$C$1:$AM$34,O$1,0)</f>
        <v>0.80160933103422471</v>
      </c>
      <c r="Q34" s="149">
        <f>(VLOOKUP("Prix HT",$C$1:$AM$34,Q$1,0))-(VLOOKUP("Non margé",$D$1:$AM$34,Q$1,0))</f>
        <v>1134.6700080000001</v>
      </c>
      <c r="R34" s="207">
        <f>Q34/VLOOKUP("Prix HT",$C$1:$AM$34,Q$1,0)</f>
        <v>0.80163575149125987</v>
      </c>
      <c r="S34" s="149">
        <f>(VLOOKUP("Prix HT",$C$1:$AM$34,S$1,0))-(VLOOKUP("Non margé",$D$1:$AM$34,S$1,0))</f>
        <v>1201.349796</v>
      </c>
      <c r="T34" s="207">
        <f>S34/VLOOKUP("Prix HT",$C$1:$AM$34,S$1,0)</f>
        <v>0.80165924052554316</v>
      </c>
      <c r="U34" s="149">
        <f>(VLOOKUP("Prix HT",$C$1:$AM$34,U$1,0))-(VLOOKUP("Non margé",$D$1:$AM$34,U$1,0))</f>
        <v>1268.0295840000003</v>
      </c>
      <c r="V34" s="207">
        <f>U34/VLOOKUP("Prix HT",$C$1:$AM$34,U$1,0)</f>
        <v>0.80168026036834417</v>
      </c>
      <c r="W34" s="149">
        <f>(VLOOKUP("Prix HT",$C$1:$AM$34,W$1,0))-(VLOOKUP("Non margé",$D$1:$AM$34,W$1,0))</f>
        <v>1401.3891600000002</v>
      </c>
      <c r="X34" s="207">
        <f>W34/VLOOKUP("Prix HT",$C$1:$AM$34,W$1,0)</f>
        <v>0.80171630172217134</v>
      </c>
      <c r="Y34" s="149">
        <f>(VLOOKUP("Prix HT",$C$1:$AM$34,Y$1,0))-(VLOOKUP("Non margé",$D$1:$AM$34,Y$1,0))</f>
        <v>1534.748736</v>
      </c>
      <c r="Z34" s="207">
        <f>Y34/VLOOKUP("Prix HT",$C$1:$AM$34,Y$1,0)</f>
        <v>0.80174608200745978</v>
      </c>
      <c r="AA34" s="149">
        <f>(VLOOKUP("Prix HT",$C$1:$AM$34,AA$1,0))-(VLOOKUP("Non margé",$D$1:$AM$34,AA$1,0))</f>
        <v>1601.4285240000002</v>
      </c>
      <c r="AB34" s="207">
        <f>AA34/VLOOKUP("Prix HT",$C$1:$AM$34,AA$1,0)</f>
        <v>0.80175911287237711</v>
      </c>
      <c r="AC34" s="149">
        <f>(VLOOKUP("Prix HT",$C$1:$AM$34,AC$1,0))-(VLOOKUP("Non margé",$D$1:$AM$34,AC$1,0))</f>
        <v>1534.748736</v>
      </c>
      <c r="AD34" s="207">
        <f>AC34/VLOOKUP("Prix HT",$C$1:$AM$34,AC$1,0)</f>
        <v>0.80174608200745978</v>
      </c>
      <c r="AE34" s="149">
        <f>(VLOOKUP("Prix HT",$C$1:$AM$34,AE$1,0))-(VLOOKUP("Non margé",$D$1:$AM$34,AE$1,0))</f>
        <v>1668.1083119999998</v>
      </c>
      <c r="AF34" s="207">
        <f>AE34/VLOOKUP("Prix HT",$C$1:$AM$34,AE$1,0)</f>
        <v>0.80177110233818982</v>
      </c>
      <c r="AG34" s="149">
        <f>(VLOOKUP("Prix HT",$C$1:$AM$34,AG$1,0))-(VLOOKUP("Non margé",$D$1:$AM$34,AG$1,0))</f>
        <v>1734.7881000000002</v>
      </c>
      <c r="AH34" s="207">
        <f>AG34/VLOOKUP("Prix HT",$C$1:$AM$34,AG$1,0)</f>
        <v>0.80178217044772782</v>
      </c>
      <c r="AI34" s="149">
        <f>(VLOOKUP("Prix HT",$C$1:$AM$34,AI$1,0))-(VLOOKUP("Non margé",$D$1:$AM$34,AI$1,0))</f>
        <v>1801.4678879999997</v>
      </c>
      <c r="AJ34" s="207">
        <f>AI34/VLOOKUP("Prix HT",$C$1:$AM$34,AI$1,0)</f>
        <v>0.8017924194766014</v>
      </c>
      <c r="AK34" s="149">
        <f>(VLOOKUP("Prix HT",$C$1:$AM$34,AK$1,0))-(VLOOKUP("Non margé",$D$1:$AM$34,AK$1,0))</f>
        <v>1934.8274640000002</v>
      </c>
      <c r="AL34" s="207">
        <f>AK34/VLOOKUP("Prix HT",$C$1:$AM$34,AK$1,0)</f>
        <v>0.80181079892232199</v>
      </c>
      <c r="AM34" s="149" t="e">
        <f>(VLOOKUP("Prix HT",$C$1:$AM$34,AM$1,0))-(VLOOKUP("Non margé",$D$1:$AM$34,AM$1,0))</f>
        <v>#REF!</v>
      </c>
      <c r="AN34" s="207" t="e">
        <f>AM34/VLOOKUP("Prix HT",$C$1:$AM$34,AM$1,0)</f>
        <v>#REF!</v>
      </c>
    </row>
    <row r="36" spans="1:40" x14ac:dyDescent="0.2">
      <c r="AN36" s="135"/>
    </row>
    <row r="37" spans="1:40" x14ac:dyDescent="0.2">
      <c r="AN37" s="135"/>
    </row>
    <row r="38" spans="1:40" x14ac:dyDescent="0.2">
      <c r="AN38" s="135"/>
    </row>
    <row r="39" spans="1:40" x14ac:dyDescent="0.2">
      <c r="AN39" s="135"/>
    </row>
    <row r="40" spans="1:40" x14ac:dyDescent="0.2">
      <c r="AN40" s="135"/>
    </row>
  </sheetData>
  <mergeCells count="43">
    <mergeCell ref="C34:D34"/>
    <mergeCell ref="AE2:AF2"/>
    <mergeCell ref="B2:B3"/>
    <mergeCell ref="C2:C3"/>
    <mergeCell ref="E2:F2"/>
    <mergeCell ref="G2:H2"/>
    <mergeCell ref="I2:J2"/>
    <mergeCell ref="K2:L2"/>
    <mergeCell ref="M2:N2"/>
    <mergeCell ref="O2:P2"/>
    <mergeCell ref="Q2:R2"/>
    <mergeCell ref="S2:T2"/>
    <mergeCell ref="U2:V2"/>
    <mergeCell ref="C30:D30"/>
    <mergeCell ref="C31:D31"/>
    <mergeCell ref="A4:A9"/>
    <mergeCell ref="A11:A16"/>
    <mergeCell ref="A17:A22"/>
    <mergeCell ref="A23:A25"/>
    <mergeCell ref="B27:B32"/>
    <mergeCell ref="AK27:AL27"/>
    <mergeCell ref="Q27:R27"/>
    <mergeCell ref="S27:T27"/>
    <mergeCell ref="U27:V27"/>
    <mergeCell ref="W27:X27"/>
    <mergeCell ref="Y27:Z27"/>
    <mergeCell ref="AA27:AB27"/>
    <mergeCell ref="AM27:AN27"/>
    <mergeCell ref="AM2:AN2"/>
    <mergeCell ref="C32:D32"/>
    <mergeCell ref="AC27:AD27"/>
    <mergeCell ref="AE27:AF27"/>
    <mergeCell ref="AG27:AH27"/>
    <mergeCell ref="AI27:AJ27"/>
    <mergeCell ref="E27:F27"/>
    <mergeCell ref="G27:H27"/>
    <mergeCell ref="I27:J27"/>
    <mergeCell ref="K27:L27"/>
    <mergeCell ref="M27:N27"/>
    <mergeCell ref="O27:P27"/>
    <mergeCell ref="C27:D27"/>
    <mergeCell ref="C28:D28"/>
    <mergeCell ref="C29:D29"/>
  </mergeCells>
  <dataValidations count="8">
    <dataValidation type="list" allowBlank="1" showInputMessage="1" showErrorMessage="1" promptTitle="MINIPELLE" prompt="choisir catégorie" sqref="B23:B24" xr:uid="{00000000-0002-0000-1200-000000000000}">
      <formula1>CATEGORIE_MP</formula1>
    </dataValidation>
    <dataValidation type="list" allowBlank="1" showInputMessage="1" showErrorMessage="1" promptTitle="Catégorie MOC" prompt="choisir" sqref="B17:B21" xr:uid="{00000000-0002-0000-1200-000001000000}">
      <formula1>CATEGORIE_MOC</formula1>
    </dataValidation>
    <dataValidation type="list" allowBlank="1" showInputMessage="1" showErrorMessage="1" promptTitle="MO ATELIER" prompt="choisir catégorie" sqref="B11:B15" xr:uid="{00000000-0002-0000-1200-000002000000}">
      <formula1>CATEGORIE_MOA</formula1>
    </dataValidation>
    <dataValidation type="list" allowBlank="1" showInputMessage="1" showErrorMessage="1" promptTitle="MATIERES" prompt="choisir catégorie" sqref="B4:B9" xr:uid="{00000000-0002-0000-1200-000003000000}">
      <formula1>MOA_ALIM</formula1>
    </dataValidation>
    <dataValidation type="list" allowBlank="1" showInputMessage="1" showErrorMessage="1" promptTitle="MATIERES" prompt="choisir le produit" sqref="C4:C9" xr:uid="{00000000-0002-0000-1200-000004000000}">
      <formula1>INDIRECT(B4)</formula1>
    </dataValidation>
    <dataValidation type="list" allowBlank="1" showInputMessage="1" promptTitle="Main d'oeuvre CHANTIER" prompt="choisir la prestation" sqref="C17:C21" xr:uid="{00000000-0002-0000-1200-000005000000}">
      <formula1>INDIRECT(B17)</formula1>
    </dataValidation>
    <dataValidation type="list" allowBlank="1" showInputMessage="1" showErrorMessage="1" promptTitle="Main d'oeuvre ATELIER" prompt="choisir la prestation" sqref="C11:C15" xr:uid="{00000000-0002-0000-1200-000006000000}">
      <formula1>INDIRECT(B11)</formula1>
    </dataValidation>
    <dataValidation type="list" allowBlank="1" showInputMessage="1" promptTitle="MINIPELLE" prompt="choisir la prestation" sqref="C23:C24" xr:uid="{00000000-0002-0000-1200-000007000000}">
      <formula1>INDIRECT(B23)</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published="0" codeName="Feuil20"/>
  <dimension ref="A1:AN40"/>
  <sheetViews>
    <sheetView zoomScale="85" zoomScaleNormal="85" workbookViewId="0">
      <selection activeCell="C6" sqref="C6"/>
    </sheetView>
  </sheetViews>
  <sheetFormatPr baseColWidth="10" defaultRowHeight="18" x14ac:dyDescent="0.2"/>
  <cols>
    <col min="1" max="1" width="18.125" style="210" customWidth="1"/>
    <col min="2" max="2" width="24.5" style="233"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807" width="11.5" customWidth="1"/>
  </cols>
  <sheetData>
    <row r="1" spans="1:40"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t="s">
        <v>467</v>
      </c>
    </row>
    <row r="2" spans="1:40" ht="35.1" customHeight="1" x14ac:dyDescent="0.2">
      <c r="A2" s="174"/>
      <c r="B2" s="1572" t="s">
        <v>962</v>
      </c>
      <c r="C2" s="1574" t="s">
        <v>468</v>
      </c>
      <c r="D2" s="115" t="s">
        <v>203</v>
      </c>
      <c r="E2" s="1571">
        <v>2</v>
      </c>
      <c r="F2" s="1571"/>
      <c r="G2" s="1571">
        <v>3</v>
      </c>
      <c r="H2" s="1571"/>
      <c r="I2" s="1571">
        <v>4</v>
      </c>
      <c r="J2" s="1571"/>
      <c r="K2" s="1571">
        <v>5</v>
      </c>
      <c r="L2" s="1571"/>
      <c r="M2" s="1571">
        <v>6</v>
      </c>
      <c r="N2" s="1571"/>
      <c r="O2" s="1571">
        <v>7</v>
      </c>
      <c r="P2" s="1571"/>
      <c r="Q2" s="1571">
        <v>8</v>
      </c>
      <c r="R2" s="1571"/>
      <c r="S2" s="1571">
        <v>9</v>
      </c>
      <c r="T2" s="1571"/>
      <c r="U2" s="1571">
        <v>10</v>
      </c>
      <c r="V2" s="1571"/>
      <c r="W2" s="218">
        <v>12</v>
      </c>
      <c r="X2" s="213" t="s">
        <v>469</v>
      </c>
      <c r="Y2" s="213">
        <v>12</v>
      </c>
      <c r="Z2" s="214" t="s">
        <v>470</v>
      </c>
      <c r="AA2" s="218">
        <v>14</v>
      </c>
      <c r="AB2" s="213" t="s">
        <v>471</v>
      </c>
      <c r="AC2" s="218">
        <v>14</v>
      </c>
      <c r="AD2" s="213" t="s">
        <v>472</v>
      </c>
      <c r="AE2" s="1571">
        <v>16</v>
      </c>
      <c r="AF2" s="1571"/>
      <c r="AG2" s="218">
        <v>18</v>
      </c>
      <c r="AH2" s="213" t="s">
        <v>473</v>
      </c>
      <c r="AI2" s="218">
        <v>18</v>
      </c>
      <c r="AJ2" s="213" t="s">
        <v>474</v>
      </c>
      <c r="AK2" s="218">
        <v>20</v>
      </c>
      <c r="AL2" s="213" t="s">
        <v>475</v>
      </c>
      <c r="AM2" s="1619">
        <v>20</v>
      </c>
      <c r="AN2" s="1620"/>
    </row>
    <row r="3" spans="1:40" ht="35.1" customHeight="1" x14ac:dyDescent="0.2">
      <c r="A3" s="174"/>
      <c r="B3" s="1573"/>
      <c r="C3" s="1574"/>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1380" t="s">
        <v>477</v>
      </c>
    </row>
    <row r="4" spans="1:40" ht="15" customHeight="1" x14ac:dyDescent="0.2">
      <c r="A4" s="1549" t="s">
        <v>1078</v>
      </c>
      <c r="B4" s="361"/>
      <c r="C4" s="362"/>
      <c r="D4" s="363" t="str">
        <f>IF($C4="","",VLOOKUP($C4,MATIERES!$A$2:$F$227,5,0))</f>
        <v/>
      </c>
      <c r="E4" s="364"/>
      <c r="F4" s="365" t="str">
        <f>IF($C4="","",E4*VLOOKUP($C4,MATIERES!$A$2:$F$448,4,0))</f>
        <v/>
      </c>
      <c r="G4" s="364"/>
      <c r="H4" s="365" t="str">
        <f>IF($C4="","",G4*VLOOKUP($C4,MATIERES!$A$2:$F$448,4,0))</f>
        <v/>
      </c>
      <c r="I4" s="364"/>
      <c r="J4" s="365" t="str">
        <f>IF($C4="","",I4*VLOOKUP($C4,MATIERES!$A$2:$F$448,4,0))</f>
        <v/>
      </c>
      <c r="K4" s="364"/>
      <c r="L4" s="365" t="str">
        <f>IF($C4="","",K4*VLOOKUP($C4,MATIERES!$A$2:$F$448,4,0))</f>
        <v/>
      </c>
      <c r="M4" s="364"/>
      <c r="N4" s="365" t="str">
        <f>IF($C4="","",M4*VLOOKUP($C4,MATIERES!$A$2:$F$448,4,0))</f>
        <v/>
      </c>
      <c r="O4" s="364"/>
      <c r="P4" s="365" t="str">
        <f>IF($C4="","",O4*VLOOKUP($C4,MATIERES!$A$2:$F$448,4,0))</f>
        <v/>
      </c>
      <c r="Q4" s="364"/>
      <c r="R4" s="365" t="str">
        <f>IF($C4="","",Q4*VLOOKUP($C4,MATIERES!$A$2:$F$448,4,0))</f>
        <v/>
      </c>
      <c r="S4" s="364"/>
      <c r="T4" s="365" t="str">
        <f>IF($C4="","",S4*VLOOKUP($C4,MATIERES!$A$2:$F$448,4,0))</f>
        <v/>
      </c>
      <c r="U4" s="364"/>
      <c r="V4" s="365" t="str">
        <f>IF($C4="","",U4*VLOOKUP($C4,MATIERES!$A$2:$F$448,4,0))</f>
        <v/>
      </c>
      <c r="W4" s="364"/>
      <c r="X4" s="365" t="str">
        <f>IF($C4="","",W4*VLOOKUP($C4,MATIERES!$A$2:$F$448,4,0))</f>
        <v/>
      </c>
      <c r="Y4" s="364"/>
      <c r="Z4" s="365" t="str">
        <f>IF($C4="","",Y4*VLOOKUP($C4,MATIERES!$A$2:$F$448,4,0))</f>
        <v/>
      </c>
      <c r="AA4" s="364"/>
      <c r="AB4" s="365" t="str">
        <f>IF($C4="","",AA4*VLOOKUP($C4,MATIERES!$A$2:$F$448,4,0))</f>
        <v/>
      </c>
      <c r="AC4" s="364"/>
      <c r="AD4" s="365" t="str">
        <f>IF($C4="","",AC4*VLOOKUP($C4,MATIERES!$A$2:$F$448,4,0))</f>
        <v/>
      </c>
      <c r="AE4" s="364"/>
      <c r="AF4" s="365" t="str">
        <f>IF($C4="","",AE4*VLOOKUP($C4,MATIERES!$A$2:$F$448,4,0))</f>
        <v/>
      </c>
      <c r="AG4" s="364"/>
      <c r="AH4" s="365" t="str">
        <f>IF($C4="","",AG4*VLOOKUP($C4,MATIERES!$A$2:$F$448,4,0))</f>
        <v/>
      </c>
      <c r="AI4" s="364"/>
      <c r="AJ4" s="365" t="str">
        <f>IF($C4="","",AI4*VLOOKUP($C4,MATIERES!$A$2:$F$448,4,0))</f>
        <v/>
      </c>
      <c r="AK4" s="364"/>
      <c r="AL4" s="365" t="str">
        <f>IF($C4="","",AK4*VLOOKUP($C4,MATIERES!$A$2:$F$448,4,0))</f>
        <v/>
      </c>
      <c r="AM4" s="364"/>
      <c r="AN4" s="365" t="str">
        <f>IF($C4="","",AM4*VLOOKUP($C4,MATIERES!$A$2:$F$448,4,0))</f>
        <v/>
      </c>
    </row>
    <row r="5" spans="1:40" ht="15" customHeight="1" x14ac:dyDescent="0.2">
      <c r="A5" s="1550"/>
      <c r="B5" s="361" t="s">
        <v>1763</v>
      </c>
      <c r="C5" s="362" t="s">
        <v>1762</v>
      </c>
      <c r="D5" s="363" t="str">
        <f>IF($C5="","",VLOOKUP($C5,MATIERES!$A$2:$F$448,5,0))</f>
        <v>pc</v>
      </c>
      <c r="E5" s="364">
        <f>'Outils de calculs'!E26*3</f>
        <v>24.599999999999998</v>
      </c>
      <c r="F5" s="365">
        <f>IF($C5="","",E5*VLOOKUP($C5,MATIERES!$A$2:$F$448,4,0))</f>
        <v>49.199999999999996</v>
      </c>
      <c r="G5" s="364">
        <f>'Outils de calculs'!G26*3</f>
        <v>30</v>
      </c>
      <c r="H5" s="365">
        <f>IF($C5="","",G5*VLOOKUP($C5,MATIERES!$A$2:$F$448,4,0))</f>
        <v>60</v>
      </c>
      <c r="I5" s="364">
        <f>'Outils de calculs'!I26*3</f>
        <v>36</v>
      </c>
      <c r="J5" s="365">
        <f>IF($C5="","",I5*VLOOKUP($C5,MATIERES!$A$2:$F$448,4,0))</f>
        <v>72</v>
      </c>
      <c r="K5" s="364">
        <f>'Outils de calculs'!K26*3</f>
        <v>39</v>
      </c>
      <c r="L5" s="365">
        <f>IF($C5="","",K5*VLOOKUP($C5,MATIERES!$A$2:$F$448,4,0))</f>
        <v>78</v>
      </c>
      <c r="M5" s="364">
        <f>'Outils de calculs'!M26*3</f>
        <v>42</v>
      </c>
      <c r="N5" s="365">
        <f>IF($C5="","",M5*VLOOKUP($C5,MATIERES!$A$2:$F$448,4,0))</f>
        <v>84</v>
      </c>
      <c r="O5" s="364">
        <f>'Outils de calculs'!O26*3</f>
        <v>45</v>
      </c>
      <c r="P5" s="365">
        <f>IF($C5="","",O5*VLOOKUP($C5,MATIERES!$A$2:$F$448,4,0))</f>
        <v>90</v>
      </c>
      <c r="Q5" s="364">
        <f>'Outils de calculs'!Q26*3</f>
        <v>48</v>
      </c>
      <c r="R5" s="365">
        <f>IF($C5="","",Q5*VLOOKUP($C5,MATIERES!$A$2:$F$448,4,0))</f>
        <v>96</v>
      </c>
      <c r="S5" s="364">
        <f>'Outils de calculs'!S26*3</f>
        <v>51</v>
      </c>
      <c r="T5" s="365">
        <f>IF($C5="","",S5*VLOOKUP($C5,MATIERES!$A$2:$F$448,4,0))</f>
        <v>102</v>
      </c>
      <c r="U5" s="364">
        <f>'Outils de calculs'!U26*3</f>
        <v>54</v>
      </c>
      <c r="V5" s="365">
        <f>IF($C5="","",U5*VLOOKUP($C5,MATIERES!$A$2:$F$448,4,0))</f>
        <v>108</v>
      </c>
      <c r="W5" s="364">
        <f>'Outils de calculs'!W26*3</f>
        <v>60</v>
      </c>
      <c r="X5" s="365">
        <f>IF($C5="","",W5*VLOOKUP($C5,MATIERES!$A$2:$F$448,4,0))</f>
        <v>120</v>
      </c>
      <c r="Y5" s="364">
        <f>'Outils de calculs'!Y26*3</f>
        <v>66</v>
      </c>
      <c r="Z5" s="365">
        <f>IF($C5="","",Y5*VLOOKUP($C5,MATIERES!$A$2:$F$448,4,0))</f>
        <v>132</v>
      </c>
      <c r="AA5" s="364">
        <f>'Outils de calculs'!AA26*3</f>
        <v>69</v>
      </c>
      <c r="AB5" s="365">
        <f>IF($C5="","",AA5*VLOOKUP($C5,MATIERES!$A$2:$F$448,4,0))</f>
        <v>138</v>
      </c>
      <c r="AC5" s="364">
        <f>'Outils de calculs'!AC26*3</f>
        <v>66</v>
      </c>
      <c r="AD5" s="365">
        <f>IF($C5="","",AC5*VLOOKUP($C5,MATIERES!$A$2:$F$448,4,0))</f>
        <v>132</v>
      </c>
      <c r="AE5" s="364">
        <f>'Outils de calculs'!AE26*3</f>
        <v>72</v>
      </c>
      <c r="AF5" s="365">
        <f>IF($C5="","",AE5*VLOOKUP($C5,MATIERES!$A$2:$F$448,4,0))</f>
        <v>144</v>
      </c>
      <c r="AG5" s="364">
        <f>'Outils de calculs'!AG26*3</f>
        <v>75</v>
      </c>
      <c r="AH5" s="365">
        <f>IF($C5="","",AG5*VLOOKUP($C5,MATIERES!$A$2:$F$448,4,0))</f>
        <v>150</v>
      </c>
      <c r="AI5" s="364">
        <f>'Outils de calculs'!AI26*3</f>
        <v>78</v>
      </c>
      <c r="AJ5" s="365">
        <f>IF($C5="","",AI5*VLOOKUP($C5,MATIERES!$A$2:$F$448,4,0))</f>
        <v>156</v>
      </c>
      <c r="AK5" s="364">
        <f>'Outils de calculs'!AK26*3</f>
        <v>84</v>
      </c>
      <c r="AL5" s="365">
        <f>IF($C5="","",AK5*VLOOKUP($C5,MATIERES!$A$2:$F$448,4,0))</f>
        <v>168</v>
      </c>
      <c r="AM5" s="364">
        <f>'Outils de calculs'!AM26*3</f>
        <v>78</v>
      </c>
      <c r="AN5" s="365">
        <f>IF($C5="","",AM5*VLOOKUP($C5,MATIERES!$A$2:$F$448,4,0))</f>
        <v>156</v>
      </c>
    </row>
    <row r="6" spans="1:40" ht="15" customHeight="1" x14ac:dyDescent="0.2">
      <c r="A6" s="1550"/>
      <c r="B6" s="361" t="s">
        <v>1763</v>
      </c>
      <c r="C6" s="362" t="s">
        <v>1764</v>
      </c>
      <c r="D6" s="363" t="str">
        <f>IF($C6="","",VLOOKUP($C6,MATIERES!$A$2:$F$448,5,0))</f>
        <v>pc</v>
      </c>
      <c r="E6" s="364">
        <f>16</f>
        <v>16</v>
      </c>
      <c r="F6" s="365">
        <f>IF($C6="","",E6*VLOOKUP($C6,MATIERES!$A$2:$F$448,4,0))</f>
        <v>33.6</v>
      </c>
      <c r="G6" s="364">
        <f>16</f>
        <v>16</v>
      </c>
      <c r="H6" s="365">
        <f>IF($C6="","",G6*VLOOKUP($C6,MATIERES!$A$2:$F$448,4,0))</f>
        <v>33.6</v>
      </c>
      <c r="I6" s="364">
        <f>16</f>
        <v>16</v>
      </c>
      <c r="J6" s="365">
        <f>IF($C6="","",I6*VLOOKUP($C6,MATIERES!$A$2:$F$448,4,0))</f>
        <v>33.6</v>
      </c>
      <c r="K6" s="364">
        <f>16</f>
        <v>16</v>
      </c>
      <c r="L6" s="365">
        <f>IF($C6="","",K6*VLOOKUP($C6,MATIERES!$A$2:$F$448,4,0))</f>
        <v>33.6</v>
      </c>
      <c r="M6" s="364">
        <f>16</f>
        <v>16</v>
      </c>
      <c r="N6" s="365">
        <f>IF($C6="","",M6*VLOOKUP($C6,MATIERES!$A$2:$F$448,4,0))</f>
        <v>33.6</v>
      </c>
      <c r="O6" s="364">
        <f>16</f>
        <v>16</v>
      </c>
      <c r="P6" s="365">
        <f>IF($C6="","",O6*VLOOKUP($C6,MATIERES!$A$2:$F$448,4,0))</f>
        <v>33.6</v>
      </c>
      <c r="Q6" s="364">
        <f>16</f>
        <v>16</v>
      </c>
      <c r="R6" s="365">
        <f>IF($C6="","",Q6*VLOOKUP($C6,MATIERES!$A$2:$F$448,4,0))</f>
        <v>33.6</v>
      </c>
      <c r="S6" s="364">
        <f>16</f>
        <v>16</v>
      </c>
      <c r="T6" s="365">
        <f>IF($C6="","",S6*VLOOKUP($C6,MATIERES!$A$2:$F$448,4,0))</f>
        <v>33.6</v>
      </c>
      <c r="U6" s="364">
        <f>16</f>
        <v>16</v>
      </c>
      <c r="V6" s="365">
        <f>IF($C6="","",U6*VLOOKUP($C6,MATIERES!$A$2:$F$448,4,0))</f>
        <v>33.6</v>
      </c>
      <c r="W6" s="364">
        <f>16</f>
        <v>16</v>
      </c>
      <c r="X6" s="365">
        <f>IF($C6="","",W6*VLOOKUP($C6,MATIERES!$A$2:$F$448,4,0))</f>
        <v>33.6</v>
      </c>
      <c r="Y6" s="364">
        <f>16</f>
        <v>16</v>
      </c>
      <c r="Z6" s="365">
        <f>IF($C6="","",Y6*VLOOKUP($C6,MATIERES!$A$2:$F$448,4,0))</f>
        <v>33.6</v>
      </c>
      <c r="AA6" s="364">
        <f>16</f>
        <v>16</v>
      </c>
      <c r="AB6" s="365">
        <f>IF($C6="","",AA6*VLOOKUP($C6,MATIERES!$A$2:$F$448,4,0))</f>
        <v>33.6</v>
      </c>
      <c r="AC6" s="364">
        <f>16</f>
        <v>16</v>
      </c>
      <c r="AD6" s="365">
        <f>IF($C6="","",AC6*VLOOKUP($C6,MATIERES!$A$2:$F$448,4,0))</f>
        <v>33.6</v>
      </c>
      <c r="AE6" s="364">
        <f>16</f>
        <v>16</v>
      </c>
      <c r="AF6" s="365">
        <f>IF($C6="","",AE6*VLOOKUP($C6,MATIERES!$A$2:$F$448,4,0))</f>
        <v>33.6</v>
      </c>
      <c r="AG6" s="364">
        <f>16</f>
        <v>16</v>
      </c>
      <c r="AH6" s="365">
        <f>IF($C6="","",AG6*VLOOKUP($C6,MATIERES!$A$2:$F$448,4,0))</f>
        <v>33.6</v>
      </c>
      <c r="AI6" s="364">
        <f>16</f>
        <v>16</v>
      </c>
      <c r="AJ6" s="365">
        <f>IF($C6="","",AI6*VLOOKUP($C6,MATIERES!$A$2:$F$448,4,0))</f>
        <v>33.6</v>
      </c>
      <c r="AK6" s="364">
        <f>16</f>
        <v>16</v>
      </c>
      <c r="AL6" s="365">
        <f>IF($C6="","",AK6*VLOOKUP($C6,MATIERES!$A$2:$F$448,4,0))</f>
        <v>33.6</v>
      </c>
      <c r="AM6" s="364">
        <f>16</f>
        <v>16</v>
      </c>
      <c r="AN6" s="365">
        <f>IF($C6="","",AM6*VLOOKUP($C6,MATIERES!$A$2:$F$448,4,0))</f>
        <v>33.6</v>
      </c>
    </row>
    <row r="7" spans="1:40" ht="15" customHeight="1" x14ac:dyDescent="0.2">
      <c r="A7" s="1550"/>
      <c r="B7" s="361" t="s">
        <v>1763</v>
      </c>
      <c r="C7" s="362" t="s">
        <v>1765</v>
      </c>
      <c r="D7" s="363" t="str">
        <f>IF($C7="","",VLOOKUP($C7,MATIERES!$A$2:$F$448,5,0))</f>
        <v>pc</v>
      </c>
      <c r="E7" s="364">
        <f>ROUNDUP('Outils de calculs'!E26*2,0)</f>
        <v>17</v>
      </c>
      <c r="F7" s="365">
        <f>IF($C7="","",E7*VLOOKUP($C7,MATIERES!$A$2:$F$448,4,0))</f>
        <v>32.299999999999997</v>
      </c>
      <c r="G7" s="364">
        <f>ROUNDUP('Outils de calculs'!G26*2,0)</f>
        <v>20</v>
      </c>
      <c r="H7" s="365">
        <f>IF($C7="","",G7*VLOOKUP($C7,MATIERES!$A$2:$F$448,4,0))</f>
        <v>38</v>
      </c>
      <c r="I7" s="364">
        <f>ROUNDUP('Outils de calculs'!I26*2,0)</f>
        <v>24</v>
      </c>
      <c r="J7" s="365">
        <f>IF($C7="","",I7*VLOOKUP($C7,MATIERES!$A$2:$F$448,4,0))</f>
        <v>45.599999999999994</v>
      </c>
      <c r="K7" s="364">
        <f>ROUNDUP('Outils de calculs'!K26*2,0)</f>
        <v>26</v>
      </c>
      <c r="L7" s="365">
        <f>IF($C7="","",K7*VLOOKUP($C7,MATIERES!$A$2:$F$448,4,0))</f>
        <v>49.4</v>
      </c>
      <c r="M7" s="364">
        <f>ROUNDUP('Outils de calculs'!M26*2,0)</f>
        <v>28</v>
      </c>
      <c r="N7" s="365">
        <f>IF($C7="","",M7*VLOOKUP($C7,MATIERES!$A$2:$F$448,4,0))</f>
        <v>53.199999999999996</v>
      </c>
      <c r="O7" s="364">
        <f>ROUNDUP('Outils de calculs'!O26*2,0)</f>
        <v>30</v>
      </c>
      <c r="P7" s="365">
        <f>IF($C7="","",O7*VLOOKUP($C7,MATIERES!$A$2:$F$448,4,0))</f>
        <v>57</v>
      </c>
      <c r="Q7" s="364">
        <f>ROUNDUP('Outils de calculs'!Q26*2,0)</f>
        <v>32</v>
      </c>
      <c r="R7" s="365">
        <f>IF($C7="","",Q7*VLOOKUP($C7,MATIERES!$A$2:$F$448,4,0))</f>
        <v>60.8</v>
      </c>
      <c r="S7" s="364">
        <f>ROUNDUP('Outils de calculs'!S26*2,0)</f>
        <v>34</v>
      </c>
      <c r="T7" s="365">
        <f>IF($C7="","",S7*VLOOKUP($C7,MATIERES!$A$2:$F$448,4,0))</f>
        <v>64.599999999999994</v>
      </c>
      <c r="U7" s="364">
        <f>ROUNDUP('Outils de calculs'!U26*2,0)</f>
        <v>36</v>
      </c>
      <c r="V7" s="365">
        <f>IF($C7="","",U7*VLOOKUP($C7,MATIERES!$A$2:$F$448,4,0))</f>
        <v>68.399999999999991</v>
      </c>
      <c r="W7" s="364">
        <f>ROUNDUP('Outils de calculs'!W26*2,0)</f>
        <v>40</v>
      </c>
      <c r="X7" s="365">
        <f>IF($C7="","",W7*VLOOKUP($C7,MATIERES!$A$2:$F$448,4,0))</f>
        <v>76</v>
      </c>
      <c r="Y7" s="364">
        <f>ROUNDUP('Outils de calculs'!Y26*2,0)</f>
        <v>44</v>
      </c>
      <c r="Z7" s="365">
        <f>IF($C7="","",Y7*VLOOKUP($C7,MATIERES!$A$2:$F$448,4,0))</f>
        <v>83.6</v>
      </c>
      <c r="AA7" s="364">
        <f>ROUNDUP('Outils de calculs'!AA26*2,0)</f>
        <v>46</v>
      </c>
      <c r="AB7" s="365">
        <f>IF($C7="","",AA7*VLOOKUP($C7,MATIERES!$A$2:$F$448,4,0))</f>
        <v>87.399999999999991</v>
      </c>
      <c r="AC7" s="364">
        <f>ROUNDUP('Outils de calculs'!AC26*2,0)</f>
        <v>44</v>
      </c>
      <c r="AD7" s="365">
        <f>IF($C7="","",AC7*VLOOKUP($C7,MATIERES!$A$2:$F$448,4,0))</f>
        <v>83.6</v>
      </c>
      <c r="AE7" s="364">
        <f>ROUNDUP('Outils de calculs'!AE26*2,0)</f>
        <v>48</v>
      </c>
      <c r="AF7" s="365">
        <f>IF($C7="","",AE7*VLOOKUP($C7,MATIERES!$A$2:$F$448,4,0))</f>
        <v>91.199999999999989</v>
      </c>
      <c r="AG7" s="364">
        <f>ROUNDUP('Outils de calculs'!AG26*2,0)</f>
        <v>50</v>
      </c>
      <c r="AH7" s="365">
        <f>IF($C7="","",AG7*VLOOKUP($C7,MATIERES!$A$2:$F$448,4,0))</f>
        <v>95</v>
      </c>
      <c r="AI7" s="364">
        <f>ROUNDUP('Outils de calculs'!AI26*2,0)</f>
        <v>52</v>
      </c>
      <c r="AJ7" s="365">
        <f>IF($C7="","",AI7*VLOOKUP($C7,MATIERES!$A$2:$F$448,4,0))</f>
        <v>98.8</v>
      </c>
      <c r="AK7" s="364">
        <f>ROUNDUP('Outils de calculs'!AK26*2,0)</f>
        <v>56</v>
      </c>
      <c r="AL7" s="365">
        <f>IF($C7="","",AK7*VLOOKUP($C7,MATIERES!$A$2:$F$448,4,0))</f>
        <v>106.39999999999999</v>
      </c>
      <c r="AM7" s="364">
        <f>ROUNDUP('Outils de calculs'!AM26*2,0)</f>
        <v>52</v>
      </c>
      <c r="AN7" s="365">
        <f>IF($C7="","",AM7*VLOOKUP($C7,MATIERES!$A$2:$F$448,4,0))</f>
        <v>98.8</v>
      </c>
    </row>
    <row r="8" spans="1:40" ht="15" customHeight="1" x14ac:dyDescent="0.2">
      <c r="A8" s="1550"/>
      <c r="B8" s="361" t="s">
        <v>1069</v>
      </c>
      <c r="C8" s="362" t="s">
        <v>762</v>
      </c>
      <c r="D8" s="363" t="str">
        <f>IF($C8="","",VLOOKUP($C8,MATIERES!$A$2:$F$448,5,0))</f>
        <v>pc</v>
      </c>
      <c r="E8" s="364">
        <f>E7/2+E6/2</f>
        <v>16.5</v>
      </c>
      <c r="F8" s="365">
        <f>IF($C8="","",E8*VLOOKUP($C8,MATIERES!$A$2:$F$448,4,0))</f>
        <v>130.845</v>
      </c>
      <c r="G8" s="364">
        <f t="shared" ref="G8" si="0">G7/2+G6/2</f>
        <v>18</v>
      </c>
      <c r="H8" s="365">
        <f>IF($C8="","",G8*VLOOKUP($C8,MATIERES!$A$2:$F$448,4,0))</f>
        <v>142.74</v>
      </c>
      <c r="I8" s="364">
        <f t="shared" ref="I8" si="1">I7/2+I6/2</f>
        <v>20</v>
      </c>
      <c r="J8" s="365">
        <f>IF($C8="","",I8*VLOOKUP($C8,MATIERES!$A$2:$F$448,4,0))</f>
        <v>158.6</v>
      </c>
      <c r="K8" s="364">
        <f t="shared" ref="K8" si="2">K7/2+K6/2</f>
        <v>21</v>
      </c>
      <c r="L8" s="365">
        <f>IF($C8="","",K8*VLOOKUP($C8,MATIERES!$A$2:$F$448,4,0))</f>
        <v>166.53</v>
      </c>
      <c r="M8" s="364">
        <f t="shared" ref="M8" si="3">M7/2+M6/2</f>
        <v>22</v>
      </c>
      <c r="N8" s="365">
        <f>IF($C8="","",M8*VLOOKUP($C8,MATIERES!$A$2:$F$448,4,0))</f>
        <v>174.45999999999998</v>
      </c>
      <c r="O8" s="364">
        <f t="shared" ref="O8" si="4">O7/2+O6/2</f>
        <v>23</v>
      </c>
      <c r="P8" s="365">
        <f>IF($C8="","",O8*VLOOKUP($C8,MATIERES!$A$2:$F$448,4,0))</f>
        <v>182.39</v>
      </c>
      <c r="Q8" s="364">
        <f t="shared" ref="Q8" si="5">Q7/2+Q6/2</f>
        <v>24</v>
      </c>
      <c r="R8" s="365">
        <f>IF($C8="","",Q8*VLOOKUP($C8,MATIERES!$A$2:$F$448,4,0))</f>
        <v>190.32</v>
      </c>
      <c r="S8" s="364">
        <f t="shared" ref="S8" si="6">S7/2+S6/2</f>
        <v>25</v>
      </c>
      <c r="T8" s="365">
        <f>IF($C8="","",S8*VLOOKUP($C8,MATIERES!$A$2:$F$448,4,0))</f>
        <v>198.25</v>
      </c>
      <c r="U8" s="364">
        <f t="shared" ref="U8" si="7">U7/2+U6/2</f>
        <v>26</v>
      </c>
      <c r="V8" s="365">
        <f>IF($C8="","",U8*VLOOKUP($C8,MATIERES!$A$2:$F$448,4,0))</f>
        <v>206.18</v>
      </c>
      <c r="W8" s="364">
        <f t="shared" ref="W8" si="8">W7/2+W6/2</f>
        <v>28</v>
      </c>
      <c r="X8" s="365">
        <f>IF($C8="","",W8*VLOOKUP($C8,MATIERES!$A$2:$F$448,4,0))</f>
        <v>222.04</v>
      </c>
      <c r="Y8" s="364">
        <f t="shared" ref="Y8" si="9">Y7/2+Y6/2</f>
        <v>30</v>
      </c>
      <c r="Z8" s="365">
        <f>IF($C8="","",Y8*VLOOKUP($C8,MATIERES!$A$2:$F$448,4,0))</f>
        <v>237.89999999999998</v>
      </c>
      <c r="AA8" s="364">
        <f t="shared" ref="AA8" si="10">AA7/2+AA6/2</f>
        <v>31</v>
      </c>
      <c r="AB8" s="365">
        <f>IF($C8="","",AA8*VLOOKUP($C8,MATIERES!$A$2:$F$448,4,0))</f>
        <v>245.82999999999998</v>
      </c>
      <c r="AC8" s="364">
        <f t="shared" ref="AC8" si="11">AC7/2+AC6/2</f>
        <v>30</v>
      </c>
      <c r="AD8" s="365">
        <f>IF($C8="","",AC8*VLOOKUP($C8,MATIERES!$A$2:$F$448,4,0))</f>
        <v>237.89999999999998</v>
      </c>
      <c r="AE8" s="364">
        <f t="shared" ref="AE8" si="12">AE7/2+AE6/2</f>
        <v>32</v>
      </c>
      <c r="AF8" s="365">
        <f>IF($C8="","",AE8*VLOOKUP($C8,MATIERES!$A$2:$F$448,4,0))</f>
        <v>253.76</v>
      </c>
      <c r="AG8" s="364">
        <f t="shared" ref="AG8" si="13">AG7/2+AG6/2</f>
        <v>33</v>
      </c>
      <c r="AH8" s="365">
        <f>IF($C8="","",AG8*VLOOKUP($C8,MATIERES!$A$2:$F$448,4,0))</f>
        <v>261.69</v>
      </c>
      <c r="AI8" s="364">
        <f t="shared" ref="AI8" si="14">AI7/2+AI6/2</f>
        <v>34</v>
      </c>
      <c r="AJ8" s="365">
        <f>IF($C8="","",AI8*VLOOKUP($C8,MATIERES!$A$2:$F$448,4,0))</f>
        <v>269.62</v>
      </c>
      <c r="AK8" s="364">
        <f t="shared" ref="AK8:AM8" si="15">AK7/2+AK6/2</f>
        <v>36</v>
      </c>
      <c r="AL8" s="365">
        <f>IF($C8="","",AK8*VLOOKUP($C8,MATIERES!$A$2:$F$448,4,0))</f>
        <v>285.48</v>
      </c>
      <c r="AM8" s="364">
        <f t="shared" si="15"/>
        <v>34</v>
      </c>
      <c r="AN8" s="365">
        <f>IF($C8="","",AM8*VLOOKUP($C8,MATIERES!$A$2:$F$448,4,0))</f>
        <v>269.62</v>
      </c>
    </row>
    <row r="9" spans="1:40" ht="15" customHeight="1" x14ac:dyDescent="0.2">
      <c r="A9" s="1550"/>
      <c r="B9" s="361" t="s">
        <v>736</v>
      </c>
      <c r="C9" s="362" t="s">
        <v>1204</v>
      </c>
      <c r="D9" s="363" t="str">
        <f>IF($C9="","",VLOOKUP($C9,MATIERES!$A$2:$F$448,5,0))</f>
        <v>ml</v>
      </c>
      <c r="E9" s="364">
        <f>E5</f>
        <v>24.599999999999998</v>
      </c>
      <c r="F9" s="365">
        <f>IF($C9="","",E9*VLOOKUP($C9,MATIERES!$A$2:$F$448,4,0))</f>
        <v>49.199999999999996</v>
      </c>
      <c r="G9" s="364">
        <f t="shared" ref="G9" si="16">G5</f>
        <v>30</v>
      </c>
      <c r="H9" s="365">
        <f>IF($C9="","",G9*VLOOKUP($C9,MATIERES!$A$2:$F$448,4,0))</f>
        <v>60</v>
      </c>
      <c r="I9" s="364">
        <f t="shared" ref="I9" si="17">I5</f>
        <v>36</v>
      </c>
      <c r="J9" s="365">
        <f>IF($C9="","",I9*VLOOKUP($C9,MATIERES!$A$2:$F$448,4,0))</f>
        <v>72</v>
      </c>
      <c r="K9" s="364">
        <f t="shared" ref="K9" si="18">K5</f>
        <v>39</v>
      </c>
      <c r="L9" s="365">
        <f>IF($C9="","",K9*VLOOKUP($C9,MATIERES!$A$2:$F$448,4,0))</f>
        <v>78</v>
      </c>
      <c r="M9" s="364">
        <f t="shared" ref="M9" si="19">M5</f>
        <v>42</v>
      </c>
      <c r="N9" s="365">
        <f>IF($C9="","",M9*VLOOKUP($C9,MATIERES!$A$2:$F$448,4,0))</f>
        <v>84</v>
      </c>
      <c r="O9" s="364">
        <f t="shared" ref="O9" si="20">O5</f>
        <v>45</v>
      </c>
      <c r="P9" s="365">
        <f>IF($C9="","",O9*VLOOKUP($C9,MATIERES!$A$2:$F$448,4,0))</f>
        <v>90</v>
      </c>
      <c r="Q9" s="364">
        <f t="shared" ref="Q9" si="21">Q5</f>
        <v>48</v>
      </c>
      <c r="R9" s="365">
        <f>IF($C9="","",Q9*VLOOKUP($C9,MATIERES!$A$2:$F$448,4,0))</f>
        <v>96</v>
      </c>
      <c r="S9" s="364">
        <f t="shared" ref="S9" si="22">S5</f>
        <v>51</v>
      </c>
      <c r="T9" s="365">
        <f>IF($C9="","",S9*VLOOKUP($C9,MATIERES!$A$2:$F$448,4,0))</f>
        <v>102</v>
      </c>
      <c r="U9" s="364">
        <f t="shared" ref="U9" si="23">U5</f>
        <v>54</v>
      </c>
      <c r="V9" s="365">
        <f>IF($C9="","",U9*VLOOKUP($C9,MATIERES!$A$2:$F$448,4,0))</f>
        <v>108</v>
      </c>
      <c r="W9" s="364">
        <f t="shared" ref="W9" si="24">W5</f>
        <v>60</v>
      </c>
      <c r="X9" s="365">
        <f>IF($C9="","",W9*VLOOKUP($C9,MATIERES!$A$2:$F$448,4,0))</f>
        <v>120</v>
      </c>
      <c r="Y9" s="364">
        <f t="shared" ref="Y9" si="25">Y5</f>
        <v>66</v>
      </c>
      <c r="Z9" s="365">
        <f>IF($C9="","",Y9*VLOOKUP($C9,MATIERES!$A$2:$F$448,4,0))</f>
        <v>132</v>
      </c>
      <c r="AA9" s="364">
        <f t="shared" ref="AA9" si="26">AA5</f>
        <v>69</v>
      </c>
      <c r="AB9" s="365">
        <f>IF($C9="","",AA9*VLOOKUP($C9,MATIERES!$A$2:$F$448,4,0))</f>
        <v>138</v>
      </c>
      <c r="AC9" s="364">
        <f t="shared" ref="AC9" si="27">AC5</f>
        <v>66</v>
      </c>
      <c r="AD9" s="365">
        <f>IF($C9="","",AC9*VLOOKUP($C9,MATIERES!$A$2:$F$448,4,0))</f>
        <v>132</v>
      </c>
      <c r="AE9" s="364">
        <f t="shared" ref="AE9" si="28">AE5</f>
        <v>72</v>
      </c>
      <c r="AF9" s="365">
        <f>IF($C9="","",AE9*VLOOKUP($C9,MATIERES!$A$2:$F$448,4,0))</f>
        <v>144</v>
      </c>
      <c r="AG9" s="364">
        <f t="shared" ref="AG9" si="29">AG5</f>
        <v>75</v>
      </c>
      <c r="AH9" s="365">
        <f>IF($C9="","",AG9*VLOOKUP($C9,MATIERES!$A$2:$F$448,4,0))</f>
        <v>150</v>
      </c>
      <c r="AI9" s="364">
        <f t="shared" ref="AI9" si="30">AI5</f>
        <v>78</v>
      </c>
      <c r="AJ9" s="365">
        <f>IF($C9="","",AI9*VLOOKUP($C9,MATIERES!$A$2:$F$448,4,0))</f>
        <v>156</v>
      </c>
      <c r="AK9" s="364">
        <f t="shared" ref="AK9:AM9" si="31">AK5</f>
        <v>84</v>
      </c>
      <c r="AL9" s="365">
        <f>IF($C9="","",AK9*VLOOKUP($C9,MATIERES!$A$2:$F$448,4,0))</f>
        <v>168</v>
      </c>
      <c r="AM9" s="364">
        <f t="shared" si="31"/>
        <v>78</v>
      </c>
      <c r="AN9" s="365">
        <f>IF($C9="","",AM9*VLOOKUP($C9,MATIERES!$A$2:$F$448,4,0))</f>
        <v>156</v>
      </c>
    </row>
    <row r="10" spans="1:40" ht="15" customHeight="1" x14ac:dyDescent="0.2">
      <c r="A10" s="1550"/>
      <c r="B10" s="361"/>
      <c r="C10" s="362"/>
      <c r="D10" s="363" t="str">
        <f>IF($C10="","",VLOOKUP($C10,MATIERES!$A$2:$F$448,5,0))</f>
        <v/>
      </c>
      <c r="E10" s="364"/>
      <c r="F10" s="365" t="str">
        <f>IF($C10="","",E10*VLOOKUP($C10,MATIERES!$A$2:$F$448,4,0))</f>
        <v/>
      </c>
      <c r="G10" s="364"/>
      <c r="H10" s="365" t="str">
        <f>IF($C10="","",G10*VLOOKUP($C10,MATIERES!$A$2:$F$448,4,0))</f>
        <v/>
      </c>
      <c r="I10" s="364"/>
      <c r="J10" s="365" t="str">
        <f>IF($C10="","",I10*VLOOKUP($C10,MATIERES!$A$2:$F$448,4,0))</f>
        <v/>
      </c>
      <c r="K10" s="364"/>
      <c r="L10" s="365" t="str">
        <f>IF($C10="","",K10*VLOOKUP($C10,MATIERES!$A$2:$F$448,4,0))</f>
        <v/>
      </c>
      <c r="M10" s="364"/>
      <c r="N10" s="365" t="str">
        <f>IF($C10="","",M10*VLOOKUP($C10,MATIERES!$A$2:$F$448,4,0))</f>
        <v/>
      </c>
      <c r="O10" s="364"/>
      <c r="P10" s="365" t="str">
        <f>IF($C10="","",O10*VLOOKUP($C10,MATIERES!$A$2:$F$448,4,0))</f>
        <v/>
      </c>
      <c r="Q10" s="364"/>
      <c r="R10" s="365" t="str">
        <f>IF($C10="","",Q10*VLOOKUP($C10,MATIERES!$A$2:$F$448,4,0))</f>
        <v/>
      </c>
      <c r="S10" s="364"/>
      <c r="T10" s="365" t="str">
        <f>IF($C10="","",S10*VLOOKUP($C10,MATIERES!$A$2:$F$448,4,0))</f>
        <v/>
      </c>
      <c r="U10" s="364"/>
      <c r="V10" s="365" t="str">
        <f>IF($C10="","",U10*VLOOKUP($C10,MATIERES!$A$2:$F$448,4,0))</f>
        <v/>
      </c>
      <c r="W10" s="364"/>
      <c r="X10" s="365" t="str">
        <f>IF($C10="","",W10*VLOOKUP($C10,MATIERES!$A$2:$F$448,4,0))</f>
        <v/>
      </c>
      <c r="Y10" s="364"/>
      <c r="Z10" s="365" t="str">
        <f>IF($C10="","",Y10*VLOOKUP($C10,MATIERES!$A$2:$F$448,4,0))</f>
        <v/>
      </c>
      <c r="AA10" s="364"/>
      <c r="AB10" s="365" t="str">
        <f>IF($C10="","",AA10*VLOOKUP($C10,MATIERES!$A$2:$F$448,4,0))</f>
        <v/>
      </c>
      <c r="AC10" s="364"/>
      <c r="AD10" s="365" t="str">
        <f>IF($C10="","",AC10*VLOOKUP($C10,MATIERES!$A$2:$F$448,4,0))</f>
        <v/>
      </c>
      <c r="AE10" s="364"/>
      <c r="AF10" s="365" t="str">
        <f>IF($C10="","",AE10*VLOOKUP($C10,MATIERES!$A$2:$F$448,4,0))</f>
        <v/>
      </c>
      <c r="AG10" s="364"/>
      <c r="AH10" s="365" t="str">
        <f>IF($C10="","",AG10*VLOOKUP($C10,MATIERES!$A$2:$F$448,4,0))</f>
        <v/>
      </c>
      <c r="AI10" s="364"/>
      <c r="AJ10" s="365" t="str">
        <f>IF($C10="","",AI10*VLOOKUP($C10,MATIERES!$A$2:$F$448,4,0))</f>
        <v/>
      </c>
      <c r="AK10" s="364"/>
      <c r="AL10" s="365" t="str">
        <f>IF($C10="","",AK10*VLOOKUP($C10,MATIERES!$A$2:$F$448,4,0))</f>
        <v/>
      </c>
      <c r="AM10" s="364"/>
      <c r="AN10" s="365" t="str">
        <f>IF($C10="","",AM10*VLOOKUP($C10,MATIERES!$A$2:$F$448,4,0))</f>
        <v/>
      </c>
    </row>
    <row r="11" spans="1:40" ht="15" customHeight="1" x14ac:dyDescent="0.2">
      <c r="A11" s="1550"/>
      <c r="B11" s="361"/>
      <c r="C11" s="362"/>
      <c r="D11" s="363" t="str">
        <f>IF($C11="","",VLOOKUP($C11,MATIERES!$A$2:$F$227,5,0))</f>
        <v/>
      </c>
      <c r="E11" s="364"/>
      <c r="F11" s="365" t="str">
        <f>IF($C11="","",E11*VLOOKUP($C11,MATIERES!$A$2:$F$349,4,0))</f>
        <v/>
      </c>
      <c r="G11" s="364"/>
      <c r="H11" s="365" t="str">
        <f>IF($C11="","",G11*VLOOKUP($C11,MATIERES!$A$2:$F$349,4,0))</f>
        <v/>
      </c>
      <c r="I11" s="364"/>
      <c r="J11" s="365" t="str">
        <f>IF($C11="","",I11*VLOOKUP($C11,MATIERES!$A$2:$F$349,4,0))</f>
        <v/>
      </c>
      <c r="K11" s="364"/>
      <c r="L11" s="365" t="str">
        <f>IF($C11="","",K11*VLOOKUP($C11,MATIERES!$A$2:$F$349,4,0))</f>
        <v/>
      </c>
      <c r="M11" s="364"/>
      <c r="N11" s="365" t="str">
        <f>IF($C11="","",M11*VLOOKUP($C11,MATIERES!$A$2:$F$349,4,0))</f>
        <v/>
      </c>
      <c r="O11" s="364"/>
      <c r="P11" s="365" t="str">
        <f>IF($C11="","",O11*VLOOKUP($C11,MATIERES!$A$2:$F$349,4,0))</f>
        <v/>
      </c>
      <c r="Q11" s="364"/>
      <c r="R11" s="365" t="str">
        <f>IF($C11="","",Q11*VLOOKUP($C11,MATIERES!$A$2:$F$349,4,0))</f>
        <v/>
      </c>
      <c r="S11" s="364"/>
      <c r="T11" s="365" t="str">
        <f>IF($C11="","",S11*VLOOKUP($C11,MATIERES!$A$2:$F$349,4,0))</f>
        <v/>
      </c>
      <c r="U11" s="364"/>
      <c r="V11" s="365" t="str">
        <f>IF($C11="","",U11*VLOOKUP($C11,MATIERES!$A$2:$F$349,4,0))</f>
        <v/>
      </c>
      <c r="W11" s="364"/>
      <c r="X11" s="365" t="str">
        <f>IF($C11="","",W11*VLOOKUP($C11,MATIERES!$A$2:$F$349,4,0))</f>
        <v/>
      </c>
      <c r="Y11" s="364"/>
      <c r="Z11" s="365" t="str">
        <f>IF($C11="","",Y11*VLOOKUP($C11,MATIERES!$A$2:$F$349,4,0))</f>
        <v/>
      </c>
      <c r="AA11" s="364"/>
      <c r="AB11" s="365" t="str">
        <f>IF($C11="","",AA11*VLOOKUP($C11,MATIERES!$A$2:$F$349,4,0))</f>
        <v/>
      </c>
      <c r="AC11" s="364"/>
      <c r="AD11" s="365" t="str">
        <f>IF($C11="","",AC11*VLOOKUP($C11,MATIERES!$A$2:$F$349,4,0))</f>
        <v/>
      </c>
      <c r="AE11" s="364"/>
      <c r="AF11" s="365" t="str">
        <f>IF($C11="","",AE11*VLOOKUP($C11,MATIERES!$A$2:$F$349,4,0))</f>
        <v/>
      </c>
      <c r="AG11" s="364"/>
      <c r="AH11" s="365" t="str">
        <f>IF($C11="","",AG11*VLOOKUP($C11,MATIERES!$A$2:$F$349,4,0))</f>
        <v/>
      </c>
      <c r="AI11" s="364"/>
      <c r="AJ11" s="365" t="str">
        <f>IF($C11="","",AI11*VLOOKUP($C11,MATIERES!$A$2:$F$349,4,0))</f>
        <v/>
      </c>
      <c r="AK11" s="364"/>
      <c r="AL11" s="365" t="str">
        <f>IF($C11="","",AK11*VLOOKUP($C11,MATIERES!$A$2:$F$349,4,0))</f>
        <v/>
      </c>
      <c r="AM11" s="364"/>
      <c r="AN11" s="365" t="str">
        <f>IF($C11="","",AM11*VLOOKUP($C11,MATIERES!$A$2:$F$349,4,0))</f>
        <v/>
      </c>
    </row>
    <row r="12" spans="1:40" ht="30" customHeight="1" x14ac:dyDescent="0.2">
      <c r="A12" s="366"/>
      <c r="B12" s="367" t="s">
        <v>683</v>
      </c>
      <c r="C12" s="368" t="s">
        <v>446</v>
      </c>
      <c r="D12" s="369" t="s">
        <v>447</v>
      </c>
      <c r="E12" s="370">
        <f>F12*(1+Simulation!$P$11)</f>
        <v>383.68849999999998</v>
      </c>
      <c r="F12" s="371">
        <f>SUM(F4:F11)</f>
        <v>295.14499999999998</v>
      </c>
      <c r="G12" s="370">
        <f>H12*(1+Simulation!$P$11)</f>
        <v>434.64200000000005</v>
      </c>
      <c r="H12" s="371">
        <f>SUM(H4:H11)</f>
        <v>334.34000000000003</v>
      </c>
      <c r="I12" s="370">
        <f>J12*(1+Simulation!$P$11)</f>
        <v>496.34</v>
      </c>
      <c r="J12" s="371">
        <f>SUM(J4:J11)</f>
        <v>381.79999999999995</v>
      </c>
      <c r="K12" s="370">
        <f>L12*(1+Simulation!$P$11)</f>
        <v>527.18899999999996</v>
      </c>
      <c r="L12" s="371">
        <f>SUM(L4:L11)</f>
        <v>405.53</v>
      </c>
      <c r="M12" s="370">
        <f>N12*(1+Simulation!$P$11)</f>
        <v>558.03800000000001</v>
      </c>
      <c r="N12" s="371">
        <f>SUM(N4:N11)</f>
        <v>429.26</v>
      </c>
      <c r="O12" s="370">
        <f>P12*(1+Simulation!$P$11)</f>
        <v>588.88700000000006</v>
      </c>
      <c r="P12" s="371">
        <f>SUM(P4:P11)</f>
        <v>452.99</v>
      </c>
      <c r="Q12" s="370">
        <f>R12*(1+Simulation!$P$11)</f>
        <v>619.73599999999999</v>
      </c>
      <c r="R12" s="371">
        <f>SUM(R4:R11)</f>
        <v>476.71999999999997</v>
      </c>
      <c r="S12" s="370">
        <f>T12*(1+Simulation!$P$11)</f>
        <v>650.58500000000004</v>
      </c>
      <c r="T12" s="371">
        <f>SUM(T4:T11)</f>
        <v>500.45</v>
      </c>
      <c r="U12" s="370">
        <f>V12*(1+Simulation!$P$11)</f>
        <v>681.43400000000008</v>
      </c>
      <c r="V12" s="371">
        <f>SUM(V4:V11)</f>
        <v>524.18000000000006</v>
      </c>
      <c r="W12" s="370">
        <f>X12*(1+Simulation!$P$11)</f>
        <v>743.13200000000006</v>
      </c>
      <c r="X12" s="371">
        <f>SUM(X4:X11)</f>
        <v>571.64</v>
      </c>
      <c r="Y12" s="370">
        <f>Z12*(1+Simulation!$P$11)</f>
        <v>804.82999999999993</v>
      </c>
      <c r="Z12" s="371">
        <f>SUM(Z4:Z11)</f>
        <v>619.09999999999991</v>
      </c>
      <c r="AA12" s="370">
        <f>AB12*(1+Simulation!$P$11)</f>
        <v>835.67899999999997</v>
      </c>
      <c r="AB12" s="371">
        <f>SUM(AB4:AB11)</f>
        <v>642.82999999999993</v>
      </c>
      <c r="AC12" s="370">
        <f>AD12*(1+Simulation!$P$11)</f>
        <v>804.82999999999993</v>
      </c>
      <c r="AD12" s="371">
        <f>SUM(AD4:AD11)</f>
        <v>619.09999999999991</v>
      </c>
      <c r="AE12" s="370">
        <f>AF12*(1+Simulation!$P$11)</f>
        <v>866.52799999999991</v>
      </c>
      <c r="AF12" s="371">
        <f>SUM(AF4:AF11)</f>
        <v>666.56</v>
      </c>
      <c r="AG12" s="370">
        <f>AH12*(1+Simulation!$P$11)</f>
        <v>897.37699999999995</v>
      </c>
      <c r="AH12" s="371">
        <f>SUM(AH4:AH11)</f>
        <v>690.29</v>
      </c>
      <c r="AI12" s="370">
        <f>AJ12*(1+Simulation!$P$11)</f>
        <v>928.226</v>
      </c>
      <c r="AJ12" s="371">
        <f>SUM(AJ4:AJ11)</f>
        <v>714.02</v>
      </c>
      <c r="AK12" s="370">
        <f>AL12*(1+Simulation!$P$11)</f>
        <v>989.92400000000009</v>
      </c>
      <c r="AL12" s="371">
        <f>SUM(AL4:AL11)</f>
        <v>761.48</v>
      </c>
      <c r="AM12" s="370">
        <f>AN12*(1+Simulation!$P$11)</f>
        <v>928.226</v>
      </c>
      <c r="AN12" s="371">
        <f>SUM(AN4:AN11)</f>
        <v>714.02</v>
      </c>
    </row>
    <row r="13" spans="1:40" ht="15" customHeight="1" x14ac:dyDescent="0.2">
      <c r="A13" s="1553" t="s">
        <v>448</v>
      </c>
      <c r="B13" s="361" t="s">
        <v>1079</v>
      </c>
      <c r="C13" s="362"/>
      <c r="D13" s="363" t="str">
        <f>IF($C13="","",VLOOKUP($C13,ATELIER!$B$2:$E$109,3,0))</f>
        <v/>
      </c>
      <c r="E13" s="364">
        <f>2*E2</f>
        <v>4</v>
      </c>
      <c r="F13" s="372">
        <f>2*E13</f>
        <v>8</v>
      </c>
      <c r="G13" s="364">
        <v>2</v>
      </c>
      <c r="H13" s="372" t="str">
        <f>IF($C13="","",G13*VLOOKUP($C13,ATELIER!$B$2:$F$109,4,0))</f>
        <v/>
      </c>
      <c r="I13" s="364">
        <v>3</v>
      </c>
      <c r="J13" s="372" t="str">
        <f>IF($C13="","",I13*VLOOKUP($C13,ATELIER!$B$2:$F$109,4,0))</f>
        <v/>
      </c>
      <c r="K13" s="364">
        <v>4</v>
      </c>
      <c r="L13" s="372" t="str">
        <f>IF($C13="","",K13*VLOOKUP($C13,ATELIER!$B$2:$F$109,4,0))</f>
        <v/>
      </c>
      <c r="M13" s="364">
        <v>5</v>
      </c>
      <c r="N13" s="372" t="str">
        <f>IF($C13="","",M13*VLOOKUP($C13,ATELIER!$B$2:$F$109,4,0))</f>
        <v/>
      </c>
      <c r="O13" s="364">
        <v>6</v>
      </c>
      <c r="P13" s="372" t="str">
        <f>IF($C13="","",O13*VLOOKUP($C13,ATELIER!$B$2:$F$109,4,0))</f>
        <v/>
      </c>
      <c r="Q13" s="364">
        <v>7</v>
      </c>
      <c r="R13" s="372" t="str">
        <f>IF($C13="","",Q13*VLOOKUP($C13,ATELIER!$B$2:$F$109,4,0))</f>
        <v/>
      </c>
      <c r="S13" s="364">
        <v>8</v>
      </c>
      <c r="T13" s="372" t="str">
        <f>IF($C13="","",S13*VLOOKUP($C13,ATELIER!$B$2:$F$109,4,0))</f>
        <v/>
      </c>
      <c r="U13" s="364">
        <v>9</v>
      </c>
      <c r="V13" s="372" t="str">
        <f>IF($C13="","",U13*VLOOKUP($C13,ATELIER!$B$2:$F$109,4,0))</f>
        <v/>
      </c>
      <c r="W13" s="364">
        <v>10</v>
      </c>
      <c r="X13" s="372" t="str">
        <f>IF($C13="","",W13*VLOOKUP($C13,ATELIER!$B$2:$F$109,4,0))</f>
        <v/>
      </c>
      <c r="Y13" s="364">
        <v>11</v>
      </c>
      <c r="Z13" s="372" t="str">
        <f>IF($C13="","",Y13*VLOOKUP($C13,ATELIER!$B$2:$F$109,4,0))</f>
        <v/>
      </c>
      <c r="AA13" s="364">
        <v>12</v>
      </c>
      <c r="AB13" s="372" t="str">
        <f>IF($C13="","",AA13*VLOOKUP($C13,ATELIER!$B$2:$F$109,4,0))</f>
        <v/>
      </c>
      <c r="AC13" s="364">
        <v>13</v>
      </c>
      <c r="AD13" s="372" t="str">
        <f>IF($C13="","",AC13*VLOOKUP($C13,ATELIER!$B$2:$F$109,4,0))</f>
        <v/>
      </c>
      <c r="AE13" s="364">
        <v>14</v>
      </c>
      <c r="AF13" s="372" t="str">
        <f>IF($C13="","",AE13*VLOOKUP($C13,ATELIER!$B$2:$F$109,4,0))</f>
        <v/>
      </c>
      <c r="AG13" s="364">
        <v>15</v>
      </c>
      <c r="AH13" s="372" t="str">
        <f>IF($C13="","",AG13*VLOOKUP($C13,ATELIER!$B$2:$F$109,4,0))</f>
        <v/>
      </c>
      <c r="AI13" s="364">
        <v>16</v>
      </c>
      <c r="AJ13" s="372" t="str">
        <f>IF($C13="","",AI13*VLOOKUP($C13,ATELIER!$B$2:$F$109,4,0))</f>
        <v/>
      </c>
      <c r="AK13" s="364">
        <v>17</v>
      </c>
      <c r="AL13" s="372" t="str">
        <f>IF($C13="","",AK13*VLOOKUP($C13,ATELIER!$B$2:$F$109,4,0))</f>
        <v/>
      </c>
      <c r="AM13" s="364">
        <v>17</v>
      </c>
      <c r="AN13" s="372" t="str">
        <f>IF($C13="","",AM13*VLOOKUP($C13,ATELIER!$B$2:$F$109,4,0))</f>
        <v/>
      </c>
    </row>
    <row r="14" spans="1:40" ht="15" customHeight="1" x14ac:dyDescent="0.2">
      <c r="A14" s="1553"/>
      <c r="B14" s="361" t="str">
        <f>IF($C14="","",VLOOKUP($C14,ATELIER!$B$2:$F$109,2,0))</f>
        <v/>
      </c>
      <c r="C14" s="362"/>
      <c r="D14" s="363" t="str">
        <f>IF($C14="","",VLOOKUP($C14,ATELIER!$B$2:$E$109,3,0))</f>
        <v/>
      </c>
      <c r="E14" s="364">
        <v>2</v>
      </c>
      <c r="F14" s="372" t="str">
        <f>IF($C14="","",E14*VLOOKUP($C14,ATELIER!$B$2:$F$109,4,0))</f>
        <v/>
      </c>
      <c r="G14" s="364">
        <v>3</v>
      </c>
      <c r="H14" s="372" t="str">
        <f>IF($C14="","",G14*VLOOKUP($C14,ATELIER!$B$2:$F$109,4,0))</f>
        <v/>
      </c>
      <c r="I14" s="364">
        <v>4</v>
      </c>
      <c r="J14" s="372" t="str">
        <f>IF($C14="","",I14*VLOOKUP($C14,ATELIER!$B$2:$F$109,4,0))</f>
        <v/>
      </c>
      <c r="K14" s="364">
        <v>5</v>
      </c>
      <c r="L14" s="372" t="str">
        <f>IF($C14="","",K14*VLOOKUP($C14,ATELIER!$B$2:$F$109,4,0))</f>
        <v/>
      </c>
      <c r="M14" s="364">
        <v>6</v>
      </c>
      <c r="N14" s="372" t="str">
        <f>IF($C14="","",M14*VLOOKUP($C14,ATELIER!$B$2:$F$109,4,0))</f>
        <v/>
      </c>
      <c r="O14" s="364">
        <v>7</v>
      </c>
      <c r="P14" s="372" t="str">
        <f>IF($C14="","",O14*VLOOKUP($C14,ATELIER!$B$2:$F$109,4,0))</f>
        <v/>
      </c>
      <c r="Q14" s="364">
        <v>8</v>
      </c>
      <c r="R14" s="372" t="str">
        <f>IF($C14="","",Q14*VLOOKUP($C14,ATELIER!$B$2:$F$109,4,0))</f>
        <v/>
      </c>
      <c r="S14" s="364">
        <v>9</v>
      </c>
      <c r="T14" s="372" t="str">
        <f>IF($C14="","",S14*VLOOKUP($C14,ATELIER!$B$2:$F$109,4,0))</f>
        <v/>
      </c>
      <c r="U14" s="364">
        <v>10</v>
      </c>
      <c r="V14" s="372" t="str">
        <f>IF($C14="","",U14*VLOOKUP($C14,ATELIER!$B$2:$F$109,4,0))</f>
        <v/>
      </c>
      <c r="W14" s="364">
        <v>11</v>
      </c>
      <c r="X14" s="372" t="str">
        <f>IF($C14="","",W14*VLOOKUP($C14,ATELIER!$B$2:$F$109,4,0))</f>
        <v/>
      </c>
      <c r="Y14" s="364">
        <v>12</v>
      </c>
      <c r="Z14" s="372" t="str">
        <f>IF($C14="","",Y14*VLOOKUP($C14,ATELIER!$B$2:$F$109,4,0))</f>
        <v/>
      </c>
      <c r="AA14" s="364">
        <v>13</v>
      </c>
      <c r="AB14" s="372" t="str">
        <f>IF($C14="","",AA14*VLOOKUP($C14,ATELIER!$B$2:$F$109,4,0))</f>
        <v/>
      </c>
      <c r="AC14" s="364">
        <v>14</v>
      </c>
      <c r="AD14" s="372" t="str">
        <f>IF($C14="","",AC14*VLOOKUP($C14,ATELIER!$B$2:$F$109,4,0))</f>
        <v/>
      </c>
      <c r="AE14" s="364">
        <v>15</v>
      </c>
      <c r="AF14" s="372" t="str">
        <f>IF($C14="","",AE14*VLOOKUP($C14,ATELIER!$B$2:$F$109,4,0))</f>
        <v/>
      </c>
      <c r="AG14" s="364">
        <v>16</v>
      </c>
      <c r="AH14" s="372" t="str">
        <f>IF($C14="","",AG14*VLOOKUP($C14,ATELIER!$B$2:$F$109,4,0))</f>
        <v/>
      </c>
      <c r="AI14" s="364">
        <v>17</v>
      </c>
      <c r="AJ14" s="372" t="str">
        <f>IF($C14="","",AI14*VLOOKUP($C14,ATELIER!$B$2:$F$109,4,0))</f>
        <v/>
      </c>
      <c r="AK14" s="364">
        <v>18</v>
      </c>
      <c r="AL14" s="372" t="str">
        <f>IF($C14="","",AK14*VLOOKUP($C14,ATELIER!$B$2:$F$109,4,0))</f>
        <v/>
      </c>
      <c r="AM14" s="364">
        <v>18</v>
      </c>
      <c r="AN14" s="372" t="str">
        <f>IF($C14="","",AM14*VLOOKUP($C14,ATELIER!$B$2:$F$109,4,0))</f>
        <v/>
      </c>
    </row>
    <row r="15" spans="1:40" ht="35.25" customHeight="1" x14ac:dyDescent="0.2">
      <c r="A15" s="1553"/>
      <c r="B15" s="375" t="s">
        <v>449</v>
      </c>
      <c r="C15" s="376" t="s">
        <v>450</v>
      </c>
      <c r="D15" s="377" t="s">
        <v>451</v>
      </c>
      <c r="E15" s="376">
        <f>F15*Simulation!$P$8</f>
        <v>360</v>
      </c>
      <c r="F15" s="377">
        <f>SUM(F13:F14)</f>
        <v>8</v>
      </c>
      <c r="G15" s="376">
        <f>H15*Simulation!$P$8</f>
        <v>0</v>
      </c>
      <c r="H15" s="377">
        <f>SUM(H13:H14)</f>
        <v>0</v>
      </c>
      <c r="I15" s="376">
        <f>J15*Simulation!$P$8</f>
        <v>0</v>
      </c>
      <c r="J15" s="377">
        <f>SUM(J13:J14)</f>
        <v>0</v>
      </c>
      <c r="K15" s="376">
        <f>L15*Simulation!$P$8</f>
        <v>0</v>
      </c>
      <c r="L15" s="377">
        <f>SUM(L13:L14)</f>
        <v>0</v>
      </c>
      <c r="M15" s="376">
        <f>N15*Simulation!$P$8</f>
        <v>0</v>
      </c>
      <c r="N15" s="377">
        <f>SUM(N13:N14)</f>
        <v>0</v>
      </c>
      <c r="O15" s="376">
        <f>P15*Simulation!$P$8</f>
        <v>0</v>
      </c>
      <c r="P15" s="377">
        <f>SUM(P13:P14)</f>
        <v>0</v>
      </c>
      <c r="Q15" s="376">
        <f>R15*Simulation!$P$8</f>
        <v>0</v>
      </c>
      <c r="R15" s="377">
        <f>SUM(R13:R14)</f>
        <v>0</v>
      </c>
      <c r="S15" s="376">
        <f>T15*Simulation!$P$8</f>
        <v>0</v>
      </c>
      <c r="T15" s="377">
        <f>SUM(T13:T14)</f>
        <v>0</v>
      </c>
      <c r="U15" s="376">
        <f>V15*Simulation!$P$8</f>
        <v>0</v>
      </c>
      <c r="V15" s="377">
        <f>SUM(V13:V14)</f>
        <v>0</v>
      </c>
      <c r="W15" s="376">
        <f>X15*Simulation!$P$8</f>
        <v>0</v>
      </c>
      <c r="X15" s="377">
        <f>SUM(X13:X14)</f>
        <v>0</v>
      </c>
      <c r="Y15" s="376">
        <f>Z15*Simulation!$P$8</f>
        <v>0</v>
      </c>
      <c r="Z15" s="377">
        <f>SUM(Z13:Z14)</f>
        <v>0</v>
      </c>
      <c r="AA15" s="376">
        <f>AB15*Simulation!$P$8</f>
        <v>0</v>
      </c>
      <c r="AB15" s="377">
        <f>SUM(AB13:AB14)</f>
        <v>0</v>
      </c>
      <c r="AC15" s="376">
        <f>AD15*Simulation!$P$8</f>
        <v>0</v>
      </c>
      <c r="AD15" s="377">
        <f>SUM(AD13:AD14)</f>
        <v>0</v>
      </c>
      <c r="AE15" s="376">
        <f>AF15*Simulation!$P$8</f>
        <v>0</v>
      </c>
      <c r="AF15" s="377">
        <f>SUM(AF13:AF14)</f>
        <v>0</v>
      </c>
      <c r="AG15" s="376">
        <f>AH15*Simulation!$P$8</f>
        <v>0</v>
      </c>
      <c r="AH15" s="377">
        <f>SUM(AH13:AH14)</f>
        <v>0</v>
      </c>
      <c r="AI15" s="376">
        <f>AJ15*Simulation!$P$8</f>
        <v>0</v>
      </c>
      <c r="AJ15" s="377">
        <f>SUM(AJ13:AJ14)</f>
        <v>0</v>
      </c>
      <c r="AK15" s="376">
        <f>AL15*Simulation!$P$8</f>
        <v>0</v>
      </c>
      <c r="AL15" s="377">
        <f>SUM(AL13:AL14)</f>
        <v>0</v>
      </c>
      <c r="AM15" s="376">
        <f>AN15*Simulation!$P$8</f>
        <v>0</v>
      </c>
      <c r="AN15" s="377">
        <f>SUM(AN13:AN14)</f>
        <v>0</v>
      </c>
    </row>
    <row r="16" spans="1:40" ht="15" customHeight="1" x14ac:dyDescent="0.2">
      <c r="A16" s="1554" t="s">
        <v>452</v>
      </c>
      <c r="B16" s="361" t="s">
        <v>1160</v>
      </c>
      <c r="C16" s="378" t="s">
        <v>1052</v>
      </c>
      <c r="D16" s="363" t="str">
        <f>IF(C16="","",VLOOKUP($C16,CHANTIER!$A$2:$C$83,3,0))</f>
        <v>pc</v>
      </c>
      <c r="E16" s="364"/>
      <c r="F16" s="372"/>
      <c r="G16" s="364">
        <v>2</v>
      </c>
      <c r="H16" s="372">
        <f>IF($C16="","",G16*VLOOKUP($C16,CHANTIER!$A$2:$D$83,4,0))</f>
        <v>1.6</v>
      </c>
      <c r="I16" s="364">
        <v>3</v>
      </c>
      <c r="J16" s="372">
        <f>IF($C16="","",I16*VLOOKUP($C16,CHANTIER!$A$2:$D$83,4,0))</f>
        <v>2.4000000000000004</v>
      </c>
      <c r="K16" s="364">
        <v>4</v>
      </c>
      <c r="L16" s="372">
        <f>IF($C16="","",K16*VLOOKUP($C16,CHANTIER!$A$2:$D$83,4,0))</f>
        <v>3.2</v>
      </c>
      <c r="M16" s="364">
        <v>5</v>
      </c>
      <c r="N16" s="372">
        <f>IF($C16="","",M16*VLOOKUP($C16,CHANTIER!$A$2:$D$83,4,0))</f>
        <v>4</v>
      </c>
      <c r="O16" s="364">
        <v>6</v>
      </c>
      <c r="P16" s="372">
        <f>IF($C16="","",O16*VLOOKUP($C16,CHANTIER!$A$2:$D$83,4,0))</f>
        <v>4.8000000000000007</v>
      </c>
      <c r="Q16" s="364">
        <v>7</v>
      </c>
      <c r="R16" s="372">
        <f>IF($C16="","",Q16*VLOOKUP($C16,CHANTIER!$A$2:$D$83,4,0))</f>
        <v>5.6000000000000005</v>
      </c>
      <c r="S16" s="364">
        <v>8</v>
      </c>
      <c r="T16" s="372">
        <f>IF($C16="","",S16*VLOOKUP($C16,CHANTIER!$A$2:$D$83,4,0))</f>
        <v>6.4</v>
      </c>
      <c r="U16" s="364">
        <v>9</v>
      </c>
      <c r="V16" s="372">
        <f>IF($C16="","",U16*VLOOKUP($C16,CHANTIER!$A$2:$D$83,4,0))</f>
        <v>7.2</v>
      </c>
      <c r="W16" s="364">
        <v>10</v>
      </c>
      <c r="X16" s="372">
        <f>IF($C16="","",W16*VLOOKUP($C16,CHANTIER!$A$2:$D$83,4,0))</f>
        <v>8</v>
      </c>
      <c r="Y16" s="364">
        <v>11</v>
      </c>
      <c r="Z16" s="372">
        <f>IF($C16="","",Y16*VLOOKUP($C16,CHANTIER!$A$2:$D$83,4,0))</f>
        <v>8.8000000000000007</v>
      </c>
      <c r="AA16" s="364">
        <v>12</v>
      </c>
      <c r="AB16" s="372">
        <f>IF($C16="","",AA16*VLOOKUP($C16,CHANTIER!$A$2:$D$83,4,0))</f>
        <v>9.6000000000000014</v>
      </c>
      <c r="AC16" s="364">
        <v>13</v>
      </c>
      <c r="AD16" s="372">
        <f>IF($C16="","",AC16*VLOOKUP($C16,CHANTIER!$A$2:$D$83,4,0))</f>
        <v>10.4</v>
      </c>
      <c r="AE16" s="364">
        <v>14</v>
      </c>
      <c r="AF16" s="372">
        <f>IF($C16="","",AE16*VLOOKUP($C16,CHANTIER!$A$2:$D$83,4,0))</f>
        <v>11.200000000000001</v>
      </c>
      <c r="AG16" s="364">
        <v>15</v>
      </c>
      <c r="AH16" s="372">
        <f>IF($C16="","",AG16*VLOOKUP($C16,CHANTIER!$A$2:$D$83,4,0))</f>
        <v>12</v>
      </c>
      <c r="AI16" s="364">
        <v>16</v>
      </c>
      <c r="AJ16" s="372">
        <f>IF($C16="","",AI16*VLOOKUP($C16,CHANTIER!$A$2:$D$83,4,0))</f>
        <v>12.8</v>
      </c>
      <c r="AK16" s="364">
        <v>17</v>
      </c>
      <c r="AL16" s="372">
        <f>IF($C16="","",AK16*VLOOKUP($C16,CHANTIER!$A$2:$D$83,4,0))</f>
        <v>13.600000000000001</v>
      </c>
      <c r="AM16" s="364">
        <v>18</v>
      </c>
      <c r="AN16" s="372">
        <f>IF($C16="","",AM16*VLOOKUP($C16,CHANTIER!$A$2:$D$83,4,0))</f>
        <v>14.4</v>
      </c>
    </row>
    <row r="17" spans="1:40" ht="15" customHeight="1" x14ac:dyDescent="0.2">
      <c r="A17" s="1554"/>
      <c r="B17" s="361"/>
      <c r="C17" s="378"/>
      <c r="D17" s="363" t="str">
        <f>IF(C17="","",VLOOKUP($C17,CHANTIER!$A$2:$C$83,3,0))</f>
        <v/>
      </c>
      <c r="E17" s="364">
        <f>2*E2</f>
        <v>4</v>
      </c>
      <c r="F17" s="372">
        <f>2.5*E17</f>
        <v>10</v>
      </c>
      <c r="G17" s="364">
        <f t="shared" ref="G17" si="32">2*G2</f>
        <v>6</v>
      </c>
      <c r="H17" s="372">
        <f t="shared" ref="H17" si="33">2.5*G17</f>
        <v>15</v>
      </c>
      <c r="I17" s="364">
        <f t="shared" ref="I17" si="34">2*I2</f>
        <v>8</v>
      </c>
      <c r="J17" s="372">
        <f t="shared" ref="J17" si="35">2.5*I17</f>
        <v>20</v>
      </c>
      <c r="K17" s="364">
        <f t="shared" ref="K17" si="36">2*K2</f>
        <v>10</v>
      </c>
      <c r="L17" s="372">
        <f t="shared" ref="L17" si="37">2.5*K17</f>
        <v>25</v>
      </c>
      <c r="M17" s="364">
        <f t="shared" ref="M17" si="38">2*M2</f>
        <v>12</v>
      </c>
      <c r="N17" s="372">
        <f t="shared" ref="N17" si="39">2.5*M17</f>
        <v>30</v>
      </c>
      <c r="O17" s="364">
        <f t="shared" ref="O17" si="40">2*O2</f>
        <v>14</v>
      </c>
      <c r="P17" s="372">
        <f t="shared" ref="P17" si="41">2.5*O17</f>
        <v>35</v>
      </c>
      <c r="Q17" s="364">
        <f t="shared" ref="Q17" si="42">2*Q2</f>
        <v>16</v>
      </c>
      <c r="R17" s="372">
        <f t="shared" ref="R17" si="43">2.5*Q17</f>
        <v>40</v>
      </c>
      <c r="S17" s="364">
        <f t="shared" ref="S17" si="44">2*S2</f>
        <v>18</v>
      </c>
      <c r="T17" s="372">
        <f t="shared" ref="T17" si="45">2.5*S17</f>
        <v>45</v>
      </c>
      <c r="U17" s="364">
        <f t="shared" ref="U17" si="46">2*U2</f>
        <v>20</v>
      </c>
      <c r="V17" s="372">
        <f t="shared" ref="V17" si="47">2.5*U17</f>
        <v>50</v>
      </c>
      <c r="W17" s="364">
        <f t="shared" ref="W17" si="48">2*W2</f>
        <v>24</v>
      </c>
      <c r="X17" s="372">
        <f t="shared" ref="X17" si="49">2.5*W17</f>
        <v>60</v>
      </c>
      <c r="Y17" s="364">
        <f t="shared" ref="Y17" si="50">2*Y2</f>
        <v>24</v>
      </c>
      <c r="Z17" s="372">
        <f t="shared" ref="Z17" si="51">2.5*Y17</f>
        <v>60</v>
      </c>
      <c r="AA17" s="364">
        <f t="shared" ref="AA17" si="52">2*AA2</f>
        <v>28</v>
      </c>
      <c r="AB17" s="372">
        <f t="shared" ref="AB17" si="53">2.5*AA17</f>
        <v>70</v>
      </c>
      <c r="AC17" s="364">
        <f t="shared" ref="AC17" si="54">2*AC2</f>
        <v>28</v>
      </c>
      <c r="AD17" s="372">
        <f t="shared" ref="AD17" si="55">2.5*AC17</f>
        <v>70</v>
      </c>
      <c r="AE17" s="364">
        <f t="shared" ref="AE17" si="56">2*AE2</f>
        <v>32</v>
      </c>
      <c r="AF17" s="372">
        <f t="shared" ref="AF17" si="57">2.5*AE17</f>
        <v>80</v>
      </c>
      <c r="AG17" s="364">
        <f t="shared" ref="AG17" si="58">2*AG2</f>
        <v>36</v>
      </c>
      <c r="AH17" s="372">
        <f t="shared" ref="AH17" si="59">2.5*AG17</f>
        <v>90</v>
      </c>
      <c r="AI17" s="364">
        <f t="shared" ref="AI17" si="60">2*AI2</f>
        <v>36</v>
      </c>
      <c r="AJ17" s="372">
        <f t="shared" ref="AJ17" si="61">2.5*AI17</f>
        <v>90</v>
      </c>
      <c r="AK17" s="364">
        <f t="shared" ref="AK17:AM17" si="62">2*AK2</f>
        <v>40</v>
      </c>
      <c r="AL17" s="372">
        <f t="shared" ref="AL17" si="63">2.5*AK17</f>
        <v>100</v>
      </c>
      <c r="AM17" s="364">
        <f t="shared" si="62"/>
        <v>40</v>
      </c>
      <c r="AN17" s="372">
        <f t="shared" ref="AN17" si="64">2.5*AM17</f>
        <v>100</v>
      </c>
    </row>
    <row r="18" spans="1:40" ht="15" customHeight="1" x14ac:dyDescent="0.2">
      <c r="A18" s="1555"/>
      <c r="B18" s="361"/>
      <c r="C18" s="378"/>
      <c r="D18" s="363" t="str">
        <f>IF(C18="","",VLOOKUP($C18,CHANTIER!$A$2:$C$83,3,0))</f>
        <v/>
      </c>
      <c r="E18" s="364">
        <v>3</v>
      </c>
      <c r="F18" s="372" t="str">
        <f>IF($C18="","",E18*VLOOKUP($C18,CHANTIER!$A$2:$D$83,4,0))</f>
        <v/>
      </c>
      <c r="G18" s="364">
        <v>4</v>
      </c>
      <c r="H18" s="372" t="str">
        <f>IF($C18="","",G18*VLOOKUP($C18,CHANTIER!$A$2:$D$83,4,0))</f>
        <v/>
      </c>
      <c r="I18" s="364">
        <v>5</v>
      </c>
      <c r="J18" s="372" t="str">
        <f>IF($C18="","",I18*VLOOKUP($C18,CHANTIER!$A$2:$D$83,4,0))</f>
        <v/>
      </c>
      <c r="K18" s="364">
        <v>6</v>
      </c>
      <c r="L18" s="372" t="str">
        <f>IF($C18="","",K18*VLOOKUP($C18,CHANTIER!$A$2:$D$83,4,0))</f>
        <v/>
      </c>
      <c r="M18" s="364">
        <v>7</v>
      </c>
      <c r="N18" s="372" t="str">
        <f>IF($C18="","",M18*VLOOKUP($C18,CHANTIER!$A$2:$D$83,4,0))</f>
        <v/>
      </c>
      <c r="O18" s="364">
        <v>8</v>
      </c>
      <c r="P18" s="372" t="str">
        <f>IF($C18="","",O18*VLOOKUP($C18,CHANTIER!$A$2:$D$83,4,0))</f>
        <v/>
      </c>
      <c r="Q18" s="364">
        <v>9</v>
      </c>
      <c r="R18" s="372" t="str">
        <f>IF($C18="","",Q18*VLOOKUP($C18,CHANTIER!$A$2:$D$83,4,0))</f>
        <v/>
      </c>
      <c r="S18" s="364">
        <v>10</v>
      </c>
      <c r="T18" s="372" t="str">
        <f>IF($C18="","",S18*VLOOKUP($C18,CHANTIER!$A$2:$D$83,4,0))</f>
        <v/>
      </c>
      <c r="U18" s="364">
        <v>11</v>
      </c>
      <c r="V18" s="372" t="str">
        <f>IF($C18="","",U18*VLOOKUP($C18,CHANTIER!$A$2:$D$83,4,0))</f>
        <v/>
      </c>
      <c r="W18" s="364">
        <v>12</v>
      </c>
      <c r="X18" s="372" t="str">
        <f>IF($C18="","",W18*VLOOKUP($C18,CHANTIER!$A$2:$D$83,4,0))</f>
        <v/>
      </c>
      <c r="Y18" s="364">
        <v>13</v>
      </c>
      <c r="Z18" s="372" t="str">
        <f>IF($C18="","",Y18*VLOOKUP($C18,CHANTIER!$A$2:$D$83,4,0))</f>
        <v/>
      </c>
      <c r="AA18" s="364">
        <v>14</v>
      </c>
      <c r="AB18" s="372" t="str">
        <f>IF($C18="","",AA18*VLOOKUP($C18,CHANTIER!$A$2:$D$83,4,0))</f>
        <v/>
      </c>
      <c r="AC18" s="364">
        <v>15</v>
      </c>
      <c r="AD18" s="372" t="str">
        <f>IF($C18="","",AC18*VLOOKUP($C18,CHANTIER!$A$2:$D$83,4,0))</f>
        <v/>
      </c>
      <c r="AE18" s="364">
        <v>16</v>
      </c>
      <c r="AF18" s="372" t="str">
        <f>IF($C18="","",AE18*VLOOKUP($C18,CHANTIER!$A$2:$D$83,4,0))</f>
        <v/>
      </c>
      <c r="AG18" s="364">
        <v>17</v>
      </c>
      <c r="AH18" s="372" t="str">
        <f>IF($C18="","",AG18*VLOOKUP($C18,CHANTIER!$A$2:$D$83,4,0))</f>
        <v/>
      </c>
      <c r="AI18" s="364">
        <v>18</v>
      </c>
      <c r="AJ18" s="372" t="str">
        <f>IF($C18="","",AI18*VLOOKUP($C18,CHANTIER!$A$2:$D$83,4,0))</f>
        <v/>
      </c>
      <c r="AK18" s="364">
        <v>19</v>
      </c>
      <c r="AL18" s="372" t="str">
        <f>IF($C18="","",AK18*VLOOKUP($C18,CHANTIER!$A$2:$D$83,4,0))</f>
        <v/>
      </c>
      <c r="AM18" s="364">
        <v>19</v>
      </c>
      <c r="AN18" s="372" t="str">
        <f>IF($C18="","",AM18*VLOOKUP($C18,CHANTIER!$A$2:$D$83,4,0))</f>
        <v/>
      </c>
    </row>
    <row r="19" spans="1:40" ht="15" customHeight="1" x14ac:dyDescent="0.2">
      <c r="A19" s="1554"/>
      <c r="B19" s="361"/>
      <c r="C19" s="378"/>
      <c r="D19" s="363" t="str">
        <f>IF(C19="","",VLOOKUP($C19,CHANTIER!$A$2:$C$83,3,0))</f>
        <v/>
      </c>
      <c r="E19" s="364">
        <v>4</v>
      </c>
      <c r="F19" s="372" t="str">
        <f>IF($C19="","",E19*VLOOKUP($C19,CHANTIER!$A$2:$D$83,4,0))</f>
        <v/>
      </c>
      <c r="G19" s="364">
        <v>5</v>
      </c>
      <c r="H19" s="372" t="str">
        <f>IF($C19="","",G19*VLOOKUP($C19,CHANTIER!$A$2:$D$83,4,0))</f>
        <v/>
      </c>
      <c r="I19" s="364">
        <v>6</v>
      </c>
      <c r="J19" s="372" t="str">
        <f>IF($C19="","",I19*VLOOKUP($C19,CHANTIER!$A$2:$D$83,4,0))</f>
        <v/>
      </c>
      <c r="K19" s="364">
        <v>7</v>
      </c>
      <c r="L19" s="372" t="str">
        <f>IF($C19="","",K19*VLOOKUP($C19,CHANTIER!$A$2:$D$83,4,0))</f>
        <v/>
      </c>
      <c r="M19" s="364">
        <v>8</v>
      </c>
      <c r="N19" s="372" t="str">
        <f>IF($C19="","",M19*VLOOKUP($C19,CHANTIER!$A$2:$D$83,4,0))</f>
        <v/>
      </c>
      <c r="O19" s="364">
        <v>9</v>
      </c>
      <c r="P19" s="372" t="str">
        <f>IF($C19="","",O19*VLOOKUP($C19,CHANTIER!$A$2:$D$83,4,0))</f>
        <v/>
      </c>
      <c r="Q19" s="364">
        <v>10</v>
      </c>
      <c r="R19" s="372" t="str">
        <f>IF($C19="","",Q19*VLOOKUP($C19,CHANTIER!$A$2:$D$83,4,0))</f>
        <v/>
      </c>
      <c r="S19" s="364">
        <v>11</v>
      </c>
      <c r="T19" s="372" t="str">
        <f>IF($C19="","",S19*VLOOKUP($C19,CHANTIER!$A$2:$D$83,4,0))</f>
        <v/>
      </c>
      <c r="U19" s="364">
        <v>12</v>
      </c>
      <c r="V19" s="372" t="str">
        <f>IF($C19="","",U19*VLOOKUP($C19,CHANTIER!$A$2:$D$83,4,0))</f>
        <v/>
      </c>
      <c r="W19" s="364">
        <v>13</v>
      </c>
      <c r="X19" s="372" t="str">
        <f>IF($C19="","",W19*VLOOKUP($C19,CHANTIER!$A$2:$D$83,4,0))</f>
        <v/>
      </c>
      <c r="Y19" s="364">
        <v>14</v>
      </c>
      <c r="Z19" s="372" t="str">
        <f>IF($C19="","",Y19*VLOOKUP($C19,CHANTIER!$A$2:$D$83,4,0))</f>
        <v/>
      </c>
      <c r="AA19" s="364">
        <v>15</v>
      </c>
      <c r="AB19" s="372" t="str">
        <f>IF($C19="","",AA19*VLOOKUP($C19,CHANTIER!$A$2:$D$83,4,0))</f>
        <v/>
      </c>
      <c r="AC19" s="364">
        <v>16</v>
      </c>
      <c r="AD19" s="372" t="str">
        <f>IF($C19="","",AC19*VLOOKUP($C19,CHANTIER!$A$2:$D$83,4,0))</f>
        <v/>
      </c>
      <c r="AE19" s="364">
        <v>17</v>
      </c>
      <c r="AF19" s="372" t="str">
        <f>IF($C19="","",AE19*VLOOKUP($C19,CHANTIER!$A$2:$D$83,4,0))</f>
        <v/>
      </c>
      <c r="AG19" s="364">
        <v>18</v>
      </c>
      <c r="AH19" s="372" t="str">
        <f>IF($C19="","",AG19*VLOOKUP($C19,CHANTIER!$A$2:$D$83,4,0))</f>
        <v/>
      </c>
      <c r="AI19" s="364">
        <v>19</v>
      </c>
      <c r="AJ19" s="372" t="str">
        <f>IF($C19="","",AI19*VLOOKUP($C19,CHANTIER!$A$2:$D$83,4,0))</f>
        <v/>
      </c>
      <c r="AK19" s="364">
        <v>20</v>
      </c>
      <c r="AL19" s="372" t="str">
        <f>IF($C19="","",AK19*VLOOKUP($C19,CHANTIER!$A$2:$D$83,4,0))</f>
        <v/>
      </c>
      <c r="AM19" s="364">
        <v>20</v>
      </c>
      <c r="AN19" s="372" t="str">
        <f>IF($C19="","",AM19*VLOOKUP($C19,CHANTIER!$A$2:$D$83,4,0))</f>
        <v/>
      </c>
    </row>
    <row r="20" spans="1:40" ht="15" customHeight="1" x14ac:dyDescent="0.2">
      <c r="A20" s="1554"/>
      <c r="B20" s="361"/>
      <c r="C20" s="378"/>
      <c r="D20" s="363" t="str">
        <f>IF(C20="","",VLOOKUP($C20,CHANTIER!$A$2:$C$83,3,0))</f>
        <v/>
      </c>
      <c r="E20" s="364">
        <v>5</v>
      </c>
      <c r="F20" s="372" t="str">
        <f>IF($C20="","",E20*VLOOKUP($C20,CHANTIER!$A$2:$D$83,4,0))</f>
        <v/>
      </c>
      <c r="G20" s="364">
        <v>6</v>
      </c>
      <c r="H20" s="372" t="str">
        <f>IF($C20="","",G20*VLOOKUP($C20,CHANTIER!$A$2:$D$83,4,0))</f>
        <v/>
      </c>
      <c r="I20" s="364">
        <v>7</v>
      </c>
      <c r="J20" s="372" t="str">
        <f>IF($C20="","",I20*VLOOKUP($C20,CHANTIER!$A$2:$D$83,4,0))</f>
        <v/>
      </c>
      <c r="K20" s="364">
        <v>8</v>
      </c>
      <c r="L20" s="372" t="str">
        <f>IF($C20="","",K20*VLOOKUP($C20,CHANTIER!$A$2:$D$83,4,0))</f>
        <v/>
      </c>
      <c r="M20" s="364">
        <v>9</v>
      </c>
      <c r="N20" s="372" t="str">
        <f>IF($C20="","",M20*VLOOKUP($C20,CHANTIER!$A$2:$D$83,4,0))</f>
        <v/>
      </c>
      <c r="O20" s="364">
        <v>10</v>
      </c>
      <c r="P20" s="372" t="str">
        <f>IF($C20="","",O20*VLOOKUP($C20,CHANTIER!$A$2:$D$83,4,0))</f>
        <v/>
      </c>
      <c r="Q20" s="364">
        <v>11</v>
      </c>
      <c r="R20" s="372" t="str">
        <f>IF($C20="","",Q20*VLOOKUP($C20,CHANTIER!$A$2:$D$83,4,0))</f>
        <v/>
      </c>
      <c r="S20" s="364">
        <v>12</v>
      </c>
      <c r="T20" s="372" t="str">
        <f>IF($C20="","",S20*VLOOKUP($C20,CHANTIER!$A$2:$D$83,4,0))</f>
        <v/>
      </c>
      <c r="U20" s="364">
        <v>13</v>
      </c>
      <c r="V20" s="372" t="str">
        <f>IF($C20="","",U20*VLOOKUP($C20,CHANTIER!$A$2:$D$83,4,0))</f>
        <v/>
      </c>
      <c r="W20" s="364">
        <v>14</v>
      </c>
      <c r="X20" s="372" t="str">
        <f>IF($C20="","",W20*VLOOKUP($C20,CHANTIER!$A$2:$D$83,4,0))</f>
        <v/>
      </c>
      <c r="Y20" s="364">
        <v>15</v>
      </c>
      <c r="Z20" s="372" t="str">
        <f>IF($C20="","",Y20*VLOOKUP($C20,CHANTIER!$A$2:$D$83,4,0))</f>
        <v/>
      </c>
      <c r="AA20" s="364">
        <v>16</v>
      </c>
      <c r="AB20" s="372" t="str">
        <f>IF($C20="","",AA20*VLOOKUP($C20,CHANTIER!$A$2:$D$83,4,0))</f>
        <v/>
      </c>
      <c r="AC20" s="364">
        <v>17</v>
      </c>
      <c r="AD20" s="372" t="str">
        <f>IF($C20="","",AC20*VLOOKUP($C20,CHANTIER!$A$2:$D$83,4,0))</f>
        <v/>
      </c>
      <c r="AE20" s="364">
        <v>18</v>
      </c>
      <c r="AF20" s="372" t="str">
        <f>IF($C20="","",AE20*VLOOKUP($C20,CHANTIER!$A$2:$D$83,4,0))</f>
        <v/>
      </c>
      <c r="AG20" s="364">
        <v>19</v>
      </c>
      <c r="AH20" s="372" t="str">
        <f>IF($C20="","",AG20*VLOOKUP($C20,CHANTIER!$A$2:$D$83,4,0))</f>
        <v/>
      </c>
      <c r="AI20" s="364">
        <v>20</v>
      </c>
      <c r="AJ20" s="372" t="str">
        <f>IF($C20="","",AI20*VLOOKUP($C20,CHANTIER!$A$2:$D$83,4,0))</f>
        <v/>
      </c>
      <c r="AK20" s="364">
        <v>21</v>
      </c>
      <c r="AL20" s="372" t="str">
        <f>IF($C20="","",AK20*VLOOKUP($C20,CHANTIER!$A$2:$D$83,4,0))</f>
        <v/>
      </c>
      <c r="AM20" s="364">
        <v>21</v>
      </c>
      <c r="AN20" s="372" t="str">
        <f>IF($C20="","",AM20*VLOOKUP($C20,CHANTIER!$A$2:$D$83,4,0))</f>
        <v/>
      </c>
    </row>
    <row r="21" spans="1:40" ht="30.75" customHeight="1" x14ac:dyDescent="0.2">
      <c r="A21" s="1554"/>
      <c r="B21" s="379" t="s">
        <v>453</v>
      </c>
      <c r="C21" s="380" t="s">
        <v>450</v>
      </c>
      <c r="D21" s="381" t="s">
        <v>451</v>
      </c>
      <c r="E21" s="382">
        <f>F21*Simulation!$P$9</f>
        <v>450</v>
      </c>
      <c r="F21" s="383">
        <f>SUM(F16:F20)</f>
        <v>10</v>
      </c>
      <c r="G21" s="382">
        <f>H21*Simulation!$P$9</f>
        <v>747.00000000000011</v>
      </c>
      <c r="H21" s="383">
        <f>SUM(H16:H20)</f>
        <v>16.600000000000001</v>
      </c>
      <c r="I21" s="382">
        <f>J21*Simulation!$P$9</f>
        <v>1007.9999999999999</v>
      </c>
      <c r="J21" s="383">
        <f>SUM(J16:J20)</f>
        <v>22.4</v>
      </c>
      <c r="K21" s="382">
        <f>L21*Simulation!$P$9</f>
        <v>1269</v>
      </c>
      <c r="L21" s="383">
        <f>SUM(L16:L20)</f>
        <v>28.2</v>
      </c>
      <c r="M21" s="382">
        <f>N21*Simulation!$P$9</f>
        <v>1530</v>
      </c>
      <c r="N21" s="383">
        <f>SUM(N16:N20)</f>
        <v>34</v>
      </c>
      <c r="O21" s="382">
        <f>P21*Simulation!$P$9</f>
        <v>1790.9999999999998</v>
      </c>
      <c r="P21" s="383">
        <f>SUM(P16:P20)</f>
        <v>39.799999999999997</v>
      </c>
      <c r="Q21" s="382">
        <f>R21*Simulation!$P$9</f>
        <v>2052</v>
      </c>
      <c r="R21" s="383">
        <f>SUM(R16:R20)</f>
        <v>45.6</v>
      </c>
      <c r="S21" s="382">
        <f>T21*Simulation!$P$9</f>
        <v>2313</v>
      </c>
      <c r="T21" s="383">
        <f>SUM(T16:T20)</f>
        <v>51.4</v>
      </c>
      <c r="U21" s="382">
        <f>V21*Simulation!$P$9</f>
        <v>2574</v>
      </c>
      <c r="V21" s="383">
        <f>SUM(V16:V20)</f>
        <v>57.2</v>
      </c>
      <c r="W21" s="382">
        <f>X21*Simulation!$P$9</f>
        <v>3060</v>
      </c>
      <c r="X21" s="383">
        <f>SUM(X16:X20)</f>
        <v>68</v>
      </c>
      <c r="Y21" s="382">
        <f>Z21*Simulation!$P$9</f>
        <v>3096</v>
      </c>
      <c r="Z21" s="383">
        <f>SUM(Z16:Z20)</f>
        <v>68.8</v>
      </c>
      <c r="AA21" s="382">
        <f>AB21*Simulation!$P$9</f>
        <v>3581.9999999999995</v>
      </c>
      <c r="AB21" s="383">
        <f>SUM(AB16:AB20)</f>
        <v>79.599999999999994</v>
      </c>
      <c r="AC21" s="382">
        <f>AD21*Simulation!$P$9</f>
        <v>3618.0000000000005</v>
      </c>
      <c r="AD21" s="383">
        <f>SUM(AD16:AD20)</f>
        <v>80.400000000000006</v>
      </c>
      <c r="AE21" s="382">
        <f>AF21*Simulation!$P$9</f>
        <v>4104</v>
      </c>
      <c r="AF21" s="383">
        <f>SUM(AF16:AF20)</f>
        <v>91.2</v>
      </c>
      <c r="AG21" s="382">
        <f>AH21*Simulation!$P$9</f>
        <v>4590</v>
      </c>
      <c r="AH21" s="383">
        <f>SUM(AH16:AH20)</f>
        <v>102</v>
      </c>
      <c r="AI21" s="382">
        <f>AJ21*Simulation!$P$9</f>
        <v>4626</v>
      </c>
      <c r="AJ21" s="383">
        <f>SUM(AJ16:AJ20)</f>
        <v>102.8</v>
      </c>
      <c r="AK21" s="382">
        <f>AL21*Simulation!$P$9</f>
        <v>5112</v>
      </c>
      <c r="AL21" s="383">
        <f>SUM(AL16:AL20)</f>
        <v>113.6</v>
      </c>
      <c r="AM21" s="382">
        <f>AN21*Simulation!$P$9</f>
        <v>5148</v>
      </c>
      <c r="AN21" s="383">
        <f>SUM(AN16:AN20)</f>
        <v>114.4</v>
      </c>
    </row>
    <row r="22" spans="1:40" ht="15" customHeight="1" x14ac:dyDescent="0.2">
      <c r="A22" s="1559" t="s">
        <v>4</v>
      </c>
      <c r="B22" s="361" t="s">
        <v>371</v>
      </c>
      <c r="C22" s="378" t="s">
        <v>102</v>
      </c>
      <c r="D22" s="363" t="str">
        <f>IF(C22="","",VLOOKUP($C22,MINIPELLE!$A$2:$C$28,3,0))</f>
        <v>m3</v>
      </c>
      <c r="E22" s="364">
        <f>'Outils de calculs'!E26*0.3*0.5</f>
        <v>1.2299999999999998</v>
      </c>
      <c r="F22" s="372">
        <f>IF($C22="","",E22*VLOOKUP($C22,MINIPELLE!$A$2:$D$28,4,0))</f>
        <v>0.30749999999999994</v>
      </c>
      <c r="G22" s="364">
        <f>'Outils de calculs'!G26*0.3*0.5</f>
        <v>1.5</v>
      </c>
      <c r="H22" s="372">
        <f>IF($C22="","",G22*VLOOKUP($C22,MINIPELLE!$A$2:$D$28,4,0))</f>
        <v>0.375</v>
      </c>
      <c r="I22" s="364">
        <f>'Outils de calculs'!I26*0.3*0.5</f>
        <v>1.7999999999999998</v>
      </c>
      <c r="J22" s="372">
        <f>IF($C22="","",I22*VLOOKUP($C22,MINIPELLE!$A$2:$D$28,4,0))</f>
        <v>0.44999999999999996</v>
      </c>
      <c r="K22" s="364">
        <f>'Outils de calculs'!K26*0.3*0.5</f>
        <v>1.95</v>
      </c>
      <c r="L22" s="372">
        <f>IF($C22="","",K22*VLOOKUP($C22,MINIPELLE!$A$2:$D$28,4,0))</f>
        <v>0.48749999999999999</v>
      </c>
      <c r="M22" s="364">
        <f>'Outils de calculs'!M26*0.3*0.5</f>
        <v>2.1</v>
      </c>
      <c r="N22" s="372">
        <f>IF($C22="","",M22*VLOOKUP($C22,MINIPELLE!$A$2:$D$28,4,0))</f>
        <v>0.52500000000000002</v>
      </c>
      <c r="O22" s="364">
        <f>'Outils de calculs'!O26*0.3*0.5</f>
        <v>2.25</v>
      </c>
      <c r="P22" s="372">
        <f>IF($C22="","",O22*VLOOKUP($C22,MINIPELLE!$A$2:$D$28,4,0))</f>
        <v>0.5625</v>
      </c>
      <c r="Q22" s="364">
        <f>'Outils de calculs'!Q26*0.3*0.5</f>
        <v>2.4</v>
      </c>
      <c r="R22" s="372">
        <f>IF($C22="","",Q22*VLOOKUP($C22,MINIPELLE!$A$2:$D$28,4,0))</f>
        <v>0.6</v>
      </c>
      <c r="S22" s="364">
        <f>'Outils de calculs'!S26*0.3*0.5</f>
        <v>2.5499999999999998</v>
      </c>
      <c r="T22" s="372">
        <f>IF($C22="","",S22*VLOOKUP($C22,MINIPELLE!$A$2:$D$28,4,0))</f>
        <v>0.63749999999999996</v>
      </c>
      <c r="U22" s="364">
        <f>'Outils de calculs'!U26*0.3*0.5</f>
        <v>2.6999999999999997</v>
      </c>
      <c r="V22" s="372">
        <f>IF($C22="","",U22*VLOOKUP($C22,MINIPELLE!$A$2:$D$28,4,0))</f>
        <v>0.67499999999999993</v>
      </c>
      <c r="W22" s="364">
        <f>'Outils de calculs'!W26*0.3*0.5</f>
        <v>3</v>
      </c>
      <c r="X22" s="372">
        <f>IF($C22="","",W22*VLOOKUP($C22,MINIPELLE!$A$2:$D$28,4,0))</f>
        <v>0.75</v>
      </c>
      <c r="Y22" s="364">
        <f>'Outils de calculs'!Y26*0.3*0.5</f>
        <v>3.3</v>
      </c>
      <c r="Z22" s="372">
        <f>IF($C22="","",Y22*VLOOKUP($C22,MINIPELLE!$A$2:$D$28,4,0))</f>
        <v>0.82499999999999996</v>
      </c>
      <c r="AA22" s="364">
        <f>'Outils de calculs'!AA26*0.3*0.5</f>
        <v>3.4499999999999997</v>
      </c>
      <c r="AB22" s="372">
        <f>IF($C22="","",AA22*VLOOKUP($C22,MINIPELLE!$A$2:$D$28,4,0))</f>
        <v>0.86249999999999993</v>
      </c>
      <c r="AC22" s="364">
        <f>'Outils de calculs'!AC26*0.3*0.5</f>
        <v>3.3</v>
      </c>
      <c r="AD22" s="372">
        <f>IF($C22="","",AC22*VLOOKUP($C22,MINIPELLE!$A$2:$D$28,4,0))</f>
        <v>0.82499999999999996</v>
      </c>
      <c r="AE22" s="364">
        <f>'Outils de calculs'!AE26*0.3*0.5</f>
        <v>3.5999999999999996</v>
      </c>
      <c r="AF22" s="372">
        <f>IF($C22="","",AE22*VLOOKUP($C22,MINIPELLE!$A$2:$D$28,4,0))</f>
        <v>0.89999999999999991</v>
      </c>
      <c r="AG22" s="364">
        <f>'Outils de calculs'!AG26*0.3*0.5</f>
        <v>3.75</v>
      </c>
      <c r="AH22" s="372">
        <f>IF($C22="","",AG22*VLOOKUP($C22,MINIPELLE!$A$2:$D$28,4,0))</f>
        <v>0.9375</v>
      </c>
      <c r="AI22" s="364">
        <f>'Outils de calculs'!AI26*0.3*0.5</f>
        <v>3.9</v>
      </c>
      <c r="AJ22" s="372">
        <f>IF($C22="","",AI22*VLOOKUP($C22,MINIPELLE!$A$2:$D$28,4,0))</f>
        <v>0.97499999999999998</v>
      </c>
      <c r="AK22" s="364">
        <f>'Outils de calculs'!AK26*0.3*0.5</f>
        <v>4.2</v>
      </c>
      <c r="AL22" s="372">
        <f>IF($C22="","",AK22*VLOOKUP($C22,MINIPELLE!$A$2:$D$28,4,0))</f>
        <v>1.05</v>
      </c>
      <c r="AM22" s="364">
        <f>'Outils de calculs'!AM26*0.3*0.5</f>
        <v>3.9</v>
      </c>
      <c r="AN22" s="372">
        <f>IF($C22="","",AM22*VLOOKUP($C22,MINIPELLE!$A$2:$D$28,4,0))</f>
        <v>0.97499999999999998</v>
      </c>
    </row>
    <row r="23" spans="1:40" ht="15" customHeight="1" x14ac:dyDescent="0.2">
      <c r="A23" s="1560"/>
      <c r="B23" s="361"/>
      <c r="C23" s="378"/>
      <c r="D23" s="363" t="str">
        <f>IF(C23="","",VLOOKUP($C23,MINIPELLE!$A$2:$C$28,3,0))</f>
        <v/>
      </c>
      <c r="E23" s="364">
        <v>3</v>
      </c>
      <c r="F23" s="389" t="str">
        <f>IF($C23="","",E23*VLOOKUP($C23,MINIPELLE!$A$2:$D$28,4,0))</f>
        <v/>
      </c>
      <c r="G23" s="364">
        <v>3</v>
      </c>
      <c r="H23" s="389" t="str">
        <f>IF($C23="","",G23*VLOOKUP($C23,MINIPELLE!$A$2:$D$28,4,0))</f>
        <v/>
      </c>
      <c r="I23" s="364">
        <v>3</v>
      </c>
      <c r="J23" s="389" t="str">
        <f>IF($C23="","",I23*VLOOKUP($C23,MINIPELLE!$A$2:$D$28,4,0))</f>
        <v/>
      </c>
      <c r="K23" s="364">
        <v>3</v>
      </c>
      <c r="L23" s="389" t="str">
        <f>IF($C23="","",K23*VLOOKUP($C23,MINIPELLE!$A$2:$D$28,4,0))</f>
        <v/>
      </c>
      <c r="M23" s="364">
        <v>3</v>
      </c>
      <c r="N23" s="389" t="str">
        <f>IF($C23="","",M23*VLOOKUP($C23,MINIPELLE!$A$2:$D$28,4,0))</f>
        <v/>
      </c>
      <c r="O23" s="364">
        <v>3</v>
      </c>
      <c r="P23" s="389" t="str">
        <f>IF($C23="","",O23*VLOOKUP($C23,MINIPELLE!$A$2:$D$28,4,0))</f>
        <v/>
      </c>
      <c r="Q23" s="364">
        <v>3</v>
      </c>
      <c r="R23" s="389" t="str">
        <f>IF($C23="","",Q23*VLOOKUP($C23,MINIPELLE!$A$2:$D$28,4,0))</f>
        <v/>
      </c>
      <c r="S23" s="364">
        <v>3</v>
      </c>
      <c r="T23" s="389" t="str">
        <f>IF($C23="","",S23*VLOOKUP($C23,MINIPELLE!$A$2:$D$28,4,0))</f>
        <v/>
      </c>
      <c r="U23" s="364">
        <v>3</v>
      </c>
      <c r="V23" s="389" t="str">
        <f>IF($C23="","",U23*VLOOKUP($C23,MINIPELLE!$A$2:$D$28,4,0))</f>
        <v/>
      </c>
      <c r="W23" s="364">
        <v>3</v>
      </c>
      <c r="X23" s="389" t="str">
        <f>IF($C23="","",W23*VLOOKUP($C23,MINIPELLE!$A$2:$D$28,4,0))</f>
        <v/>
      </c>
      <c r="Y23" s="364">
        <v>3</v>
      </c>
      <c r="Z23" s="389" t="str">
        <f>IF($C23="","",Y23*VLOOKUP($C23,MINIPELLE!$A$2:$D$28,4,0))</f>
        <v/>
      </c>
      <c r="AA23" s="364">
        <v>3</v>
      </c>
      <c r="AB23" s="389" t="str">
        <f>IF($C23="","",AA23*VLOOKUP($C23,MINIPELLE!$A$2:$D$28,4,0))</f>
        <v/>
      </c>
      <c r="AC23" s="364">
        <v>3</v>
      </c>
      <c r="AD23" s="389" t="str">
        <f>IF($C23="","",AC23*VLOOKUP($C23,MINIPELLE!$A$2:$D$28,4,0))</f>
        <v/>
      </c>
      <c r="AE23" s="364">
        <v>3</v>
      </c>
      <c r="AF23" s="389" t="str">
        <f>IF($C23="","",AE23*VLOOKUP($C23,MINIPELLE!$A$2:$D$28,4,0))</f>
        <v/>
      </c>
      <c r="AG23" s="364">
        <v>3</v>
      </c>
      <c r="AH23" s="389" t="str">
        <f>IF($C23="","",AG23*VLOOKUP($C23,MINIPELLE!$A$2:$D$28,4,0))</f>
        <v/>
      </c>
      <c r="AI23" s="364">
        <v>3</v>
      </c>
      <c r="AJ23" s="389" t="str">
        <f>IF($C23="","",AI23*VLOOKUP($C23,MINIPELLE!$A$2:$D$28,4,0))</f>
        <v/>
      </c>
      <c r="AK23" s="364">
        <v>3</v>
      </c>
      <c r="AL23" s="389" t="str">
        <f>IF($C23="","",AK23*VLOOKUP($C23,MINIPELLE!$A$2:$D$28,4,0))</f>
        <v/>
      </c>
      <c r="AM23" s="364">
        <v>3</v>
      </c>
      <c r="AN23" s="389" t="str">
        <f>IF($C23="","",AM23*VLOOKUP($C23,MINIPELLE!$A$2:$D$28,4,0))</f>
        <v/>
      </c>
    </row>
    <row r="24" spans="1:40" ht="15" customHeight="1" x14ac:dyDescent="0.2">
      <c r="A24" s="1560"/>
      <c r="B24" s="361"/>
      <c r="C24" s="378"/>
      <c r="D24" s="363" t="str">
        <f>IF(C24="","",VLOOKUP($C24,MINIPELLE!$A$2:$C$28,3,0))</f>
        <v/>
      </c>
      <c r="E24" s="364">
        <v>4</v>
      </c>
      <c r="F24" s="389" t="str">
        <f>IF($C24="","",E24*VLOOKUP($C24,MINIPELLE!$A$2:$D$28,4,0))</f>
        <v/>
      </c>
      <c r="G24" s="364">
        <v>4</v>
      </c>
      <c r="H24" s="389" t="str">
        <f>IF($C24="","",G24*VLOOKUP($C24,MINIPELLE!$A$2:$D$28,4,0))</f>
        <v/>
      </c>
      <c r="I24" s="364">
        <v>4</v>
      </c>
      <c r="J24" s="389" t="str">
        <f>IF($C24="","",I24*VLOOKUP($C24,MINIPELLE!$A$2:$D$28,4,0))</f>
        <v/>
      </c>
      <c r="K24" s="364">
        <v>4</v>
      </c>
      <c r="L24" s="389" t="str">
        <f>IF($C24="","",K24*VLOOKUP($C24,MINIPELLE!$A$2:$D$28,4,0))</f>
        <v/>
      </c>
      <c r="M24" s="364">
        <v>4</v>
      </c>
      <c r="N24" s="389" t="str">
        <f>IF($C24="","",M24*VLOOKUP($C24,MINIPELLE!$A$2:$D$28,4,0))</f>
        <v/>
      </c>
      <c r="O24" s="364">
        <v>4</v>
      </c>
      <c r="P24" s="389" t="str">
        <f>IF($C24="","",O24*VLOOKUP($C24,MINIPELLE!$A$2:$D$28,4,0))</f>
        <v/>
      </c>
      <c r="Q24" s="364">
        <v>4</v>
      </c>
      <c r="R24" s="389" t="str">
        <f>IF($C24="","",Q24*VLOOKUP($C24,MINIPELLE!$A$2:$D$28,4,0))</f>
        <v/>
      </c>
      <c r="S24" s="364">
        <v>4</v>
      </c>
      <c r="T24" s="389" t="str">
        <f>IF($C24="","",S24*VLOOKUP($C24,MINIPELLE!$A$2:$D$28,4,0))</f>
        <v/>
      </c>
      <c r="U24" s="364">
        <v>4</v>
      </c>
      <c r="V24" s="389" t="str">
        <f>IF($C24="","",U24*VLOOKUP($C24,MINIPELLE!$A$2:$D$28,4,0))</f>
        <v/>
      </c>
      <c r="W24" s="364">
        <v>4</v>
      </c>
      <c r="X24" s="389" t="str">
        <f>IF($C24="","",W24*VLOOKUP($C24,MINIPELLE!$A$2:$D$28,4,0))</f>
        <v/>
      </c>
      <c r="Y24" s="364">
        <v>4</v>
      </c>
      <c r="Z24" s="389" t="str">
        <f>IF($C24="","",Y24*VLOOKUP($C24,MINIPELLE!$A$2:$D$28,4,0))</f>
        <v/>
      </c>
      <c r="AA24" s="364">
        <v>4</v>
      </c>
      <c r="AB24" s="389" t="str">
        <f>IF($C24="","",AA24*VLOOKUP($C24,MINIPELLE!$A$2:$D$28,4,0))</f>
        <v/>
      </c>
      <c r="AC24" s="364">
        <v>4</v>
      </c>
      <c r="AD24" s="389" t="str">
        <f>IF($C24="","",AC24*VLOOKUP($C24,MINIPELLE!$A$2:$D$28,4,0))</f>
        <v/>
      </c>
      <c r="AE24" s="364">
        <v>4</v>
      </c>
      <c r="AF24" s="389" t="str">
        <f>IF($C24="","",AE24*VLOOKUP($C24,MINIPELLE!$A$2:$D$28,4,0))</f>
        <v/>
      </c>
      <c r="AG24" s="364">
        <v>4</v>
      </c>
      <c r="AH24" s="389" t="str">
        <f>IF($C24="","",AG24*VLOOKUP($C24,MINIPELLE!$A$2:$D$28,4,0))</f>
        <v/>
      </c>
      <c r="AI24" s="364">
        <v>4</v>
      </c>
      <c r="AJ24" s="389" t="str">
        <f>IF($C24="","",AI24*VLOOKUP($C24,MINIPELLE!$A$2:$D$28,4,0))</f>
        <v/>
      </c>
      <c r="AK24" s="364">
        <v>4</v>
      </c>
      <c r="AL24" s="389" t="str">
        <f>IF($C24="","",AK24*VLOOKUP($C24,MINIPELLE!$A$2:$D$28,4,0))</f>
        <v/>
      </c>
      <c r="AM24" s="364">
        <v>4</v>
      </c>
      <c r="AN24" s="389" t="str">
        <f>IF($C24="","",AM24*VLOOKUP($C24,MINIPELLE!$A$2:$D$28,4,0))</f>
        <v/>
      </c>
    </row>
    <row r="25" spans="1:40" ht="29.25" customHeight="1" x14ac:dyDescent="0.2">
      <c r="A25" s="1560"/>
      <c r="B25" s="384" t="s">
        <v>454</v>
      </c>
      <c r="C25" s="385" t="s">
        <v>455</v>
      </c>
      <c r="D25" s="386" t="s">
        <v>451</v>
      </c>
      <c r="E25" s="387">
        <f>F25*Simulation!$P$10</f>
        <v>24.599999999999994</v>
      </c>
      <c r="F25" s="388">
        <f>SUM(F22:F24)</f>
        <v>0.30749999999999994</v>
      </c>
      <c r="G25" s="387">
        <f>H25*Simulation!$P$10</f>
        <v>30</v>
      </c>
      <c r="H25" s="388">
        <f>SUM(H22:H24)</f>
        <v>0.375</v>
      </c>
      <c r="I25" s="387">
        <f>J25*Simulation!$P$10</f>
        <v>36</v>
      </c>
      <c r="J25" s="388">
        <f>SUM(J22:J24)</f>
        <v>0.44999999999999996</v>
      </c>
      <c r="K25" s="387">
        <f>L25*Simulation!$P$10</f>
        <v>39</v>
      </c>
      <c r="L25" s="388">
        <f>SUM(L22:L24)</f>
        <v>0.48749999999999999</v>
      </c>
      <c r="M25" s="387">
        <f>N25*Simulation!$P$10</f>
        <v>42</v>
      </c>
      <c r="N25" s="388">
        <f>SUM(N22:N24)</f>
        <v>0.52500000000000002</v>
      </c>
      <c r="O25" s="387">
        <f>P25*Simulation!$P$10</f>
        <v>45</v>
      </c>
      <c r="P25" s="388">
        <f>SUM(P22:P24)</f>
        <v>0.5625</v>
      </c>
      <c r="Q25" s="387">
        <f>R25*Simulation!$P$10</f>
        <v>48</v>
      </c>
      <c r="R25" s="388">
        <f>SUM(R22:R24)</f>
        <v>0.6</v>
      </c>
      <c r="S25" s="387">
        <f>T25*Simulation!$P$10</f>
        <v>51</v>
      </c>
      <c r="T25" s="388">
        <f>SUM(T22:T24)</f>
        <v>0.63749999999999996</v>
      </c>
      <c r="U25" s="387">
        <f>V25*Simulation!$P$10</f>
        <v>53.999999999999993</v>
      </c>
      <c r="V25" s="388">
        <f>SUM(V22:V24)</f>
        <v>0.67499999999999993</v>
      </c>
      <c r="W25" s="387">
        <f>X25*Simulation!$P$10</f>
        <v>60</v>
      </c>
      <c r="X25" s="388">
        <f>SUM(X22:X24)</f>
        <v>0.75</v>
      </c>
      <c r="Y25" s="387">
        <f>Z25*Simulation!$P$10</f>
        <v>66</v>
      </c>
      <c r="Z25" s="388">
        <f>SUM(Z22:Z24)</f>
        <v>0.82499999999999996</v>
      </c>
      <c r="AA25" s="387">
        <f>AB25*Simulation!$P$10</f>
        <v>69</v>
      </c>
      <c r="AB25" s="388">
        <f>SUM(AB22:AB24)</f>
        <v>0.86249999999999993</v>
      </c>
      <c r="AC25" s="387">
        <f>AD25*Simulation!$P$10</f>
        <v>66</v>
      </c>
      <c r="AD25" s="388">
        <f>SUM(AD22:AD24)</f>
        <v>0.82499999999999996</v>
      </c>
      <c r="AE25" s="387">
        <f>AF25*Simulation!$P$10</f>
        <v>72</v>
      </c>
      <c r="AF25" s="388">
        <f>SUM(AF22:AF24)</f>
        <v>0.89999999999999991</v>
      </c>
      <c r="AG25" s="387">
        <f>AH25*Simulation!$P$10</f>
        <v>75</v>
      </c>
      <c r="AH25" s="388">
        <f>SUM(AH22:AH24)</f>
        <v>0.9375</v>
      </c>
      <c r="AI25" s="387">
        <f>AJ25*Simulation!$P$10</f>
        <v>78</v>
      </c>
      <c r="AJ25" s="388">
        <f>SUM(AJ22:AJ24)</f>
        <v>0.97499999999999998</v>
      </c>
      <c r="AK25" s="387">
        <f>AL25*Simulation!$P$10</f>
        <v>84</v>
      </c>
      <c r="AL25" s="388">
        <f>SUM(AL22:AL24)</f>
        <v>1.05</v>
      </c>
      <c r="AM25" s="387">
        <f>AN25*Simulation!$P$10</f>
        <v>78</v>
      </c>
      <c r="AN25" s="388">
        <f>SUM(AN22:AN24)</f>
        <v>0.97499999999999998</v>
      </c>
    </row>
    <row r="26" spans="1:40" x14ac:dyDescent="0.2">
      <c r="A26" s="199"/>
      <c r="B26" s="172"/>
      <c r="C26" s="200"/>
      <c r="D26" s="201"/>
      <c r="E26" s="202"/>
      <c r="F26" s="203"/>
      <c r="G26" s="202"/>
      <c r="H26" s="203"/>
      <c r="I26" s="202"/>
      <c r="J26" s="203"/>
      <c r="K26" s="202"/>
      <c r="L26" s="203"/>
      <c r="M26" s="202"/>
      <c r="N26" s="203"/>
      <c r="O26" s="202"/>
      <c r="P26" s="203"/>
      <c r="Q26" s="202"/>
      <c r="R26" s="203"/>
      <c r="S26" s="202"/>
      <c r="T26" s="203"/>
      <c r="U26" s="202"/>
      <c r="V26" s="203"/>
      <c r="W26" s="202"/>
      <c r="X26" s="203"/>
      <c r="Y26" s="202"/>
      <c r="Z26" s="203"/>
      <c r="AA26" s="202"/>
      <c r="AB26" s="203"/>
      <c r="AC26" s="202"/>
      <c r="AD26" s="203"/>
      <c r="AE26" s="202"/>
      <c r="AF26" s="203"/>
      <c r="AG26" s="202"/>
      <c r="AH26" s="203"/>
      <c r="AI26" s="202"/>
      <c r="AJ26" s="203"/>
      <c r="AK26" s="202"/>
      <c r="AL26" s="203"/>
      <c r="AM26" s="202"/>
      <c r="AN26" s="203"/>
    </row>
    <row r="27" spans="1:40" ht="36" customHeight="1" x14ac:dyDescent="0.2">
      <c r="A27" s="204"/>
      <c r="B27" s="1561" t="s">
        <v>456</v>
      </c>
      <c r="C27" s="1564" t="s">
        <v>445</v>
      </c>
      <c r="D27" s="1564"/>
      <c r="E27" s="1547">
        <f>E25+E21+E15+E12</f>
        <v>1218.2885000000001</v>
      </c>
      <c r="F27" s="1547"/>
      <c r="G27" s="1547">
        <f>G25+G21+G15+G12</f>
        <v>1211.6420000000003</v>
      </c>
      <c r="H27" s="1547"/>
      <c r="I27" s="1547">
        <f>I25+I21+I15+I12</f>
        <v>1540.34</v>
      </c>
      <c r="J27" s="1547"/>
      <c r="K27" s="1547">
        <f>K25+K21+K15+K12</f>
        <v>1835.1889999999999</v>
      </c>
      <c r="L27" s="1547"/>
      <c r="M27" s="1547">
        <f>M25+M21+M15+M12</f>
        <v>2130.038</v>
      </c>
      <c r="N27" s="1547"/>
      <c r="O27" s="1547">
        <f>O25+O21+O15+O12</f>
        <v>2424.8869999999997</v>
      </c>
      <c r="P27" s="1547"/>
      <c r="Q27" s="1547">
        <f>Q25+Q21+Q15+Q12</f>
        <v>2719.7359999999999</v>
      </c>
      <c r="R27" s="1547"/>
      <c r="S27" s="1547">
        <f>S25+S21+S15+S12</f>
        <v>3014.585</v>
      </c>
      <c r="T27" s="1547"/>
      <c r="U27" s="1547">
        <f>U25+U21+U15+U12</f>
        <v>3309.4340000000002</v>
      </c>
      <c r="V27" s="1547"/>
      <c r="W27" s="1547">
        <f>W25+W21+W15+W12</f>
        <v>3863.1320000000001</v>
      </c>
      <c r="X27" s="1547"/>
      <c r="Y27" s="1547">
        <f>Y25+Y21+Y15+Y12</f>
        <v>3966.83</v>
      </c>
      <c r="Z27" s="1547"/>
      <c r="AA27" s="1547">
        <f>AA25+AA21+AA15+AA12</f>
        <v>4486.6789999999992</v>
      </c>
      <c r="AB27" s="1547"/>
      <c r="AC27" s="1547">
        <f>AC25+AC21+AC15+AC12</f>
        <v>4488.83</v>
      </c>
      <c r="AD27" s="1547"/>
      <c r="AE27" s="1547">
        <f>AE25+AE21+AE15+AE12</f>
        <v>5042.5280000000002</v>
      </c>
      <c r="AF27" s="1547"/>
      <c r="AG27" s="1547">
        <f>AG25+AG21+AG15+AG12</f>
        <v>5562.3770000000004</v>
      </c>
      <c r="AH27" s="1547"/>
      <c r="AI27" s="1547">
        <f>AI25+AI21+AI15+AI12</f>
        <v>5632.2259999999997</v>
      </c>
      <c r="AJ27" s="1547"/>
      <c r="AK27" s="1547">
        <f>AK25+AK21+AK15+AK12</f>
        <v>6185.924</v>
      </c>
      <c r="AL27" s="1547"/>
      <c r="AM27" s="1547">
        <f>AM25+AM21+AM15+AM12</f>
        <v>6154.2259999999997</v>
      </c>
      <c r="AN27" s="1547"/>
    </row>
    <row r="28" spans="1:40" ht="18" customHeight="1" x14ac:dyDescent="0.2">
      <c r="A28" s="154"/>
      <c r="B28" s="1562"/>
      <c r="C28" s="1565" t="s">
        <v>457</v>
      </c>
      <c r="D28" s="1565"/>
      <c r="E28" s="149">
        <f>E12-F12</f>
        <v>88.543499999999995</v>
      </c>
      <c r="F28" s="207">
        <f>E28/E$27</f>
        <v>7.2678597885476218E-2</v>
      </c>
      <c r="G28" s="149">
        <f>G12-H12</f>
        <v>100.30200000000002</v>
      </c>
      <c r="H28" s="207">
        <f>G28/G$27</f>
        <v>8.2781877815394311E-2</v>
      </c>
      <c r="I28" s="149">
        <f>I12-J12</f>
        <v>114.54000000000002</v>
      </c>
      <c r="J28" s="207">
        <f>I28/I$27</f>
        <v>7.4360206188244168E-2</v>
      </c>
      <c r="K28" s="149">
        <f>K12-L12</f>
        <v>121.65899999999999</v>
      </c>
      <c r="L28" s="207">
        <f>K28/K$27</f>
        <v>6.6292354629414185E-2</v>
      </c>
      <c r="M28" s="149">
        <f>M12-N12</f>
        <v>128.77800000000002</v>
      </c>
      <c r="N28" s="207">
        <f>M28/M$27</f>
        <v>6.0458076334788405E-2</v>
      </c>
      <c r="O28" s="149">
        <f>O12-P12</f>
        <v>135.89700000000005</v>
      </c>
      <c r="P28" s="207">
        <f>O28/O$27</f>
        <v>5.6042611470142757E-2</v>
      </c>
      <c r="Q28" s="149">
        <f>Q12-R12</f>
        <v>143.01600000000002</v>
      </c>
      <c r="R28" s="207">
        <f>Q28/Q$27</f>
        <v>5.2584515555921613E-2</v>
      </c>
      <c r="S28" s="149">
        <f>S12-T12</f>
        <v>150.13500000000005</v>
      </c>
      <c r="T28" s="207">
        <f>S28/S$27</f>
        <v>4.9802875022598482E-2</v>
      </c>
      <c r="U28" s="149">
        <f>U12-V12</f>
        <v>157.25400000000002</v>
      </c>
      <c r="V28" s="207">
        <f>U28/U$27</f>
        <v>4.7516886573353637E-2</v>
      </c>
      <c r="W28" s="149">
        <f>W12-X12</f>
        <v>171.49200000000008</v>
      </c>
      <c r="X28" s="207">
        <f>W28/W$27</f>
        <v>4.4391959684525424E-2</v>
      </c>
      <c r="Y28" s="149">
        <f>Y12-Z12</f>
        <v>185.73000000000002</v>
      </c>
      <c r="Z28" s="207">
        <f>Y28/Y$27</f>
        <v>4.6820761161935356E-2</v>
      </c>
      <c r="AA28" s="149">
        <f>AA12-AB12</f>
        <v>192.84900000000005</v>
      </c>
      <c r="AB28" s="207">
        <f>AA28/AA$27</f>
        <v>4.2982571296052173E-2</v>
      </c>
      <c r="AC28" s="149">
        <f>AC12-AD12</f>
        <v>185.73000000000002</v>
      </c>
      <c r="AD28" s="207">
        <f>AC28/AC$27</f>
        <v>4.1376037853961947E-2</v>
      </c>
      <c r="AE28" s="149">
        <f>AE12-AF12</f>
        <v>199.96799999999996</v>
      </c>
      <c r="AF28" s="207">
        <f>AE28/AE$27</f>
        <v>3.9656299379993515E-2</v>
      </c>
      <c r="AG28" s="149">
        <f>AG12-AH12</f>
        <v>207.08699999999999</v>
      </c>
      <c r="AH28" s="207">
        <f>AG28/AG$27</f>
        <v>3.722994683747613E-2</v>
      </c>
      <c r="AI28" s="149">
        <f>AI12-AJ12</f>
        <v>214.20600000000002</v>
      </c>
      <c r="AJ28" s="207">
        <f>AI28/AI$27</f>
        <v>3.8032209644996498E-2</v>
      </c>
      <c r="AK28" s="149">
        <f>AK12-AL12</f>
        <v>228.44400000000007</v>
      </c>
      <c r="AL28" s="207">
        <f>AK28/AK$27</f>
        <v>3.6929648666876619E-2</v>
      </c>
      <c r="AM28" s="149">
        <f>AM12-AN12</f>
        <v>214.20600000000002</v>
      </c>
      <c r="AN28" s="207">
        <f>AM28/AM$27</f>
        <v>3.4806326579491884E-2</v>
      </c>
    </row>
    <row r="29" spans="1:40" ht="18" customHeight="1" x14ac:dyDescent="0.2">
      <c r="A29" s="154"/>
      <c r="B29" s="1562"/>
      <c r="C29" s="1565" t="s">
        <v>9</v>
      </c>
      <c r="D29" s="1565"/>
      <c r="E29" s="149">
        <f>E12</f>
        <v>383.68849999999998</v>
      </c>
      <c r="F29" s="207">
        <f>E29/E$27</f>
        <v>0.31494059083706361</v>
      </c>
      <c r="G29" s="149">
        <f>G12</f>
        <v>434.64200000000005</v>
      </c>
      <c r="H29" s="207">
        <f>G29/G$27</f>
        <v>0.35872147053337533</v>
      </c>
      <c r="I29" s="149">
        <f>I12</f>
        <v>496.34</v>
      </c>
      <c r="J29" s="207">
        <f>I29/I$27</f>
        <v>0.32222756014905801</v>
      </c>
      <c r="K29" s="149">
        <f>K12</f>
        <v>527.18899999999996</v>
      </c>
      <c r="L29" s="207">
        <f>K29/K$27</f>
        <v>0.28726687006079482</v>
      </c>
      <c r="M29" s="149">
        <f>M12</f>
        <v>558.03800000000001</v>
      </c>
      <c r="N29" s="207">
        <f>M29/M$27</f>
        <v>0.26198499745074971</v>
      </c>
      <c r="O29" s="149">
        <f>O12</f>
        <v>588.88700000000006</v>
      </c>
      <c r="P29" s="207">
        <f>O29/O$27</f>
        <v>0.24285131637061855</v>
      </c>
      <c r="Q29" s="149">
        <f>Q12</f>
        <v>619.73599999999999</v>
      </c>
      <c r="R29" s="207">
        <f>Q29/Q$27</f>
        <v>0.22786623407566028</v>
      </c>
      <c r="S29" s="149">
        <f>S12</f>
        <v>650.58500000000004</v>
      </c>
      <c r="T29" s="207">
        <f>S29/S$27</f>
        <v>0.21581245843126004</v>
      </c>
      <c r="U29" s="149">
        <f>U12</f>
        <v>681.43400000000008</v>
      </c>
      <c r="V29" s="207">
        <f>U29/U$27</f>
        <v>0.2059065084845324</v>
      </c>
      <c r="W29" s="149">
        <f>W12</f>
        <v>743.13200000000006</v>
      </c>
      <c r="X29" s="207">
        <f>W29/W$27</f>
        <v>0.19236515863294343</v>
      </c>
      <c r="Y29" s="149">
        <f>Y12</f>
        <v>804.82999999999993</v>
      </c>
      <c r="Z29" s="207">
        <f>Y29/Y$27</f>
        <v>0.20288996503505316</v>
      </c>
      <c r="AA29" s="149">
        <f>AA12</f>
        <v>835.67899999999997</v>
      </c>
      <c r="AB29" s="207">
        <f>AA29/AA$27</f>
        <v>0.18625780894955937</v>
      </c>
      <c r="AC29" s="149">
        <f>AC12</f>
        <v>804.82999999999993</v>
      </c>
      <c r="AD29" s="207">
        <f>AC29/AC$27</f>
        <v>0.17929616403383508</v>
      </c>
      <c r="AE29" s="149">
        <f>AE12</f>
        <v>866.52799999999991</v>
      </c>
      <c r="AF29" s="207">
        <f>AE29/AE$27</f>
        <v>0.17184396397997193</v>
      </c>
      <c r="AG29" s="149">
        <f>AG12</f>
        <v>897.37699999999995</v>
      </c>
      <c r="AH29" s="207">
        <f>AG29/AG$27</f>
        <v>0.16132976962906323</v>
      </c>
      <c r="AI29" s="149">
        <f>AI12</f>
        <v>928.226</v>
      </c>
      <c r="AJ29" s="207">
        <f>AI29/AI$27</f>
        <v>0.16480624179498479</v>
      </c>
      <c r="AK29" s="149">
        <f>AK12</f>
        <v>989.92400000000009</v>
      </c>
      <c r="AL29" s="207">
        <f>AK29/AK$27</f>
        <v>0.16002847755646529</v>
      </c>
      <c r="AM29" s="149">
        <f>AM12</f>
        <v>928.226</v>
      </c>
      <c r="AN29" s="207">
        <f>AM29/AM$27</f>
        <v>0.15082741517779816</v>
      </c>
    </row>
    <row r="30" spans="1:40" ht="18" customHeight="1" x14ac:dyDescent="0.2">
      <c r="A30" s="154"/>
      <c r="B30" s="1562"/>
      <c r="C30" s="1565" t="s">
        <v>458</v>
      </c>
      <c r="D30" s="1565"/>
      <c r="E30" s="149">
        <f>E15</f>
        <v>360</v>
      </c>
      <c r="F30" s="207">
        <f>E30/E$27</f>
        <v>0.29549651006309258</v>
      </c>
      <c r="G30" s="149">
        <f>G15</f>
        <v>0</v>
      </c>
      <c r="H30" s="207">
        <f>G30/G$27</f>
        <v>0</v>
      </c>
      <c r="I30" s="149">
        <f>I15</f>
        <v>0</v>
      </c>
      <c r="J30" s="207">
        <f>I30/I$27</f>
        <v>0</v>
      </c>
      <c r="K30" s="149">
        <f>K15</f>
        <v>0</v>
      </c>
      <c r="L30" s="207">
        <f>K30/K$27</f>
        <v>0</v>
      </c>
      <c r="M30" s="149">
        <f>M15</f>
        <v>0</v>
      </c>
      <c r="N30" s="207">
        <f>M30/M$27</f>
        <v>0</v>
      </c>
      <c r="O30" s="149">
        <f>O15</f>
        <v>0</v>
      </c>
      <c r="P30" s="207">
        <f>O30/O$27</f>
        <v>0</v>
      </c>
      <c r="Q30" s="149">
        <f>Q15</f>
        <v>0</v>
      </c>
      <c r="R30" s="207">
        <f>Q30/Q$27</f>
        <v>0</v>
      </c>
      <c r="S30" s="149">
        <f>S15</f>
        <v>0</v>
      </c>
      <c r="T30" s="207">
        <f>S30/S$27</f>
        <v>0</v>
      </c>
      <c r="U30" s="149">
        <f>U15</f>
        <v>0</v>
      </c>
      <c r="V30" s="207">
        <f>U30/U$27</f>
        <v>0</v>
      </c>
      <c r="W30" s="149">
        <f>W15</f>
        <v>0</v>
      </c>
      <c r="X30" s="207">
        <f>W30/W$27</f>
        <v>0</v>
      </c>
      <c r="Y30" s="149">
        <f>Y15</f>
        <v>0</v>
      </c>
      <c r="Z30" s="207">
        <f>Y30/Y$27</f>
        <v>0</v>
      </c>
      <c r="AA30" s="149">
        <f>AA15</f>
        <v>0</v>
      </c>
      <c r="AB30" s="207">
        <f>AA30/AA$27</f>
        <v>0</v>
      </c>
      <c r="AC30" s="149">
        <f>AC15</f>
        <v>0</v>
      </c>
      <c r="AD30" s="207">
        <f>AC30/AC$27</f>
        <v>0</v>
      </c>
      <c r="AE30" s="149">
        <f>AE15</f>
        <v>0</v>
      </c>
      <c r="AF30" s="207">
        <f>AE30/AE$27</f>
        <v>0</v>
      </c>
      <c r="AG30" s="149">
        <f>AG15</f>
        <v>0</v>
      </c>
      <c r="AH30" s="207">
        <f>AG30/AG$27</f>
        <v>0</v>
      </c>
      <c r="AI30" s="149">
        <f>AI15</f>
        <v>0</v>
      </c>
      <c r="AJ30" s="207">
        <f>AI30/AI$27</f>
        <v>0</v>
      </c>
      <c r="AK30" s="149">
        <f>AK15</f>
        <v>0</v>
      </c>
      <c r="AL30" s="207">
        <f>AK30/AK$27</f>
        <v>0</v>
      </c>
      <c r="AM30" s="149">
        <f>AM15</f>
        <v>0</v>
      </c>
      <c r="AN30" s="207">
        <f>AM30/AM$27</f>
        <v>0</v>
      </c>
    </row>
    <row r="31" spans="1:40" ht="18" customHeight="1" x14ac:dyDescent="0.2">
      <c r="A31" s="154"/>
      <c r="B31" s="1562"/>
      <c r="C31" s="1565" t="s">
        <v>459</v>
      </c>
      <c r="D31" s="1565"/>
      <c r="E31" s="149">
        <f>E21</f>
        <v>450</v>
      </c>
      <c r="F31" s="207">
        <f>E31/E$27</f>
        <v>0.36937063757886573</v>
      </c>
      <c r="G31" s="149">
        <f>G21</f>
        <v>747.00000000000011</v>
      </c>
      <c r="H31" s="207">
        <f>G31/G$27</f>
        <v>0.61651874068412937</v>
      </c>
      <c r="I31" s="149">
        <f>I21</f>
        <v>1007.9999999999999</v>
      </c>
      <c r="J31" s="207">
        <f>I31/I$27</f>
        <v>0.65440097640780603</v>
      </c>
      <c r="K31" s="149">
        <f>K21</f>
        <v>1269</v>
      </c>
      <c r="L31" s="207">
        <f>K31/K$27</f>
        <v>0.69148191276211879</v>
      </c>
      <c r="M31" s="149">
        <f>M21</f>
        <v>1530</v>
      </c>
      <c r="N31" s="207">
        <f>M31/M$27</f>
        <v>0.71829704446587339</v>
      </c>
      <c r="O31" s="149">
        <f>O21</f>
        <v>1790.9999999999998</v>
      </c>
      <c r="P31" s="207">
        <f>O31/O$27</f>
        <v>0.73859111785415155</v>
      </c>
      <c r="Q31" s="149">
        <f>Q21</f>
        <v>2052</v>
      </c>
      <c r="R31" s="207">
        <f>Q31/Q$27</f>
        <v>0.75448499413178338</v>
      </c>
      <c r="S31" s="149">
        <f>S21</f>
        <v>2313</v>
      </c>
      <c r="T31" s="207">
        <f>S31/S$27</f>
        <v>0.76726979003743467</v>
      </c>
      <c r="U31" s="149">
        <f>U21</f>
        <v>2574</v>
      </c>
      <c r="V31" s="207">
        <f>U31/U$27</f>
        <v>0.7777765019637799</v>
      </c>
      <c r="W31" s="149">
        <f>W21</f>
        <v>3060</v>
      </c>
      <c r="X31" s="207">
        <f>W31/W$27</f>
        <v>0.79210340210999775</v>
      </c>
      <c r="Y31" s="149">
        <f>Y21</f>
        <v>3096</v>
      </c>
      <c r="Z31" s="207">
        <f>Y31/Y$27</f>
        <v>0.78047206459565954</v>
      </c>
      <c r="AA31" s="149">
        <f>AA21</f>
        <v>3581.9999999999995</v>
      </c>
      <c r="AB31" s="207">
        <f>AA31/AA$27</f>
        <v>0.79836333287939698</v>
      </c>
      <c r="AC31" s="149">
        <f>AC21</f>
        <v>3618.0000000000005</v>
      </c>
      <c r="AD31" s="207">
        <f>AC31/AC$27</f>
        <v>0.80600067278110343</v>
      </c>
      <c r="AE31" s="149">
        <f>AE21</f>
        <v>4104</v>
      </c>
      <c r="AF31" s="207">
        <f>AE31/AE$27</f>
        <v>0.81387748367485513</v>
      </c>
      <c r="AG31" s="149">
        <f>AG21</f>
        <v>4590</v>
      </c>
      <c r="AH31" s="207">
        <f>AG31/AG$27</f>
        <v>0.82518678615275443</v>
      </c>
      <c r="AI31" s="149">
        <f>AI21</f>
        <v>4626</v>
      </c>
      <c r="AJ31" s="207">
        <f>AI31/AI$27</f>
        <v>0.82134488211233003</v>
      </c>
      <c r="AK31" s="149">
        <f>AK21</f>
        <v>5112</v>
      </c>
      <c r="AL31" s="207">
        <f>AK31/AK$27</f>
        <v>0.82639230614537129</v>
      </c>
      <c r="AM31" s="149">
        <f>AM21</f>
        <v>5148</v>
      </c>
      <c r="AN31" s="207">
        <f>AM31/AM$27</f>
        <v>0.8364983671382884</v>
      </c>
    </row>
    <row r="32" spans="1:40" ht="18" customHeight="1" x14ac:dyDescent="0.2">
      <c r="A32" s="154"/>
      <c r="B32" s="1563"/>
      <c r="C32" s="1565" t="s">
        <v>5</v>
      </c>
      <c r="D32" s="1565"/>
      <c r="E32" s="149">
        <f>E25</f>
        <v>24.599999999999994</v>
      </c>
      <c r="F32" s="207">
        <f>E32/E$27</f>
        <v>2.0192261520977989E-2</v>
      </c>
      <c r="G32" s="149">
        <f>G25</f>
        <v>30</v>
      </c>
      <c r="H32" s="207">
        <f>G32/G$27</f>
        <v>2.4759788782495153E-2</v>
      </c>
      <c r="I32" s="149">
        <f>I25</f>
        <v>36</v>
      </c>
      <c r="J32" s="207">
        <f>I32/I$27</f>
        <v>2.3371463443135933E-2</v>
      </c>
      <c r="K32" s="149">
        <f>K25</f>
        <v>39</v>
      </c>
      <c r="L32" s="207">
        <f>K32/K$27</f>
        <v>2.1251217177086393E-2</v>
      </c>
      <c r="M32" s="149">
        <f>M25</f>
        <v>42</v>
      </c>
      <c r="N32" s="207">
        <f>M32/M$27</f>
        <v>1.9717958083376917E-2</v>
      </c>
      <c r="O32" s="149">
        <f>O25</f>
        <v>45</v>
      </c>
      <c r="P32" s="207">
        <f>O32/O$27</f>
        <v>1.8557565775229941E-2</v>
      </c>
      <c r="Q32" s="149">
        <f>Q25</f>
        <v>48</v>
      </c>
      <c r="R32" s="207">
        <f>Q32/Q$27</f>
        <v>1.7648771792556337E-2</v>
      </c>
      <c r="S32" s="149">
        <f>S25</f>
        <v>51</v>
      </c>
      <c r="T32" s="207">
        <f>S32/S$27</f>
        <v>1.6917751531305304E-2</v>
      </c>
      <c r="U32" s="149">
        <f>U25</f>
        <v>53.999999999999993</v>
      </c>
      <c r="V32" s="207">
        <f>U32/U$27</f>
        <v>1.6316989551687686E-2</v>
      </c>
      <c r="W32" s="149">
        <f>W25</f>
        <v>60</v>
      </c>
      <c r="X32" s="207">
        <f>W32/W$27</f>
        <v>1.553143925705878E-2</v>
      </c>
      <c r="Y32" s="149">
        <f>Y25</f>
        <v>66</v>
      </c>
      <c r="Z32" s="207">
        <f>Y32/Y$27</f>
        <v>1.6637970369287314E-2</v>
      </c>
      <c r="AA32" s="149">
        <f>AA25</f>
        <v>69</v>
      </c>
      <c r="AB32" s="207">
        <f>AA32/AA$27</f>
        <v>1.5378858171043664E-2</v>
      </c>
      <c r="AC32" s="149">
        <f>AC25</f>
        <v>66</v>
      </c>
      <c r="AD32" s="207">
        <f>AC32/AC$27</f>
        <v>1.4703163185061586E-2</v>
      </c>
      <c r="AE32" s="149">
        <f>AE25</f>
        <v>72</v>
      </c>
      <c r="AF32" s="207">
        <f>AE32/AE$27</f>
        <v>1.4278552345172897E-2</v>
      </c>
      <c r="AG32" s="149">
        <f>AG25</f>
        <v>75</v>
      </c>
      <c r="AH32" s="207">
        <f>AG32/AG$27</f>
        <v>1.3483444218182261E-2</v>
      </c>
      <c r="AI32" s="149">
        <f>AI25</f>
        <v>78</v>
      </c>
      <c r="AJ32" s="207">
        <f>AI32/AI$27</f>
        <v>1.3848876092685203E-2</v>
      </c>
      <c r="AK32" s="149">
        <f>AK25</f>
        <v>84</v>
      </c>
      <c r="AL32" s="207">
        <f>AK32/AK$27</f>
        <v>1.3579216298163379E-2</v>
      </c>
      <c r="AM32" s="149">
        <f>AM25</f>
        <v>78</v>
      </c>
      <c r="AN32" s="207">
        <f>AM32/AM$27</f>
        <v>1.267421768391346E-2</v>
      </c>
    </row>
    <row r="33" spans="1:40" x14ac:dyDescent="0.2">
      <c r="A33" s="154"/>
      <c r="B33" s="172"/>
      <c r="C33" s="154"/>
      <c r="D33" s="227"/>
      <c r="E33" s="154"/>
      <c r="F33" s="154"/>
      <c r="G33" s="154"/>
      <c r="H33" s="154"/>
      <c r="I33" s="154"/>
      <c r="J33" s="154"/>
      <c r="K33" s="154"/>
      <c r="L33" s="154"/>
      <c r="M33" s="154"/>
      <c r="N33" s="154"/>
      <c r="O33" s="154"/>
      <c r="P33" s="154"/>
      <c r="Q33" s="228"/>
      <c r="R33" s="229"/>
      <c r="S33" s="154"/>
      <c r="T33" s="230"/>
      <c r="U33" s="154"/>
      <c r="V33" s="154"/>
      <c r="W33" s="154"/>
      <c r="X33" s="154"/>
      <c r="Y33" s="154"/>
      <c r="Z33" s="154"/>
      <c r="AA33" s="154"/>
      <c r="AB33" s="154"/>
      <c r="AC33" s="154"/>
      <c r="AD33" s="154"/>
      <c r="AE33" s="154"/>
      <c r="AF33" s="154"/>
      <c r="AG33" s="154"/>
      <c r="AH33" s="154"/>
      <c r="AI33" s="154"/>
      <c r="AJ33" s="154"/>
      <c r="AK33" s="154"/>
      <c r="AL33" s="154"/>
      <c r="AM33" s="154"/>
      <c r="AN33" s="154"/>
    </row>
    <row r="34" spans="1:40" x14ac:dyDescent="0.2">
      <c r="A34" s="154"/>
      <c r="B34" s="172"/>
      <c r="C34" s="154"/>
      <c r="D34" s="227"/>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4"/>
      <c r="AC34" s="154"/>
      <c r="AD34" s="154"/>
      <c r="AE34" s="154"/>
      <c r="AF34" s="154"/>
      <c r="AG34" s="154"/>
      <c r="AH34" s="154"/>
      <c r="AI34" s="154"/>
      <c r="AJ34" s="154"/>
      <c r="AK34" s="154"/>
      <c r="AL34" s="154"/>
      <c r="AM34" s="154"/>
      <c r="AN34" s="154"/>
    </row>
    <row r="35" spans="1:40" ht="15" customHeight="1" x14ac:dyDescent="0.2">
      <c r="A35" s="154"/>
      <c r="B35" s="172"/>
      <c r="C35" s="154"/>
      <c r="D35" s="227"/>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154"/>
      <c r="AE35" s="154"/>
      <c r="AF35" s="154"/>
      <c r="AG35" s="154"/>
      <c r="AH35" s="154"/>
      <c r="AI35" s="154"/>
      <c r="AJ35" s="154"/>
      <c r="AK35" s="154"/>
      <c r="AL35" s="154"/>
      <c r="AM35" s="154"/>
    </row>
    <row r="36" spans="1:40" ht="36" x14ac:dyDescent="0.2">
      <c r="A36" s="154"/>
      <c r="B36" s="1375" t="s">
        <v>1462</v>
      </c>
      <c r="C36" s="1568" t="s">
        <v>1463</v>
      </c>
      <c r="D36" s="1569"/>
      <c r="E36" s="149">
        <f>(VLOOKUP("Prix HT",$C$1:$N$27,E$1,0))-(VLOOKUP("Non margé",$D$1:$N$27,E$1,0))</f>
        <v>923.14350000000013</v>
      </c>
      <c r="F36" s="207">
        <f>E36/VLOOKUP("Prix HT",$C$1:$N$27,E$1,0)</f>
        <v>0.75773800704841265</v>
      </c>
      <c r="G36" s="149">
        <f>(VLOOKUP("Prix HT",$C$1:$N$27,G$1,0))-(VLOOKUP("Non margé",$D$1:$N$27,G$1,0))</f>
        <v>877.30200000000025</v>
      </c>
      <c r="H36" s="207">
        <f>G36/VLOOKUP("Prix HT",$C$1:$N$27,G$1,0)</f>
        <v>0.72406040728201904</v>
      </c>
      <c r="I36" s="149">
        <f>(VLOOKUP("Prix HT",$C$1:$N$27,I$1,0))-(VLOOKUP("Non margé",$D$1:$N$27,I$1,0))</f>
        <v>1158.54</v>
      </c>
      <c r="J36" s="207">
        <f>I36/VLOOKUP("Prix HT",$C$1:$N$27,I$1,0)</f>
        <v>0.75213264603918617</v>
      </c>
      <c r="K36" s="149">
        <f>(VLOOKUP("Prix HT",$C$1:$N$27,K$1,0))-(VLOOKUP("Non margé",$D$1:$N$27,K$1,0))</f>
        <v>1429.6589999999999</v>
      </c>
      <c r="L36" s="207">
        <f>K36/VLOOKUP("Prix HT",$C$1:$N$27,K$1,0)</f>
        <v>0.77902548456861931</v>
      </c>
      <c r="M36" s="149">
        <f>(VLOOKUP("Prix HT",$C$1:$N$27,M$1,0))-(VLOOKUP("Non margé",$D$1:$N$27,M$1,0))</f>
        <v>1700.778</v>
      </c>
      <c r="N36" s="207">
        <f>M36/VLOOKUP("Prix HT",$C$1:$N$27,M$1,0)</f>
        <v>0.79847307888403873</v>
      </c>
      <c r="O36" s="149">
        <f>(VLOOKUP("Prix HT",$C$1:$AM$27,O$1,0))-(VLOOKUP("Non margé",$D$1:$AM$27,O$1,0))</f>
        <v>1971.8969999999997</v>
      </c>
      <c r="P36" s="207">
        <f>O36/VLOOKUP("Prix HT",$C$1:$AM$27,O$1,0)</f>
        <v>0.81319129509952415</v>
      </c>
      <c r="Q36" s="149">
        <f>(VLOOKUP("Prix HT",$C$1:$AM$27,Q$1,0))-(VLOOKUP("Non margé",$D$1:$AM$27,Q$1,0))</f>
        <v>2243.0160000000001</v>
      </c>
      <c r="R36" s="207">
        <f>Q36/VLOOKUP("Prix HT",$C$1:$AM$27,Q$1,0)</f>
        <v>0.82471828148026138</v>
      </c>
      <c r="S36" s="149">
        <f>(VLOOKUP("Prix HT",$C$1:$AM$27,S$1,0))-(VLOOKUP("Non margé",$D$1:$AM$27,S$1,0))</f>
        <v>2514.1350000000002</v>
      </c>
      <c r="T36" s="207">
        <f>S36/VLOOKUP("Prix HT",$C$1:$AM$27,S$1,0)</f>
        <v>0.83399041659133855</v>
      </c>
      <c r="U36" s="149">
        <f>(VLOOKUP("Prix HT",$C$1:$AM$27,U$1,0))-(VLOOKUP("Non margé",$D$1:$AM$27,U$1,0))</f>
        <v>2785.2539999999999</v>
      </c>
      <c r="V36" s="207">
        <f>U36/VLOOKUP("Prix HT",$C$1:$AM$27,U$1,0)</f>
        <v>0.84161037808882111</v>
      </c>
      <c r="W36" s="149">
        <f>(VLOOKUP("Prix HT",$C$1:$AM$27,W$1,0))-(VLOOKUP("Non margé",$D$1:$AM$27,W$1,0))</f>
        <v>3291.4920000000002</v>
      </c>
      <c r="X36" s="207">
        <f>W36/VLOOKUP("Prix HT",$C$1:$AM$27,W$1,0)</f>
        <v>0.85202680105158202</v>
      </c>
      <c r="Y36" s="149">
        <f>(VLOOKUP("Prix HT",$C$1:$AM$27,Y$1,0))-(VLOOKUP("Non margé",$D$1:$AM$27,Y$1,0))</f>
        <v>3347.73</v>
      </c>
      <c r="Z36" s="207">
        <f>Y36/VLOOKUP("Prix HT",$C$1:$AM$27,Y$1,0)</f>
        <v>0.84393079612688215</v>
      </c>
      <c r="AA36" s="149">
        <f>(VLOOKUP("Prix HT",$C$1:$AM$27,AA$1,0))-(VLOOKUP("Non margé",$D$1:$AM$27,AA$1,0))</f>
        <v>3843.8489999999993</v>
      </c>
      <c r="AB36" s="207">
        <f>AA36/VLOOKUP("Prix HT",$C$1:$AM$27,AA$1,0)</f>
        <v>0.85672476234649275</v>
      </c>
      <c r="AC36" s="149">
        <f>(VLOOKUP("Prix HT",$C$1:$AM$27,AC$1,0))-(VLOOKUP("Non margé",$D$1:$AM$27,AC$1,0))</f>
        <v>3869.73</v>
      </c>
      <c r="AD36" s="207">
        <f>AC36/VLOOKUP("Prix HT",$C$1:$AM$27,AC$1,0)</f>
        <v>0.86207987382012685</v>
      </c>
      <c r="AE36" s="149">
        <f>(VLOOKUP("Prix HT",$C$1:$AM$27,AE$1,0))-(VLOOKUP("Non margé",$D$1:$AM$27,AE$1,0))</f>
        <v>4375.9680000000008</v>
      </c>
      <c r="AF36" s="207">
        <f>AE36/VLOOKUP("Prix HT",$C$1:$AM$27,AE$1,0)</f>
        <v>0.86781233540002167</v>
      </c>
      <c r="AG36" s="149">
        <f>(VLOOKUP("Prix HT",$C$1:$AM$27,AG$1,0))-(VLOOKUP("Non margé",$D$1:$AM$27,AG$1,0))</f>
        <v>4872.0870000000004</v>
      </c>
      <c r="AH36" s="207">
        <f>AG36/VLOOKUP("Prix HT",$C$1:$AM$27,AG$1,0)</f>
        <v>0.87590017720841284</v>
      </c>
      <c r="AI36" s="149">
        <f>(VLOOKUP("Prix HT",$C$1:$AM$27,AI$1,0))-(VLOOKUP("Non margé",$D$1:$AM$27,AI$1,0))</f>
        <v>4918.2060000000001</v>
      </c>
      <c r="AJ36" s="207">
        <f>AI36/VLOOKUP("Prix HT",$C$1:$AM$27,AI$1,0)</f>
        <v>0.87322596785001183</v>
      </c>
      <c r="AK36" s="149">
        <f>(VLOOKUP("Prix HT",$C$1:$AM$27,AK$1,0))-(VLOOKUP("Non margé",$D$1:$AM$27,AK$1,0))</f>
        <v>5424.4439999999995</v>
      </c>
      <c r="AL36" s="207">
        <f>AK36/VLOOKUP("Prix HT",$C$1:$AM$27,AK$1,0)</f>
        <v>0.87690117111041122</v>
      </c>
      <c r="AM36" s="149" t="e">
        <f>(VLOOKUP("Prix HT",$C$1:$AM$27,AM$1,0))-(VLOOKUP("Non margé",$D$1:$AM$27,AM$1,0))</f>
        <v>#REF!</v>
      </c>
      <c r="AN36" s="207" t="e">
        <f>AM36/VLOOKUP("Prix HT",$C$1:$AM$27,AM$1,0)</f>
        <v>#REF!</v>
      </c>
    </row>
    <row r="37" spans="1:40" x14ac:dyDescent="0.2">
      <c r="AN37" s="135"/>
    </row>
    <row r="38" spans="1:40" x14ac:dyDescent="0.2">
      <c r="AN38" s="135"/>
    </row>
    <row r="39" spans="1:40" x14ac:dyDescent="0.2">
      <c r="AN39" s="135"/>
    </row>
    <row r="40" spans="1:40" x14ac:dyDescent="0.2">
      <c r="AN40" s="135"/>
    </row>
  </sheetData>
  <mergeCells count="43">
    <mergeCell ref="C36:D36"/>
    <mergeCell ref="AE2:AF2"/>
    <mergeCell ref="B2:B3"/>
    <mergeCell ref="C2:C3"/>
    <mergeCell ref="E2:F2"/>
    <mergeCell ref="G2:H2"/>
    <mergeCell ref="I2:J2"/>
    <mergeCell ref="K2:L2"/>
    <mergeCell ref="M2:N2"/>
    <mergeCell ref="O2:P2"/>
    <mergeCell ref="Q2:R2"/>
    <mergeCell ref="S2:T2"/>
    <mergeCell ref="U2:V2"/>
    <mergeCell ref="C30:D30"/>
    <mergeCell ref="C31:D31"/>
    <mergeCell ref="A4:A11"/>
    <mergeCell ref="A13:A15"/>
    <mergeCell ref="A16:A21"/>
    <mergeCell ref="A22:A25"/>
    <mergeCell ref="B27:B32"/>
    <mergeCell ref="AK27:AL27"/>
    <mergeCell ref="Q27:R27"/>
    <mergeCell ref="S27:T27"/>
    <mergeCell ref="U27:V27"/>
    <mergeCell ref="W27:X27"/>
    <mergeCell ref="Y27:Z27"/>
    <mergeCell ref="AA27:AB27"/>
    <mergeCell ref="AM27:AN27"/>
    <mergeCell ref="AM2:AN2"/>
    <mergeCell ref="C32:D32"/>
    <mergeCell ref="AC27:AD27"/>
    <mergeCell ref="AE27:AF27"/>
    <mergeCell ref="AG27:AH27"/>
    <mergeCell ref="AI27:AJ27"/>
    <mergeCell ref="E27:F27"/>
    <mergeCell ref="G27:H27"/>
    <mergeCell ref="I27:J27"/>
    <mergeCell ref="K27:L27"/>
    <mergeCell ref="M27:N27"/>
    <mergeCell ref="O27:P27"/>
    <mergeCell ref="C27:D27"/>
    <mergeCell ref="C28:D28"/>
    <mergeCell ref="C29:D29"/>
  </mergeCells>
  <dataValidations count="9">
    <dataValidation type="list" allowBlank="1" showInputMessage="1" showErrorMessage="1" promptTitle="MINIPELLE" prompt="choisir catégorie" sqref="B22:B24" xr:uid="{00000000-0002-0000-1300-000000000000}">
      <formula1>CATEGORIE_MP</formula1>
    </dataValidation>
    <dataValidation type="list" allowBlank="1" showInputMessage="1" showErrorMessage="1" promptTitle="Catégorie MOC" prompt="choisir" sqref="B16:B20" xr:uid="{00000000-0002-0000-1300-000002000000}">
      <formula1>CATEGORIE_MOC</formula1>
    </dataValidation>
    <dataValidation type="list" allowBlank="1" showInputMessage="1" showErrorMessage="1" promptTitle="MO ATELIER" prompt="choisir catégorie" sqref="B13" xr:uid="{00000000-0002-0000-1300-000004000000}">
      <formula1>CATEGORIE_MOA</formula1>
    </dataValidation>
    <dataValidation type="list" allowBlank="1" showInputMessage="1" showErrorMessage="1" promptTitle="Main d'oeuvre ATELIER" prompt="choisir la prestation" sqref="C13" xr:uid="{00000000-0002-0000-1300-000005000000}">
      <formula1>INDIRECT(B13)</formula1>
    </dataValidation>
    <dataValidation type="list" allowBlank="1" showInputMessage="1" showErrorMessage="1" promptTitle="MATIERES" prompt="choisir catégorie" sqref="B4 B11" xr:uid="{00000000-0002-0000-1300-000006000000}">
      <formula1>MOA_ALIM</formula1>
    </dataValidation>
    <dataValidation type="list" allowBlank="1" showInputMessage="1" showErrorMessage="1" promptTitle="MATIERES" prompt="choisir catégorie" sqref="B5:B10" xr:uid="{61823685-9C18-4859-91F8-3724DC855995}">
      <formula1>MA_CATEGORIE</formula1>
    </dataValidation>
    <dataValidation type="list" allowBlank="1" showInputMessage="1" showErrorMessage="1" promptTitle="MATIERES" prompt="choisir le produit" sqref="C4:C11" xr:uid="{00000000-0002-0000-1300-000007000000}">
      <formula1>INDIRECT(B4)</formula1>
    </dataValidation>
    <dataValidation type="list" allowBlank="1" showInputMessage="1" promptTitle="Main d'oeuvre CHANTIER" prompt="choisir la prestation" sqref="C16:C20" xr:uid="{00000000-0002-0000-1300-000003000000}">
      <formula1>INDIRECT(B16)</formula1>
    </dataValidation>
    <dataValidation type="list" allowBlank="1" showInputMessage="1" promptTitle="MINIPELLE" prompt="choisir la prestation" sqref="C22:C24" xr:uid="{00000000-0002-0000-1300-000001000000}">
      <formula1>INDIRECT(B22)</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ErrorMessage="1" xr:uid="{00000000-0002-0000-1300-000008000000}">
          <x14:formula1>
            <xm:f>ATELIER!$B$2:$B$109</xm:f>
          </x14:formula1>
          <xm:sqref>C14</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published="0" codeName="Feuil21"/>
  <dimension ref="A1:AN40"/>
  <sheetViews>
    <sheetView zoomScaleNormal="100" workbookViewId="0">
      <pane xSplit="4" ySplit="3" topLeftCell="AK32" activePane="bottomRight" state="frozen"/>
      <selection pane="topRight" activeCell="E1" sqref="E1"/>
      <selection pane="bottomLeft" activeCell="A4" sqref="A4"/>
      <selection pane="bottomRight" activeCell="AK36" sqref="AK36:AL36"/>
    </sheetView>
  </sheetViews>
  <sheetFormatPr baseColWidth="10" defaultColWidth="11.125" defaultRowHeight="18" x14ac:dyDescent="0.2"/>
  <cols>
    <col min="1" max="1" width="18.125" style="210" customWidth="1"/>
    <col min="2" max="2" width="22.5" style="464"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807" width="11.5" customWidth="1"/>
  </cols>
  <sheetData>
    <row r="1" spans="1:40"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t="s">
        <v>467</v>
      </c>
    </row>
    <row r="2" spans="1:40" ht="35.1" customHeight="1" x14ac:dyDescent="0.2">
      <c r="A2" s="174"/>
      <c r="B2" s="1572" t="s">
        <v>1784</v>
      </c>
      <c r="C2" s="1574" t="s">
        <v>468</v>
      </c>
      <c r="D2" s="115" t="s">
        <v>203</v>
      </c>
      <c r="E2" s="1571">
        <v>2</v>
      </c>
      <c r="F2" s="1571"/>
      <c r="G2" s="1571">
        <v>3</v>
      </c>
      <c r="H2" s="1571"/>
      <c r="I2" s="1571">
        <v>4</v>
      </c>
      <c r="J2" s="1571"/>
      <c r="K2" s="1571">
        <v>5</v>
      </c>
      <c r="L2" s="1571"/>
      <c r="M2" s="1571">
        <v>6</v>
      </c>
      <c r="N2" s="1571"/>
      <c r="O2" s="1571">
        <v>7</v>
      </c>
      <c r="P2" s="1571"/>
      <c r="Q2" s="1571">
        <v>8</v>
      </c>
      <c r="R2" s="1571"/>
      <c r="S2" s="1571">
        <v>9</v>
      </c>
      <c r="T2" s="1571"/>
      <c r="U2" s="1571">
        <v>10</v>
      </c>
      <c r="V2" s="1571"/>
      <c r="W2" s="218">
        <v>12</v>
      </c>
      <c r="X2" s="463" t="s">
        <v>469</v>
      </c>
      <c r="Y2" s="463">
        <v>12</v>
      </c>
      <c r="Z2" s="465" t="s">
        <v>470</v>
      </c>
      <c r="AA2" s="218">
        <v>14</v>
      </c>
      <c r="AB2" s="463" t="s">
        <v>471</v>
      </c>
      <c r="AC2" s="218">
        <v>14</v>
      </c>
      <c r="AD2" s="463" t="s">
        <v>472</v>
      </c>
      <c r="AE2" s="1571">
        <v>16</v>
      </c>
      <c r="AF2" s="1571"/>
      <c r="AG2" s="218">
        <v>18</v>
      </c>
      <c r="AH2" s="463" t="s">
        <v>473</v>
      </c>
      <c r="AI2" s="218">
        <v>18</v>
      </c>
      <c r="AJ2" s="463" t="s">
        <v>474</v>
      </c>
      <c r="AK2" s="218">
        <v>20</v>
      </c>
      <c r="AL2" s="463" t="s">
        <v>475</v>
      </c>
      <c r="AM2" s="1619">
        <v>20</v>
      </c>
      <c r="AN2" s="1620"/>
    </row>
    <row r="3" spans="1:40" ht="35.1" customHeight="1" x14ac:dyDescent="0.2">
      <c r="A3" s="174"/>
      <c r="B3" s="1573"/>
      <c r="C3" s="1574"/>
      <c r="D3" s="176" t="s">
        <v>222</v>
      </c>
      <c r="E3" s="236" t="s">
        <v>444</v>
      </c>
      <c r="F3" s="466" t="s">
        <v>477</v>
      </c>
      <c r="G3" s="236" t="s">
        <v>444</v>
      </c>
      <c r="H3" s="466" t="s">
        <v>477</v>
      </c>
      <c r="I3" s="236" t="s">
        <v>444</v>
      </c>
      <c r="J3" s="466" t="s">
        <v>477</v>
      </c>
      <c r="K3" s="236" t="s">
        <v>444</v>
      </c>
      <c r="L3" s="466" t="s">
        <v>477</v>
      </c>
      <c r="M3" s="236" t="s">
        <v>444</v>
      </c>
      <c r="N3" s="466" t="s">
        <v>477</v>
      </c>
      <c r="O3" s="236" t="s">
        <v>444</v>
      </c>
      <c r="P3" s="466" t="s">
        <v>477</v>
      </c>
      <c r="Q3" s="220" t="s">
        <v>444</v>
      </c>
      <c r="R3" s="467" t="s">
        <v>477</v>
      </c>
      <c r="S3" s="236" t="s">
        <v>444</v>
      </c>
      <c r="T3" s="466" t="s">
        <v>477</v>
      </c>
      <c r="U3" s="236" t="s">
        <v>444</v>
      </c>
      <c r="V3" s="466" t="s">
        <v>477</v>
      </c>
      <c r="W3" s="236" t="s">
        <v>444</v>
      </c>
      <c r="X3" s="466" t="s">
        <v>477</v>
      </c>
      <c r="Y3" s="236" t="s">
        <v>444</v>
      </c>
      <c r="Z3" s="466" t="s">
        <v>477</v>
      </c>
      <c r="AA3" s="236" t="s">
        <v>444</v>
      </c>
      <c r="AB3" s="466" t="s">
        <v>477</v>
      </c>
      <c r="AC3" s="236" t="s">
        <v>444</v>
      </c>
      <c r="AD3" s="466" t="s">
        <v>477</v>
      </c>
      <c r="AE3" s="236" t="s">
        <v>444</v>
      </c>
      <c r="AF3" s="466" t="s">
        <v>477</v>
      </c>
      <c r="AG3" s="236" t="s">
        <v>444</v>
      </c>
      <c r="AH3" s="466" t="s">
        <v>477</v>
      </c>
      <c r="AI3" s="236" t="s">
        <v>444</v>
      </c>
      <c r="AJ3" s="466" t="s">
        <v>477</v>
      </c>
      <c r="AK3" s="236" t="s">
        <v>444</v>
      </c>
      <c r="AL3" s="466" t="s">
        <v>477</v>
      </c>
      <c r="AM3" s="236" t="s">
        <v>444</v>
      </c>
      <c r="AN3" s="1380" t="s">
        <v>477</v>
      </c>
    </row>
    <row r="4" spans="1:40" ht="15" customHeight="1" x14ac:dyDescent="0.2">
      <c r="A4" s="1631"/>
      <c r="B4" s="361" t="s">
        <v>239</v>
      </c>
      <c r="C4" s="362" t="s">
        <v>779</v>
      </c>
      <c r="D4" s="363" t="str">
        <f>IF($C4="","",VLOOKUP($C4,MATIERES!$A$2:$F$227,5,0))</f>
        <v>ml</v>
      </c>
      <c r="E4" s="364">
        <f>'Outils de calculs'!E26*1.1+'Outils de calculs'!E31</f>
        <v>10.62</v>
      </c>
      <c r="F4" s="365">
        <f>IF($C4="","",E4*VLOOKUP($C4,MATIERES!$A$2:$F$349,4,0))</f>
        <v>20.071799999999996</v>
      </c>
      <c r="G4" s="364">
        <f>'Outils de calculs'!G26*1.1+'Outils de calculs'!G31</f>
        <v>13</v>
      </c>
      <c r="H4" s="365">
        <f>IF($C4="","",G4*VLOOKUP($C4,MATIERES!$A$2:$F$349,4,0))</f>
        <v>24.57</v>
      </c>
      <c r="I4" s="364">
        <f>'Outils de calculs'!I26*1.1+'Outils de calculs'!I31</f>
        <v>15.200000000000001</v>
      </c>
      <c r="J4" s="365">
        <f>IF($C4="","",I4*VLOOKUP($C4,MATIERES!$A$2:$F$349,4,0))</f>
        <v>28.728000000000002</v>
      </c>
      <c r="K4" s="364">
        <f>'Outils de calculs'!K26*1.1+'Outils de calculs'!K31</f>
        <v>16.8</v>
      </c>
      <c r="L4" s="365">
        <f>IF($C4="","",K4*VLOOKUP($C4,MATIERES!$A$2:$F$349,4,0))</f>
        <v>31.751999999999999</v>
      </c>
      <c r="M4" s="364">
        <f>'Outils de calculs'!M26*1.1+'Outils de calculs'!M31</f>
        <v>18.400000000000002</v>
      </c>
      <c r="N4" s="365">
        <f>IF($C4="","",M4*VLOOKUP($C4,MATIERES!$A$2:$F$349,4,0))</f>
        <v>34.776000000000003</v>
      </c>
      <c r="O4" s="364">
        <f>'Outils de calculs'!O26*1.1+'Outils de calculs'!O31</f>
        <v>20</v>
      </c>
      <c r="P4" s="365">
        <f>IF($C4="","",O4*VLOOKUP($C4,MATIERES!$A$2:$F$349,4,0))</f>
        <v>37.799999999999997</v>
      </c>
      <c r="Q4" s="364">
        <f>'Outils de calculs'!Q26*1.1+'Outils de calculs'!Q31</f>
        <v>21.6</v>
      </c>
      <c r="R4" s="365">
        <f>IF($C4="","",Q4*VLOOKUP($C4,MATIERES!$A$2:$F$349,4,0))</f>
        <v>40.823999999999998</v>
      </c>
      <c r="S4" s="364">
        <f>'Outils de calculs'!S26*1.1+'Outils de calculs'!S31</f>
        <v>22.700000000000003</v>
      </c>
      <c r="T4" s="365">
        <f>IF($C4="","",S4*VLOOKUP($C4,MATIERES!$A$2:$F$349,4,0))</f>
        <v>42.903000000000006</v>
      </c>
      <c r="U4" s="364">
        <f>'Outils de calculs'!U26*1.1+'Outils de calculs'!U31</f>
        <v>23.8</v>
      </c>
      <c r="V4" s="365">
        <f>IF($C4="","",U4*VLOOKUP($C4,MATIERES!$A$2:$F$349,4,0))</f>
        <v>44.981999999999999</v>
      </c>
      <c r="W4" s="364">
        <f>'Outils de calculs'!W26*1.1+'Outils de calculs'!W31</f>
        <v>26</v>
      </c>
      <c r="X4" s="365">
        <f>IF($C4="","",W4*VLOOKUP($C4,MATIERES!$A$2:$F$349,4,0))</f>
        <v>49.14</v>
      </c>
      <c r="Y4" s="364">
        <f>'Outils de calculs'!Y26*1.1+'Outils de calculs'!Y31</f>
        <v>27.200000000000003</v>
      </c>
      <c r="Z4" s="365">
        <f>IF($C4="","",Y4*VLOOKUP($C4,MATIERES!$A$2:$F$349,4,0))</f>
        <v>51.408000000000001</v>
      </c>
      <c r="AA4" s="364">
        <f>'Outils de calculs'!AA26*1.1+'Outils de calculs'!AA31</f>
        <v>28.8</v>
      </c>
      <c r="AB4" s="365">
        <f>IF($C4="","",AA4*VLOOKUP($C4,MATIERES!$A$2:$F$349,4,0))</f>
        <v>54.431999999999995</v>
      </c>
      <c r="AC4" s="364">
        <f>'Outils de calculs'!AC26*1.1+'Outils de calculs'!AC31</f>
        <v>28.200000000000003</v>
      </c>
      <c r="AD4" s="365">
        <f>IF($C4="","",AC4*VLOOKUP($C4,MATIERES!$A$2:$F$349,4,0))</f>
        <v>53.298000000000002</v>
      </c>
      <c r="AE4" s="364">
        <f>'Outils de calculs'!AE26*1.1+'Outils de calculs'!AE31</f>
        <v>30.400000000000002</v>
      </c>
      <c r="AF4" s="365">
        <f>IF($C4="","",AE4*VLOOKUP($C4,MATIERES!$A$2:$F$349,4,0))</f>
        <v>57.456000000000003</v>
      </c>
      <c r="AG4" s="364">
        <f>'Outils de calculs'!AG26*1.1+'Outils de calculs'!AG31</f>
        <v>32</v>
      </c>
      <c r="AH4" s="365">
        <f>IF($C4="","",AG4*VLOOKUP($C4,MATIERES!$A$2:$F$349,4,0))</f>
        <v>60.48</v>
      </c>
      <c r="AI4" s="364">
        <f>'Outils de calculs'!AI26*1.1+'Outils de calculs'!AI31</f>
        <v>32.6</v>
      </c>
      <c r="AJ4" s="365">
        <f>IF($C4="","",AI4*VLOOKUP($C4,MATIERES!$A$2:$F$349,4,0))</f>
        <v>61.613999999999997</v>
      </c>
      <c r="AK4" s="364">
        <f>'Outils de calculs'!AK26*1.1+'Outils de calculs'!AK31</f>
        <v>34.800000000000004</v>
      </c>
      <c r="AL4" s="365">
        <f>IF($C4="","",AK4*VLOOKUP($C4,MATIERES!$A$2:$F$349,4,0))</f>
        <v>65.772000000000006</v>
      </c>
      <c r="AM4" s="364">
        <f>'Outils de calculs'!AM26*1.1+'Outils de calculs'!AM31</f>
        <v>33.6</v>
      </c>
      <c r="AN4" s="365">
        <f>IF($C4="","",AM4*VLOOKUP($C4,MATIERES!$A$2:$F$349,4,0))</f>
        <v>63.503999999999998</v>
      </c>
    </row>
    <row r="5" spans="1:40" ht="15" customHeight="1" x14ac:dyDescent="0.2">
      <c r="A5" s="1631"/>
      <c r="B5" s="361" t="s">
        <v>1069</v>
      </c>
      <c r="C5" s="362" t="s">
        <v>761</v>
      </c>
      <c r="D5" s="363" t="str">
        <f>IF($C5="","",VLOOKUP($C5,MATIERES!$A$2:$F$227,5,0))</f>
        <v>ml</v>
      </c>
      <c r="E5" s="364">
        <f>'Outils de calculs'!E26/2</f>
        <v>4.0999999999999996</v>
      </c>
      <c r="F5" s="365">
        <f>IF($C5="","",E5*VLOOKUP($C5,MATIERES!$A$2:$F$349,4,0))</f>
        <v>27.633999999999997</v>
      </c>
      <c r="G5" s="364">
        <f>'Outils de calculs'!G26/2</f>
        <v>5</v>
      </c>
      <c r="H5" s="365">
        <f>IF($C5="","",G5*VLOOKUP($C5,MATIERES!$A$2:$F$349,4,0))</f>
        <v>33.700000000000003</v>
      </c>
      <c r="I5" s="364">
        <f>'Outils de calculs'!I26/2</f>
        <v>6</v>
      </c>
      <c r="J5" s="365">
        <f>IF($C5="","",I5*VLOOKUP($C5,MATIERES!$A$2:$F$349,4,0))</f>
        <v>40.44</v>
      </c>
      <c r="K5" s="364">
        <f>'Outils de calculs'!K26/2</f>
        <v>6.5</v>
      </c>
      <c r="L5" s="365">
        <f>IF($C5="","",K5*VLOOKUP($C5,MATIERES!$A$2:$F$349,4,0))</f>
        <v>43.81</v>
      </c>
      <c r="M5" s="364">
        <f>'Outils de calculs'!M26/2</f>
        <v>7</v>
      </c>
      <c r="N5" s="365">
        <f>IF($C5="","",M5*VLOOKUP($C5,MATIERES!$A$2:$F$349,4,0))</f>
        <v>47.18</v>
      </c>
      <c r="O5" s="364">
        <f>'Outils de calculs'!O26/2</f>
        <v>7.5</v>
      </c>
      <c r="P5" s="365">
        <f>IF($C5="","",O5*VLOOKUP($C5,MATIERES!$A$2:$F$349,4,0))</f>
        <v>50.550000000000004</v>
      </c>
      <c r="Q5" s="364">
        <f>'Outils de calculs'!Q26/2</f>
        <v>8</v>
      </c>
      <c r="R5" s="365">
        <f>IF($C5="","",Q5*VLOOKUP($C5,MATIERES!$A$2:$F$349,4,0))</f>
        <v>53.92</v>
      </c>
      <c r="S5" s="364">
        <f>'Outils de calculs'!S26/2</f>
        <v>8.5</v>
      </c>
      <c r="T5" s="365">
        <f>IF($C5="","",S5*VLOOKUP($C5,MATIERES!$A$2:$F$349,4,0))</f>
        <v>57.29</v>
      </c>
      <c r="U5" s="364">
        <f>'Outils de calculs'!U26/2</f>
        <v>9</v>
      </c>
      <c r="V5" s="365">
        <f>IF($C5="","",U5*VLOOKUP($C5,MATIERES!$A$2:$F$349,4,0))</f>
        <v>60.660000000000004</v>
      </c>
      <c r="W5" s="364">
        <f>'Outils de calculs'!W26/2</f>
        <v>10</v>
      </c>
      <c r="X5" s="365">
        <f>IF($C5="","",W5*VLOOKUP($C5,MATIERES!$A$2:$F$349,4,0))</f>
        <v>67.400000000000006</v>
      </c>
      <c r="Y5" s="364">
        <f>'Outils de calculs'!Y26/2</f>
        <v>11</v>
      </c>
      <c r="Z5" s="365">
        <f>IF($C5="","",Y5*VLOOKUP($C5,MATIERES!$A$2:$F$349,4,0))</f>
        <v>74.14</v>
      </c>
      <c r="AA5" s="364">
        <f>'Outils de calculs'!AA26/2</f>
        <v>11.5</v>
      </c>
      <c r="AB5" s="365">
        <f>IF($C5="","",AA5*VLOOKUP($C5,MATIERES!$A$2:$F$349,4,0))</f>
        <v>77.510000000000005</v>
      </c>
      <c r="AC5" s="364">
        <f>'Outils de calculs'!AC26/2</f>
        <v>11</v>
      </c>
      <c r="AD5" s="365">
        <f>IF($C5="","",AC5*VLOOKUP($C5,MATIERES!$A$2:$F$349,4,0))</f>
        <v>74.14</v>
      </c>
      <c r="AE5" s="364">
        <f>'Outils de calculs'!AE26/2</f>
        <v>12</v>
      </c>
      <c r="AF5" s="365">
        <f>IF($C5="","",AE5*VLOOKUP($C5,MATIERES!$A$2:$F$349,4,0))</f>
        <v>80.88</v>
      </c>
      <c r="AG5" s="364">
        <f>'Outils de calculs'!AG26/2</f>
        <v>12.5</v>
      </c>
      <c r="AH5" s="365">
        <f>IF($C5="","",AG5*VLOOKUP($C5,MATIERES!$A$2:$F$349,4,0))</f>
        <v>84.25</v>
      </c>
      <c r="AI5" s="364">
        <f>'Outils de calculs'!AI26/2</f>
        <v>13</v>
      </c>
      <c r="AJ5" s="365">
        <f>IF($C5="","",AI5*VLOOKUP($C5,MATIERES!$A$2:$F$349,4,0))</f>
        <v>87.62</v>
      </c>
      <c r="AK5" s="364">
        <f>'Outils de calculs'!AK26/2</f>
        <v>14</v>
      </c>
      <c r="AL5" s="365">
        <f>IF($C5="","",AK5*VLOOKUP($C5,MATIERES!$A$2:$F$349,4,0))</f>
        <v>94.36</v>
      </c>
      <c r="AM5" s="364">
        <f>'Outils de calculs'!AM26/2</f>
        <v>13</v>
      </c>
      <c r="AN5" s="365">
        <f>IF($C5="","",AM5*VLOOKUP($C5,MATIERES!$A$2:$F$349,4,0))</f>
        <v>87.62</v>
      </c>
    </row>
    <row r="6" spans="1:40" ht="15" customHeight="1" x14ac:dyDescent="0.2">
      <c r="A6" s="1631"/>
      <c r="B6" s="361" t="s">
        <v>764</v>
      </c>
      <c r="C6" s="362" t="s">
        <v>768</v>
      </c>
      <c r="D6" s="363" t="str">
        <f>IF($C6="","",VLOOKUP($C6,MATIERES!$A$2:$F$413,5,0))</f>
        <v>pc</v>
      </c>
      <c r="E6" s="364">
        <v>12</v>
      </c>
      <c r="F6" s="365">
        <f>IF($C6="","",E6*VLOOKUP($C6,MATIERES!$A$2:$F$349,4,0))</f>
        <v>4.7380000000000004</v>
      </c>
      <c r="G6" s="364">
        <v>13</v>
      </c>
      <c r="H6" s="365">
        <f>IF($C6="","",G6*VLOOKUP($C6,MATIERES!$A$2:$F$349,4,0))</f>
        <v>5.132833333333334</v>
      </c>
      <c r="I6" s="364">
        <v>14</v>
      </c>
      <c r="J6" s="365">
        <f>IF($C6="","",I6*VLOOKUP($C6,MATIERES!$A$2:$F$349,4,0))</f>
        <v>5.5276666666666667</v>
      </c>
      <c r="K6" s="364">
        <v>15</v>
      </c>
      <c r="L6" s="365">
        <f>IF($C6="","",K6*VLOOKUP($C6,MATIERES!$A$2:$F$349,4,0))</f>
        <v>5.9225000000000003</v>
      </c>
      <c r="M6" s="364">
        <v>16</v>
      </c>
      <c r="N6" s="365">
        <f>IF($C6="","",M6*VLOOKUP($C6,MATIERES!$A$2:$F$349,4,0))</f>
        <v>6.3173333333333339</v>
      </c>
      <c r="O6" s="364">
        <v>17</v>
      </c>
      <c r="P6" s="365">
        <f>IF($C6="","",O6*VLOOKUP($C6,MATIERES!$A$2:$F$349,4,0))</f>
        <v>6.7121666666666675</v>
      </c>
      <c r="Q6" s="364">
        <v>18</v>
      </c>
      <c r="R6" s="365">
        <f>IF($C6="","",Q6*VLOOKUP($C6,MATIERES!$A$2:$F$349,4,0))</f>
        <v>7.1070000000000011</v>
      </c>
      <c r="S6" s="364">
        <v>19</v>
      </c>
      <c r="T6" s="365">
        <f>IF($C6="","",S6*VLOOKUP($C6,MATIERES!$A$2:$F$349,4,0))</f>
        <v>7.5018333333333338</v>
      </c>
      <c r="U6" s="364">
        <v>20</v>
      </c>
      <c r="V6" s="365">
        <f>IF($C6="","",U6*VLOOKUP($C6,MATIERES!$A$2:$F$349,4,0))</f>
        <v>7.8966666666666674</v>
      </c>
      <c r="W6" s="364">
        <v>21</v>
      </c>
      <c r="X6" s="365">
        <f>IF($C6="","",W6*VLOOKUP($C6,MATIERES!$A$2:$F$349,4,0))</f>
        <v>8.291500000000001</v>
      </c>
      <c r="Y6" s="364">
        <v>22</v>
      </c>
      <c r="Z6" s="365">
        <f>IF($C6="","",Y6*VLOOKUP($C6,MATIERES!$A$2:$F$349,4,0))</f>
        <v>8.6863333333333337</v>
      </c>
      <c r="AA6" s="364">
        <v>23</v>
      </c>
      <c r="AB6" s="365">
        <f>IF($C6="","",AA6*VLOOKUP($C6,MATIERES!$A$2:$F$349,4,0))</f>
        <v>9.0811666666666682</v>
      </c>
      <c r="AC6" s="364">
        <v>24</v>
      </c>
      <c r="AD6" s="365">
        <f>IF($C6="","",AC6*VLOOKUP($C6,MATIERES!$A$2:$F$349,4,0))</f>
        <v>9.4760000000000009</v>
      </c>
      <c r="AE6" s="364">
        <v>25</v>
      </c>
      <c r="AF6" s="365">
        <f>IF($C6="","",AE6*VLOOKUP($C6,MATIERES!$A$2:$F$349,4,0))</f>
        <v>9.8708333333333336</v>
      </c>
      <c r="AG6" s="364">
        <v>26</v>
      </c>
      <c r="AH6" s="365">
        <f>IF($C6="","",AG6*VLOOKUP($C6,MATIERES!$A$2:$F$349,4,0))</f>
        <v>10.265666666666668</v>
      </c>
      <c r="AI6" s="364">
        <v>27</v>
      </c>
      <c r="AJ6" s="365">
        <f>IF($C6="","",AI6*VLOOKUP($C6,MATIERES!$A$2:$F$349,4,0))</f>
        <v>10.660500000000001</v>
      </c>
      <c r="AK6" s="364">
        <v>28</v>
      </c>
      <c r="AL6" s="365">
        <f>IF($C6="","",AK6*VLOOKUP($C6,MATIERES!$A$2:$F$349,4,0))</f>
        <v>11.055333333333333</v>
      </c>
      <c r="AM6" s="364">
        <v>29</v>
      </c>
      <c r="AN6" s="365">
        <f>IF($C6="","",AM6*VLOOKUP($C6,MATIERES!$A$2:$F$349,4,0))</f>
        <v>11.450166666666668</v>
      </c>
    </row>
    <row r="7" spans="1:40" ht="15" customHeight="1" x14ac:dyDescent="0.2">
      <c r="A7" s="1631"/>
      <c r="B7" s="361" t="s">
        <v>764</v>
      </c>
      <c r="C7" s="362" t="s">
        <v>767</v>
      </c>
      <c r="D7" s="363" t="str">
        <f>IF($C7="","",VLOOKUP($C7,MATIERES!$A$2:$F$413,5,0))</f>
        <v>pc</v>
      </c>
      <c r="E7" s="364">
        <f>E5*3</f>
        <v>12.299999999999999</v>
      </c>
      <c r="F7" s="365">
        <f>IF($C7="","",E7*VLOOKUP($C7,MATIERES!$A$2:$F$349,4,0))</f>
        <v>2.3000999999999996</v>
      </c>
      <c r="G7" s="364">
        <f>G5*3</f>
        <v>15</v>
      </c>
      <c r="H7" s="365">
        <f>IF($C7="","",G7*VLOOKUP($C7,MATIERES!$A$2:$F$349,4,0))</f>
        <v>2.8050000000000002</v>
      </c>
      <c r="I7" s="364">
        <f>I5*3</f>
        <v>18</v>
      </c>
      <c r="J7" s="365">
        <f>IF($C7="","",I7*VLOOKUP($C7,MATIERES!$A$2:$F$349,4,0))</f>
        <v>3.3660000000000001</v>
      </c>
      <c r="K7" s="364">
        <f>K5*3</f>
        <v>19.5</v>
      </c>
      <c r="L7" s="365">
        <f>IF($C7="","",K7*VLOOKUP($C7,MATIERES!$A$2:$F$349,4,0))</f>
        <v>3.6465000000000001</v>
      </c>
      <c r="M7" s="364">
        <f>M5*3</f>
        <v>21</v>
      </c>
      <c r="N7" s="365">
        <f>IF($C7="","",M7*VLOOKUP($C7,MATIERES!$A$2:$F$349,4,0))</f>
        <v>3.927</v>
      </c>
      <c r="O7" s="364">
        <f>O5*3</f>
        <v>22.5</v>
      </c>
      <c r="P7" s="365">
        <f>IF($C7="","",O7*VLOOKUP($C7,MATIERES!$A$2:$F$349,4,0))</f>
        <v>4.2074999999999996</v>
      </c>
      <c r="Q7" s="364">
        <f>Q5*3</f>
        <v>24</v>
      </c>
      <c r="R7" s="365">
        <f>IF($C7="","",Q7*VLOOKUP($C7,MATIERES!$A$2:$F$349,4,0))</f>
        <v>4.4879999999999995</v>
      </c>
      <c r="S7" s="364">
        <f>S5*3</f>
        <v>25.5</v>
      </c>
      <c r="T7" s="365">
        <f>IF($C7="","",S7*VLOOKUP($C7,MATIERES!$A$2:$F$349,4,0))</f>
        <v>4.7685000000000004</v>
      </c>
      <c r="U7" s="364">
        <f>U5*3</f>
        <v>27</v>
      </c>
      <c r="V7" s="365">
        <f>IF($C7="","",U7*VLOOKUP($C7,MATIERES!$A$2:$F$349,4,0))</f>
        <v>5.0490000000000004</v>
      </c>
      <c r="W7" s="364">
        <f>W5*3</f>
        <v>30</v>
      </c>
      <c r="X7" s="365">
        <f>IF($C7="","",W7*VLOOKUP($C7,MATIERES!$A$2:$F$349,4,0))</f>
        <v>5.61</v>
      </c>
      <c r="Y7" s="364">
        <f>Y5*3</f>
        <v>33</v>
      </c>
      <c r="Z7" s="365">
        <f>IF($C7="","",Y7*VLOOKUP($C7,MATIERES!$A$2:$F$349,4,0))</f>
        <v>6.1710000000000003</v>
      </c>
      <c r="AA7" s="364">
        <f>AA5*3</f>
        <v>34.5</v>
      </c>
      <c r="AB7" s="365">
        <f>IF($C7="","",AA7*VLOOKUP($C7,MATIERES!$A$2:$F$349,4,0))</f>
        <v>6.4515000000000002</v>
      </c>
      <c r="AC7" s="364">
        <f>AC5*3</f>
        <v>33</v>
      </c>
      <c r="AD7" s="365">
        <f>IF($C7="","",AC7*VLOOKUP($C7,MATIERES!$A$2:$F$349,4,0))</f>
        <v>6.1710000000000003</v>
      </c>
      <c r="AE7" s="364">
        <f>AE5*3</f>
        <v>36</v>
      </c>
      <c r="AF7" s="365">
        <f>IF($C7="","",AE7*VLOOKUP($C7,MATIERES!$A$2:$F$349,4,0))</f>
        <v>6.7320000000000002</v>
      </c>
      <c r="AG7" s="364">
        <f>AG5*3</f>
        <v>37.5</v>
      </c>
      <c r="AH7" s="365">
        <f>IF($C7="","",AG7*VLOOKUP($C7,MATIERES!$A$2:$F$349,4,0))</f>
        <v>7.0125000000000002</v>
      </c>
      <c r="AI7" s="364">
        <f>AI5*3</f>
        <v>39</v>
      </c>
      <c r="AJ7" s="365">
        <f>IF($C7="","",AI7*VLOOKUP($C7,MATIERES!$A$2:$F$349,4,0))</f>
        <v>7.2930000000000001</v>
      </c>
      <c r="AK7" s="364">
        <f>AK5*3</f>
        <v>42</v>
      </c>
      <c r="AL7" s="365">
        <f>IF($C7="","",AK7*VLOOKUP($C7,MATIERES!$A$2:$F$349,4,0))</f>
        <v>7.8540000000000001</v>
      </c>
      <c r="AM7" s="364">
        <f>AM5*3</f>
        <v>39</v>
      </c>
      <c r="AN7" s="365">
        <f>IF($C7="","",AM7*VLOOKUP($C7,MATIERES!$A$2:$F$349,4,0))</f>
        <v>7.2930000000000001</v>
      </c>
    </row>
    <row r="8" spans="1:40" ht="15" customHeight="1" x14ac:dyDescent="0.2">
      <c r="A8" s="1631"/>
      <c r="B8" s="361"/>
      <c r="C8" s="362"/>
      <c r="D8" s="363" t="str">
        <f>IF($C8="","",VLOOKUP($C8,MATIERES!$A$2:$F$413,5,0))</f>
        <v/>
      </c>
      <c r="E8" s="364"/>
      <c r="F8" s="365" t="str">
        <f>IF($C8="","",E8*VLOOKUP($C8,MATIERES!$A$2:$F$349,4,0))</f>
        <v/>
      </c>
      <c r="G8" s="364"/>
      <c r="H8" s="365" t="str">
        <f>IF($C8="","",G8*VLOOKUP($C8,MATIERES!$A$2:$F$349,4,0))</f>
        <v/>
      </c>
      <c r="I8" s="364"/>
      <c r="J8" s="365" t="str">
        <f>IF($C8="","",I8*VLOOKUP($C8,MATIERES!$A$2:$F$349,4,0))</f>
        <v/>
      </c>
      <c r="K8" s="364"/>
      <c r="L8" s="365" t="str">
        <f>IF($C8="","",K8*VLOOKUP($C8,MATIERES!$A$2:$F$349,4,0))</f>
        <v/>
      </c>
      <c r="M8" s="364"/>
      <c r="N8" s="365" t="str">
        <f>IF($C8="","",M8*VLOOKUP($C8,MATIERES!$A$2:$F$349,4,0))</f>
        <v/>
      </c>
      <c r="O8" s="364"/>
      <c r="P8" s="365" t="str">
        <f>IF($C8="","",O8*VLOOKUP($C8,MATIERES!$A$2:$F$349,4,0))</f>
        <v/>
      </c>
      <c r="Q8" s="364"/>
      <c r="R8" s="365" t="str">
        <f>IF($C8="","",Q8*VLOOKUP($C8,MATIERES!$A$2:$F$349,4,0))</f>
        <v/>
      </c>
      <c r="S8" s="364"/>
      <c r="T8" s="365" t="str">
        <f>IF($C8="","",S8*VLOOKUP($C8,MATIERES!$A$2:$F$349,4,0))</f>
        <v/>
      </c>
      <c r="U8" s="364"/>
      <c r="V8" s="365" t="str">
        <f>IF($C8="","",U8*VLOOKUP($C8,MATIERES!$A$2:$F$349,4,0))</f>
        <v/>
      </c>
      <c r="W8" s="364"/>
      <c r="X8" s="365" t="str">
        <f>IF($C8="","",W8*VLOOKUP($C8,MATIERES!$A$2:$F$349,4,0))</f>
        <v/>
      </c>
      <c r="Y8" s="364"/>
      <c r="Z8" s="365" t="str">
        <f>IF($C8="","",Y8*VLOOKUP($C8,MATIERES!$A$2:$F$349,4,0))</f>
        <v/>
      </c>
      <c r="AA8" s="364"/>
      <c r="AB8" s="365" t="str">
        <f>IF($C8="","",AA8*VLOOKUP($C8,MATIERES!$A$2:$F$349,4,0))</f>
        <v/>
      </c>
      <c r="AC8" s="364"/>
      <c r="AD8" s="365" t="str">
        <f>IF($C8="","",AC8*VLOOKUP($C8,MATIERES!$A$2:$F$349,4,0))</f>
        <v/>
      </c>
      <c r="AE8" s="364"/>
      <c r="AF8" s="365" t="str">
        <f>IF($C8="","",AE8*VLOOKUP($C8,MATIERES!$A$2:$F$349,4,0))</f>
        <v/>
      </c>
      <c r="AG8" s="364"/>
      <c r="AH8" s="365" t="str">
        <f>IF($C8="","",AG8*VLOOKUP($C8,MATIERES!$A$2:$F$349,4,0))</f>
        <v/>
      </c>
      <c r="AI8" s="364"/>
      <c r="AJ8" s="365" t="str">
        <f>IF($C8="","",AI8*VLOOKUP($C8,MATIERES!$A$2:$F$349,4,0))</f>
        <v/>
      </c>
      <c r="AK8" s="364"/>
      <c r="AL8" s="365" t="str">
        <f>IF($C8="","",AK8*VLOOKUP($C8,MATIERES!$A$2:$F$349,4,0))</f>
        <v/>
      </c>
      <c r="AM8" s="364"/>
      <c r="AN8" s="365" t="str">
        <f>IF($C8="","",AM8*VLOOKUP($C8,MATIERES!$A$2:$F$349,4,0))</f>
        <v/>
      </c>
    </row>
    <row r="9" spans="1:40" ht="30" customHeight="1" x14ac:dyDescent="0.2">
      <c r="A9" s="449"/>
      <c r="B9" s="367" t="s">
        <v>683</v>
      </c>
      <c r="C9" s="368" t="s">
        <v>446</v>
      </c>
      <c r="D9" s="369" t="s">
        <v>447</v>
      </c>
      <c r="E9" s="370">
        <f>F9*(1+Simulation!$P$11)</f>
        <v>71.167069999999995</v>
      </c>
      <c r="F9" s="371">
        <f>SUM(F4:F8)</f>
        <v>54.743899999999996</v>
      </c>
      <c r="G9" s="370">
        <f>H9*(1+Simulation!$P$11)</f>
        <v>86.070183333333347</v>
      </c>
      <c r="H9" s="371">
        <f>SUM(H4:H8)</f>
        <v>66.20783333333334</v>
      </c>
      <c r="I9" s="370">
        <f>J9*(1+Simulation!$P$11)</f>
        <v>101.48016666666668</v>
      </c>
      <c r="J9" s="371">
        <f>SUM(J4:J8)</f>
        <v>78.061666666666667</v>
      </c>
      <c r="K9" s="370">
        <f>L9*(1+Simulation!$P$11)</f>
        <v>110.6703</v>
      </c>
      <c r="L9" s="371">
        <f>SUM(L4:L8)</f>
        <v>85.131</v>
      </c>
      <c r="M9" s="370">
        <f>N9*(1+Simulation!$P$11)</f>
        <v>119.86043333333336</v>
      </c>
      <c r="N9" s="371">
        <f>SUM(N4:N8)</f>
        <v>92.200333333333347</v>
      </c>
      <c r="O9" s="370">
        <f>P9*(1+Simulation!$P$11)</f>
        <v>129.05056666666664</v>
      </c>
      <c r="P9" s="371">
        <f>SUM(P4:P8)</f>
        <v>99.269666666666652</v>
      </c>
      <c r="Q9" s="370">
        <f>R9*(1+Simulation!$P$11)</f>
        <v>138.2407</v>
      </c>
      <c r="R9" s="371">
        <f>SUM(R4:R8)</f>
        <v>106.339</v>
      </c>
      <c r="S9" s="370">
        <f>T9*(1+Simulation!$P$11)</f>
        <v>146.20233333333337</v>
      </c>
      <c r="T9" s="371">
        <f>SUM(T4:T8)</f>
        <v>112.46333333333335</v>
      </c>
      <c r="U9" s="370">
        <f>V9*(1+Simulation!$P$11)</f>
        <v>154.16396666666668</v>
      </c>
      <c r="V9" s="371">
        <f>SUM(V4:V8)</f>
        <v>118.58766666666666</v>
      </c>
      <c r="W9" s="370">
        <f>X9*(1+Simulation!$P$11)</f>
        <v>169.57395000000002</v>
      </c>
      <c r="X9" s="371">
        <f>SUM(X4:X8)</f>
        <v>130.44150000000002</v>
      </c>
      <c r="Y9" s="370">
        <f>Z9*(1+Simulation!$P$11)</f>
        <v>182.52693333333332</v>
      </c>
      <c r="Z9" s="371">
        <f>SUM(Z4:Z8)</f>
        <v>140.40533333333332</v>
      </c>
      <c r="AA9" s="370">
        <f>AB9*(1+Simulation!$P$11)</f>
        <v>191.71706666666668</v>
      </c>
      <c r="AB9" s="371">
        <f>SUM(AB4:AB8)</f>
        <v>147.47466666666668</v>
      </c>
      <c r="AC9" s="370">
        <f>AD9*(1+Simulation!$P$11)</f>
        <v>186.01050000000001</v>
      </c>
      <c r="AD9" s="371">
        <f>SUM(AD4:AD8)</f>
        <v>143.08500000000001</v>
      </c>
      <c r="AE9" s="370">
        <f>AF9*(1+Simulation!$P$11)</f>
        <v>201.42048333333335</v>
      </c>
      <c r="AF9" s="371">
        <f>SUM(AF4:AF8)</f>
        <v>154.93883333333335</v>
      </c>
      <c r="AG9" s="370">
        <f>AH9*(1+Simulation!$P$11)</f>
        <v>210.61061666666666</v>
      </c>
      <c r="AH9" s="371">
        <f>SUM(AH4:AH8)</f>
        <v>162.00816666666665</v>
      </c>
      <c r="AI9" s="370">
        <f>AJ9*(1+Simulation!$P$11)</f>
        <v>217.34375000000006</v>
      </c>
      <c r="AJ9" s="371">
        <f>SUM(AJ4:AJ8)</f>
        <v>167.18750000000003</v>
      </c>
      <c r="AK9" s="370">
        <f>AL9*(1+Simulation!$P$11)</f>
        <v>232.75373333333334</v>
      </c>
      <c r="AL9" s="371">
        <f>SUM(AL4:AL8)</f>
        <v>179.04133333333334</v>
      </c>
      <c r="AM9" s="370">
        <f>AN9*(1+Simulation!$P$11)</f>
        <v>220.82731666666666</v>
      </c>
      <c r="AN9" s="371">
        <f>SUM(AN4:AN8)</f>
        <v>169.86716666666666</v>
      </c>
    </row>
    <row r="10" spans="1:40" ht="15" customHeight="1" x14ac:dyDescent="0.2">
      <c r="A10" s="1624" t="s">
        <v>448</v>
      </c>
      <c r="B10" s="361" t="s">
        <v>1155</v>
      </c>
      <c r="C10" s="362" t="s">
        <v>425</v>
      </c>
      <c r="D10" s="363" t="str">
        <f>IF($C10="","",VLOOKUP($C10,ATELIER!$A$2:$E$109,3,0))</f>
        <v>pc</v>
      </c>
      <c r="E10" s="364">
        <v>5</v>
      </c>
      <c r="F10" s="372">
        <f>IF($C10="","",E10*VLOOKUP($C10,ATELIER!$A$2:$F$109,4,0))</f>
        <v>0.4</v>
      </c>
      <c r="G10" s="364">
        <v>5</v>
      </c>
      <c r="H10" s="372">
        <f>IF($C10="","",G10*VLOOKUP($C10,ATELIER!$A$2:$F$109,4,0))</f>
        <v>0.4</v>
      </c>
      <c r="I10" s="364">
        <v>5</v>
      </c>
      <c r="J10" s="372">
        <f>IF($C10="","",I10*VLOOKUP($C10,ATELIER!$A$2:$F$109,4,0))</f>
        <v>0.4</v>
      </c>
      <c r="K10" s="364">
        <v>5</v>
      </c>
      <c r="L10" s="372">
        <f>IF($C10="","",K10*VLOOKUP($C10,ATELIER!$A$2:$F$109,4,0))</f>
        <v>0.4</v>
      </c>
      <c r="M10" s="364">
        <v>5</v>
      </c>
      <c r="N10" s="372">
        <f>IF($C10="","",M10*VLOOKUP($C10,ATELIER!$A$2:$F$109,4,0))</f>
        <v>0.4</v>
      </c>
      <c r="O10" s="364">
        <v>5</v>
      </c>
      <c r="P10" s="372">
        <f>IF($C10="","",O10*VLOOKUP($C10,ATELIER!$A$2:$F$109,4,0))</f>
        <v>0.4</v>
      </c>
      <c r="Q10" s="364">
        <v>5</v>
      </c>
      <c r="R10" s="372">
        <f>IF($C10="","",Q10*VLOOKUP($C10,ATELIER!$A$2:$F$109,4,0))</f>
        <v>0.4</v>
      </c>
      <c r="S10" s="364">
        <v>5</v>
      </c>
      <c r="T10" s="372">
        <f>IF($C10="","",S10*VLOOKUP($C10,ATELIER!$A$2:$F$109,4,0))</f>
        <v>0.4</v>
      </c>
      <c r="U10" s="364">
        <v>5</v>
      </c>
      <c r="V10" s="372">
        <f>IF($C10="","",U10*VLOOKUP($C10,ATELIER!$A$2:$F$109,4,0))</f>
        <v>0.4</v>
      </c>
      <c r="W10" s="364">
        <v>5</v>
      </c>
      <c r="X10" s="372">
        <f>IF($C10="","",W10*VLOOKUP($C10,ATELIER!$A$2:$F$109,4,0))</f>
        <v>0.4</v>
      </c>
      <c r="Y10" s="364">
        <v>5</v>
      </c>
      <c r="Z10" s="372">
        <f>IF($C10="","",Y10*VLOOKUP($C10,ATELIER!$A$2:$F$109,4,0))</f>
        <v>0.4</v>
      </c>
      <c r="AA10" s="364">
        <v>5</v>
      </c>
      <c r="AB10" s="372">
        <f>IF($C10="","",AA10*VLOOKUP($C10,ATELIER!$A$2:$F$109,4,0))</f>
        <v>0.4</v>
      </c>
      <c r="AC10" s="364">
        <v>5</v>
      </c>
      <c r="AD10" s="372">
        <f>IF($C10="","",AC10*VLOOKUP($C10,ATELIER!$A$2:$F$109,4,0))</f>
        <v>0.4</v>
      </c>
      <c r="AE10" s="364">
        <v>5</v>
      </c>
      <c r="AF10" s="372">
        <f>IF($C10="","",AE10*VLOOKUP($C10,ATELIER!$A$2:$F$109,4,0))</f>
        <v>0.4</v>
      </c>
      <c r="AG10" s="364">
        <v>5</v>
      </c>
      <c r="AH10" s="372">
        <f>IF($C10="","",AG10*VLOOKUP($C10,ATELIER!$A$2:$F$109,4,0))</f>
        <v>0.4</v>
      </c>
      <c r="AI10" s="364">
        <v>5</v>
      </c>
      <c r="AJ10" s="372">
        <f>IF($C10="","",AI10*VLOOKUP($C10,ATELIER!$A$2:$F$109,4,0))</f>
        <v>0.4</v>
      </c>
      <c r="AK10" s="364">
        <v>5</v>
      </c>
      <c r="AL10" s="372">
        <f>IF($C10="","",AK10*VLOOKUP($C10,ATELIER!$A$2:$F$109,4,0))</f>
        <v>0.4</v>
      </c>
      <c r="AM10" s="364">
        <v>5</v>
      </c>
      <c r="AN10" s="372">
        <f>IF($C10="","",AM10*VLOOKUP($C10,ATELIER!$A$2:$F$109,4,0))</f>
        <v>0.4</v>
      </c>
    </row>
    <row r="11" spans="1:40" ht="15" customHeight="1" x14ac:dyDescent="0.2">
      <c r="A11" s="1625"/>
      <c r="B11" s="361" t="s">
        <v>1154</v>
      </c>
      <c r="C11" s="362" t="s">
        <v>428</v>
      </c>
      <c r="D11" s="363" t="str">
        <f>IF($C11="","",VLOOKUP($C11,ATELIER!$A$2:$E$109,3,0))</f>
        <v>pc</v>
      </c>
      <c r="E11" s="364">
        <v>2</v>
      </c>
      <c r="F11" s="372">
        <f>IF($C11="","",E11*VLOOKUP($C11,ATELIER!$A$2:$F$109,4,0))</f>
        <v>0.3</v>
      </c>
      <c r="G11" s="364">
        <v>2</v>
      </c>
      <c r="H11" s="372">
        <f>IF($C11="","",G11*VLOOKUP($C11,ATELIER!$A$2:$F$109,4,0))</f>
        <v>0.3</v>
      </c>
      <c r="I11" s="364">
        <v>2</v>
      </c>
      <c r="J11" s="372">
        <f>IF($C11="","",I11*VLOOKUP($C11,ATELIER!$A$2:$F$109,4,0))</f>
        <v>0.3</v>
      </c>
      <c r="K11" s="364">
        <v>2</v>
      </c>
      <c r="L11" s="372">
        <f>IF($C11="","",K11*VLOOKUP($C11,ATELIER!$A$2:$F$109,4,0))</f>
        <v>0.3</v>
      </c>
      <c r="M11" s="364">
        <v>2</v>
      </c>
      <c r="N11" s="372">
        <f>IF($C11="","",M11*VLOOKUP($C11,ATELIER!$A$2:$F$109,4,0))</f>
        <v>0.3</v>
      </c>
      <c r="O11" s="364">
        <v>2</v>
      </c>
      <c r="P11" s="372">
        <f>IF($C11="","",O11*VLOOKUP($C11,ATELIER!$A$2:$F$109,4,0))</f>
        <v>0.3</v>
      </c>
      <c r="Q11" s="364">
        <v>2</v>
      </c>
      <c r="R11" s="372">
        <f>IF($C11="","",Q11*VLOOKUP($C11,ATELIER!$A$2:$F$109,4,0))</f>
        <v>0.3</v>
      </c>
      <c r="S11" s="364">
        <v>2</v>
      </c>
      <c r="T11" s="372">
        <f>IF($C11="","",S11*VLOOKUP($C11,ATELIER!$A$2:$F$109,4,0))</f>
        <v>0.3</v>
      </c>
      <c r="U11" s="364">
        <v>2</v>
      </c>
      <c r="V11" s="372">
        <f>IF($C11="","",U11*VLOOKUP($C11,ATELIER!$A$2:$F$109,4,0))</f>
        <v>0.3</v>
      </c>
      <c r="W11" s="364">
        <v>2</v>
      </c>
      <c r="X11" s="372">
        <f>IF($C11="","",W11*VLOOKUP($C11,ATELIER!$A$2:$F$109,4,0))</f>
        <v>0.3</v>
      </c>
      <c r="Y11" s="364">
        <v>2</v>
      </c>
      <c r="Z11" s="372">
        <f>IF($C11="","",Y11*VLOOKUP($C11,ATELIER!$A$2:$F$109,4,0))</f>
        <v>0.3</v>
      </c>
      <c r="AA11" s="364">
        <v>2</v>
      </c>
      <c r="AB11" s="372">
        <f>IF($C11="","",AA11*VLOOKUP($C11,ATELIER!$A$2:$F$109,4,0))</f>
        <v>0.3</v>
      </c>
      <c r="AC11" s="364">
        <v>2</v>
      </c>
      <c r="AD11" s="372">
        <f>IF($C11="","",AC11*VLOOKUP($C11,ATELIER!$A$2:$F$109,4,0))</f>
        <v>0.3</v>
      </c>
      <c r="AE11" s="364">
        <v>2</v>
      </c>
      <c r="AF11" s="372">
        <f>IF($C11="","",AE11*VLOOKUP($C11,ATELIER!$A$2:$F$109,4,0))</f>
        <v>0.3</v>
      </c>
      <c r="AG11" s="364">
        <v>2</v>
      </c>
      <c r="AH11" s="372">
        <f>IF($C11="","",AG11*VLOOKUP($C11,ATELIER!$A$2:$F$109,4,0))</f>
        <v>0.3</v>
      </c>
      <c r="AI11" s="364">
        <v>2</v>
      </c>
      <c r="AJ11" s="372">
        <f>IF($C11="","",AI11*VLOOKUP($C11,ATELIER!$A$2:$F$109,4,0))</f>
        <v>0.3</v>
      </c>
      <c r="AK11" s="364">
        <v>2</v>
      </c>
      <c r="AL11" s="372">
        <f>IF($C11="","",AK11*VLOOKUP($C11,ATELIER!$A$2:$F$109,4,0))</f>
        <v>0.3</v>
      </c>
      <c r="AM11" s="364">
        <v>2</v>
      </c>
      <c r="AN11" s="372">
        <f>IF($C11="","",AM11*VLOOKUP($C11,ATELIER!$A$2:$F$109,4,0))</f>
        <v>0.3</v>
      </c>
    </row>
    <row r="12" spans="1:40" ht="15" customHeight="1" x14ac:dyDescent="0.2">
      <c r="A12" s="1624"/>
      <c r="B12" s="361" t="s">
        <v>1154</v>
      </c>
      <c r="C12" s="362" t="s">
        <v>431</v>
      </c>
      <c r="D12" s="363" t="str">
        <f>IF($C12="","",VLOOKUP($C12,ATELIER!$A$2:$E$109,3,0))</f>
        <v>pc</v>
      </c>
      <c r="E12" s="364">
        <f>E5*3</f>
        <v>12.299999999999999</v>
      </c>
      <c r="F12" s="372">
        <f>IF($C12="","",E12*VLOOKUP($C12,ATELIER!$A$2:$F$109,4,0))</f>
        <v>1.23</v>
      </c>
      <c r="G12" s="364">
        <f>G5*3</f>
        <v>15</v>
      </c>
      <c r="H12" s="372">
        <f>IF($C12="","",G12*VLOOKUP($C12,ATELIER!$A$2:$F$109,4,0))</f>
        <v>1.5</v>
      </c>
      <c r="I12" s="364">
        <f>I5*3</f>
        <v>18</v>
      </c>
      <c r="J12" s="372">
        <f>IF($C12="","",I12*VLOOKUP($C12,ATELIER!$A$2:$F$109,4,0))</f>
        <v>1.8</v>
      </c>
      <c r="K12" s="364">
        <f>K5*3</f>
        <v>19.5</v>
      </c>
      <c r="L12" s="372">
        <f>IF($C12="","",K12*VLOOKUP($C12,ATELIER!$A$2:$F$109,4,0))</f>
        <v>1.9500000000000002</v>
      </c>
      <c r="M12" s="364">
        <f>M5*3</f>
        <v>21</v>
      </c>
      <c r="N12" s="372">
        <f>IF($C12="","",M12*VLOOKUP($C12,ATELIER!$A$2:$F$109,4,0))</f>
        <v>2.1</v>
      </c>
      <c r="O12" s="364">
        <f>O5*3</f>
        <v>22.5</v>
      </c>
      <c r="P12" s="372">
        <f>IF($C12="","",O12*VLOOKUP($C12,ATELIER!$A$2:$F$109,4,0))</f>
        <v>2.25</v>
      </c>
      <c r="Q12" s="364">
        <f>Q5*3</f>
        <v>24</v>
      </c>
      <c r="R12" s="372">
        <f>IF($C12="","",Q12*VLOOKUP($C12,ATELIER!$A$2:$F$109,4,0))</f>
        <v>2.4000000000000004</v>
      </c>
      <c r="S12" s="364">
        <f>S5*3</f>
        <v>25.5</v>
      </c>
      <c r="T12" s="372">
        <f>IF($C12="","",S12*VLOOKUP($C12,ATELIER!$A$2:$F$109,4,0))</f>
        <v>2.5500000000000003</v>
      </c>
      <c r="U12" s="364">
        <f>U5*3</f>
        <v>27</v>
      </c>
      <c r="V12" s="372">
        <f>IF($C12="","",U12*VLOOKUP($C12,ATELIER!$A$2:$F$109,4,0))</f>
        <v>2.7</v>
      </c>
      <c r="W12" s="364">
        <f>W5*3</f>
        <v>30</v>
      </c>
      <c r="X12" s="372">
        <f>IF($C12="","",W12*VLOOKUP($C12,ATELIER!$A$2:$F$109,4,0))</f>
        <v>3</v>
      </c>
      <c r="Y12" s="364">
        <f>Y5*3</f>
        <v>33</v>
      </c>
      <c r="Z12" s="372">
        <f>IF($C12="","",Y12*VLOOKUP($C12,ATELIER!$A$2:$F$109,4,0))</f>
        <v>3.3000000000000003</v>
      </c>
      <c r="AA12" s="364">
        <f>AA5*3</f>
        <v>34.5</v>
      </c>
      <c r="AB12" s="372">
        <f>IF($C12="","",AA12*VLOOKUP($C12,ATELIER!$A$2:$F$109,4,0))</f>
        <v>3.45</v>
      </c>
      <c r="AC12" s="364">
        <f>AC5*3</f>
        <v>33</v>
      </c>
      <c r="AD12" s="372">
        <f>IF($C12="","",AC12*VLOOKUP($C12,ATELIER!$A$2:$F$109,4,0))</f>
        <v>3.3000000000000003</v>
      </c>
      <c r="AE12" s="364">
        <f>AE5*3</f>
        <v>36</v>
      </c>
      <c r="AF12" s="372">
        <f>IF($C12="","",AE12*VLOOKUP($C12,ATELIER!$A$2:$F$109,4,0))</f>
        <v>3.6</v>
      </c>
      <c r="AG12" s="364">
        <f>AG5*3</f>
        <v>37.5</v>
      </c>
      <c r="AH12" s="372">
        <f>IF($C12="","",AG12*VLOOKUP($C12,ATELIER!$A$2:$F$109,4,0))</f>
        <v>3.75</v>
      </c>
      <c r="AI12" s="364">
        <f>AI5*3</f>
        <v>39</v>
      </c>
      <c r="AJ12" s="372">
        <f>IF($C12="","",AI12*VLOOKUP($C12,ATELIER!$A$2:$F$109,4,0))</f>
        <v>3.9000000000000004</v>
      </c>
      <c r="AK12" s="364">
        <f>AK5*3</f>
        <v>42</v>
      </c>
      <c r="AL12" s="372">
        <f>IF($C12="","",AK12*VLOOKUP($C12,ATELIER!$A$2:$F$109,4,0))</f>
        <v>4.2</v>
      </c>
      <c r="AM12" s="364">
        <f>AM5*3</f>
        <v>39</v>
      </c>
      <c r="AN12" s="372">
        <f>IF($C12="","",AM12*VLOOKUP($C12,ATELIER!$A$2:$F$109,4,0))</f>
        <v>3.9000000000000004</v>
      </c>
    </row>
    <row r="13" spans="1:40" ht="15" customHeight="1" x14ac:dyDescent="0.2">
      <c r="A13" s="1624"/>
      <c r="B13" s="361"/>
      <c r="C13" s="362"/>
      <c r="D13" s="363" t="str">
        <f>IF($C13="","",VLOOKUP($C13,ATELIER!$A$2:$E$109,3,0))</f>
        <v/>
      </c>
      <c r="E13" s="364"/>
      <c r="F13" s="372" t="str">
        <f>IF($C13="","",E13*VLOOKUP($C13,ATELIER!$A$2:$F$109,4,0))</f>
        <v/>
      </c>
      <c r="G13" s="364"/>
      <c r="H13" s="372" t="str">
        <f>IF($C13="","",G13*VLOOKUP($C13,ATELIER!$A$2:$F$109,4,0))</f>
        <v/>
      </c>
      <c r="I13" s="364"/>
      <c r="J13" s="372" t="str">
        <f>IF($C13="","",I13*VLOOKUP($C13,ATELIER!$A$2:$F$109,4,0))</f>
        <v/>
      </c>
      <c r="K13" s="364"/>
      <c r="L13" s="372" t="str">
        <f>IF($C13="","",K13*VLOOKUP($C13,ATELIER!$A$2:$F$109,4,0))</f>
        <v/>
      </c>
      <c r="M13" s="364"/>
      <c r="N13" s="372" t="str">
        <f>IF($C13="","",M13*VLOOKUP($C13,ATELIER!$A$2:$F$109,4,0))</f>
        <v/>
      </c>
      <c r="O13" s="364"/>
      <c r="P13" s="372" t="str">
        <f>IF($C13="","",O13*VLOOKUP($C13,ATELIER!$A$2:$F$109,4,0))</f>
        <v/>
      </c>
      <c r="Q13" s="364"/>
      <c r="R13" s="372" t="str">
        <f>IF($C13="","",Q13*VLOOKUP($C13,ATELIER!$A$2:$F$109,4,0))</f>
        <v/>
      </c>
      <c r="S13" s="364"/>
      <c r="T13" s="372" t="str">
        <f>IF($C13="","",S13*VLOOKUP($C13,ATELIER!$A$2:$F$109,4,0))</f>
        <v/>
      </c>
      <c r="U13" s="364"/>
      <c r="V13" s="372" t="str">
        <f>IF($C13="","",U13*VLOOKUP($C13,ATELIER!$A$2:$F$109,4,0))</f>
        <v/>
      </c>
      <c r="W13" s="364"/>
      <c r="X13" s="372" t="str">
        <f>IF($C13="","",W13*VLOOKUP($C13,ATELIER!$A$2:$F$109,4,0))</f>
        <v/>
      </c>
      <c r="Y13" s="364"/>
      <c r="Z13" s="372" t="str">
        <f>IF($C13="","",Y13*VLOOKUP($C13,ATELIER!$A$2:$F$109,4,0))</f>
        <v/>
      </c>
      <c r="AA13" s="364"/>
      <c r="AB13" s="372" t="str">
        <f>IF($C13="","",AA13*VLOOKUP($C13,ATELIER!$A$2:$F$109,4,0))</f>
        <v/>
      </c>
      <c r="AC13" s="364"/>
      <c r="AD13" s="372" t="str">
        <f>IF($C13="","",AC13*VLOOKUP($C13,ATELIER!$A$2:$F$109,4,0))</f>
        <v/>
      </c>
      <c r="AE13" s="364"/>
      <c r="AF13" s="372" t="str">
        <f>IF($C13="","",AE13*VLOOKUP($C13,ATELIER!$A$2:$F$109,4,0))</f>
        <v/>
      </c>
      <c r="AG13" s="364"/>
      <c r="AH13" s="372" t="str">
        <f>IF($C13="","",AG13*VLOOKUP($C13,ATELIER!$A$2:$F$109,4,0))</f>
        <v/>
      </c>
      <c r="AI13" s="364"/>
      <c r="AJ13" s="372" t="str">
        <f>IF($C13="","",AI13*VLOOKUP($C13,ATELIER!$A$2:$F$109,4,0))</f>
        <v/>
      </c>
      <c r="AK13" s="364"/>
      <c r="AL13" s="372" t="str">
        <f>IF($C13="","",AK13*VLOOKUP($C13,ATELIER!$A$2:$F$109,4,0))</f>
        <v/>
      </c>
      <c r="AM13" s="364"/>
      <c r="AN13" s="372" t="str">
        <f>IF($C13="","",AM13*VLOOKUP($C13,ATELIER!$A$2:$F$109,4,0))</f>
        <v/>
      </c>
    </row>
    <row r="14" spans="1:40" ht="35.25" customHeight="1" x14ac:dyDescent="0.2">
      <c r="A14" s="1624"/>
      <c r="B14" s="375" t="s">
        <v>449</v>
      </c>
      <c r="C14" s="376" t="s">
        <v>450</v>
      </c>
      <c r="D14" s="377" t="s">
        <v>451</v>
      </c>
      <c r="E14" s="376">
        <f>F14*Simulation!$P$8</f>
        <v>86.85</v>
      </c>
      <c r="F14" s="377">
        <f>SUM(F10:F13)</f>
        <v>1.93</v>
      </c>
      <c r="G14" s="376">
        <f>H14*Simulation!$P$8</f>
        <v>99.000000000000014</v>
      </c>
      <c r="H14" s="377">
        <f>SUM(H10:H13)</f>
        <v>2.2000000000000002</v>
      </c>
      <c r="I14" s="376">
        <f>J14*Simulation!$P$8</f>
        <v>112.5</v>
      </c>
      <c r="J14" s="377">
        <f>SUM(J10:J13)</f>
        <v>2.5</v>
      </c>
      <c r="K14" s="376">
        <f>L14*Simulation!$P$8</f>
        <v>119.25000000000001</v>
      </c>
      <c r="L14" s="377">
        <f>SUM(L10:L13)</f>
        <v>2.6500000000000004</v>
      </c>
      <c r="M14" s="376">
        <f>N14*Simulation!$P$8</f>
        <v>125.99999999999999</v>
      </c>
      <c r="N14" s="377">
        <f>SUM(N10:N13)</f>
        <v>2.8</v>
      </c>
      <c r="O14" s="376">
        <f>P14*Simulation!$P$8</f>
        <v>132.75</v>
      </c>
      <c r="P14" s="377">
        <f>SUM(P10:P13)</f>
        <v>2.95</v>
      </c>
      <c r="Q14" s="376">
        <f>R14*Simulation!$P$8</f>
        <v>139.50000000000003</v>
      </c>
      <c r="R14" s="377">
        <f>SUM(R10:R13)</f>
        <v>3.1000000000000005</v>
      </c>
      <c r="S14" s="376">
        <f>T14*Simulation!$P$8</f>
        <v>146.25</v>
      </c>
      <c r="T14" s="377">
        <f>SUM(T10:T13)</f>
        <v>3.25</v>
      </c>
      <c r="U14" s="376">
        <f>V14*Simulation!$P$8</f>
        <v>153.00000000000003</v>
      </c>
      <c r="V14" s="377">
        <f>SUM(V10:V13)</f>
        <v>3.4000000000000004</v>
      </c>
      <c r="W14" s="376">
        <f>X14*Simulation!$P$8</f>
        <v>166.5</v>
      </c>
      <c r="X14" s="377">
        <f>SUM(X10:X13)</f>
        <v>3.7</v>
      </c>
      <c r="Y14" s="376">
        <f>Z14*Simulation!$P$8</f>
        <v>180</v>
      </c>
      <c r="Z14" s="377">
        <f>SUM(Z10:Z13)</f>
        <v>4</v>
      </c>
      <c r="AA14" s="376">
        <f>AB14*Simulation!$P$8</f>
        <v>186.75000000000003</v>
      </c>
      <c r="AB14" s="377">
        <f>SUM(AB10:AB13)</f>
        <v>4.1500000000000004</v>
      </c>
      <c r="AC14" s="376">
        <f>AD14*Simulation!$P$8</f>
        <v>180</v>
      </c>
      <c r="AD14" s="377">
        <f>SUM(AD10:AD13)</f>
        <v>4</v>
      </c>
      <c r="AE14" s="376">
        <f>AF14*Simulation!$P$8</f>
        <v>193.5</v>
      </c>
      <c r="AF14" s="377">
        <f>SUM(AF10:AF13)</f>
        <v>4.3</v>
      </c>
      <c r="AG14" s="376">
        <f>AH14*Simulation!$P$8</f>
        <v>200.25</v>
      </c>
      <c r="AH14" s="377">
        <f>SUM(AH10:AH13)</f>
        <v>4.45</v>
      </c>
      <c r="AI14" s="376">
        <f>AJ14*Simulation!$P$8</f>
        <v>207.00000000000003</v>
      </c>
      <c r="AJ14" s="377">
        <f>SUM(AJ10:AJ13)</f>
        <v>4.6000000000000005</v>
      </c>
      <c r="AK14" s="376">
        <f>AL14*Simulation!$P$8</f>
        <v>220.50000000000003</v>
      </c>
      <c r="AL14" s="377">
        <f>SUM(AL10:AL13)</f>
        <v>4.9000000000000004</v>
      </c>
      <c r="AM14" s="376">
        <f>AN14*Simulation!$P$8</f>
        <v>207.00000000000003</v>
      </c>
      <c r="AN14" s="377">
        <f>SUM(AN10:AN13)</f>
        <v>4.6000000000000005</v>
      </c>
    </row>
    <row r="15" spans="1:40" ht="15" customHeight="1" x14ac:dyDescent="0.2">
      <c r="A15" s="1626" t="s">
        <v>452</v>
      </c>
      <c r="B15" s="361" t="s">
        <v>1160</v>
      </c>
      <c r="C15" s="378" t="s">
        <v>1253</v>
      </c>
      <c r="D15" s="363" t="str">
        <f>IF(C15="","",VLOOKUP($C15,CHANTIER!$A$2:$C$83,3,0))</f>
        <v>ml</v>
      </c>
      <c r="E15" s="364">
        <f>E5*2</f>
        <v>8.1999999999999993</v>
      </c>
      <c r="F15" s="372">
        <f>IF($C15="","",E15*VLOOKUP($C15,CHANTIER!$A$2:$D$83,4,0))</f>
        <v>1.2299999999999998</v>
      </c>
      <c r="G15" s="364">
        <f>G5*2</f>
        <v>10</v>
      </c>
      <c r="H15" s="372">
        <f>IF($C15="","",G15*VLOOKUP($C15,CHANTIER!$A$2:$D$83,4,0))</f>
        <v>1.5</v>
      </c>
      <c r="I15" s="364">
        <f>I5*2</f>
        <v>12</v>
      </c>
      <c r="J15" s="372">
        <f>IF($C15="","",I15*VLOOKUP($C15,CHANTIER!$A$2:$D$83,4,0))</f>
        <v>1.7999999999999998</v>
      </c>
      <c r="K15" s="364">
        <f>K5*2</f>
        <v>13</v>
      </c>
      <c r="L15" s="372">
        <f>IF($C15="","",K15*VLOOKUP($C15,CHANTIER!$A$2:$D$83,4,0))</f>
        <v>1.95</v>
      </c>
      <c r="M15" s="364">
        <f>M5*2</f>
        <v>14</v>
      </c>
      <c r="N15" s="372">
        <f>IF($C15="","",M15*VLOOKUP($C15,CHANTIER!$A$2:$D$83,4,0))</f>
        <v>2.1</v>
      </c>
      <c r="O15" s="364">
        <f>O5*2</f>
        <v>15</v>
      </c>
      <c r="P15" s="372">
        <f>IF($C15="","",O15*VLOOKUP($C15,CHANTIER!$A$2:$D$83,4,0))</f>
        <v>2.25</v>
      </c>
      <c r="Q15" s="364">
        <f>Q5*2</f>
        <v>16</v>
      </c>
      <c r="R15" s="372">
        <f>IF($C15="","",Q15*VLOOKUP($C15,CHANTIER!$A$2:$D$83,4,0))</f>
        <v>2.4</v>
      </c>
      <c r="S15" s="364">
        <f>S5*2</f>
        <v>17</v>
      </c>
      <c r="T15" s="372">
        <f>IF($C15="","",S15*VLOOKUP($C15,CHANTIER!$A$2:$D$83,4,0))</f>
        <v>2.5499999999999998</v>
      </c>
      <c r="U15" s="364">
        <f>U5*2</f>
        <v>18</v>
      </c>
      <c r="V15" s="372">
        <f>IF($C15="","",U15*VLOOKUP($C15,CHANTIER!$A$2:$D$83,4,0))</f>
        <v>2.6999999999999997</v>
      </c>
      <c r="W15" s="364">
        <f>W5*2</f>
        <v>20</v>
      </c>
      <c r="X15" s="372">
        <f>IF($C15="","",W15*VLOOKUP($C15,CHANTIER!$A$2:$D$83,4,0))</f>
        <v>3</v>
      </c>
      <c r="Y15" s="364">
        <f>Y5*2</f>
        <v>22</v>
      </c>
      <c r="Z15" s="372">
        <f>IF($C15="","",Y15*VLOOKUP($C15,CHANTIER!$A$2:$D$83,4,0))</f>
        <v>3.3</v>
      </c>
      <c r="AA15" s="364">
        <f>AA5*2</f>
        <v>23</v>
      </c>
      <c r="AB15" s="372">
        <f>IF($C15="","",AA15*VLOOKUP($C15,CHANTIER!$A$2:$D$83,4,0))</f>
        <v>3.4499999999999997</v>
      </c>
      <c r="AC15" s="364">
        <f>AC5*2</f>
        <v>22</v>
      </c>
      <c r="AD15" s="372">
        <f>IF($C15="","",AC15*VLOOKUP($C15,CHANTIER!$A$2:$D$83,4,0))</f>
        <v>3.3</v>
      </c>
      <c r="AE15" s="364">
        <f>AE5*2</f>
        <v>24</v>
      </c>
      <c r="AF15" s="372">
        <f>IF($C15="","",AE15*VLOOKUP($C15,CHANTIER!$A$2:$D$83,4,0))</f>
        <v>3.5999999999999996</v>
      </c>
      <c r="AG15" s="364">
        <f>AG5*2</f>
        <v>25</v>
      </c>
      <c r="AH15" s="372">
        <f>IF($C15="","",AG15*VLOOKUP($C15,CHANTIER!$A$2:$D$83,4,0))</f>
        <v>3.75</v>
      </c>
      <c r="AI15" s="364">
        <f>AI5*2</f>
        <v>26</v>
      </c>
      <c r="AJ15" s="372">
        <f>IF($C15="","",AI15*VLOOKUP($C15,CHANTIER!$A$2:$D$83,4,0))</f>
        <v>3.9</v>
      </c>
      <c r="AK15" s="364">
        <f>AK5*2</f>
        <v>28</v>
      </c>
      <c r="AL15" s="372">
        <f>IF($C15="","",AK15*VLOOKUP($C15,CHANTIER!$A$2:$D$83,4,0))</f>
        <v>4.2</v>
      </c>
      <c r="AM15" s="364">
        <f>AM5*2</f>
        <v>26</v>
      </c>
      <c r="AN15" s="372">
        <f>IF($C15="","",AM15*VLOOKUP($C15,CHANTIER!$A$2:$D$83,4,0))</f>
        <v>3.9</v>
      </c>
    </row>
    <row r="16" spans="1:40" ht="15" customHeight="1" x14ac:dyDescent="0.2">
      <c r="A16" s="1626"/>
      <c r="B16" s="361" t="s">
        <v>1160</v>
      </c>
      <c r="C16" s="378" t="s">
        <v>1255</v>
      </c>
      <c r="D16" s="363" t="str">
        <f>IF(C16="","",VLOOKUP($C16,CHANTIER!$A$2:$C$83,3,0))</f>
        <v>ml</v>
      </c>
      <c r="E16" s="364">
        <f>1</f>
        <v>1</v>
      </c>
      <c r="F16" s="372">
        <f>IF($C16="","",E16*VLOOKUP($C16,CHANTIER!$A$2:$D$83,4,0))</f>
        <v>0.15</v>
      </c>
      <c r="G16" s="364">
        <f>1</f>
        <v>1</v>
      </c>
      <c r="H16" s="372">
        <f>IF($C16="","",G16*VLOOKUP($C16,CHANTIER!$A$2:$D$83,4,0))</f>
        <v>0.15</v>
      </c>
      <c r="I16" s="364">
        <f>1</f>
        <v>1</v>
      </c>
      <c r="J16" s="372">
        <f>IF($C16="","",I16*VLOOKUP($C16,CHANTIER!$A$2:$D$83,4,0))</f>
        <v>0.15</v>
      </c>
      <c r="K16" s="364">
        <f>1</f>
        <v>1</v>
      </c>
      <c r="L16" s="372">
        <f>IF($C16="","",K16*VLOOKUP($C16,CHANTIER!$A$2:$D$83,4,0))</f>
        <v>0.15</v>
      </c>
      <c r="M16" s="364">
        <f>1</f>
        <v>1</v>
      </c>
      <c r="N16" s="372">
        <f>IF($C16="","",M16*VLOOKUP($C16,CHANTIER!$A$2:$D$83,4,0))</f>
        <v>0.15</v>
      </c>
      <c r="O16" s="364">
        <f>1</f>
        <v>1</v>
      </c>
      <c r="P16" s="372">
        <f>IF($C16="","",O16*VLOOKUP($C16,CHANTIER!$A$2:$D$83,4,0))</f>
        <v>0.15</v>
      </c>
      <c r="Q16" s="364">
        <f>1</f>
        <v>1</v>
      </c>
      <c r="R16" s="372">
        <f>IF($C16="","",Q16*VLOOKUP($C16,CHANTIER!$A$2:$D$83,4,0))</f>
        <v>0.15</v>
      </c>
      <c r="S16" s="364">
        <f>1</f>
        <v>1</v>
      </c>
      <c r="T16" s="372">
        <f>IF($C16="","",S16*VLOOKUP($C16,CHANTIER!$A$2:$D$83,4,0))</f>
        <v>0.15</v>
      </c>
      <c r="U16" s="364">
        <f>1</f>
        <v>1</v>
      </c>
      <c r="V16" s="372">
        <f>IF($C16="","",U16*VLOOKUP($C16,CHANTIER!$A$2:$D$83,4,0))</f>
        <v>0.15</v>
      </c>
      <c r="W16" s="364">
        <f>1</f>
        <v>1</v>
      </c>
      <c r="X16" s="372">
        <f>IF($C16="","",W16*VLOOKUP($C16,CHANTIER!$A$2:$D$83,4,0))</f>
        <v>0.15</v>
      </c>
      <c r="Y16" s="364">
        <f>1</f>
        <v>1</v>
      </c>
      <c r="Z16" s="372">
        <f>IF($C16="","",Y16*VLOOKUP($C16,CHANTIER!$A$2:$D$83,4,0))</f>
        <v>0.15</v>
      </c>
      <c r="AA16" s="364">
        <f>1</f>
        <v>1</v>
      </c>
      <c r="AB16" s="372">
        <f>IF($C16="","",AA16*VLOOKUP($C16,CHANTIER!$A$2:$D$83,4,0))</f>
        <v>0.15</v>
      </c>
      <c r="AC16" s="364">
        <f>1</f>
        <v>1</v>
      </c>
      <c r="AD16" s="372">
        <f>IF($C16="","",AC16*VLOOKUP($C16,CHANTIER!$A$2:$D$83,4,0))</f>
        <v>0.15</v>
      </c>
      <c r="AE16" s="364">
        <f>1</f>
        <v>1</v>
      </c>
      <c r="AF16" s="372">
        <f>IF($C16="","",AE16*VLOOKUP($C16,CHANTIER!$A$2:$D$83,4,0))</f>
        <v>0.15</v>
      </c>
      <c r="AG16" s="364">
        <f>1</f>
        <v>1</v>
      </c>
      <c r="AH16" s="372">
        <f>IF($C16="","",AG16*VLOOKUP($C16,CHANTIER!$A$2:$D$83,4,0))</f>
        <v>0.15</v>
      </c>
      <c r="AI16" s="364">
        <f>1</f>
        <v>1</v>
      </c>
      <c r="AJ16" s="372">
        <f>IF($C16="","",AI16*VLOOKUP($C16,CHANTIER!$A$2:$D$83,4,0))</f>
        <v>0.15</v>
      </c>
      <c r="AK16" s="364">
        <f>1</f>
        <v>1</v>
      </c>
      <c r="AL16" s="372">
        <f>IF($C16="","",AK16*VLOOKUP($C16,CHANTIER!$A$2:$D$83,4,0))</f>
        <v>0.15</v>
      </c>
      <c r="AM16" s="364">
        <f>1</f>
        <v>1</v>
      </c>
      <c r="AN16" s="372">
        <f>IF($C16="","",AM16*VLOOKUP($C16,CHANTIER!$A$2:$D$83,4,0))</f>
        <v>0.15</v>
      </c>
    </row>
    <row r="17" spans="1:40" ht="15" customHeight="1" x14ac:dyDescent="0.2">
      <c r="A17" s="1626"/>
      <c r="B17" s="361" t="s">
        <v>1160</v>
      </c>
      <c r="C17" s="378" t="s">
        <v>409</v>
      </c>
      <c r="D17" s="363" t="str">
        <f>IF(C17="","",VLOOKUP($C17,CHANTIER!$A$2:$C$83,3,0))</f>
        <v>ml</v>
      </c>
      <c r="E17" s="364">
        <f>E5</f>
        <v>4.0999999999999996</v>
      </c>
      <c r="F17" s="372">
        <f>IF($C17="","",E17*VLOOKUP($C17,CHANTIER!$A$2:$D$83,4,0))</f>
        <v>0.82</v>
      </c>
      <c r="G17" s="364">
        <f>G5</f>
        <v>5</v>
      </c>
      <c r="H17" s="372">
        <f>IF($C17="","",G17*VLOOKUP($C17,CHANTIER!$A$2:$D$83,4,0))</f>
        <v>1</v>
      </c>
      <c r="I17" s="364">
        <f>I5</f>
        <v>6</v>
      </c>
      <c r="J17" s="372">
        <f>IF($C17="","",I17*VLOOKUP($C17,CHANTIER!$A$2:$D$83,4,0))</f>
        <v>1.2000000000000002</v>
      </c>
      <c r="K17" s="364">
        <f>K5</f>
        <v>6.5</v>
      </c>
      <c r="L17" s="372">
        <f>IF($C17="","",K17*VLOOKUP($C17,CHANTIER!$A$2:$D$83,4,0))</f>
        <v>1.3</v>
      </c>
      <c r="M17" s="364">
        <f>M5</f>
        <v>7</v>
      </c>
      <c r="N17" s="372">
        <f>IF($C17="","",M17*VLOOKUP($C17,CHANTIER!$A$2:$D$83,4,0))</f>
        <v>1.4000000000000001</v>
      </c>
      <c r="O17" s="364">
        <f>O5</f>
        <v>7.5</v>
      </c>
      <c r="P17" s="372">
        <f>IF($C17="","",O17*VLOOKUP($C17,CHANTIER!$A$2:$D$83,4,0))</f>
        <v>1.5</v>
      </c>
      <c r="Q17" s="364">
        <f>Q5</f>
        <v>8</v>
      </c>
      <c r="R17" s="372">
        <f>IF($C17="","",Q17*VLOOKUP($C17,CHANTIER!$A$2:$D$83,4,0))</f>
        <v>1.6</v>
      </c>
      <c r="S17" s="364">
        <f>S5</f>
        <v>8.5</v>
      </c>
      <c r="T17" s="372">
        <f>IF($C17="","",S17*VLOOKUP($C17,CHANTIER!$A$2:$D$83,4,0))</f>
        <v>1.7000000000000002</v>
      </c>
      <c r="U17" s="364">
        <f>U5</f>
        <v>9</v>
      </c>
      <c r="V17" s="372">
        <f>IF($C17="","",U17*VLOOKUP($C17,CHANTIER!$A$2:$D$83,4,0))</f>
        <v>1.8</v>
      </c>
      <c r="W17" s="364">
        <f>W5</f>
        <v>10</v>
      </c>
      <c r="X17" s="372">
        <f>IF($C17="","",W17*VLOOKUP($C17,CHANTIER!$A$2:$D$83,4,0))</f>
        <v>2</v>
      </c>
      <c r="Y17" s="364">
        <f>Y5</f>
        <v>11</v>
      </c>
      <c r="Z17" s="372">
        <f>IF($C17="","",Y17*VLOOKUP($C17,CHANTIER!$A$2:$D$83,4,0))</f>
        <v>2.2000000000000002</v>
      </c>
      <c r="AA17" s="364">
        <f>AA5</f>
        <v>11.5</v>
      </c>
      <c r="AB17" s="372">
        <f>IF($C17="","",AA17*VLOOKUP($C17,CHANTIER!$A$2:$D$83,4,0))</f>
        <v>2.3000000000000003</v>
      </c>
      <c r="AC17" s="364">
        <f>AC5</f>
        <v>11</v>
      </c>
      <c r="AD17" s="372">
        <f>IF($C17="","",AC17*VLOOKUP($C17,CHANTIER!$A$2:$D$83,4,0))</f>
        <v>2.2000000000000002</v>
      </c>
      <c r="AE17" s="364">
        <f>AE5</f>
        <v>12</v>
      </c>
      <c r="AF17" s="372">
        <f>IF($C17="","",AE17*VLOOKUP($C17,CHANTIER!$A$2:$D$83,4,0))</f>
        <v>2.4000000000000004</v>
      </c>
      <c r="AG17" s="364">
        <f>AG5</f>
        <v>12.5</v>
      </c>
      <c r="AH17" s="372">
        <f>IF($C17="","",AG17*VLOOKUP($C17,CHANTIER!$A$2:$D$83,4,0))</f>
        <v>2.5</v>
      </c>
      <c r="AI17" s="364">
        <f>AI5</f>
        <v>13</v>
      </c>
      <c r="AJ17" s="372">
        <f>IF($C17="","",AI17*VLOOKUP($C17,CHANTIER!$A$2:$D$83,4,0))</f>
        <v>2.6</v>
      </c>
      <c r="AK17" s="364">
        <f>AK5</f>
        <v>14</v>
      </c>
      <c r="AL17" s="372">
        <f>IF($C17="","",AK17*VLOOKUP($C17,CHANTIER!$A$2:$D$83,4,0))</f>
        <v>2.8000000000000003</v>
      </c>
      <c r="AM17" s="364">
        <f>AM5</f>
        <v>13</v>
      </c>
      <c r="AN17" s="372">
        <f>IF($C17="","",AM17*VLOOKUP($C17,CHANTIER!$A$2:$D$83,4,0))</f>
        <v>2.6</v>
      </c>
    </row>
    <row r="18" spans="1:40" ht="15" customHeight="1" x14ac:dyDescent="0.2">
      <c r="A18" s="1626"/>
      <c r="B18" s="361"/>
      <c r="C18" s="378"/>
      <c r="D18" s="363" t="str">
        <f>IF(C18="","",VLOOKUP($C18,CHANTIER!$A$2:$C$83,3,0))</f>
        <v/>
      </c>
      <c r="E18" s="364"/>
      <c r="F18" s="372" t="str">
        <f>IF($C18="","",E18*VLOOKUP($C18,CHANTIER!$A$2:$D$83,4,0))</f>
        <v/>
      </c>
      <c r="G18" s="364"/>
      <c r="H18" s="372" t="str">
        <f>IF($C18="","",G18*VLOOKUP($C18,CHANTIER!$A$2:$D$83,4,0))</f>
        <v/>
      </c>
      <c r="I18" s="364"/>
      <c r="J18" s="372" t="str">
        <f>IF($C18="","",I18*VLOOKUP($C18,CHANTIER!$A$2:$D$83,4,0))</f>
        <v/>
      </c>
      <c r="K18" s="364"/>
      <c r="L18" s="372" t="str">
        <f>IF($C18="","",K18*VLOOKUP($C18,CHANTIER!$A$2:$D$83,4,0))</f>
        <v/>
      </c>
      <c r="M18" s="364"/>
      <c r="N18" s="372" t="str">
        <f>IF($C18="","",M18*VLOOKUP($C18,CHANTIER!$A$2:$D$83,4,0))</f>
        <v/>
      </c>
      <c r="O18" s="364"/>
      <c r="P18" s="372" t="str">
        <f>IF($C18="","",O18*VLOOKUP($C18,CHANTIER!$A$2:$D$83,4,0))</f>
        <v/>
      </c>
      <c r="Q18" s="364"/>
      <c r="R18" s="372" t="str">
        <f>IF($C18="","",Q18*VLOOKUP($C18,CHANTIER!$A$2:$D$83,4,0))</f>
        <v/>
      </c>
      <c r="S18" s="364"/>
      <c r="T18" s="372" t="str">
        <f>IF($C18="","",S18*VLOOKUP($C18,CHANTIER!$A$2:$D$83,4,0))</f>
        <v/>
      </c>
      <c r="U18" s="364"/>
      <c r="V18" s="372" t="str">
        <f>IF($C18="","",U18*VLOOKUP($C18,CHANTIER!$A$2:$D$83,4,0))</f>
        <v/>
      </c>
      <c r="W18" s="364"/>
      <c r="X18" s="372" t="str">
        <f>IF($C18="","",W18*VLOOKUP($C18,CHANTIER!$A$2:$D$83,4,0))</f>
        <v/>
      </c>
      <c r="Y18" s="364"/>
      <c r="Z18" s="372" t="str">
        <f>IF($C18="","",Y18*VLOOKUP($C18,CHANTIER!$A$2:$D$83,4,0))</f>
        <v/>
      </c>
      <c r="AA18" s="364"/>
      <c r="AB18" s="372" t="str">
        <f>IF($C18="","",AA18*VLOOKUP($C18,CHANTIER!$A$2:$D$83,4,0))</f>
        <v/>
      </c>
      <c r="AC18" s="364"/>
      <c r="AD18" s="372" t="str">
        <f>IF($C18="","",AC18*VLOOKUP($C18,CHANTIER!$A$2:$D$83,4,0))</f>
        <v/>
      </c>
      <c r="AE18" s="364"/>
      <c r="AF18" s="372" t="str">
        <f>IF($C18="","",AE18*VLOOKUP($C18,CHANTIER!$A$2:$D$83,4,0))</f>
        <v/>
      </c>
      <c r="AG18" s="364"/>
      <c r="AH18" s="372" t="str">
        <f>IF($C18="","",AG18*VLOOKUP($C18,CHANTIER!$A$2:$D$83,4,0))</f>
        <v/>
      </c>
      <c r="AI18" s="364"/>
      <c r="AJ18" s="372" t="str">
        <f>IF($C18="","",AI18*VLOOKUP($C18,CHANTIER!$A$2:$D$83,4,0))</f>
        <v/>
      </c>
      <c r="AK18" s="364"/>
      <c r="AL18" s="372" t="str">
        <f>IF($C18="","",AK18*VLOOKUP($C18,CHANTIER!$A$2:$D$83,4,0))</f>
        <v/>
      </c>
      <c r="AM18" s="364"/>
      <c r="AN18" s="372" t="str">
        <f>IF($C18="","",AM18*VLOOKUP($C18,CHANTIER!$A$2:$D$83,4,0))</f>
        <v/>
      </c>
    </row>
    <row r="19" spans="1:40" ht="30.75" customHeight="1" x14ac:dyDescent="0.2">
      <c r="A19" s="1626"/>
      <c r="B19" s="379" t="s">
        <v>453</v>
      </c>
      <c r="C19" s="380" t="s">
        <v>450</v>
      </c>
      <c r="D19" s="381" t="s">
        <v>451</v>
      </c>
      <c r="E19" s="382">
        <f>F19*Simulation!$P$9</f>
        <v>98.999999999999986</v>
      </c>
      <c r="F19" s="383">
        <f>SUM(F15:F18)</f>
        <v>2.1999999999999997</v>
      </c>
      <c r="G19" s="382">
        <f>H19*Simulation!$P$9</f>
        <v>119.25</v>
      </c>
      <c r="H19" s="383">
        <f>SUM(H15:H18)</f>
        <v>2.65</v>
      </c>
      <c r="I19" s="382">
        <f>J19*Simulation!$P$9</f>
        <v>141.75</v>
      </c>
      <c r="J19" s="383">
        <f>SUM(J15:J18)</f>
        <v>3.15</v>
      </c>
      <c r="K19" s="382">
        <f>L19*Simulation!$P$9</f>
        <v>153.00000000000003</v>
      </c>
      <c r="L19" s="383">
        <f>SUM(L15:L18)</f>
        <v>3.4000000000000004</v>
      </c>
      <c r="M19" s="382">
        <f>N19*Simulation!$P$9</f>
        <v>164.25000000000003</v>
      </c>
      <c r="N19" s="383">
        <f>SUM(N15:N18)</f>
        <v>3.6500000000000004</v>
      </c>
      <c r="O19" s="382">
        <f>P19*Simulation!$P$9</f>
        <v>175.5</v>
      </c>
      <c r="P19" s="383">
        <f>SUM(P15:P18)</f>
        <v>3.9</v>
      </c>
      <c r="Q19" s="382">
        <f>R19*Simulation!$P$9</f>
        <v>186.75000000000003</v>
      </c>
      <c r="R19" s="383">
        <f>SUM(R15:R18)</f>
        <v>4.1500000000000004</v>
      </c>
      <c r="S19" s="382">
        <f>T19*Simulation!$P$9</f>
        <v>198.00000000000003</v>
      </c>
      <c r="T19" s="383">
        <f>SUM(T15:T18)</f>
        <v>4.4000000000000004</v>
      </c>
      <c r="U19" s="382">
        <f>V19*Simulation!$P$9</f>
        <v>209.24999999999997</v>
      </c>
      <c r="V19" s="383">
        <f>SUM(V15:V18)</f>
        <v>4.6499999999999995</v>
      </c>
      <c r="W19" s="382">
        <f>X19*Simulation!$P$9</f>
        <v>231.75000000000003</v>
      </c>
      <c r="X19" s="383">
        <f>SUM(X15:X18)</f>
        <v>5.15</v>
      </c>
      <c r="Y19" s="382">
        <f>Z19*Simulation!$P$9</f>
        <v>254.25000000000003</v>
      </c>
      <c r="Z19" s="383">
        <f>SUM(Z15:Z18)</f>
        <v>5.65</v>
      </c>
      <c r="AA19" s="382">
        <f>AB19*Simulation!$P$9</f>
        <v>265.5</v>
      </c>
      <c r="AB19" s="383">
        <f>SUM(AB15:AB18)</f>
        <v>5.9</v>
      </c>
      <c r="AC19" s="382">
        <f>AD19*Simulation!$P$9</f>
        <v>254.25000000000003</v>
      </c>
      <c r="AD19" s="383">
        <f>SUM(AD15:AD18)</f>
        <v>5.65</v>
      </c>
      <c r="AE19" s="382">
        <f>AF19*Simulation!$P$9</f>
        <v>276.75</v>
      </c>
      <c r="AF19" s="383">
        <f>SUM(AF15:AF18)</f>
        <v>6.15</v>
      </c>
      <c r="AG19" s="382">
        <f>AH19*Simulation!$P$9</f>
        <v>288</v>
      </c>
      <c r="AH19" s="383">
        <f>SUM(AH15:AH18)</f>
        <v>6.4</v>
      </c>
      <c r="AI19" s="382">
        <f>AJ19*Simulation!$P$9</f>
        <v>299.25</v>
      </c>
      <c r="AJ19" s="383">
        <f>SUM(AJ15:AJ18)</f>
        <v>6.65</v>
      </c>
      <c r="AK19" s="382">
        <f>AL19*Simulation!$P$9</f>
        <v>321.75</v>
      </c>
      <c r="AL19" s="383">
        <f>SUM(AL15:AL18)</f>
        <v>7.15</v>
      </c>
      <c r="AM19" s="382">
        <f>AN19*Simulation!$P$9</f>
        <v>299.25</v>
      </c>
      <c r="AN19" s="383">
        <f>SUM(AN15:AN18)</f>
        <v>6.65</v>
      </c>
    </row>
    <row r="20" spans="1:40" ht="15" customHeight="1" x14ac:dyDescent="0.2">
      <c r="A20" s="1628" t="s">
        <v>4</v>
      </c>
      <c r="B20" s="361" t="s">
        <v>1170</v>
      </c>
      <c r="C20" s="378" t="s">
        <v>405</v>
      </c>
      <c r="D20" s="363" t="str">
        <f>IF(C20="","",VLOOKUP($C20,MINIPELLE!$A$2:$C$28,3,0))</f>
        <v>ml</v>
      </c>
      <c r="E20" s="364">
        <f>E5</f>
        <v>4.0999999999999996</v>
      </c>
      <c r="F20" s="372">
        <f>IF($C20="","",E20*VLOOKUP($C20,MINIPELLE!$A$2:$D$28,4,0))</f>
        <v>0.32799999999999996</v>
      </c>
      <c r="G20" s="364">
        <f>G5</f>
        <v>5</v>
      </c>
      <c r="H20" s="372">
        <f>IF($C20="","",G20*VLOOKUP($C20,MINIPELLE!$A$2:$D$28,4,0))</f>
        <v>0.4</v>
      </c>
      <c r="I20" s="364">
        <f>I5</f>
        <v>6</v>
      </c>
      <c r="J20" s="372">
        <f>IF($C20="","",I20*VLOOKUP($C20,MINIPELLE!$A$2:$D$28,4,0))</f>
        <v>0.48</v>
      </c>
      <c r="K20" s="364">
        <f>K5</f>
        <v>6.5</v>
      </c>
      <c r="L20" s="372">
        <f>IF($C20="","",K20*VLOOKUP($C20,MINIPELLE!$A$2:$D$28,4,0))</f>
        <v>0.52</v>
      </c>
      <c r="M20" s="364">
        <f>M5</f>
        <v>7</v>
      </c>
      <c r="N20" s="372">
        <f>IF($C20="","",M20*VLOOKUP($C20,MINIPELLE!$A$2:$D$28,4,0))</f>
        <v>0.56000000000000005</v>
      </c>
      <c r="O20" s="364">
        <f>O5</f>
        <v>7.5</v>
      </c>
      <c r="P20" s="372">
        <f>IF($C20="","",O20*VLOOKUP($C20,MINIPELLE!$A$2:$D$28,4,0))</f>
        <v>0.6</v>
      </c>
      <c r="Q20" s="364">
        <f>Q5</f>
        <v>8</v>
      </c>
      <c r="R20" s="372">
        <f>IF($C20="","",Q20*VLOOKUP($C20,MINIPELLE!$A$2:$D$28,4,0))</f>
        <v>0.64</v>
      </c>
      <c r="S20" s="364">
        <f>S5</f>
        <v>8.5</v>
      </c>
      <c r="T20" s="372">
        <f>IF($C20="","",S20*VLOOKUP($C20,MINIPELLE!$A$2:$D$28,4,0))</f>
        <v>0.68</v>
      </c>
      <c r="U20" s="364">
        <f>U5</f>
        <v>9</v>
      </c>
      <c r="V20" s="372">
        <f>IF($C20="","",U20*VLOOKUP($C20,MINIPELLE!$A$2:$D$28,4,0))</f>
        <v>0.72</v>
      </c>
      <c r="W20" s="364">
        <f>W5</f>
        <v>10</v>
      </c>
      <c r="X20" s="372">
        <f>IF($C20="","",W20*VLOOKUP($C20,MINIPELLE!$A$2:$D$28,4,0))</f>
        <v>0.8</v>
      </c>
      <c r="Y20" s="364">
        <f>Y5</f>
        <v>11</v>
      </c>
      <c r="Z20" s="372">
        <f>IF($C20="","",Y20*VLOOKUP($C20,MINIPELLE!$A$2:$D$28,4,0))</f>
        <v>0.88</v>
      </c>
      <c r="AA20" s="364">
        <f>AA5</f>
        <v>11.5</v>
      </c>
      <c r="AB20" s="372">
        <f>IF($C20="","",AA20*VLOOKUP($C20,MINIPELLE!$A$2:$D$28,4,0))</f>
        <v>0.92</v>
      </c>
      <c r="AC20" s="364">
        <f>AC5</f>
        <v>11</v>
      </c>
      <c r="AD20" s="372">
        <f>IF($C20="","",AC20*VLOOKUP($C20,MINIPELLE!$A$2:$D$28,4,0))</f>
        <v>0.88</v>
      </c>
      <c r="AE20" s="364">
        <f>AE5</f>
        <v>12</v>
      </c>
      <c r="AF20" s="372">
        <f>IF($C20="","",AE20*VLOOKUP($C20,MINIPELLE!$A$2:$D$28,4,0))</f>
        <v>0.96</v>
      </c>
      <c r="AG20" s="364">
        <f>AG5</f>
        <v>12.5</v>
      </c>
      <c r="AH20" s="372">
        <f>IF($C20="","",AG20*VLOOKUP($C20,MINIPELLE!$A$2:$D$28,4,0))</f>
        <v>1</v>
      </c>
      <c r="AI20" s="364">
        <f>AI5</f>
        <v>13</v>
      </c>
      <c r="AJ20" s="372">
        <f>IF($C20="","",AI20*VLOOKUP($C20,MINIPELLE!$A$2:$D$28,4,0))</f>
        <v>1.04</v>
      </c>
      <c r="AK20" s="364">
        <f>AK5</f>
        <v>14</v>
      </c>
      <c r="AL20" s="372">
        <f>IF($C20="","",AK20*VLOOKUP($C20,MINIPELLE!$A$2:$D$28,4,0))</f>
        <v>1.1200000000000001</v>
      </c>
      <c r="AM20" s="364">
        <f>AM5</f>
        <v>13</v>
      </c>
      <c r="AN20" s="372">
        <f>IF($C20="","",AM20*VLOOKUP($C20,MINIPELLE!$A$2:$D$28,4,0))</f>
        <v>1.04</v>
      </c>
    </row>
    <row r="21" spans="1:40" ht="15" customHeight="1" x14ac:dyDescent="0.2">
      <c r="A21" s="1628"/>
      <c r="B21" s="361" t="s">
        <v>1172</v>
      </c>
      <c r="C21" s="378" t="s">
        <v>1285</v>
      </c>
      <c r="D21" s="363" t="str">
        <f>IF(C21="","",VLOOKUP($C21,MINIPELLE!$A$2:$C$28,3,0))</f>
        <v>ml</v>
      </c>
      <c r="E21" s="364">
        <f>'Outils de calculs'!E26*0.5</f>
        <v>4.0999999999999996</v>
      </c>
      <c r="F21" s="389">
        <f>IF($C21="","",E21*VLOOKUP($C21,MINIPELLE!$A$2:$D$28,4,0))</f>
        <v>0.82</v>
      </c>
      <c r="G21" s="364">
        <f>'Outils de calculs'!G26*0.5</f>
        <v>5</v>
      </c>
      <c r="H21" s="389">
        <f>IF($C21="","",G21*VLOOKUP($C21,MINIPELLE!$A$2:$D$28,4,0))</f>
        <v>1</v>
      </c>
      <c r="I21" s="364">
        <f>'Outils de calculs'!I26*0.5</f>
        <v>6</v>
      </c>
      <c r="J21" s="389">
        <f>IF($C21="","",I21*VLOOKUP($C21,MINIPELLE!$A$2:$D$28,4,0))</f>
        <v>1.2000000000000002</v>
      </c>
      <c r="K21" s="364">
        <f>'Outils de calculs'!K26*0.5</f>
        <v>6.5</v>
      </c>
      <c r="L21" s="389">
        <f>IF($C21="","",K21*VLOOKUP($C21,MINIPELLE!$A$2:$D$28,4,0))</f>
        <v>1.3</v>
      </c>
      <c r="M21" s="364">
        <f>'Outils de calculs'!M26*0.5</f>
        <v>7</v>
      </c>
      <c r="N21" s="389">
        <f>IF($C21="","",M21*VLOOKUP($C21,MINIPELLE!$A$2:$D$28,4,0))</f>
        <v>1.4000000000000001</v>
      </c>
      <c r="O21" s="364">
        <f>'Outils de calculs'!O26*0.5</f>
        <v>7.5</v>
      </c>
      <c r="P21" s="389">
        <f>IF($C21="","",O21*VLOOKUP($C21,MINIPELLE!$A$2:$D$28,4,0))</f>
        <v>1.5</v>
      </c>
      <c r="Q21" s="364">
        <f>'Outils de calculs'!Q26*0.5</f>
        <v>8</v>
      </c>
      <c r="R21" s="389">
        <f>IF($C21="","",Q21*VLOOKUP($C21,MINIPELLE!$A$2:$D$28,4,0))</f>
        <v>1.6</v>
      </c>
      <c r="S21" s="364">
        <f>'Outils de calculs'!S26*0.5</f>
        <v>8.5</v>
      </c>
      <c r="T21" s="389">
        <f>IF($C21="","",S21*VLOOKUP($C21,MINIPELLE!$A$2:$D$28,4,0))</f>
        <v>1.7000000000000002</v>
      </c>
      <c r="U21" s="364">
        <f>'Outils de calculs'!U26*0.5</f>
        <v>9</v>
      </c>
      <c r="V21" s="389">
        <f>IF($C21="","",U21*VLOOKUP($C21,MINIPELLE!$A$2:$D$28,4,0))</f>
        <v>1.8</v>
      </c>
      <c r="W21" s="364">
        <f>'Outils de calculs'!W26*0.5</f>
        <v>10</v>
      </c>
      <c r="X21" s="389">
        <f>IF($C21="","",W21*VLOOKUP($C21,MINIPELLE!$A$2:$D$28,4,0))</f>
        <v>2</v>
      </c>
      <c r="Y21" s="364">
        <f>'Outils de calculs'!Y26*0.5</f>
        <v>11</v>
      </c>
      <c r="Z21" s="389">
        <f>IF($C21="","",Y21*VLOOKUP($C21,MINIPELLE!$A$2:$D$28,4,0))</f>
        <v>2.2000000000000002</v>
      </c>
      <c r="AA21" s="364">
        <f>'Outils de calculs'!AA26*0.5</f>
        <v>11.5</v>
      </c>
      <c r="AB21" s="389">
        <f>IF($C21="","",AA21*VLOOKUP($C21,MINIPELLE!$A$2:$D$28,4,0))</f>
        <v>2.3000000000000003</v>
      </c>
      <c r="AC21" s="364">
        <f>'Outils de calculs'!AC26*0.5</f>
        <v>11</v>
      </c>
      <c r="AD21" s="389">
        <f>IF($C21="","",AC21*VLOOKUP($C21,MINIPELLE!$A$2:$D$28,4,0))</f>
        <v>2.2000000000000002</v>
      </c>
      <c r="AE21" s="364">
        <f>'Outils de calculs'!AE26*0.5</f>
        <v>12</v>
      </c>
      <c r="AF21" s="389">
        <f>IF($C21="","",AE21*VLOOKUP($C21,MINIPELLE!$A$2:$D$28,4,0))</f>
        <v>2.4000000000000004</v>
      </c>
      <c r="AG21" s="364">
        <f>'Outils de calculs'!AG26*0.5</f>
        <v>12.5</v>
      </c>
      <c r="AH21" s="389">
        <f>IF($C21="","",AG21*VLOOKUP($C21,MINIPELLE!$A$2:$D$28,4,0))</f>
        <v>2.5</v>
      </c>
      <c r="AI21" s="364">
        <f>'Outils de calculs'!AI26*0.5</f>
        <v>13</v>
      </c>
      <c r="AJ21" s="389">
        <f>IF($C21="","",AI21*VLOOKUP($C21,MINIPELLE!$A$2:$D$28,4,0))</f>
        <v>2.6</v>
      </c>
      <c r="AK21" s="364">
        <f>'Outils de calculs'!AK26*0.5</f>
        <v>14</v>
      </c>
      <c r="AL21" s="389">
        <f>IF($C21="","",AK21*VLOOKUP($C21,MINIPELLE!$A$2:$D$28,4,0))</f>
        <v>2.8000000000000003</v>
      </c>
      <c r="AM21" s="364">
        <f>'Outils de calculs'!AM26*0.5</f>
        <v>13</v>
      </c>
      <c r="AN21" s="389">
        <f>IF($C21="","",AM21*VLOOKUP($C21,MINIPELLE!$A$2:$D$28,4,0))</f>
        <v>2.6</v>
      </c>
    </row>
    <row r="22" spans="1:40" ht="15" customHeight="1" x14ac:dyDescent="0.2">
      <c r="A22" s="1629"/>
      <c r="B22" s="361" t="s">
        <v>1172</v>
      </c>
      <c r="C22" s="378" t="s">
        <v>102</v>
      </c>
      <c r="D22" s="363" t="str">
        <f>IF(C22="","",VLOOKUP($C22,MINIPELLE!$A$2:$C$28,3,0))</f>
        <v>m3</v>
      </c>
      <c r="E22" s="364">
        <f>E2*2*0.5*1.1</f>
        <v>2.2000000000000002</v>
      </c>
      <c r="F22" s="389">
        <f>IF($C22="","",E22*VLOOKUP($C22,MINIPELLE!$A$2:$D$28,4,0))</f>
        <v>0.55000000000000004</v>
      </c>
      <c r="G22" s="364">
        <f>G2*2*0.5*1.1</f>
        <v>3.3000000000000003</v>
      </c>
      <c r="H22" s="389">
        <f>IF($C22="","",G22*VLOOKUP($C22,MINIPELLE!$A$2:$D$28,4,0))</f>
        <v>0.82500000000000007</v>
      </c>
      <c r="I22" s="364">
        <f>I2*2*0.5*1.1</f>
        <v>4.4000000000000004</v>
      </c>
      <c r="J22" s="389">
        <f>IF($C22="","",I22*VLOOKUP($C22,MINIPELLE!$A$2:$D$28,4,0))</f>
        <v>1.1000000000000001</v>
      </c>
      <c r="K22" s="364">
        <f>K2*2*0.5*1.1</f>
        <v>5.5</v>
      </c>
      <c r="L22" s="389">
        <f>IF($C22="","",K22*VLOOKUP($C22,MINIPELLE!$A$2:$D$28,4,0))</f>
        <v>1.375</v>
      </c>
      <c r="M22" s="364">
        <f>M2*2*0.5*1.1</f>
        <v>6.6000000000000005</v>
      </c>
      <c r="N22" s="389">
        <f>IF($C22="","",M22*VLOOKUP($C22,MINIPELLE!$A$2:$D$28,4,0))</f>
        <v>1.6500000000000001</v>
      </c>
      <c r="O22" s="364">
        <f>O2*2*0.5*1.1</f>
        <v>7.7000000000000011</v>
      </c>
      <c r="P22" s="389">
        <f>IF($C22="","",O22*VLOOKUP($C22,MINIPELLE!$A$2:$D$28,4,0))</f>
        <v>1.9250000000000003</v>
      </c>
      <c r="Q22" s="364">
        <f>Q2*2*0.5*1.1</f>
        <v>8.8000000000000007</v>
      </c>
      <c r="R22" s="389">
        <f>IF($C22="","",Q22*VLOOKUP($C22,MINIPELLE!$A$2:$D$28,4,0))</f>
        <v>2.2000000000000002</v>
      </c>
      <c r="S22" s="364">
        <f>S2*2*0.5*1.1</f>
        <v>9.9</v>
      </c>
      <c r="T22" s="389">
        <f>IF($C22="","",S22*VLOOKUP($C22,MINIPELLE!$A$2:$D$28,4,0))</f>
        <v>2.4750000000000001</v>
      </c>
      <c r="U22" s="364">
        <f>U2*2*0.5*1.1</f>
        <v>11</v>
      </c>
      <c r="V22" s="389">
        <f>IF($C22="","",U22*VLOOKUP($C22,MINIPELLE!$A$2:$D$28,4,0))</f>
        <v>2.75</v>
      </c>
      <c r="W22" s="364">
        <f>W2*2*0.5*1.1</f>
        <v>13.200000000000001</v>
      </c>
      <c r="X22" s="389">
        <f>IF($C22="","",W22*VLOOKUP($C22,MINIPELLE!$A$2:$D$28,4,0))</f>
        <v>3.3000000000000003</v>
      </c>
      <c r="Y22" s="364">
        <f>Y2*2*0.5*1.1</f>
        <v>13.200000000000001</v>
      </c>
      <c r="Z22" s="389">
        <f>IF($C22="","",Y22*VLOOKUP($C22,MINIPELLE!$A$2:$D$28,4,0))</f>
        <v>3.3000000000000003</v>
      </c>
      <c r="AA22" s="364">
        <f>AA2*2*0.5*1.1</f>
        <v>15.400000000000002</v>
      </c>
      <c r="AB22" s="389">
        <f>IF($C22="","",AA22*VLOOKUP($C22,MINIPELLE!$A$2:$D$28,4,0))</f>
        <v>3.8500000000000005</v>
      </c>
      <c r="AC22" s="364">
        <f>AC2*2*0.5*1.1</f>
        <v>15.400000000000002</v>
      </c>
      <c r="AD22" s="389">
        <f>IF($C22="","",AC22*VLOOKUP($C22,MINIPELLE!$A$2:$D$28,4,0))</f>
        <v>3.8500000000000005</v>
      </c>
      <c r="AE22" s="364">
        <f>AE2*2*0.5*1.1</f>
        <v>17.600000000000001</v>
      </c>
      <c r="AF22" s="389">
        <f>IF($C22="","",AE22*VLOOKUP($C22,MINIPELLE!$A$2:$D$28,4,0))</f>
        <v>4.4000000000000004</v>
      </c>
      <c r="AG22" s="364">
        <f>AG2*2*0.5*1.1</f>
        <v>19.8</v>
      </c>
      <c r="AH22" s="389">
        <f>IF($C22="","",AG22*VLOOKUP($C22,MINIPELLE!$A$2:$D$28,4,0))</f>
        <v>4.95</v>
      </c>
      <c r="AI22" s="364">
        <f>AI2*2*0.5*1.1</f>
        <v>19.8</v>
      </c>
      <c r="AJ22" s="389">
        <f>IF($C22="","",AI22*VLOOKUP($C22,MINIPELLE!$A$2:$D$28,4,0))</f>
        <v>4.95</v>
      </c>
      <c r="AK22" s="364">
        <f>AK2*2*0.5*1.1</f>
        <v>22</v>
      </c>
      <c r="AL22" s="389">
        <f>IF($C22="","",AK22*VLOOKUP($C22,MINIPELLE!$A$2:$D$28,4,0))</f>
        <v>5.5</v>
      </c>
      <c r="AM22" s="364">
        <f>AM2*2*0.5*1.1</f>
        <v>22</v>
      </c>
      <c r="AN22" s="389">
        <f>IF($C22="","",AM22*VLOOKUP($C22,MINIPELLE!$A$2:$D$28,4,0))</f>
        <v>5.5</v>
      </c>
    </row>
    <row r="23" spans="1:40" ht="29.25" customHeight="1" x14ac:dyDescent="0.2">
      <c r="A23" s="1629"/>
      <c r="B23" s="384" t="s">
        <v>454</v>
      </c>
      <c r="C23" s="385" t="s">
        <v>455</v>
      </c>
      <c r="D23" s="386" t="s">
        <v>451</v>
      </c>
      <c r="E23" s="387">
        <f>F23*Simulation!$P$10</f>
        <v>135.84</v>
      </c>
      <c r="F23" s="388">
        <f>SUM(F20:F22)</f>
        <v>1.698</v>
      </c>
      <c r="G23" s="387">
        <f>H23*Simulation!$P$10</f>
        <v>178</v>
      </c>
      <c r="H23" s="388">
        <f>SUM(H20:H22)</f>
        <v>2.2250000000000001</v>
      </c>
      <c r="I23" s="387">
        <f>J23*Simulation!$P$10</f>
        <v>222.40000000000003</v>
      </c>
      <c r="J23" s="388">
        <f>SUM(J20:J22)</f>
        <v>2.7800000000000002</v>
      </c>
      <c r="K23" s="387">
        <f>L23*Simulation!$P$10</f>
        <v>255.60000000000002</v>
      </c>
      <c r="L23" s="388">
        <f>SUM(L20:L22)</f>
        <v>3.1950000000000003</v>
      </c>
      <c r="M23" s="387">
        <f>N23*Simulation!$P$10</f>
        <v>288.8</v>
      </c>
      <c r="N23" s="388">
        <f>SUM(N20:N22)</f>
        <v>3.6100000000000003</v>
      </c>
      <c r="O23" s="387">
        <f>P23*Simulation!$P$10</f>
        <v>322</v>
      </c>
      <c r="P23" s="388">
        <f>SUM(P20:P22)</f>
        <v>4.0250000000000004</v>
      </c>
      <c r="Q23" s="387">
        <f>R23*Simulation!$P$10</f>
        <v>355.20000000000005</v>
      </c>
      <c r="R23" s="388">
        <f>SUM(R20:R22)</f>
        <v>4.4400000000000004</v>
      </c>
      <c r="S23" s="387">
        <f>T23*Simulation!$P$10</f>
        <v>388.40000000000003</v>
      </c>
      <c r="T23" s="388">
        <f>SUM(T20:T22)</f>
        <v>4.8550000000000004</v>
      </c>
      <c r="U23" s="387">
        <f>V23*Simulation!$P$10</f>
        <v>421.59999999999997</v>
      </c>
      <c r="V23" s="388">
        <f>SUM(V20:V22)</f>
        <v>5.27</v>
      </c>
      <c r="W23" s="387">
        <f>X23*Simulation!$P$10</f>
        <v>488</v>
      </c>
      <c r="X23" s="388">
        <f>SUM(X20:X22)</f>
        <v>6.1</v>
      </c>
      <c r="Y23" s="387">
        <f>Z23*Simulation!$P$10</f>
        <v>510.40000000000009</v>
      </c>
      <c r="Z23" s="388">
        <f>SUM(Z20:Z22)</f>
        <v>6.3800000000000008</v>
      </c>
      <c r="AA23" s="387">
        <f>AB23*Simulation!$P$10</f>
        <v>565.6</v>
      </c>
      <c r="AB23" s="388">
        <f>SUM(AB20:AB22)</f>
        <v>7.07</v>
      </c>
      <c r="AC23" s="387">
        <f>AD23*Simulation!$P$10</f>
        <v>554.40000000000009</v>
      </c>
      <c r="AD23" s="388">
        <f>SUM(AD20:AD22)</f>
        <v>6.9300000000000006</v>
      </c>
      <c r="AE23" s="387">
        <f>AF23*Simulation!$P$10</f>
        <v>620.80000000000007</v>
      </c>
      <c r="AF23" s="388">
        <f>SUM(AF20:AF22)</f>
        <v>7.7600000000000007</v>
      </c>
      <c r="AG23" s="387">
        <f>AH23*Simulation!$P$10</f>
        <v>676</v>
      </c>
      <c r="AH23" s="388">
        <f>SUM(AH20:AH22)</f>
        <v>8.4499999999999993</v>
      </c>
      <c r="AI23" s="387">
        <f>AJ23*Simulation!$P$10</f>
        <v>687.2</v>
      </c>
      <c r="AJ23" s="388">
        <f>SUM(AJ20:AJ22)</f>
        <v>8.59</v>
      </c>
      <c r="AK23" s="387">
        <f>AL23*Simulation!$P$10</f>
        <v>753.6</v>
      </c>
      <c r="AL23" s="388">
        <f>SUM(AL20:AL22)</f>
        <v>9.42</v>
      </c>
      <c r="AM23" s="387">
        <f>AN23*Simulation!$P$10</f>
        <v>731.2</v>
      </c>
      <c r="AN23" s="388">
        <f>SUM(AN20:AN22)</f>
        <v>9.14</v>
      </c>
    </row>
    <row r="24" spans="1:40" x14ac:dyDescent="0.2">
      <c r="A24" s="199"/>
      <c r="B24" s="172"/>
      <c r="C24" s="200"/>
      <c r="D24" s="201"/>
      <c r="E24" s="202"/>
      <c r="F24" s="203"/>
      <c r="G24" s="202"/>
      <c r="H24" s="203"/>
      <c r="I24" s="202"/>
      <c r="J24" s="203"/>
      <c r="K24" s="202"/>
      <c r="L24" s="203"/>
      <c r="M24" s="202"/>
      <c r="N24" s="203"/>
      <c r="O24" s="202"/>
      <c r="P24" s="203"/>
      <c r="Q24" s="202"/>
      <c r="R24" s="203"/>
      <c r="S24" s="202"/>
      <c r="T24" s="203"/>
      <c r="U24" s="202"/>
      <c r="V24" s="203"/>
      <c r="W24" s="202"/>
      <c r="X24" s="203"/>
      <c r="Y24" s="202"/>
      <c r="Z24" s="203"/>
      <c r="AA24" s="202"/>
      <c r="AB24" s="203"/>
      <c r="AC24" s="202"/>
      <c r="AD24" s="203"/>
      <c r="AE24" s="202"/>
      <c r="AF24" s="203"/>
      <c r="AG24" s="202"/>
      <c r="AH24" s="203"/>
      <c r="AI24" s="202"/>
      <c r="AJ24" s="203"/>
      <c r="AK24" s="202"/>
      <c r="AL24" s="203"/>
      <c r="AM24" s="202"/>
      <c r="AN24" s="203"/>
    </row>
    <row r="25" spans="1:40" ht="36" customHeight="1" x14ac:dyDescent="0.2">
      <c r="A25" s="204"/>
      <c r="B25" s="1561" t="s">
        <v>456</v>
      </c>
      <c r="C25" s="1564" t="s">
        <v>445</v>
      </c>
      <c r="D25" s="1564"/>
      <c r="E25" s="1547">
        <f>E23+E19+E14+E9</f>
        <v>392.85706999999991</v>
      </c>
      <c r="F25" s="1547"/>
      <c r="G25" s="1547">
        <f>G23+G19+G14+G9</f>
        <v>482.32018333333338</v>
      </c>
      <c r="H25" s="1547"/>
      <c r="I25" s="1547">
        <f>I23+I19+I14+I9</f>
        <v>578.1301666666667</v>
      </c>
      <c r="J25" s="1547"/>
      <c r="K25" s="1547">
        <f>K23+K19+K14+K9</f>
        <v>638.52030000000002</v>
      </c>
      <c r="L25" s="1547"/>
      <c r="M25" s="1547">
        <f>M23+M19+M14+M9</f>
        <v>698.91043333333346</v>
      </c>
      <c r="N25" s="1547"/>
      <c r="O25" s="1547">
        <f>O23+O19+O14+O9</f>
        <v>759.30056666666667</v>
      </c>
      <c r="P25" s="1547"/>
      <c r="Q25" s="1547">
        <f>Q23+Q19+Q14+Q9</f>
        <v>819.69070000000011</v>
      </c>
      <c r="R25" s="1547"/>
      <c r="S25" s="1547">
        <f>S23+S19+S14+S9</f>
        <v>878.85233333333349</v>
      </c>
      <c r="T25" s="1547"/>
      <c r="U25" s="1547">
        <f>U23+U19+U14+U9</f>
        <v>938.01396666666665</v>
      </c>
      <c r="V25" s="1547"/>
      <c r="W25" s="1547">
        <f>W23+W19+W14+W9</f>
        <v>1055.82395</v>
      </c>
      <c r="X25" s="1547"/>
      <c r="Y25" s="1547">
        <f>Y23+Y19+Y14+Y9</f>
        <v>1127.1769333333334</v>
      </c>
      <c r="Z25" s="1547"/>
      <c r="AA25" s="1547">
        <f>AA23+AA19+AA14+AA9</f>
        <v>1209.5670666666667</v>
      </c>
      <c r="AB25" s="1547"/>
      <c r="AC25" s="1547">
        <f>AC23+AC19+AC14+AC9</f>
        <v>1174.6605000000002</v>
      </c>
      <c r="AD25" s="1547"/>
      <c r="AE25" s="1547">
        <f>AE23+AE19+AE14+AE9</f>
        <v>1292.4704833333335</v>
      </c>
      <c r="AF25" s="1547"/>
      <c r="AG25" s="1547">
        <f>AG23+AG19+AG14+AG9</f>
        <v>1374.8606166666666</v>
      </c>
      <c r="AH25" s="1547"/>
      <c r="AI25" s="1547">
        <f>AI23+AI19+AI14+AI9</f>
        <v>1410.79375</v>
      </c>
      <c r="AJ25" s="1547"/>
      <c r="AK25" s="1547">
        <f>AK23+AK19+AK14+AK9</f>
        <v>1528.6037333333334</v>
      </c>
      <c r="AL25" s="1547"/>
      <c r="AM25" s="1547">
        <f>AM23+AM19+AM14+AM9</f>
        <v>1458.2773166666666</v>
      </c>
      <c r="AN25" s="1547"/>
    </row>
    <row r="26" spans="1:40" ht="18" customHeight="1" x14ac:dyDescent="0.2">
      <c r="A26" s="154"/>
      <c r="B26" s="1562"/>
      <c r="C26" s="1565" t="s">
        <v>457</v>
      </c>
      <c r="D26" s="1565"/>
      <c r="E26" s="149">
        <f>E9-F9</f>
        <v>16.423169999999999</v>
      </c>
      <c r="F26" s="207">
        <f>E26/E$25</f>
        <v>4.1804440480096239E-2</v>
      </c>
      <c r="G26" s="149">
        <f>G9-H9</f>
        <v>19.862350000000006</v>
      </c>
      <c r="H26" s="207">
        <f>G26/G$25</f>
        <v>4.1180839380866335E-2</v>
      </c>
      <c r="I26" s="149">
        <f>I9-J9</f>
        <v>23.418500000000009</v>
      </c>
      <c r="J26" s="207">
        <f>I26/I$25</f>
        <v>4.0507313664367987E-2</v>
      </c>
      <c r="K26" s="149">
        <f>K9-L9</f>
        <v>25.539299999999997</v>
      </c>
      <c r="L26" s="207">
        <f>K26/K$25</f>
        <v>3.9997632025168185E-2</v>
      </c>
      <c r="M26" s="149">
        <f>M9-N9</f>
        <v>27.660100000000014</v>
      </c>
      <c r="N26" s="207">
        <f>M26/M$25</f>
        <v>3.9576029603793306E-2</v>
      </c>
      <c r="O26" s="149">
        <f>O9-P9</f>
        <v>29.780899999999988</v>
      </c>
      <c r="P26" s="207">
        <f>O26/O$25</f>
        <v>3.9221490549833635E-2</v>
      </c>
      <c r="Q26" s="149">
        <f>Q9-R9</f>
        <v>31.901700000000005</v>
      </c>
      <c r="R26" s="207">
        <f>Q26/Q$25</f>
        <v>3.8919192324617082E-2</v>
      </c>
      <c r="S26" s="149">
        <f>S9-T9</f>
        <v>33.739000000000019</v>
      </c>
      <c r="T26" s="207">
        <f>S26/S$25</f>
        <v>3.8389839476256356E-2</v>
      </c>
      <c r="U26" s="149">
        <f>U9-V9</f>
        <v>35.576300000000018</v>
      </c>
      <c r="V26" s="207">
        <f>U26/U$25</f>
        <v>3.7927260429206848E-2</v>
      </c>
      <c r="W26" s="149">
        <f>W9-X9</f>
        <v>39.132450000000006</v>
      </c>
      <c r="X26" s="207">
        <f>W26/W$25</f>
        <v>3.7063423310297147E-2</v>
      </c>
      <c r="Y26" s="149">
        <f>Y9-Z9</f>
        <v>42.121600000000001</v>
      </c>
      <c r="Z26" s="207">
        <f>Y26/Y$25</f>
        <v>3.7369111054673818E-2</v>
      </c>
      <c r="AA26" s="149">
        <f>AA9-AB9</f>
        <v>44.242400000000004</v>
      </c>
      <c r="AB26" s="207">
        <f>AA26/AA$25</f>
        <v>3.6577054071026849E-2</v>
      </c>
      <c r="AC26" s="149">
        <f>AC9-AD9</f>
        <v>42.9255</v>
      </c>
      <c r="AD26" s="207">
        <f>AC26/AC$25</f>
        <v>3.6542898990814789E-2</v>
      </c>
      <c r="AE26" s="149">
        <f>AE9-AF9</f>
        <v>46.481650000000002</v>
      </c>
      <c r="AF26" s="207">
        <f>AE26/AE$25</f>
        <v>3.5963413168339405E-2</v>
      </c>
      <c r="AG26" s="149">
        <f>AG9-AH9</f>
        <v>48.602450000000005</v>
      </c>
      <c r="AH26" s="207">
        <f>AG26/AG$25</f>
        <v>3.5350819865533768E-2</v>
      </c>
      <c r="AI26" s="149">
        <f>AI9-AJ9</f>
        <v>50.156250000000028</v>
      </c>
      <c r="AJ26" s="207">
        <f>AI26/AI$25</f>
        <v>3.5551794867251164E-2</v>
      </c>
      <c r="AK26" s="149">
        <f>AK9-AL9</f>
        <v>53.712400000000002</v>
      </c>
      <c r="AL26" s="207">
        <f>AK26/AK$25</f>
        <v>3.5138210661616424E-2</v>
      </c>
      <c r="AM26" s="149">
        <f>AM9-AN9</f>
        <v>50.960149999999999</v>
      </c>
      <c r="AN26" s="207">
        <f>AM26/AM$25</f>
        <v>3.4945445161613582E-2</v>
      </c>
    </row>
    <row r="27" spans="1:40" ht="18" customHeight="1" x14ac:dyDescent="0.2">
      <c r="A27" s="154"/>
      <c r="B27" s="1562"/>
      <c r="C27" s="1565" t="s">
        <v>9</v>
      </c>
      <c r="D27" s="1565"/>
      <c r="E27" s="149">
        <f>E9</f>
        <v>71.167069999999995</v>
      </c>
      <c r="F27" s="207">
        <f>E27/E$25</f>
        <v>0.18115257541375038</v>
      </c>
      <c r="G27" s="149">
        <f>G9</f>
        <v>86.070183333333347</v>
      </c>
      <c r="H27" s="207">
        <f>G27/G$25</f>
        <v>0.17845030398375408</v>
      </c>
      <c r="I27" s="149">
        <f>I9</f>
        <v>101.48016666666668</v>
      </c>
      <c r="J27" s="207">
        <f>I27/I$25</f>
        <v>0.17553169254559456</v>
      </c>
      <c r="K27" s="149">
        <f>K9</f>
        <v>110.6703</v>
      </c>
      <c r="L27" s="207">
        <f>K27/K$25</f>
        <v>0.17332307210906214</v>
      </c>
      <c r="M27" s="149">
        <f>M9</f>
        <v>119.86043333333336</v>
      </c>
      <c r="N27" s="207">
        <f>M27/M$25</f>
        <v>0.17149612828310429</v>
      </c>
      <c r="O27" s="149">
        <f>O9</f>
        <v>129.05056666666664</v>
      </c>
      <c r="P27" s="207">
        <f>O27/O$25</f>
        <v>0.16995979238261244</v>
      </c>
      <c r="Q27" s="149">
        <f>Q9</f>
        <v>138.2407</v>
      </c>
      <c r="R27" s="207">
        <f>Q27/Q$25</f>
        <v>0.168649833406674</v>
      </c>
      <c r="S27" s="149">
        <f>S9</f>
        <v>146.20233333333337</v>
      </c>
      <c r="T27" s="207">
        <f>S27/S$25</f>
        <v>0.1663559710637775</v>
      </c>
      <c r="U27" s="149">
        <f>U9</f>
        <v>154.16396666666668</v>
      </c>
      <c r="V27" s="207">
        <f>U27/U$25</f>
        <v>0.16435146185989627</v>
      </c>
      <c r="W27" s="149">
        <f>W9</f>
        <v>169.57395000000002</v>
      </c>
      <c r="X27" s="207">
        <f>W27/W$25</f>
        <v>0.1606081676779543</v>
      </c>
      <c r="Y27" s="149">
        <f>Y9</f>
        <v>182.52693333333332</v>
      </c>
      <c r="Z27" s="207">
        <f>Y27/Y$25</f>
        <v>0.16193281457025319</v>
      </c>
      <c r="AA27" s="149">
        <f>AA9</f>
        <v>191.71706666666668</v>
      </c>
      <c r="AB27" s="207">
        <f>AA27/AA$25</f>
        <v>0.15850056764111634</v>
      </c>
      <c r="AC27" s="149">
        <f>AC9</f>
        <v>186.01050000000001</v>
      </c>
      <c r="AD27" s="207">
        <f>AC27/AC$25</f>
        <v>0.15835256229353076</v>
      </c>
      <c r="AE27" s="149">
        <f>AE9</f>
        <v>201.42048333333335</v>
      </c>
      <c r="AF27" s="207">
        <f>AE27/AE$25</f>
        <v>0.15584145706280408</v>
      </c>
      <c r="AG27" s="149">
        <f>AG9</f>
        <v>210.61061666666666</v>
      </c>
      <c r="AH27" s="207">
        <f>AG27/AG$25</f>
        <v>0.15318688608397965</v>
      </c>
      <c r="AI27" s="149">
        <f>AI9</f>
        <v>217.34375000000006</v>
      </c>
      <c r="AJ27" s="207">
        <f>AI27/AI$25</f>
        <v>0.15405777775808835</v>
      </c>
      <c r="AK27" s="149">
        <f>AK9</f>
        <v>232.75373333333334</v>
      </c>
      <c r="AL27" s="207">
        <f>AK27/AK$25</f>
        <v>0.15226557953367117</v>
      </c>
      <c r="AM27" s="149">
        <f>AM9</f>
        <v>220.82731666666666</v>
      </c>
      <c r="AN27" s="207">
        <f>AM27/AM$25</f>
        <v>0.15143026236699217</v>
      </c>
    </row>
    <row r="28" spans="1:40" ht="18" customHeight="1" x14ac:dyDescent="0.2">
      <c r="A28" s="154"/>
      <c r="B28" s="1562"/>
      <c r="C28" s="1565" t="s">
        <v>458</v>
      </c>
      <c r="D28" s="1565"/>
      <c r="E28" s="149">
        <f>E14</f>
        <v>86.85</v>
      </c>
      <c r="F28" s="207">
        <f>E28/E$25</f>
        <v>0.22107276827167707</v>
      </c>
      <c r="G28" s="149">
        <f>G14</f>
        <v>99.000000000000014</v>
      </c>
      <c r="H28" s="207">
        <f>G28/G$25</f>
        <v>0.20525784203308101</v>
      </c>
      <c r="I28" s="149">
        <f>I14</f>
        <v>112.5</v>
      </c>
      <c r="J28" s="207">
        <f>I28/I$25</f>
        <v>0.19459285553051633</v>
      </c>
      <c r="K28" s="149">
        <f>K14</f>
        <v>119.25000000000001</v>
      </c>
      <c r="L28" s="207">
        <f>K28/K$25</f>
        <v>0.18675991977075751</v>
      </c>
      <c r="M28" s="149">
        <f>M14</f>
        <v>125.99999999999999</v>
      </c>
      <c r="N28" s="207">
        <f>M28/M$25</f>
        <v>0.18028061106351581</v>
      </c>
      <c r="O28" s="149">
        <f>O14</f>
        <v>132.75</v>
      </c>
      <c r="P28" s="207">
        <f>O28/O$25</f>
        <v>0.17483195170362267</v>
      </c>
      <c r="Q28" s="149">
        <f>Q14</f>
        <v>139.50000000000003</v>
      </c>
      <c r="R28" s="207">
        <f>Q28/Q$25</f>
        <v>0.17018614460308018</v>
      </c>
      <c r="S28" s="149">
        <f>S14</f>
        <v>146.25</v>
      </c>
      <c r="T28" s="207">
        <f>S28/S$25</f>
        <v>0.16641020846505497</v>
      </c>
      <c r="U28" s="149">
        <f>U14</f>
        <v>153.00000000000003</v>
      </c>
      <c r="V28" s="207">
        <f>U28/U$25</f>
        <v>0.16311057770674989</v>
      </c>
      <c r="W28" s="149">
        <f>W14</f>
        <v>166.5</v>
      </c>
      <c r="X28" s="207">
        <f>W28/W$25</f>
        <v>0.15769674480295698</v>
      </c>
      <c r="Y28" s="149">
        <f>Y14</f>
        <v>180</v>
      </c>
      <c r="Z28" s="207">
        <f>Y28/Y$25</f>
        <v>0.15969098965474451</v>
      </c>
      <c r="AA28" s="149">
        <f>AA14</f>
        <v>186.75000000000003</v>
      </c>
      <c r="AB28" s="207">
        <f>AA28/AA$25</f>
        <v>0.15439408458321122</v>
      </c>
      <c r="AC28" s="149">
        <f>AC14</f>
        <v>180</v>
      </c>
      <c r="AD28" s="207">
        <f>AC28/AC$25</f>
        <v>0.15323576471669897</v>
      </c>
      <c r="AE28" s="149">
        <f>AE14</f>
        <v>193.5</v>
      </c>
      <c r="AF28" s="207">
        <f>AE28/AE$25</f>
        <v>0.14971328358768837</v>
      </c>
      <c r="AG28" s="149">
        <f>AG14</f>
        <v>200.25</v>
      </c>
      <c r="AH28" s="207">
        <f>AG28/AG$25</f>
        <v>0.14565112824709733</v>
      </c>
      <c r="AI28" s="149">
        <f>AI14</f>
        <v>207.00000000000003</v>
      </c>
      <c r="AJ28" s="207">
        <f>AI28/AI$25</f>
        <v>0.14672591227456178</v>
      </c>
      <c r="AK28" s="149">
        <f>AK14</f>
        <v>220.50000000000003</v>
      </c>
      <c r="AL28" s="207">
        <f>AK28/AK$25</f>
        <v>0.14424928789043912</v>
      </c>
      <c r="AM28" s="149">
        <f>AM14</f>
        <v>207.00000000000003</v>
      </c>
      <c r="AN28" s="207">
        <f>AM28/AM$25</f>
        <v>0.14194830958021146</v>
      </c>
    </row>
    <row r="29" spans="1:40" ht="18" customHeight="1" x14ac:dyDescent="0.2">
      <c r="A29" s="154"/>
      <c r="B29" s="1562"/>
      <c r="C29" s="1565" t="s">
        <v>459</v>
      </c>
      <c r="D29" s="1565"/>
      <c r="E29" s="149">
        <f>E19</f>
        <v>98.999999999999986</v>
      </c>
      <c r="F29" s="207">
        <f>E29/E$25</f>
        <v>0.25200004673455412</v>
      </c>
      <c r="G29" s="149">
        <f>G19</f>
        <v>119.25</v>
      </c>
      <c r="H29" s="207">
        <f>G29/G$25</f>
        <v>0.24724240063075664</v>
      </c>
      <c r="I29" s="149">
        <f>I19</f>
        <v>141.75</v>
      </c>
      <c r="J29" s="207">
        <f>I29/I$25</f>
        <v>0.24518699796845059</v>
      </c>
      <c r="K29" s="149">
        <f>K19</f>
        <v>153.00000000000003</v>
      </c>
      <c r="L29" s="207">
        <f>K29/K$25</f>
        <v>0.23961650083795302</v>
      </c>
      <c r="M29" s="149">
        <f>M19</f>
        <v>164.25000000000003</v>
      </c>
      <c r="N29" s="207">
        <f>M29/M$25</f>
        <v>0.23500865370779747</v>
      </c>
      <c r="O29" s="149">
        <f>O19</f>
        <v>175.5</v>
      </c>
      <c r="P29" s="207">
        <f>O29/O$25</f>
        <v>0.2311337666590266</v>
      </c>
      <c r="Q29" s="149">
        <f>Q19</f>
        <v>186.75000000000003</v>
      </c>
      <c r="R29" s="207">
        <f>Q29/Q$25</f>
        <v>0.22782983874283314</v>
      </c>
      <c r="S29" s="149">
        <f>S19</f>
        <v>198.00000000000003</v>
      </c>
      <c r="T29" s="207">
        <f>S29/S$25</f>
        <v>0.22529382069115136</v>
      </c>
      <c r="U29" s="149">
        <f>U19</f>
        <v>209.24999999999997</v>
      </c>
      <c r="V29" s="207">
        <f>U29/U$25</f>
        <v>0.22307770186364315</v>
      </c>
      <c r="W29" s="149">
        <f>W19</f>
        <v>231.75000000000003</v>
      </c>
      <c r="X29" s="207">
        <f>W29/W$25</f>
        <v>0.21949682046898067</v>
      </c>
      <c r="Y29" s="149">
        <f>Y19</f>
        <v>254.25000000000003</v>
      </c>
      <c r="Z29" s="207">
        <f>Y29/Y$25</f>
        <v>0.22556352288732667</v>
      </c>
      <c r="AA29" s="149">
        <f>AA19</f>
        <v>265.5</v>
      </c>
      <c r="AB29" s="207">
        <f>AA29/AA$25</f>
        <v>0.21950002386528822</v>
      </c>
      <c r="AC29" s="149">
        <f>AC19</f>
        <v>254.25000000000003</v>
      </c>
      <c r="AD29" s="207">
        <f>AC29/AC$25</f>
        <v>0.21644551766233733</v>
      </c>
      <c r="AE29" s="149">
        <f>AE19</f>
        <v>276.75</v>
      </c>
      <c r="AF29" s="207">
        <f>AE29/AE$25</f>
        <v>0.21412481257308916</v>
      </c>
      <c r="AG29" s="149">
        <f>AG19</f>
        <v>288</v>
      </c>
      <c r="AH29" s="207">
        <f>AG29/AG$25</f>
        <v>0.20947577995088157</v>
      </c>
      <c r="AI29" s="149">
        <f>AI19</f>
        <v>299.25</v>
      </c>
      <c r="AJ29" s="207">
        <f>AI29/AI$25</f>
        <v>0.2121146340490947</v>
      </c>
      <c r="AK29" s="149">
        <f>AK19</f>
        <v>321.75</v>
      </c>
      <c r="AL29" s="207">
        <f>AK29/AK$25</f>
        <v>0.21048620579931418</v>
      </c>
      <c r="AM29" s="149">
        <f>AM19</f>
        <v>299.25</v>
      </c>
      <c r="AN29" s="207">
        <f>AM29/AM$25</f>
        <v>0.20520788232791434</v>
      </c>
    </row>
    <row r="30" spans="1:40" ht="18" customHeight="1" x14ac:dyDescent="0.2">
      <c r="A30" s="154"/>
      <c r="B30" s="1563"/>
      <c r="C30" s="1565" t="s">
        <v>5</v>
      </c>
      <c r="D30" s="1565"/>
      <c r="E30" s="149">
        <f>E23</f>
        <v>135.84</v>
      </c>
      <c r="F30" s="207">
        <f>E30/E$25</f>
        <v>0.3457746095800186</v>
      </c>
      <c r="G30" s="149">
        <f>G23</f>
        <v>178</v>
      </c>
      <c r="H30" s="207">
        <f>G30/G$25</f>
        <v>0.36904945335240824</v>
      </c>
      <c r="I30" s="149">
        <f>I23</f>
        <v>222.40000000000003</v>
      </c>
      <c r="J30" s="207">
        <f>I30/I$25</f>
        <v>0.38468845395543855</v>
      </c>
      <c r="K30" s="149">
        <f>K23</f>
        <v>255.60000000000002</v>
      </c>
      <c r="L30" s="207">
        <f>K30/K$25</f>
        <v>0.40030050728222738</v>
      </c>
      <c r="M30" s="149">
        <f>M23</f>
        <v>288.8</v>
      </c>
      <c r="N30" s="207">
        <f>M30/M$25</f>
        <v>0.41321460694558232</v>
      </c>
      <c r="O30" s="149">
        <f>O23</f>
        <v>322</v>
      </c>
      <c r="P30" s="207">
        <f>O30/O$25</f>
        <v>0.42407448925473823</v>
      </c>
      <c r="Q30" s="149">
        <f>Q23</f>
        <v>355.20000000000005</v>
      </c>
      <c r="R30" s="207">
        <f>Q30/Q$25</f>
        <v>0.43333418324741269</v>
      </c>
      <c r="S30" s="149">
        <f>S23</f>
        <v>388.40000000000003</v>
      </c>
      <c r="T30" s="207">
        <f>S30/S$25</f>
        <v>0.44193999978001608</v>
      </c>
      <c r="U30" s="149">
        <f>U23</f>
        <v>421.59999999999997</v>
      </c>
      <c r="V30" s="207">
        <f>U30/U$25</f>
        <v>0.44946025856971067</v>
      </c>
      <c r="W30" s="149">
        <f>W23</f>
        <v>488</v>
      </c>
      <c r="X30" s="207">
        <f>W30/W$25</f>
        <v>0.46219826705010814</v>
      </c>
      <c r="Y30" s="149">
        <f>Y23</f>
        <v>510.40000000000009</v>
      </c>
      <c r="Z30" s="207">
        <f>Y30/Y$25</f>
        <v>0.45281267288767568</v>
      </c>
      <c r="AA30" s="149">
        <f>AA23</f>
        <v>565.6</v>
      </c>
      <c r="AB30" s="207">
        <f>AA30/AA$25</f>
        <v>0.46760532391038423</v>
      </c>
      <c r="AC30" s="149">
        <f>AC23</f>
        <v>554.40000000000009</v>
      </c>
      <c r="AD30" s="207">
        <f>AC30/AC$25</f>
        <v>0.47196615532743291</v>
      </c>
      <c r="AE30" s="149">
        <f>AE23</f>
        <v>620.80000000000007</v>
      </c>
      <c r="AF30" s="207">
        <f>AE30/AE$25</f>
        <v>0.48032044677641833</v>
      </c>
      <c r="AG30" s="149">
        <f>AG23</f>
        <v>676</v>
      </c>
      <c r="AH30" s="207">
        <f>AG30/AG$25</f>
        <v>0.4916862057180415</v>
      </c>
      <c r="AI30" s="149">
        <f>AI23</f>
        <v>687.2</v>
      </c>
      <c r="AJ30" s="207">
        <f>AI30/AI$25</f>
        <v>0.48710167591825526</v>
      </c>
      <c r="AK30" s="149">
        <f>AK23</f>
        <v>753.6</v>
      </c>
      <c r="AL30" s="207">
        <f>AK30/AK$25</f>
        <v>0.49299892677657553</v>
      </c>
      <c r="AM30" s="149">
        <f>AM23</f>
        <v>731.2</v>
      </c>
      <c r="AN30" s="207">
        <f>AM30/AM$25</f>
        <v>0.50141354572488217</v>
      </c>
    </row>
    <row r="31" spans="1:40" x14ac:dyDescent="0.2">
      <c r="A31" s="154"/>
      <c r="B31" s="172"/>
      <c r="C31" s="154"/>
      <c r="D31" s="227"/>
      <c r="E31" s="154"/>
      <c r="F31" s="154"/>
      <c r="G31" s="154"/>
      <c r="H31" s="154"/>
      <c r="I31" s="154"/>
      <c r="J31" s="154"/>
      <c r="K31" s="154"/>
      <c r="L31" s="154"/>
      <c r="M31" s="154"/>
      <c r="N31" s="154"/>
      <c r="O31" s="154"/>
      <c r="P31" s="154"/>
      <c r="Q31" s="228"/>
      <c r="R31" s="229"/>
      <c r="S31" s="154"/>
      <c r="T31" s="230"/>
      <c r="U31" s="154"/>
      <c r="V31" s="154"/>
      <c r="W31" s="154"/>
      <c r="X31" s="154"/>
      <c r="Y31" s="154"/>
      <c r="Z31" s="154"/>
      <c r="AA31" s="154"/>
      <c r="AB31" s="154"/>
      <c r="AC31" s="154"/>
      <c r="AD31" s="154"/>
      <c r="AE31" s="154"/>
      <c r="AF31" s="154"/>
      <c r="AG31" s="154"/>
      <c r="AH31" s="154"/>
      <c r="AI31" s="154"/>
      <c r="AJ31" s="154"/>
      <c r="AK31" s="154"/>
      <c r="AL31" s="154"/>
      <c r="AM31" s="154"/>
      <c r="AN31" s="154"/>
    </row>
    <row r="32" spans="1:40" x14ac:dyDescent="0.2">
      <c r="A32" s="154"/>
      <c r="B32" s="172"/>
      <c r="C32" s="154"/>
      <c r="D32" s="227"/>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54"/>
      <c r="AJ32" s="154"/>
      <c r="AK32" s="154"/>
      <c r="AL32" s="154"/>
      <c r="AM32" s="154"/>
      <c r="AN32" s="154"/>
    </row>
    <row r="33" spans="1:40" ht="15" customHeight="1" x14ac:dyDescent="0.2">
      <c r="A33" s="154"/>
      <c r="B33" s="172"/>
      <c r="C33" s="154"/>
      <c r="D33" s="227"/>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4"/>
      <c r="AC33" s="154"/>
      <c r="AD33" s="154"/>
      <c r="AE33" s="154"/>
      <c r="AF33" s="154"/>
      <c r="AG33" s="154"/>
      <c r="AH33" s="154"/>
      <c r="AI33" s="154"/>
      <c r="AJ33" s="154"/>
      <c r="AK33" s="154"/>
      <c r="AL33" s="154"/>
      <c r="AM33" s="154"/>
      <c r="AN33" s="154"/>
    </row>
    <row r="34" spans="1:40" ht="36" x14ac:dyDescent="0.2">
      <c r="A34" s="154"/>
      <c r="B34" s="1375" t="s">
        <v>1462</v>
      </c>
      <c r="C34" s="1568" t="s">
        <v>1463</v>
      </c>
      <c r="D34" s="1569"/>
      <c r="E34" s="149">
        <f>(VLOOKUP("Prix HT",$C$1:$N$34,E$1,0))-(VLOOKUP("Non margé",$D$1:$N$34,E$1,0))</f>
        <v>338.11316999999991</v>
      </c>
      <c r="F34" s="207">
        <f>E34/VLOOKUP("Prix HT",$C$1:$N$34,E$1,0)</f>
        <v>0.86065186506634583</v>
      </c>
      <c r="G34" s="149">
        <f>(VLOOKUP("Prix HT",$C$1:$N$34,G$1,0))-(VLOOKUP("Non margé",$D$1:$N$34,G$1,0))</f>
        <v>416.11235000000005</v>
      </c>
      <c r="H34" s="207">
        <f>G34/VLOOKUP("Prix HT",$C$1:$N$34,G$1,0)</f>
        <v>0.86273053539711231</v>
      </c>
      <c r="I34" s="149">
        <f>(VLOOKUP("Prix HT",$C$1:$N$34,I$1,0))-(VLOOKUP("Non margé",$D$1:$N$34,I$1,0))</f>
        <v>500.06850000000003</v>
      </c>
      <c r="J34" s="207">
        <f>I34/VLOOKUP("Prix HT",$C$1:$N$34,I$1,0)</f>
        <v>0.86497562111877346</v>
      </c>
      <c r="K34" s="149">
        <f>(VLOOKUP("Prix HT",$C$1:$N$34,K$1,0))-(VLOOKUP("Non margé",$D$1:$N$34,K$1,0))</f>
        <v>553.38930000000005</v>
      </c>
      <c r="L34" s="207">
        <f>K34/VLOOKUP("Prix HT",$C$1:$N$34,K$1,0)</f>
        <v>0.86667455991610609</v>
      </c>
      <c r="M34" s="149">
        <f>(VLOOKUP("Prix HT",$C$1:$N$34,M$1,0))-(VLOOKUP("Non margé",$D$1:$N$34,M$1,0))</f>
        <v>606.71010000000012</v>
      </c>
      <c r="N34" s="207">
        <f>M34/VLOOKUP("Prix HT",$C$1:$N$34,M$1,0)</f>
        <v>0.86807990132068902</v>
      </c>
      <c r="O34" s="149">
        <f>(VLOOKUP("Prix HT",$C$1:$AM$34,O$1,0))-(VLOOKUP("Non margé",$D$1:$AM$34,O$1,0))</f>
        <v>660.03089999999997</v>
      </c>
      <c r="P34" s="207">
        <f>O34/VLOOKUP("Prix HT",$C$1:$AM$34,O$1,0)</f>
        <v>0.8692616981672211</v>
      </c>
      <c r="Q34" s="149">
        <f>(VLOOKUP("Prix HT",$C$1:$AM$34,Q$1,0))-(VLOOKUP("Non margé",$D$1:$AM$34,Q$1,0))</f>
        <v>713.35170000000016</v>
      </c>
      <c r="R34" s="207">
        <f>Q34/VLOOKUP("Prix HT",$C$1:$AM$34,Q$1,0)</f>
        <v>0.87026935891794321</v>
      </c>
      <c r="S34" s="149">
        <f>(VLOOKUP("Prix HT",$C$1:$AM$34,S$1,0))-(VLOOKUP("Non margé",$D$1:$AM$34,S$1,0))</f>
        <v>766.38900000000012</v>
      </c>
      <c r="T34" s="207">
        <f>S34/VLOOKUP("Prix HT",$C$1:$AM$34,S$1,0)</f>
        <v>0.87203386841247887</v>
      </c>
      <c r="U34" s="149">
        <f>(VLOOKUP("Prix HT",$C$1:$AM$34,U$1,0))-(VLOOKUP("Non margé",$D$1:$AM$34,U$1,0))</f>
        <v>819.42629999999997</v>
      </c>
      <c r="V34" s="207">
        <f>U34/VLOOKUP("Prix HT",$C$1:$AM$34,U$1,0)</f>
        <v>0.87357579856931056</v>
      </c>
      <c r="W34" s="149">
        <f>(VLOOKUP("Prix HT",$C$1:$AM$34,W$1,0))-(VLOOKUP("Non margé",$D$1:$AM$34,W$1,0))</f>
        <v>925.38244999999995</v>
      </c>
      <c r="X34" s="207">
        <f>W34/VLOOKUP("Prix HT",$C$1:$AM$34,W$1,0)</f>
        <v>0.87645525563234283</v>
      </c>
      <c r="Y34" s="149">
        <f>(VLOOKUP("Prix HT",$C$1:$AM$34,Y$1,0))-(VLOOKUP("Non margé",$D$1:$AM$34,Y$1,0))</f>
        <v>986.77160000000003</v>
      </c>
      <c r="Z34" s="207">
        <f>Y34/VLOOKUP("Prix HT",$C$1:$AM$34,Y$1,0)</f>
        <v>0.87543629648442056</v>
      </c>
      <c r="AA34" s="149">
        <f>(VLOOKUP("Prix HT",$C$1:$AM$34,AA$1,0))-(VLOOKUP("Non margé",$D$1:$AM$34,AA$1,0))</f>
        <v>1062.0924</v>
      </c>
      <c r="AB34" s="207">
        <f>AA34/VLOOKUP("Prix HT",$C$1:$AM$34,AA$1,0)</f>
        <v>0.87807648642991043</v>
      </c>
      <c r="AC34" s="149">
        <f>(VLOOKUP("Prix HT",$C$1:$AM$34,AC$1,0))-(VLOOKUP("Non margé",$D$1:$AM$34,AC$1,0))</f>
        <v>1031.5755000000001</v>
      </c>
      <c r="AD34" s="207">
        <f>AC34/VLOOKUP("Prix HT",$C$1:$AM$34,AC$1,0)</f>
        <v>0.87819033669728397</v>
      </c>
      <c r="AE34" s="149">
        <f>(VLOOKUP("Prix HT",$C$1:$AM$34,AE$1,0))-(VLOOKUP("Non margé",$D$1:$AM$34,AE$1,0))</f>
        <v>1137.5316500000001</v>
      </c>
      <c r="AF34" s="207">
        <f>AE34/VLOOKUP("Prix HT",$C$1:$AM$34,AE$1,0)</f>
        <v>0.88012195610553534</v>
      </c>
      <c r="AG34" s="149">
        <f>(VLOOKUP("Prix HT",$C$1:$AM$34,AG$1,0))-(VLOOKUP("Non margé",$D$1:$AM$34,AG$1,0))</f>
        <v>1212.8524499999999</v>
      </c>
      <c r="AH34" s="207">
        <f>AG34/VLOOKUP("Prix HT",$C$1:$AM$34,AG$1,0)</f>
        <v>0.88216393378155411</v>
      </c>
      <c r="AI34" s="149">
        <f>(VLOOKUP("Prix HT",$C$1:$AM$34,AI$1,0))-(VLOOKUP("Non margé",$D$1:$AM$34,AI$1,0))</f>
        <v>1243.60625</v>
      </c>
      <c r="AJ34" s="207">
        <f>AI34/VLOOKUP("Prix HT",$C$1:$AM$34,AI$1,0)</f>
        <v>0.88149401710916286</v>
      </c>
      <c r="AK34" s="149">
        <f>(VLOOKUP("Prix HT",$C$1:$AM$34,AK$1,0))-(VLOOKUP("Non margé",$D$1:$AM$34,AK$1,0))</f>
        <v>1349.5624</v>
      </c>
      <c r="AL34" s="207">
        <f>AK34/VLOOKUP("Prix HT",$C$1:$AM$34,AK$1,0)</f>
        <v>0.88287263112794523</v>
      </c>
      <c r="AM34" s="149" t="e">
        <f>(VLOOKUP("Prix HT",$C$1:$AM$34,AM$1,0))-(VLOOKUP("Non margé",$D$1:$AM$34,AM$1,0))</f>
        <v>#REF!</v>
      </c>
      <c r="AN34" s="207" t="e">
        <f>AM34/VLOOKUP("Prix HT",$C$1:$AM$34,AM$1,0)</f>
        <v>#REF!</v>
      </c>
    </row>
    <row r="36" spans="1:40" x14ac:dyDescent="0.2">
      <c r="AN36" s="135"/>
    </row>
    <row r="37" spans="1:40" x14ac:dyDescent="0.2">
      <c r="AN37" s="135"/>
    </row>
    <row r="38" spans="1:40" x14ac:dyDescent="0.2">
      <c r="AN38" s="135"/>
    </row>
    <row r="39" spans="1:40" x14ac:dyDescent="0.2">
      <c r="AN39" s="135"/>
    </row>
    <row r="40" spans="1:40" x14ac:dyDescent="0.2">
      <c r="AN40" s="135"/>
    </row>
  </sheetData>
  <mergeCells count="43">
    <mergeCell ref="C34:D34"/>
    <mergeCell ref="AE2:AF2"/>
    <mergeCell ref="B2:B3"/>
    <mergeCell ref="C2:C3"/>
    <mergeCell ref="E2:F2"/>
    <mergeCell ref="G2:H2"/>
    <mergeCell ref="I2:J2"/>
    <mergeCell ref="K2:L2"/>
    <mergeCell ref="M2:N2"/>
    <mergeCell ref="O2:P2"/>
    <mergeCell ref="Q2:R2"/>
    <mergeCell ref="S2:T2"/>
    <mergeCell ref="U2:V2"/>
    <mergeCell ref="C28:D28"/>
    <mergeCell ref="C29:D29"/>
    <mergeCell ref="A4:A8"/>
    <mergeCell ref="A10:A14"/>
    <mergeCell ref="A15:A19"/>
    <mergeCell ref="A20:A23"/>
    <mergeCell ref="B25:B30"/>
    <mergeCell ref="AK25:AL25"/>
    <mergeCell ref="Q25:R25"/>
    <mergeCell ref="S25:T25"/>
    <mergeCell ref="U25:V25"/>
    <mergeCell ref="W25:X25"/>
    <mergeCell ref="Y25:Z25"/>
    <mergeCell ref="AA25:AB25"/>
    <mergeCell ref="AM25:AN25"/>
    <mergeCell ref="AM2:AN2"/>
    <mergeCell ref="C30:D30"/>
    <mergeCell ref="AC25:AD25"/>
    <mergeCell ref="AE25:AF25"/>
    <mergeCell ref="AG25:AH25"/>
    <mergeCell ref="AI25:AJ25"/>
    <mergeCell ref="E25:F25"/>
    <mergeCell ref="G25:H25"/>
    <mergeCell ref="I25:J25"/>
    <mergeCell ref="K25:L25"/>
    <mergeCell ref="M25:N25"/>
    <mergeCell ref="O25:P25"/>
    <mergeCell ref="C25:D25"/>
    <mergeCell ref="C26:D26"/>
    <mergeCell ref="C27:D27"/>
  </mergeCells>
  <dataValidations count="8">
    <dataValidation type="list" allowBlank="1" showInputMessage="1" promptTitle="MINIPELLE" prompt="choisir la prestation" sqref="C20:C22" xr:uid="{00000000-0002-0000-1400-000000000000}">
      <formula1>INDIRECT(B20)</formula1>
    </dataValidation>
    <dataValidation type="list" allowBlank="1" showInputMessage="1" showErrorMessage="1" promptTitle="MINIPELLE" prompt="choisir catégorie" sqref="B20:B22" xr:uid="{00000000-0002-0000-1400-000001000000}">
      <formula1>CATEGORIE_MP</formula1>
    </dataValidation>
    <dataValidation type="list" allowBlank="1" showInputMessage="1" showErrorMessage="1" promptTitle="MATIERES" prompt="choisir le produit" sqref="C4:C8" xr:uid="{00000000-0002-0000-1400-000002000000}">
      <formula1>INDIRECT(B4)</formula1>
    </dataValidation>
    <dataValidation type="list" allowBlank="1" showInputMessage="1" showErrorMessage="1" promptTitle="MATIERES" prompt="choisir catégorie" sqref="B4:B8" xr:uid="{00000000-0002-0000-1400-000003000000}">
      <formula1>MOA_ALIM</formula1>
    </dataValidation>
    <dataValidation type="list" allowBlank="1" showInputMessage="1" showErrorMessage="1" promptTitle="Main d'oeuvre ATELIER" prompt="choisir la prestation" sqref="C10:C13" xr:uid="{00000000-0002-0000-1400-000004000000}">
      <formula1>INDIRECT(B10)</formula1>
    </dataValidation>
    <dataValidation type="list" allowBlank="1" showInputMessage="1" showErrorMessage="1" promptTitle="MO ATELIER" prompt="choisir catégorie" sqref="B10:B13" xr:uid="{00000000-0002-0000-1400-000005000000}">
      <formula1>CATEGORIE_MOA</formula1>
    </dataValidation>
    <dataValidation type="list" allowBlank="1" showInputMessage="1" promptTitle="Main d'oeuvre CHANTIER" prompt="choisir la prestation" sqref="C15:C18" xr:uid="{00000000-0002-0000-1400-000006000000}">
      <formula1>INDIRECT(B15)</formula1>
    </dataValidation>
    <dataValidation type="list" allowBlank="1" showInputMessage="1" showErrorMessage="1" promptTitle="Catégorie MOC" prompt="choisir" sqref="B15:B18" xr:uid="{00000000-0002-0000-1400-000007000000}">
      <formula1>CATEGORIE_MOC</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published="0" codeName="Feuil22"/>
  <dimension ref="A1:AN40"/>
  <sheetViews>
    <sheetView zoomScale="115" zoomScaleNormal="115" workbookViewId="0">
      <pane xSplit="4" ySplit="3" topLeftCell="AK30" activePane="bottomRight" state="frozen"/>
      <selection sqref="A1:XFD1"/>
      <selection pane="topRight" sqref="A1:XFD1"/>
      <selection pane="bottomLeft" sqref="A1:XFD1"/>
      <selection pane="bottomRight" activeCell="AK30" sqref="AK30:AL34"/>
    </sheetView>
  </sheetViews>
  <sheetFormatPr baseColWidth="10" defaultColWidth="11.125" defaultRowHeight="18" x14ac:dyDescent="0.2"/>
  <cols>
    <col min="1" max="1" width="18.125" style="210" customWidth="1"/>
    <col min="2" max="2" width="22.5" style="464"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2" width="16.5" style="135" customWidth="1"/>
    <col min="23" max="27" width="12" style="335" customWidth="1"/>
    <col min="28" max="29" width="10.625" style="335" customWidth="1"/>
    <col min="30" max="31" width="11" style="335" customWidth="1"/>
    <col min="32" max="33" width="10.5" style="335" customWidth="1"/>
    <col min="34" max="35" width="11" style="335" customWidth="1"/>
    <col min="36" max="36" width="10.5" style="335" customWidth="1"/>
    <col min="37" max="37" width="10.625" style="335" customWidth="1"/>
    <col min="38" max="39" width="11" style="335" customWidth="1"/>
    <col min="40" max="807" width="11.5" customWidth="1"/>
  </cols>
  <sheetData>
    <row r="1" spans="1:40"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1111">
        <v>21</v>
      </c>
      <c r="X1" s="1111" t="s">
        <v>460</v>
      </c>
      <c r="Y1" s="1111">
        <v>23</v>
      </c>
      <c r="Z1" s="1111" t="s">
        <v>461</v>
      </c>
      <c r="AA1" s="1111">
        <v>25</v>
      </c>
      <c r="AB1" s="1111" t="s">
        <v>462</v>
      </c>
      <c r="AC1" s="1111">
        <v>27</v>
      </c>
      <c r="AD1" s="1111" t="s">
        <v>463</v>
      </c>
      <c r="AE1" s="1111">
        <v>29</v>
      </c>
      <c r="AF1" s="1111">
        <v>16</v>
      </c>
      <c r="AG1" s="1111">
        <v>31</v>
      </c>
      <c r="AH1" s="1111" t="s">
        <v>464</v>
      </c>
      <c r="AI1" s="1111">
        <v>33</v>
      </c>
      <c r="AJ1" s="1111" t="s">
        <v>465</v>
      </c>
      <c r="AK1" s="1111">
        <v>35</v>
      </c>
      <c r="AL1" s="1111" t="s">
        <v>466</v>
      </c>
      <c r="AM1" s="1111">
        <v>37</v>
      </c>
      <c r="AN1" t="s">
        <v>467</v>
      </c>
    </row>
    <row r="2" spans="1:40" ht="35.1" customHeight="1" x14ac:dyDescent="0.2">
      <c r="A2" s="174"/>
      <c r="B2" s="1572" t="s">
        <v>1427</v>
      </c>
      <c r="C2" s="1574" t="s">
        <v>468</v>
      </c>
      <c r="D2" s="115" t="s">
        <v>203</v>
      </c>
      <c r="E2" s="1571">
        <v>2</v>
      </c>
      <c r="F2" s="1571"/>
      <c r="G2" s="1571">
        <v>3</v>
      </c>
      <c r="H2" s="1571"/>
      <c r="I2" s="1571">
        <v>4</v>
      </c>
      <c r="J2" s="1571"/>
      <c r="K2" s="1571">
        <v>5</v>
      </c>
      <c r="L2" s="1571"/>
      <c r="M2" s="1571">
        <v>6</v>
      </c>
      <c r="N2" s="1571"/>
      <c r="O2" s="1571">
        <v>7</v>
      </c>
      <c r="P2" s="1571"/>
      <c r="Q2" s="1571">
        <v>8</v>
      </c>
      <c r="R2" s="1571"/>
      <c r="S2" s="1571">
        <v>9</v>
      </c>
      <c r="T2" s="1571"/>
      <c r="U2" s="1571">
        <v>10</v>
      </c>
      <c r="V2" s="1571"/>
      <c r="W2" s="1112">
        <v>12</v>
      </c>
      <c r="X2" s="1112" t="s">
        <v>469</v>
      </c>
      <c r="Y2" s="1112">
        <v>12</v>
      </c>
      <c r="Z2" s="1112" t="s">
        <v>470</v>
      </c>
      <c r="AA2" s="1112">
        <v>14</v>
      </c>
      <c r="AB2" s="1113" t="s">
        <v>471</v>
      </c>
      <c r="AC2" s="1112">
        <v>14</v>
      </c>
      <c r="AD2" s="1113" t="s">
        <v>472</v>
      </c>
      <c r="AE2" s="1639">
        <v>16</v>
      </c>
      <c r="AF2" s="1639"/>
      <c r="AG2" s="1112">
        <v>18</v>
      </c>
      <c r="AH2" s="1113" t="s">
        <v>473</v>
      </c>
      <c r="AI2" s="1112">
        <v>18</v>
      </c>
      <c r="AJ2" s="1113" t="s">
        <v>474</v>
      </c>
      <c r="AK2" s="1112">
        <v>20</v>
      </c>
      <c r="AL2" s="1113" t="s">
        <v>475</v>
      </c>
      <c r="AM2" s="1637">
        <v>20</v>
      </c>
      <c r="AN2" s="1638"/>
    </row>
    <row r="3" spans="1:40" ht="35.1" customHeight="1" x14ac:dyDescent="0.2">
      <c r="A3" s="174"/>
      <c r="B3" s="1573"/>
      <c r="C3" s="1574"/>
      <c r="D3" s="176" t="s">
        <v>222</v>
      </c>
      <c r="E3" s="236" t="s">
        <v>444</v>
      </c>
      <c r="F3" s="466" t="s">
        <v>477</v>
      </c>
      <c r="G3" s="236" t="s">
        <v>444</v>
      </c>
      <c r="H3" s="466" t="s">
        <v>477</v>
      </c>
      <c r="I3" s="236" t="s">
        <v>444</v>
      </c>
      <c r="J3" s="466" t="s">
        <v>477</v>
      </c>
      <c r="K3" s="236" t="s">
        <v>444</v>
      </c>
      <c r="L3" s="466" t="s">
        <v>477</v>
      </c>
      <c r="M3" s="236" t="s">
        <v>444</v>
      </c>
      <c r="N3" s="466" t="s">
        <v>477</v>
      </c>
      <c r="O3" s="236" t="s">
        <v>444</v>
      </c>
      <c r="P3" s="466" t="s">
        <v>477</v>
      </c>
      <c r="Q3" s="220" t="s">
        <v>444</v>
      </c>
      <c r="R3" s="467" t="s">
        <v>477</v>
      </c>
      <c r="S3" s="236" t="s">
        <v>444</v>
      </c>
      <c r="T3" s="466" t="s">
        <v>477</v>
      </c>
      <c r="U3" s="236" t="s">
        <v>444</v>
      </c>
      <c r="V3" s="466" t="s">
        <v>477</v>
      </c>
      <c r="W3" s="1114" t="s">
        <v>444</v>
      </c>
      <c r="X3" s="1114" t="s">
        <v>477</v>
      </c>
      <c r="Y3" s="1114" t="s">
        <v>444</v>
      </c>
      <c r="Z3" s="1114" t="s">
        <v>477</v>
      </c>
      <c r="AA3" s="1114" t="s">
        <v>444</v>
      </c>
      <c r="AB3" s="1115" t="s">
        <v>477</v>
      </c>
      <c r="AC3" s="1114" t="s">
        <v>444</v>
      </c>
      <c r="AD3" s="1115" t="s">
        <v>477</v>
      </c>
      <c r="AE3" s="1114" t="s">
        <v>444</v>
      </c>
      <c r="AF3" s="1115" t="s">
        <v>477</v>
      </c>
      <c r="AG3" s="1114" t="s">
        <v>444</v>
      </c>
      <c r="AH3" s="1115" t="s">
        <v>477</v>
      </c>
      <c r="AI3" s="1114" t="s">
        <v>444</v>
      </c>
      <c r="AJ3" s="1115" t="s">
        <v>477</v>
      </c>
      <c r="AK3" s="1114" t="s">
        <v>444</v>
      </c>
      <c r="AL3" s="1115" t="s">
        <v>477</v>
      </c>
      <c r="AM3" s="1114" t="s">
        <v>444</v>
      </c>
      <c r="AN3" s="1115" t="s">
        <v>477</v>
      </c>
    </row>
    <row r="4" spans="1:40" ht="15" customHeight="1" x14ac:dyDescent="0.2">
      <c r="A4" s="1630" t="s">
        <v>1078</v>
      </c>
      <c r="B4" s="361" t="s">
        <v>239</v>
      </c>
      <c r="C4" s="362" t="s">
        <v>775</v>
      </c>
      <c r="D4" s="363" t="str">
        <f>IF($C4="","",VLOOKUP($C4,MATIERES!$A$2:$F$227,5,0))</f>
        <v>ml</v>
      </c>
      <c r="E4" s="364">
        <f>4*1.3</f>
        <v>5.2</v>
      </c>
      <c r="F4" s="365">
        <f>IF($C4="","",E4*VLOOKUP($C4,MATIERES!$A$2:$F$349,4,0))</f>
        <v>5.3352000000000004</v>
      </c>
      <c r="G4" s="364">
        <f>4*1.3</f>
        <v>5.2</v>
      </c>
      <c r="H4" s="365">
        <f>IF($C4="","",G4*VLOOKUP($C4,MATIERES!$A$2:$F$349,4,0))</f>
        <v>5.3352000000000004</v>
      </c>
      <c r="I4" s="364">
        <f>4*1.3</f>
        <v>5.2</v>
      </c>
      <c r="J4" s="365">
        <f>IF($C4="","",I4*VLOOKUP($C4,MATIERES!$A$2:$F$349,4,0))</f>
        <v>5.3352000000000004</v>
      </c>
      <c r="K4" s="364">
        <f>4*1.3</f>
        <v>5.2</v>
      </c>
      <c r="L4" s="365">
        <f>IF($C4="","",K4*VLOOKUP($C4,MATIERES!$A$2:$F$349,4,0))</f>
        <v>5.3352000000000004</v>
      </c>
      <c r="M4" s="364">
        <f>4*1.3</f>
        <v>5.2</v>
      </c>
      <c r="N4" s="365">
        <f>IF($C4="","",M4*VLOOKUP($C4,MATIERES!$A$2:$F$349,4,0))</f>
        <v>5.3352000000000004</v>
      </c>
      <c r="O4" s="364">
        <f>4*1.3</f>
        <v>5.2</v>
      </c>
      <c r="P4" s="365">
        <f>IF($C4="","",O4*VLOOKUP($C4,MATIERES!$A$2:$F$349,4,0))</f>
        <v>5.3352000000000004</v>
      </c>
      <c r="Q4" s="364">
        <f>4*1.3</f>
        <v>5.2</v>
      </c>
      <c r="R4" s="365">
        <f>IF($C4="","",Q4*VLOOKUP($C4,MATIERES!$A$2:$F$349,4,0))</f>
        <v>5.3352000000000004</v>
      </c>
      <c r="S4" s="364">
        <f>4*1.3</f>
        <v>5.2</v>
      </c>
      <c r="T4" s="365">
        <f>IF($C4="","",S4*VLOOKUP($C4,MATIERES!$A$2:$F$349,4,0))</f>
        <v>5.3352000000000004</v>
      </c>
      <c r="U4" s="364">
        <f>4*1.3</f>
        <v>5.2</v>
      </c>
      <c r="V4" s="365">
        <f>IF($C4="","",U4*VLOOKUP($C4,MATIERES!$A$2:$F$349,4,0))</f>
        <v>5.3352000000000004</v>
      </c>
      <c r="W4" s="1116">
        <f>4*1.3</f>
        <v>5.2</v>
      </c>
      <c r="X4" s="1116">
        <f>IF($C4="","",W4*VLOOKUP($C4,MATIERES!$A$2:$F$349,4,0))</f>
        <v>5.3352000000000004</v>
      </c>
      <c r="Y4" s="1116">
        <f>4*1.3</f>
        <v>5.2</v>
      </c>
      <c r="Z4" s="1116">
        <f>IF($C4="","",Y4*VLOOKUP($C4,MATIERES!$A$2:$F$349,4,0))</f>
        <v>5.3352000000000004</v>
      </c>
      <c r="AA4" s="1116">
        <f>4*1.3</f>
        <v>5.2</v>
      </c>
      <c r="AB4" s="1117">
        <f>IF($C4="","",AA4*VLOOKUP($C4,MATIERES!$A$2:$F$349,4,0))</f>
        <v>5.3352000000000004</v>
      </c>
      <c r="AC4" s="1116">
        <f>4*1.3</f>
        <v>5.2</v>
      </c>
      <c r="AD4" s="1117">
        <f>IF($C4="","",AC4*VLOOKUP($C4,MATIERES!$A$2:$F$349,4,0))</f>
        <v>5.3352000000000004</v>
      </c>
      <c r="AE4" s="1116">
        <f>4*1.3</f>
        <v>5.2</v>
      </c>
      <c r="AF4" s="1117">
        <f>IF($C4="","",AE4*VLOOKUP($C4,MATIERES!$A$2:$F$349,4,0))</f>
        <v>5.3352000000000004</v>
      </c>
      <c r="AG4" s="1116">
        <f>4*1.3</f>
        <v>5.2</v>
      </c>
      <c r="AH4" s="1117">
        <f>IF($C4="","",AG4*VLOOKUP($C4,MATIERES!$A$2:$F$349,4,0))</f>
        <v>5.3352000000000004</v>
      </c>
      <c r="AI4" s="1116">
        <f>4*1.3</f>
        <v>5.2</v>
      </c>
      <c r="AJ4" s="1117">
        <f>IF($C4="","",AI4*VLOOKUP($C4,MATIERES!$A$2:$F$349,4,0))</f>
        <v>5.3352000000000004</v>
      </c>
      <c r="AK4" s="1116">
        <f>4*1.3</f>
        <v>5.2</v>
      </c>
      <c r="AL4" s="1117">
        <f>IF($C4="","",AK4*VLOOKUP($C4,MATIERES!$A$2:$F$349,4,0))</f>
        <v>5.3352000000000004</v>
      </c>
      <c r="AM4" s="1116">
        <f>4*1.3</f>
        <v>5.2</v>
      </c>
      <c r="AN4" s="1117">
        <f>IF($C4="","",AM4*VLOOKUP($C4,MATIERES!$A$2:$F$349,4,0))</f>
        <v>5.3352000000000004</v>
      </c>
    </row>
    <row r="5" spans="1:40" ht="15" customHeight="1" x14ac:dyDescent="0.2">
      <c r="A5" s="1631"/>
      <c r="B5" s="361" t="s">
        <v>239</v>
      </c>
      <c r="C5" s="362" t="s">
        <v>772</v>
      </c>
      <c r="D5" s="363" t="str">
        <f>IF($C5="","",VLOOKUP($C5,MATIERES!$A$2:$F$227,5,0))</f>
        <v>ml</v>
      </c>
      <c r="E5" s="364">
        <f>1.1*'Outils de calculs'!E26*4</f>
        <v>36.08</v>
      </c>
      <c r="F5" s="365">
        <f>IF($C5="","",E5*VLOOKUP($C5,MATIERES!$A$2:$F$349,4,0))</f>
        <v>201.37835520000002</v>
      </c>
      <c r="G5" s="364">
        <f>1.1*'Outils de calculs'!G26*4</f>
        <v>44</v>
      </c>
      <c r="H5" s="365">
        <f>IF($C5="","",G5*VLOOKUP($C5,MATIERES!$A$2:$F$349,4,0))</f>
        <v>245.58336000000003</v>
      </c>
      <c r="I5" s="364">
        <f>1.1*'Outils de calculs'!I26*4</f>
        <v>52.800000000000004</v>
      </c>
      <c r="J5" s="365">
        <f>IF($C5="","",I5*VLOOKUP($C5,MATIERES!$A$2:$F$349,4,0))</f>
        <v>294.70003200000008</v>
      </c>
      <c r="K5" s="364">
        <f>1.1*'Outils de calculs'!K26*4</f>
        <v>57.2</v>
      </c>
      <c r="L5" s="365">
        <f>IF($C5="","",K5*VLOOKUP($C5,MATIERES!$A$2:$F$349,4,0))</f>
        <v>319.25836800000008</v>
      </c>
      <c r="M5" s="364">
        <f>1.1*'Outils de calculs'!M26*4</f>
        <v>61.600000000000009</v>
      </c>
      <c r="N5" s="365">
        <f>IF($C5="","",M5*VLOOKUP($C5,MATIERES!$A$2:$F$349,4,0))</f>
        <v>343.81670400000007</v>
      </c>
      <c r="O5" s="364">
        <f>1.1*'Outils de calculs'!O26*4</f>
        <v>66</v>
      </c>
      <c r="P5" s="365">
        <f>IF($C5="","",O5*VLOOKUP($C5,MATIERES!$A$2:$F$349,4,0))</f>
        <v>368.37504000000001</v>
      </c>
      <c r="Q5" s="364">
        <f>1.1*'Outils de calculs'!Q26*4</f>
        <v>70.400000000000006</v>
      </c>
      <c r="R5" s="365">
        <f>IF($C5="","",Q5*VLOOKUP($C5,MATIERES!$A$2:$F$349,4,0))</f>
        <v>392.93337600000007</v>
      </c>
      <c r="S5" s="364">
        <f>1.1*'Outils de calculs'!S26*4</f>
        <v>74.800000000000011</v>
      </c>
      <c r="T5" s="365">
        <f>IF($C5="","",S5*VLOOKUP($C5,MATIERES!$A$2:$F$349,4,0))</f>
        <v>417.49171200000012</v>
      </c>
      <c r="U5" s="364">
        <f>1.1*'Outils de calculs'!U26*4</f>
        <v>79.2</v>
      </c>
      <c r="V5" s="365">
        <f>IF($C5="","",U5*VLOOKUP($C5,MATIERES!$A$2:$F$349,4,0))</f>
        <v>442.05004800000006</v>
      </c>
      <c r="W5" s="1116">
        <f>1.1*'Outils de calculs'!W26*4</f>
        <v>88</v>
      </c>
      <c r="X5" s="1116">
        <f>IF($C5="","",W5*VLOOKUP($C5,MATIERES!$A$2:$F$349,4,0))</f>
        <v>491.16672000000005</v>
      </c>
      <c r="Y5" s="1116">
        <f>1.1*'Outils de calculs'!Y26*4</f>
        <v>96.800000000000011</v>
      </c>
      <c r="Z5" s="1116">
        <f>IF($C5="","",Y5*VLOOKUP($C5,MATIERES!$A$2:$F$349,4,0))</f>
        <v>540.28339200000016</v>
      </c>
      <c r="AA5" s="1116">
        <f>1.1*'Outils de calculs'!AA26*4</f>
        <v>101.2</v>
      </c>
      <c r="AB5" s="1117">
        <f>IF($C5="","",AA5*VLOOKUP($C5,MATIERES!$A$2:$F$349,4,0))</f>
        <v>564.8417280000001</v>
      </c>
      <c r="AC5" s="1116">
        <f>1.1*'Outils de calculs'!AC26*4</f>
        <v>96.800000000000011</v>
      </c>
      <c r="AD5" s="1117">
        <f>IF($C5="","",AC5*VLOOKUP($C5,MATIERES!$A$2:$F$349,4,0))</f>
        <v>540.28339200000016</v>
      </c>
      <c r="AE5" s="1116">
        <f>1.1*'Outils de calculs'!AE26*4</f>
        <v>105.60000000000001</v>
      </c>
      <c r="AF5" s="1117">
        <f>IF($C5="","",AE5*VLOOKUP($C5,MATIERES!$A$2:$F$349,4,0))</f>
        <v>589.40006400000016</v>
      </c>
      <c r="AG5" s="1116">
        <f>1.1*'Outils de calculs'!AG26*4</f>
        <v>110.00000000000001</v>
      </c>
      <c r="AH5" s="1117">
        <f>IF($C5="","",AG5*VLOOKUP($C5,MATIERES!$A$2:$F$349,4,0))</f>
        <v>613.9584000000001</v>
      </c>
      <c r="AI5" s="1116">
        <f>1.1*'Outils de calculs'!AI26*4</f>
        <v>114.4</v>
      </c>
      <c r="AJ5" s="1117">
        <f>IF($C5="","",AI5*VLOOKUP($C5,MATIERES!$A$2:$F$349,4,0))</f>
        <v>638.51673600000015</v>
      </c>
      <c r="AK5" s="1116">
        <f>1.1*'Outils de calculs'!AK26*4</f>
        <v>123.20000000000002</v>
      </c>
      <c r="AL5" s="1117">
        <f>IF($C5="","",AK5*VLOOKUP($C5,MATIERES!$A$2:$F$349,4,0))</f>
        <v>687.63340800000014</v>
      </c>
      <c r="AM5" s="1116">
        <f>1.1*'Outils de calculs'!AM26*4</f>
        <v>114.4</v>
      </c>
      <c r="AN5" s="1117">
        <f>IF($C5="","",AM5*VLOOKUP($C5,MATIERES!$A$2:$F$349,4,0))</f>
        <v>638.51673600000015</v>
      </c>
    </row>
    <row r="6" spans="1:40" ht="15" customHeight="1" x14ac:dyDescent="0.2">
      <c r="A6" s="1631"/>
      <c r="B6" s="361" t="s">
        <v>239</v>
      </c>
      <c r="C6" s="362" t="s">
        <v>774</v>
      </c>
      <c r="D6" s="363" t="str">
        <f>IF($C6="","",VLOOKUP($C6,MATIERES!$A$2:$F$227,5,0))</f>
        <v>ml</v>
      </c>
      <c r="E6" s="364">
        <f>'Outils de calculs'!E32</f>
        <v>2.5</v>
      </c>
      <c r="F6" s="365">
        <f>IF($C6="","",E6*VLOOKUP($C6,MATIERES!$A$2:$F$349,4,0))</f>
        <v>3.5910000000000002</v>
      </c>
      <c r="G6" s="364">
        <f>'Outils de calculs'!G32</f>
        <v>3</v>
      </c>
      <c r="H6" s="365">
        <f>IF($C6="","",G6*VLOOKUP($C6,MATIERES!$A$2:$F$349,4,0))</f>
        <v>4.3092000000000006</v>
      </c>
      <c r="I6" s="364">
        <f>'Outils de calculs'!I32</f>
        <v>4</v>
      </c>
      <c r="J6" s="365">
        <f>IF($C6="","",I6*VLOOKUP($C6,MATIERES!$A$2:$F$349,4,0))</f>
        <v>5.7456000000000005</v>
      </c>
      <c r="K6" s="364">
        <f>'Outils de calculs'!K32</f>
        <v>4</v>
      </c>
      <c r="L6" s="365">
        <f>IF($C6="","",K6*VLOOKUP($C6,MATIERES!$A$2:$F$349,4,0))</f>
        <v>5.7456000000000005</v>
      </c>
      <c r="M6" s="364">
        <f>'Outils de calculs'!M32</f>
        <v>4</v>
      </c>
      <c r="N6" s="365">
        <f>IF($C6="","",M6*VLOOKUP($C6,MATIERES!$A$2:$F$349,4,0))</f>
        <v>5.7456000000000005</v>
      </c>
      <c r="O6" s="364">
        <f>'Outils de calculs'!O32</f>
        <v>4</v>
      </c>
      <c r="P6" s="365">
        <f>IF($C6="","",O6*VLOOKUP($C6,MATIERES!$A$2:$F$349,4,0))</f>
        <v>5.7456000000000005</v>
      </c>
      <c r="Q6" s="364">
        <f>'Outils de calculs'!Q32</f>
        <v>4</v>
      </c>
      <c r="R6" s="365">
        <f>IF($C6="","",Q6*VLOOKUP($C6,MATIERES!$A$2:$F$349,4,0))</f>
        <v>5.7456000000000005</v>
      </c>
      <c r="S6" s="364">
        <f>'Outils de calculs'!S32</f>
        <v>4.5</v>
      </c>
      <c r="T6" s="365">
        <f>IF($C6="","",S6*VLOOKUP($C6,MATIERES!$A$2:$F$349,4,0))</f>
        <v>6.4638000000000009</v>
      </c>
      <c r="U6" s="364">
        <f>'Outils de calculs'!U32</f>
        <v>5</v>
      </c>
      <c r="V6" s="365">
        <f>IF($C6="","",U6*VLOOKUP($C6,MATIERES!$A$2:$F$349,4,0))</f>
        <v>7.1820000000000004</v>
      </c>
      <c r="W6" s="1116">
        <f>'Outils de calculs'!W32</f>
        <v>6</v>
      </c>
      <c r="X6" s="1116">
        <f>IF($C6="","",W6*VLOOKUP($C6,MATIERES!$A$2:$F$349,4,0))</f>
        <v>8.6184000000000012</v>
      </c>
      <c r="Y6" s="1116">
        <f>'Outils de calculs'!Y32</f>
        <v>8</v>
      </c>
      <c r="Z6" s="1116">
        <f>IF($C6="","",Y6*VLOOKUP($C6,MATIERES!$A$2:$F$349,4,0))</f>
        <v>11.491200000000001</v>
      </c>
      <c r="AA6" s="1116">
        <f>'Outils de calculs'!AA32</f>
        <v>8</v>
      </c>
      <c r="AB6" s="1117">
        <f>IF($C6="","",AA6*VLOOKUP($C6,MATIERES!$A$2:$F$349,4,0))</f>
        <v>11.491200000000001</v>
      </c>
      <c r="AC6" s="1116">
        <f>'Outils de calculs'!AC32</f>
        <v>7</v>
      </c>
      <c r="AD6" s="1117">
        <f>IF($C6="","",AC6*VLOOKUP($C6,MATIERES!$A$2:$F$349,4,0))</f>
        <v>10.0548</v>
      </c>
      <c r="AE6" s="1116">
        <f>'Outils de calculs'!AE32</f>
        <v>8</v>
      </c>
      <c r="AF6" s="1117">
        <f>IF($C6="","",AE6*VLOOKUP($C6,MATIERES!$A$2:$F$349,4,0))</f>
        <v>11.491200000000001</v>
      </c>
      <c r="AG6" s="1116">
        <f>'Outils de calculs'!AG32</f>
        <v>8</v>
      </c>
      <c r="AH6" s="1117">
        <f>IF($C6="","",AG6*VLOOKUP($C6,MATIERES!$A$2:$F$349,4,0))</f>
        <v>11.491200000000001</v>
      </c>
      <c r="AI6" s="1116">
        <f>'Outils de calculs'!AI32</f>
        <v>9</v>
      </c>
      <c r="AJ6" s="1117">
        <f>IF($C6="","",AI6*VLOOKUP($C6,MATIERES!$A$2:$F$349,4,0))</f>
        <v>12.927600000000002</v>
      </c>
      <c r="AK6" s="1116">
        <f>'Outils de calculs'!AK32</f>
        <v>10</v>
      </c>
      <c r="AL6" s="1117">
        <f>IF($C6="","",AK6*VLOOKUP($C6,MATIERES!$A$2:$F$349,4,0))</f>
        <v>14.364000000000001</v>
      </c>
      <c r="AM6" s="1116">
        <f>'Outils de calculs'!AM32</f>
        <v>8</v>
      </c>
      <c r="AN6" s="1117">
        <f>IF($C6="","",AM6*VLOOKUP($C6,MATIERES!$A$2:$F$349,4,0))</f>
        <v>11.491200000000001</v>
      </c>
    </row>
    <row r="7" spans="1:40" ht="15" customHeight="1" x14ac:dyDescent="0.2">
      <c r="A7" s="1631"/>
      <c r="B7" s="361" t="s">
        <v>764</v>
      </c>
      <c r="C7" s="362" t="s">
        <v>1247</v>
      </c>
      <c r="D7" s="363" t="str">
        <f>IF($C7="","",VLOOKUP($C7,MATIERES!$A$2:$G$341,5,0))</f>
        <v>pc</v>
      </c>
      <c r="E7" s="364">
        <f>8</f>
        <v>8</v>
      </c>
      <c r="F7" s="365">
        <f>IF($C7="","",E7*VLOOKUP($C7,MATIERES!$A$2:$F$349,4,0))</f>
        <v>4.8</v>
      </c>
      <c r="G7" s="364">
        <f>8</f>
        <v>8</v>
      </c>
      <c r="H7" s="365">
        <f>IF($C7="","",G7*VLOOKUP($C7,MATIERES!$A$2:$F$349,4,0))</f>
        <v>4.8</v>
      </c>
      <c r="I7" s="364">
        <f>8</f>
        <v>8</v>
      </c>
      <c r="J7" s="365">
        <f>IF($C7="","",I7*VLOOKUP($C7,MATIERES!$A$2:$F$349,4,0))</f>
        <v>4.8</v>
      </c>
      <c r="K7" s="364">
        <f>8</f>
        <v>8</v>
      </c>
      <c r="L7" s="365">
        <f>IF($C7="","",K7*VLOOKUP($C7,MATIERES!$A$2:$F$349,4,0))</f>
        <v>4.8</v>
      </c>
      <c r="M7" s="364">
        <f>8</f>
        <v>8</v>
      </c>
      <c r="N7" s="365">
        <f>IF($C7="","",M7*VLOOKUP($C7,MATIERES!$A$2:$F$349,4,0))</f>
        <v>4.8</v>
      </c>
      <c r="O7" s="364">
        <f>8</f>
        <v>8</v>
      </c>
      <c r="P7" s="365">
        <f>IF($C7="","",O7*VLOOKUP($C7,MATIERES!$A$2:$F$349,4,0))</f>
        <v>4.8</v>
      </c>
      <c r="Q7" s="364">
        <f>8</f>
        <v>8</v>
      </c>
      <c r="R7" s="365">
        <f>IF($C7="","",Q7*VLOOKUP($C7,MATIERES!$A$2:$F$349,4,0))</f>
        <v>4.8</v>
      </c>
      <c r="S7" s="364">
        <f>8</f>
        <v>8</v>
      </c>
      <c r="T7" s="365">
        <f>IF($C7="","",S7*VLOOKUP($C7,MATIERES!$A$2:$F$349,4,0))</f>
        <v>4.8</v>
      </c>
      <c r="U7" s="364">
        <f>8</f>
        <v>8</v>
      </c>
      <c r="V7" s="365">
        <f>IF($C7="","",U7*VLOOKUP($C7,MATIERES!$A$2:$F$349,4,0))</f>
        <v>4.8</v>
      </c>
      <c r="W7" s="1116">
        <f>8</f>
        <v>8</v>
      </c>
      <c r="X7" s="1116">
        <f>IF($C7="","",W7*VLOOKUP($C7,MATIERES!$A$2:$F$349,4,0))</f>
        <v>4.8</v>
      </c>
      <c r="Y7" s="1116">
        <f>8</f>
        <v>8</v>
      </c>
      <c r="Z7" s="1116">
        <f>IF($C7="","",Y7*VLOOKUP($C7,MATIERES!$A$2:$F$349,4,0))</f>
        <v>4.8</v>
      </c>
      <c r="AA7" s="1116">
        <f>8</f>
        <v>8</v>
      </c>
      <c r="AB7" s="1117">
        <f>IF($C7="","",AA7*VLOOKUP($C7,MATIERES!$A$2:$F$349,4,0))</f>
        <v>4.8</v>
      </c>
      <c r="AC7" s="1116">
        <f>8</f>
        <v>8</v>
      </c>
      <c r="AD7" s="1117">
        <f>IF($C7="","",AC7*VLOOKUP($C7,MATIERES!$A$2:$F$349,4,0))</f>
        <v>4.8</v>
      </c>
      <c r="AE7" s="1116">
        <f>8</f>
        <v>8</v>
      </c>
      <c r="AF7" s="1117">
        <f>IF($C7="","",AE7*VLOOKUP($C7,MATIERES!$A$2:$F$349,4,0))</f>
        <v>4.8</v>
      </c>
      <c r="AG7" s="1116">
        <f>8</f>
        <v>8</v>
      </c>
      <c r="AH7" s="1117">
        <f>IF($C7="","",AG7*VLOOKUP($C7,MATIERES!$A$2:$F$349,4,0))</f>
        <v>4.8</v>
      </c>
      <c r="AI7" s="1116">
        <f>8</f>
        <v>8</v>
      </c>
      <c r="AJ7" s="1117">
        <f>IF($C7="","",AI7*VLOOKUP($C7,MATIERES!$A$2:$F$349,4,0))</f>
        <v>4.8</v>
      </c>
      <c r="AK7" s="1116">
        <f>8</f>
        <v>8</v>
      </c>
      <c r="AL7" s="1117">
        <f>IF($C7="","",AK7*VLOOKUP($C7,MATIERES!$A$2:$F$349,4,0))</f>
        <v>4.8</v>
      </c>
      <c r="AM7" s="1116">
        <f>8</f>
        <v>8</v>
      </c>
      <c r="AN7" s="1117">
        <f>IF($C7="","",AM7*VLOOKUP($C7,MATIERES!$A$2:$F$349,4,0))</f>
        <v>4.8</v>
      </c>
    </row>
    <row r="8" spans="1:40" ht="15" customHeight="1" x14ac:dyDescent="0.2">
      <c r="A8" s="1631"/>
      <c r="B8" s="361" t="s">
        <v>764</v>
      </c>
      <c r="C8" s="362" t="s">
        <v>769</v>
      </c>
      <c r="D8" s="363" t="str">
        <f>IF($C8="","",VLOOKUP($C8,MATIERES!$A$2:$G$341,5,0))</f>
        <v>pc</v>
      </c>
      <c r="E8" s="364">
        <f>'Outils de calculs'!E26*4+2</f>
        <v>34.799999999999997</v>
      </c>
      <c r="F8" s="365">
        <f>IF($C8="","",E8*VLOOKUP($C8,MATIERES!$A$2:$F$349,4,0))</f>
        <v>16.488239999999998</v>
      </c>
      <c r="G8" s="364">
        <f>'Outils de calculs'!G26*4+2</f>
        <v>42</v>
      </c>
      <c r="H8" s="365">
        <f>IF($C8="","",G8*VLOOKUP($C8,MATIERES!$A$2:$F$349,4,0))</f>
        <v>19.8996</v>
      </c>
      <c r="I8" s="364">
        <f>'Outils de calculs'!I26*4+2</f>
        <v>50</v>
      </c>
      <c r="J8" s="365">
        <f>IF($C8="","",I8*VLOOKUP($C8,MATIERES!$A$2:$F$349,4,0))</f>
        <v>23.69</v>
      </c>
      <c r="K8" s="364">
        <f>'Outils de calculs'!K26*4+2</f>
        <v>54</v>
      </c>
      <c r="L8" s="365">
        <f>IF($C8="","",K8*VLOOKUP($C8,MATIERES!$A$2:$F$349,4,0))</f>
        <v>25.5852</v>
      </c>
      <c r="M8" s="364">
        <f>'Outils de calculs'!M26*4+2</f>
        <v>58</v>
      </c>
      <c r="N8" s="365">
        <f>IF($C8="","",M8*VLOOKUP($C8,MATIERES!$A$2:$F$349,4,0))</f>
        <v>27.480399999999999</v>
      </c>
      <c r="O8" s="364">
        <f>'Outils de calculs'!O26*4+2</f>
        <v>62</v>
      </c>
      <c r="P8" s="365">
        <f>IF($C8="","",O8*VLOOKUP($C8,MATIERES!$A$2:$F$349,4,0))</f>
        <v>29.375599999999999</v>
      </c>
      <c r="Q8" s="364">
        <f>'Outils de calculs'!Q26*4+2</f>
        <v>66</v>
      </c>
      <c r="R8" s="365">
        <f>IF($C8="","",Q8*VLOOKUP($C8,MATIERES!$A$2:$F$349,4,0))</f>
        <v>31.270800000000001</v>
      </c>
      <c r="S8" s="364">
        <f>'Outils de calculs'!S26*4+2</f>
        <v>70</v>
      </c>
      <c r="T8" s="365">
        <f>IF($C8="","",S8*VLOOKUP($C8,MATIERES!$A$2:$F$349,4,0))</f>
        <v>33.165999999999997</v>
      </c>
      <c r="U8" s="364">
        <f>'Outils de calculs'!U26*4+2</f>
        <v>74</v>
      </c>
      <c r="V8" s="365">
        <f>IF($C8="","",U8*VLOOKUP($C8,MATIERES!$A$2:$F$349,4,0))</f>
        <v>35.061199999999999</v>
      </c>
      <c r="W8" s="1116">
        <f>'Outils de calculs'!W26*4+2</f>
        <v>82</v>
      </c>
      <c r="X8" s="1116">
        <f>IF($C8="","",W8*VLOOKUP($C8,MATIERES!$A$2:$F$349,4,0))</f>
        <v>38.851599999999998</v>
      </c>
      <c r="Y8" s="1116">
        <f>'Outils de calculs'!Y26*4+2</f>
        <v>90</v>
      </c>
      <c r="Z8" s="1116">
        <f>IF($C8="","",Y8*VLOOKUP($C8,MATIERES!$A$2:$F$349,4,0))</f>
        <v>42.642000000000003</v>
      </c>
      <c r="AA8" s="1116">
        <f>'Outils de calculs'!AA26*4+2</f>
        <v>94</v>
      </c>
      <c r="AB8" s="1117">
        <f>IF($C8="","",AA8*VLOOKUP($C8,MATIERES!$A$2:$F$349,4,0))</f>
        <v>44.537199999999999</v>
      </c>
      <c r="AC8" s="1116">
        <f>'Outils de calculs'!AC26*4+2</f>
        <v>90</v>
      </c>
      <c r="AD8" s="1117">
        <f>IF($C8="","",AC8*VLOOKUP($C8,MATIERES!$A$2:$F$349,4,0))</f>
        <v>42.642000000000003</v>
      </c>
      <c r="AE8" s="1116">
        <f>'Outils de calculs'!AE26*4+2</f>
        <v>98</v>
      </c>
      <c r="AF8" s="1117">
        <f>IF($C8="","",AE8*VLOOKUP($C8,MATIERES!$A$2:$F$349,4,0))</f>
        <v>46.432400000000001</v>
      </c>
      <c r="AG8" s="1116">
        <f>'Outils de calculs'!AG26*4+2</f>
        <v>102</v>
      </c>
      <c r="AH8" s="1117">
        <f>IF($C8="","",AG8*VLOOKUP($C8,MATIERES!$A$2:$F$349,4,0))</f>
        <v>48.327599999999997</v>
      </c>
      <c r="AI8" s="1116">
        <f>'Outils de calculs'!AI26*4+2</f>
        <v>106</v>
      </c>
      <c r="AJ8" s="1117">
        <f>IF($C8="","",AI8*VLOOKUP($C8,MATIERES!$A$2:$F$349,4,0))</f>
        <v>50.222799999999999</v>
      </c>
      <c r="AK8" s="1116">
        <f>'Outils de calculs'!AK26*4+2</f>
        <v>114</v>
      </c>
      <c r="AL8" s="1117">
        <f>IF($C8="","",AK8*VLOOKUP($C8,MATIERES!$A$2:$F$349,4,0))</f>
        <v>54.013199999999998</v>
      </c>
      <c r="AM8" s="1116">
        <f>'Outils de calculs'!AM26*4+2</f>
        <v>106</v>
      </c>
      <c r="AN8" s="1117">
        <f>IF($C8="","",AM8*VLOOKUP($C8,MATIERES!$A$2:$F$349,4,0))</f>
        <v>50.222799999999999</v>
      </c>
    </row>
    <row r="9" spans="1:40" ht="15" customHeight="1" x14ac:dyDescent="0.2">
      <c r="A9" s="1631"/>
      <c r="B9" s="361" t="s">
        <v>764</v>
      </c>
      <c r="C9" s="362" t="s">
        <v>113</v>
      </c>
      <c r="D9" s="363" t="str">
        <f>IF($C9="","",VLOOKUP($C9,MATIERES!$A$2:$G$341,5,0))</f>
        <v>pc</v>
      </c>
      <c r="E9" s="364">
        <f>28</f>
        <v>28</v>
      </c>
      <c r="F9" s="365">
        <f>IF($C9="","",E9*VLOOKUP($C9,MATIERES!$A$2:$F$349,4,0))</f>
        <v>10.393599999999999</v>
      </c>
      <c r="G9" s="364">
        <f>28</f>
        <v>28</v>
      </c>
      <c r="H9" s="365">
        <f>IF($C9="","",G9*VLOOKUP($C9,MATIERES!$A$2:$F$349,4,0))</f>
        <v>10.393599999999999</v>
      </c>
      <c r="I9" s="364">
        <f>28</f>
        <v>28</v>
      </c>
      <c r="J9" s="365">
        <f>IF($C9="","",I9*VLOOKUP($C9,MATIERES!$A$2:$F$349,4,0))</f>
        <v>10.393599999999999</v>
      </c>
      <c r="K9" s="364">
        <f>28</f>
        <v>28</v>
      </c>
      <c r="L9" s="365">
        <f>IF($C9="","",K9*VLOOKUP($C9,MATIERES!$A$2:$F$349,4,0))</f>
        <v>10.393599999999999</v>
      </c>
      <c r="M9" s="364">
        <f>28</f>
        <v>28</v>
      </c>
      <c r="N9" s="365">
        <f>IF($C9="","",M9*VLOOKUP($C9,MATIERES!$A$2:$F$349,4,0))</f>
        <v>10.393599999999999</v>
      </c>
      <c r="O9" s="364">
        <f>28</f>
        <v>28</v>
      </c>
      <c r="P9" s="365">
        <f>IF($C9="","",O9*VLOOKUP($C9,MATIERES!$A$2:$F$349,4,0))</f>
        <v>10.393599999999999</v>
      </c>
      <c r="Q9" s="364">
        <f>28</f>
        <v>28</v>
      </c>
      <c r="R9" s="365">
        <f>IF($C9="","",Q9*VLOOKUP($C9,MATIERES!$A$2:$F$349,4,0))</f>
        <v>10.393599999999999</v>
      </c>
      <c r="S9" s="364">
        <f>28</f>
        <v>28</v>
      </c>
      <c r="T9" s="365">
        <f>IF($C9="","",S9*VLOOKUP($C9,MATIERES!$A$2:$F$349,4,0))</f>
        <v>10.393599999999999</v>
      </c>
      <c r="U9" s="364">
        <f>28</f>
        <v>28</v>
      </c>
      <c r="V9" s="365">
        <f>IF($C9="","",U9*VLOOKUP($C9,MATIERES!$A$2:$F$349,4,0))</f>
        <v>10.393599999999999</v>
      </c>
      <c r="W9" s="1116">
        <f>28</f>
        <v>28</v>
      </c>
      <c r="X9" s="1116">
        <f>IF($C9="","",W9*VLOOKUP($C9,MATIERES!$A$2:$F$349,4,0))</f>
        <v>10.393599999999999</v>
      </c>
      <c r="Y9" s="1116">
        <f>28</f>
        <v>28</v>
      </c>
      <c r="Z9" s="1116">
        <f>IF($C9="","",Y9*VLOOKUP($C9,MATIERES!$A$2:$F$349,4,0))</f>
        <v>10.393599999999999</v>
      </c>
      <c r="AA9" s="1116">
        <f>28</f>
        <v>28</v>
      </c>
      <c r="AB9" s="1117">
        <f>IF($C9="","",AA9*VLOOKUP($C9,MATIERES!$A$2:$F$349,4,0))</f>
        <v>10.393599999999999</v>
      </c>
      <c r="AC9" s="1116">
        <f>28</f>
        <v>28</v>
      </c>
      <c r="AD9" s="1117">
        <f>IF($C9="","",AC9*VLOOKUP($C9,MATIERES!$A$2:$F$349,4,0))</f>
        <v>10.393599999999999</v>
      </c>
      <c r="AE9" s="1116">
        <f>28</f>
        <v>28</v>
      </c>
      <c r="AF9" s="1117">
        <f>IF($C9="","",AE9*VLOOKUP($C9,MATIERES!$A$2:$F$349,4,0))</f>
        <v>10.393599999999999</v>
      </c>
      <c r="AG9" s="1116">
        <f>28</f>
        <v>28</v>
      </c>
      <c r="AH9" s="1117">
        <f>IF($C9="","",AG9*VLOOKUP($C9,MATIERES!$A$2:$F$349,4,0))</f>
        <v>10.393599999999999</v>
      </c>
      <c r="AI9" s="1116">
        <f>28</f>
        <v>28</v>
      </c>
      <c r="AJ9" s="1117">
        <f>IF($C9="","",AI9*VLOOKUP($C9,MATIERES!$A$2:$F$349,4,0))</f>
        <v>10.393599999999999</v>
      </c>
      <c r="AK9" s="1116">
        <f>28</f>
        <v>28</v>
      </c>
      <c r="AL9" s="1117">
        <f>IF($C9="","",AK9*VLOOKUP($C9,MATIERES!$A$2:$F$349,4,0))</f>
        <v>10.393599999999999</v>
      </c>
      <c r="AM9" s="1116">
        <f>28</f>
        <v>28</v>
      </c>
      <c r="AN9" s="1117">
        <f>IF($C9="","",AM9*VLOOKUP($C9,MATIERES!$A$2:$F$349,4,0))</f>
        <v>10.393599999999999</v>
      </c>
    </row>
    <row r="10" spans="1:40" ht="15" customHeight="1" x14ac:dyDescent="0.2">
      <c r="A10" s="1631"/>
      <c r="B10" s="361" t="s">
        <v>736</v>
      </c>
      <c r="C10" s="362" t="s">
        <v>739</v>
      </c>
      <c r="D10" s="363" t="str">
        <f>IF($C10="","",VLOOKUP($C10,MATIERES!$A$2:$G$341,5,0))</f>
        <v>pc</v>
      </c>
      <c r="E10" s="364">
        <f>('Outils de calculs'!E26+0.3)</f>
        <v>8.5</v>
      </c>
      <c r="F10" s="365">
        <f>IF($C10="","",E10*VLOOKUP($C10,MATIERES!$A$2:$F$349,4,0))</f>
        <v>19.47775</v>
      </c>
      <c r="G10" s="364">
        <f>('Outils de calculs'!G26+0.3)</f>
        <v>10.3</v>
      </c>
      <c r="H10" s="365">
        <f>IF($C10="","",G10*VLOOKUP($C10,MATIERES!$A$2:$F$349,4,0))</f>
        <v>23.602450000000001</v>
      </c>
      <c r="I10" s="364">
        <f>('Outils de calculs'!I26+0.3)</f>
        <v>12.3</v>
      </c>
      <c r="J10" s="365">
        <f>IF($C10="","",I10*VLOOKUP($C10,MATIERES!$A$2:$F$349,4,0))</f>
        <v>28.185450000000003</v>
      </c>
      <c r="K10" s="364">
        <f>('Outils de calculs'!K26+0.3)</f>
        <v>13.3</v>
      </c>
      <c r="L10" s="365">
        <f>IF($C10="","",K10*VLOOKUP($C10,MATIERES!$A$2:$F$349,4,0))</f>
        <v>30.476950000000002</v>
      </c>
      <c r="M10" s="364">
        <f>('Outils de calculs'!M26+0.3)</f>
        <v>14.3</v>
      </c>
      <c r="N10" s="365">
        <f>IF($C10="","",M10*VLOOKUP($C10,MATIERES!$A$2:$F$349,4,0))</f>
        <v>32.768450000000001</v>
      </c>
      <c r="O10" s="364">
        <f>('Outils de calculs'!O26+0.3)</f>
        <v>15.3</v>
      </c>
      <c r="P10" s="365">
        <f>IF($C10="","",O10*VLOOKUP($C10,MATIERES!$A$2:$F$349,4,0))</f>
        <v>35.059950000000001</v>
      </c>
      <c r="Q10" s="364">
        <f>('Outils de calculs'!Q26+0.3)</f>
        <v>16.3</v>
      </c>
      <c r="R10" s="365">
        <f>IF($C10="","",Q10*VLOOKUP($C10,MATIERES!$A$2:$F$349,4,0))</f>
        <v>37.35145</v>
      </c>
      <c r="S10" s="364">
        <f>('Outils de calculs'!S26+0.3)</f>
        <v>17.3</v>
      </c>
      <c r="T10" s="365">
        <f>IF($C10="","",S10*VLOOKUP($C10,MATIERES!$A$2:$F$349,4,0))</f>
        <v>39.642950000000006</v>
      </c>
      <c r="U10" s="364">
        <f>('Outils de calculs'!U26+0.3)</f>
        <v>18.3</v>
      </c>
      <c r="V10" s="365">
        <f>IF($C10="","",U10*VLOOKUP($C10,MATIERES!$A$2:$F$349,4,0))</f>
        <v>41.934450000000005</v>
      </c>
      <c r="W10" s="1116">
        <f>('Outils de calculs'!W26+0.3)</f>
        <v>20.3</v>
      </c>
      <c r="X10" s="1116">
        <f>IF($C10="","",W10*VLOOKUP($C10,MATIERES!$A$2:$F$349,4,0))</f>
        <v>46.517450000000004</v>
      </c>
      <c r="Y10" s="1116">
        <f>('Outils de calculs'!Y26+0.3)</f>
        <v>22.3</v>
      </c>
      <c r="Z10" s="1116">
        <f>IF($C10="","",Y10*VLOOKUP($C10,MATIERES!$A$2:$F$349,4,0))</f>
        <v>51.100450000000002</v>
      </c>
      <c r="AA10" s="1116">
        <f>('Outils de calculs'!AA26+0.3)</f>
        <v>23.3</v>
      </c>
      <c r="AB10" s="1117">
        <f>IF($C10="","",AA10*VLOOKUP($C10,MATIERES!$A$2:$F$349,4,0))</f>
        <v>53.391950000000001</v>
      </c>
      <c r="AC10" s="1116">
        <f>('Outils de calculs'!AC26+0.3)</f>
        <v>22.3</v>
      </c>
      <c r="AD10" s="1117">
        <f>IF($C10="","",AC10*VLOOKUP($C10,MATIERES!$A$2:$F$349,4,0))</f>
        <v>51.100450000000002</v>
      </c>
      <c r="AE10" s="1116">
        <f>('Outils de calculs'!AE26+0.3)</f>
        <v>24.3</v>
      </c>
      <c r="AF10" s="1117">
        <f>IF($C10="","",AE10*VLOOKUP($C10,MATIERES!$A$2:$F$349,4,0))</f>
        <v>55.683450000000001</v>
      </c>
      <c r="AG10" s="1116">
        <f>('Outils de calculs'!AG26+0.3)</f>
        <v>25.3</v>
      </c>
      <c r="AH10" s="1117">
        <f>IF($C10="","",AG10*VLOOKUP($C10,MATIERES!$A$2:$F$349,4,0))</f>
        <v>57.974950000000007</v>
      </c>
      <c r="AI10" s="1116">
        <f>('Outils de calculs'!AI26+0.3)</f>
        <v>26.3</v>
      </c>
      <c r="AJ10" s="1117">
        <f>IF($C10="","",AI10*VLOOKUP($C10,MATIERES!$A$2:$F$349,4,0))</f>
        <v>60.266450000000006</v>
      </c>
      <c r="AK10" s="1116">
        <f>('Outils de calculs'!AK26+0.3)</f>
        <v>28.3</v>
      </c>
      <c r="AL10" s="1117">
        <f>IF($C10="","",AK10*VLOOKUP($C10,MATIERES!$A$2:$F$349,4,0))</f>
        <v>64.849450000000004</v>
      </c>
      <c r="AM10" s="1116">
        <f>('Outils de calculs'!AM26+0.3)</f>
        <v>26.3</v>
      </c>
      <c r="AN10" s="1117">
        <f>IF($C10="","",AM10*VLOOKUP($C10,MATIERES!$A$2:$F$349,4,0))</f>
        <v>60.266450000000006</v>
      </c>
    </row>
    <row r="11" spans="1:40" ht="15" customHeight="1" x14ac:dyDescent="0.2">
      <c r="A11" s="1631"/>
      <c r="B11" s="361" t="s">
        <v>736</v>
      </c>
      <c r="C11" s="362" t="s">
        <v>108</v>
      </c>
      <c r="D11" s="363" t="str">
        <f>IF($C11="","",VLOOKUP($C11,MATIERES!$A$2:$F$227,5,0))</f>
        <v>ml</v>
      </c>
      <c r="E11" s="364">
        <f>('Outils de calculs'!E26+0.3)</f>
        <v>8.5</v>
      </c>
      <c r="F11" s="365">
        <f>IF($C11="","",E11*VLOOKUP($C11,MATIERES!$A$2:$F$349,4,0))</f>
        <v>27.625</v>
      </c>
      <c r="G11" s="364">
        <f>('Outils de calculs'!G26+0.3)</f>
        <v>10.3</v>
      </c>
      <c r="H11" s="365">
        <f>IF($C11="","",G11*VLOOKUP($C11,MATIERES!$A$2:$F$349,4,0))</f>
        <v>33.475000000000001</v>
      </c>
      <c r="I11" s="364">
        <f>('Outils de calculs'!I26+0.3)</f>
        <v>12.3</v>
      </c>
      <c r="J11" s="365">
        <f>IF($C11="","",I11*VLOOKUP($C11,MATIERES!$A$2:$F$349,4,0))</f>
        <v>39.975000000000001</v>
      </c>
      <c r="K11" s="364">
        <f>('Outils de calculs'!K26+0.3)</f>
        <v>13.3</v>
      </c>
      <c r="L11" s="365">
        <f>IF($C11="","",K11*VLOOKUP($C11,MATIERES!$A$2:$F$349,4,0))</f>
        <v>43.225000000000001</v>
      </c>
      <c r="M11" s="364">
        <f>('Outils de calculs'!M26+0.3)</f>
        <v>14.3</v>
      </c>
      <c r="N11" s="365">
        <f>IF($C11="","",M11*VLOOKUP($C11,MATIERES!$A$2:$F$349,4,0))</f>
        <v>46.475000000000001</v>
      </c>
      <c r="O11" s="364">
        <f>('Outils de calculs'!O26+0.3)</f>
        <v>15.3</v>
      </c>
      <c r="P11" s="365">
        <f>IF($C11="","",O11*VLOOKUP($C11,MATIERES!$A$2:$F$349,4,0))</f>
        <v>49.725000000000001</v>
      </c>
      <c r="Q11" s="364">
        <f>('Outils de calculs'!Q26+0.3)</f>
        <v>16.3</v>
      </c>
      <c r="R11" s="365">
        <f>IF($C11="","",Q11*VLOOKUP($C11,MATIERES!$A$2:$F$349,4,0))</f>
        <v>52.975000000000001</v>
      </c>
      <c r="S11" s="364">
        <f>('Outils de calculs'!S26+0.3)</f>
        <v>17.3</v>
      </c>
      <c r="T11" s="365">
        <f>IF($C11="","",S11*VLOOKUP($C11,MATIERES!$A$2:$F$349,4,0))</f>
        <v>56.225000000000001</v>
      </c>
      <c r="U11" s="364">
        <f>('Outils de calculs'!U26+0.3)</f>
        <v>18.3</v>
      </c>
      <c r="V11" s="365">
        <f>IF($C11="","",U11*VLOOKUP($C11,MATIERES!$A$2:$F$349,4,0))</f>
        <v>59.475000000000001</v>
      </c>
      <c r="W11" s="1116"/>
      <c r="X11" s="1116">
        <f>IF($C11="","",W11*VLOOKUP($C11,MATIERES!$A$2:$F$349,4,0))</f>
        <v>0</v>
      </c>
      <c r="Y11" s="1116"/>
      <c r="Z11" s="1116">
        <f>IF($C11="","",Y11*VLOOKUP($C11,MATIERES!$A$2:$F$349,4,0))</f>
        <v>0</v>
      </c>
      <c r="AA11" s="1116"/>
      <c r="AB11" s="1117">
        <f>IF($C11="","",AA11*VLOOKUP($C11,MATIERES!$A$2:$F$349,4,0))</f>
        <v>0</v>
      </c>
      <c r="AC11" s="1116"/>
      <c r="AD11" s="1117">
        <f>IF($C11="","",AC11*VLOOKUP($C11,MATIERES!$A$2:$F$349,4,0))</f>
        <v>0</v>
      </c>
      <c r="AE11" s="1116"/>
      <c r="AF11" s="1117">
        <f>IF($C11="","",AE11*VLOOKUP($C11,MATIERES!$A$2:$F$349,4,0))</f>
        <v>0</v>
      </c>
      <c r="AG11" s="1116"/>
      <c r="AH11" s="1117">
        <f>IF($C11="","",AG11*VLOOKUP($C11,MATIERES!$A$2:$F$349,4,0))</f>
        <v>0</v>
      </c>
      <c r="AI11" s="1116"/>
      <c r="AJ11" s="1117">
        <f>IF($C11="","",AI11*VLOOKUP($C11,MATIERES!$A$2:$F$349,4,0))</f>
        <v>0</v>
      </c>
      <c r="AK11" s="1116"/>
      <c r="AL11" s="1117">
        <f>IF($C11="","",AK11*VLOOKUP($C11,MATIERES!$A$2:$F$349,4,0))</f>
        <v>0</v>
      </c>
      <c r="AM11" s="1116"/>
      <c r="AN11" s="1117">
        <f>IF($C11="","",AM11*VLOOKUP($C11,MATIERES!$A$2:$F$349,4,0))</f>
        <v>0</v>
      </c>
    </row>
    <row r="12" spans="1:40" ht="30" customHeight="1" x14ac:dyDescent="0.2">
      <c r="A12" s="449"/>
      <c r="B12" s="367" t="s">
        <v>683</v>
      </c>
      <c r="C12" s="368" t="s">
        <v>446</v>
      </c>
      <c r="D12" s="369" t="s">
        <v>447</v>
      </c>
      <c r="E12" s="370">
        <f>F12*(1+Simulation!$P$11)</f>
        <v>375.81588876000006</v>
      </c>
      <c r="F12" s="371">
        <f>SUM(F4:F11)</f>
        <v>289.08914520000002</v>
      </c>
      <c r="G12" s="370">
        <f>H12*(1+Simulation!$P$11)</f>
        <v>451.61793300000005</v>
      </c>
      <c r="H12" s="371">
        <f>SUM(H4:H11)</f>
        <v>347.39841000000001</v>
      </c>
      <c r="I12" s="370">
        <f>J12*(1+Simulation!$P$11)</f>
        <v>536.6723466000002</v>
      </c>
      <c r="J12" s="371">
        <f>SUM(J4:J11)</f>
        <v>412.82488200000012</v>
      </c>
      <c r="K12" s="370">
        <f>L12*(1+Simulation!$P$11)</f>
        <v>578.2658934000001</v>
      </c>
      <c r="L12" s="371">
        <f>SUM(L4:L11)</f>
        <v>444.81991800000009</v>
      </c>
      <c r="M12" s="370">
        <f>N12*(1+Simulation!$P$11)</f>
        <v>619.85944020000011</v>
      </c>
      <c r="N12" s="371">
        <f>SUM(N4:N11)</f>
        <v>476.81495400000006</v>
      </c>
      <c r="O12" s="370">
        <f>P12*(1+Simulation!$P$11)</f>
        <v>661.45298700000012</v>
      </c>
      <c r="P12" s="371">
        <f>SUM(P4:P11)</f>
        <v>508.80999000000008</v>
      </c>
      <c r="Q12" s="370">
        <f>R12*(1+Simulation!$P$11)</f>
        <v>703.04653380000013</v>
      </c>
      <c r="R12" s="371">
        <f>SUM(R4:R11)</f>
        <v>540.80502600000011</v>
      </c>
      <c r="S12" s="370">
        <f>T12*(1+Simulation!$P$11)</f>
        <v>745.57374060000029</v>
      </c>
      <c r="T12" s="371">
        <f>SUM(T4:T11)</f>
        <v>573.51826200000016</v>
      </c>
      <c r="U12" s="370">
        <f>V12*(1+Simulation!$P$11)</f>
        <v>788.10094740000011</v>
      </c>
      <c r="V12" s="371">
        <f>SUM(V4:V11)</f>
        <v>606.2314980000001</v>
      </c>
      <c r="W12" s="1118">
        <f>X12*(1+Simulation!$P$11)</f>
        <v>787.38786100000016</v>
      </c>
      <c r="X12" s="1118">
        <f>SUM(X4:X11)</f>
        <v>605.68297000000007</v>
      </c>
      <c r="Y12" s="1118">
        <f>Z12*(1+Simulation!$P$11)</f>
        <v>865.85959460000026</v>
      </c>
      <c r="Z12" s="1118">
        <f>SUM(Z4:Z11)</f>
        <v>666.04584200000022</v>
      </c>
      <c r="AA12" s="1118">
        <f>AB12*(1+Simulation!$P$11)</f>
        <v>903.22814140000003</v>
      </c>
      <c r="AB12" s="1119">
        <f>SUM(AB4:AB11)</f>
        <v>694.79087800000002</v>
      </c>
      <c r="AC12" s="1118">
        <f>AD12*(1+Simulation!$P$11)</f>
        <v>863.9922746000002</v>
      </c>
      <c r="AD12" s="1119">
        <f>SUM(AD4:AD11)</f>
        <v>664.60944200000017</v>
      </c>
      <c r="AE12" s="1118">
        <f>AF12*(1+Simulation!$P$11)</f>
        <v>940.59668820000024</v>
      </c>
      <c r="AF12" s="1119">
        <f>SUM(AF4:AF11)</f>
        <v>723.53591400000016</v>
      </c>
      <c r="AG12" s="1118">
        <f>AH12*(1+Simulation!$P$11)</f>
        <v>977.96523500000012</v>
      </c>
      <c r="AH12" s="1119">
        <f>SUM(AH4:AH11)</f>
        <v>752.28095000000008</v>
      </c>
      <c r="AI12" s="1118">
        <f>AJ12*(1+Simulation!$P$11)</f>
        <v>1017.2011018000001</v>
      </c>
      <c r="AJ12" s="1119">
        <f>SUM(AJ4:AJ11)</f>
        <v>782.46238600000004</v>
      </c>
      <c r="AK12" s="1118">
        <f>AL12*(1+Simulation!$P$11)</f>
        <v>1093.8055154000003</v>
      </c>
      <c r="AL12" s="1119">
        <f>SUM(AL4:AL11)</f>
        <v>841.38885800000014</v>
      </c>
      <c r="AM12" s="1118">
        <f>AN12*(1+Simulation!$P$11)</f>
        <v>1015.3337818000002</v>
      </c>
      <c r="AN12" s="1119">
        <f>SUM(AN4:AN11)</f>
        <v>781.0259860000001</v>
      </c>
    </row>
    <row r="13" spans="1:40" ht="15" customHeight="1" x14ac:dyDescent="0.2">
      <c r="A13" s="1624" t="s">
        <v>448</v>
      </c>
      <c r="B13" s="361" t="s">
        <v>1155</v>
      </c>
      <c r="C13" s="362" t="s">
        <v>425</v>
      </c>
      <c r="D13" s="363" t="str">
        <f>IF($C13="","",VLOOKUP($C13,ATELIER!$A$2:$E$109,3,0))</f>
        <v>pc</v>
      </c>
      <c r="E13" s="364">
        <f>1</f>
        <v>1</v>
      </c>
      <c r="F13" s="372">
        <f>IF($C13="","",E13*VLOOKUP($C13,ATELIER!$A$2:$F$109,4,0))</f>
        <v>0.08</v>
      </c>
      <c r="G13" s="364">
        <f>1</f>
        <v>1</v>
      </c>
      <c r="H13" s="372">
        <f>IF($C13="","",G13*VLOOKUP($C13,ATELIER!$A$2:$F$109,4,0))</f>
        <v>0.08</v>
      </c>
      <c r="I13" s="364">
        <f>1</f>
        <v>1</v>
      </c>
      <c r="J13" s="372">
        <f>IF($C13="","",I13*VLOOKUP($C13,ATELIER!$A$2:$F$109,4,0))</f>
        <v>0.08</v>
      </c>
      <c r="K13" s="364">
        <f>1</f>
        <v>1</v>
      </c>
      <c r="L13" s="372">
        <f>IF($C13="","",K13*VLOOKUP($C13,ATELIER!$A$2:$F$109,4,0))</f>
        <v>0.08</v>
      </c>
      <c r="M13" s="364">
        <f>1</f>
        <v>1</v>
      </c>
      <c r="N13" s="372">
        <f>IF($C13="","",M13*VLOOKUP($C13,ATELIER!$A$2:$F$109,4,0))</f>
        <v>0.08</v>
      </c>
      <c r="O13" s="364">
        <f>1</f>
        <v>1</v>
      </c>
      <c r="P13" s="372">
        <f>IF($C13="","",O13*VLOOKUP($C13,ATELIER!$A$2:$F$109,4,0))</f>
        <v>0.08</v>
      </c>
      <c r="Q13" s="364">
        <f>1</f>
        <v>1</v>
      </c>
      <c r="R13" s="372">
        <f>IF($C13="","",Q13*VLOOKUP($C13,ATELIER!$A$2:$F$109,4,0))</f>
        <v>0.08</v>
      </c>
      <c r="S13" s="364">
        <f>1</f>
        <v>1</v>
      </c>
      <c r="T13" s="372">
        <f>IF($C13="","",S13*VLOOKUP($C13,ATELIER!$A$2:$F$109,4,0))</f>
        <v>0.08</v>
      </c>
      <c r="U13" s="364">
        <f>1</f>
        <v>1</v>
      </c>
      <c r="V13" s="372">
        <f>IF($C13="","",U13*VLOOKUP($C13,ATELIER!$A$2:$F$109,4,0))</f>
        <v>0.08</v>
      </c>
      <c r="W13" s="1116">
        <f>1</f>
        <v>1</v>
      </c>
      <c r="X13" s="1116">
        <f>IF($C13="","",W13*VLOOKUP($C13,ATELIER!$A$2:$F$109,4,0))</f>
        <v>0.08</v>
      </c>
      <c r="Y13" s="1116">
        <f>1</f>
        <v>1</v>
      </c>
      <c r="Z13" s="1116">
        <f>IF($C13="","",Y13*VLOOKUP($C13,ATELIER!$A$2:$F$109,4,0))</f>
        <v>0.08</v>
      </c>
      <c r="AA13" s="1116">
        <f>1</f>
        <v>1</v>
      </c>
      <c r="AB13" s="1120">
        <f>IF($C13="","",AA13*VLOOKUP($C13,ATELIER!$A$2:$F$109,4,0))</f>
        <v>0.08</v>
      </c>
      <c r="AC13" s="1116">
        <f>1</f>
        <v>1</v>
      </c>
      <c r="AD13" s="1120">
        <f>IF($C13="","",AC13*VLOOKUP($C13,ATELIER!$A$2:$F$109,4,0))</f>
        <v>0.08</v>
      </c>
      <c r="AE13" s="1116">
        <f>1</f>
        <v>1</v>
      </c>
      <c r="AF13" s="1120">
        <f>IF($C13="","",AE13*VLOOKUP($C13,ATELIER!$A$2:$F$109,4,0))</f>
        <v>0.08</v>
      </c>
      <c r="AG13" s="1116">
        <f>1</f>
        <v>1</v>
      </c>
      <c r="AH13" s="1120">
        <f>IF($C13="","",AG13*VLOOKUP($C13,ATELIER!$A$2:$F$109,4,0))</f>
        <v>0.08</v>
      </c>
      <c r="AI13" s="1116">
        <f>1</f>
        <v>1</v>
      </c>
      <c r="AJ13" s="1120">
        <f>IF($C13="","",AI13*VLOOKUP($C13,ATELIER!$A$2:$F$109,4,0))</f>
        <v>0.08</v>
      </c>
      <c r="AK13" s="1116">
        <f>1</f>
        <v>1</v>
      </c>
      <c r="AL13" s="1120">
        <f>IF($C13="","",AK13*VLOOKUP($C13,ATELIER!$A$2:$F$109,4,0))</f>
        <v>0.08</v>
      </c>
      <c r="AM13" s="1116">
        <f>1</f>
        <v>1</v>
      </c>
      <c r="AN13" s="1120">
        <f>IF($C13="","",AM13*VLOOKUP($C13,ATELIER!$A$2:$F$109,4,0))</f>
        <v>0.08</v>
      </c>
    </row>
    <row r="14" spans="1:40" ht="15" customHeight="1" x14ac:dyDescent="0.2">
      <c r="A14" s="1624"/>
      <c r="B14" s="361" t="s">
        <v>1155</v>
      </c>
      <c r="C14" s="362" t="s">
        <v>423</v>
      </c>
      <c r="D14" s="363" t="str">
        <f>IF($C14="","",VLOOKUP($C14,ATELIER!$A$2:$E$109,3,0))</f>
        <v>pc</v>
      </c>
      <c r="E14" s="364">
        <f>16</f>
        <v>16</v>
      </c>
      <c r="F14" s="372">
        <f>IF($C14="","",E14*VLOOKUP($C14,ATELIER!$A$2:$F$109,4,0))</f>
        <v>1.28</v>
      </c>
      <c r="G14" s="364">
        <f>16</f>
        <v>16</v>
      </c>
      <c r="H14" s="372">
        <f>IF($C14="","",G14*VLOOKUP($C14,ATELIER!$A$2:$F$109,4,0))</f>
        <v>1.28</v>
      </c>
      <c r="I14" s="364">
        <f>16</f>
        <v>16</v>
      </c>
      <c r="J14" s="372">
        <f>IF($C14="","",I14*VLOOKUP($C14,ATELIER!$A$2:$F$109,4,0))</f>
        <v>1.28</v>
      </c>
      <c r="K14" s="364">
        <f>16</f>
        <v>16</v>
      </c>
      <c r="L14" s="372">
        <f>IF($C14="","",K14*VLOOKUP($C14,ATELIER!$A$2:$F$109,4,0))</f>
        <v>1.28</v>
      </c>
      <c r="M14" s="364">
        <f>16</f>
        <v>16</v>
      </c>
      <c r="N14" s="372">
        <f>IF($C14="","",M14*VLOOKUP($C14,ATELIER!$A$2:$F$109,4,0))</f>
        <v>1.28</v>
      </c>
      <c r="O14" s="364">
        <f>16</f>
        <v>16</v>
      </c>
      <c r="P14" s="372">
        <f>IF($C14="","",O14*VLOOKUP($C14,ATELIER!$A$2:$F$109,4,0))</f>
        <v>1.28</v>
      </c>
      <c r="Q14" s="364">
        <f>16</f>
        <v>16</v>
      </c>
      <c r="R14" s="372">
        <f>IF($C14="","",Q14*VLOOKUP($C14,ATELIER!$A$2:$F$109,4,0))</f>
        <v>1.28</v>
      </c>
      <c r="S14" s="364">
        <f>16</f>
        <v>16</v>
      </c>
      <c r="T14" s="372">
        <f>IF($C14="","",S14*VLOOKUP($C14,ATELIER!$A$2:$F$109,4,0))</f>
        <v>1.28</v>
      </c>
      <c r="U14" s="364">
        <f>16</f>
        <v>16</v>
      </c>
      <c r="V14" s="372">
        <f>IF($C14="","",U14*VLOOKUP($C14,ATELIER!$A$2:$F$109,4,0))</f>
        <v>1.28</v>
      </c>
      <c r="W14" s="1116">
        <f>16</f>
        <v>16</v>
      </c>
      <c r="X14" s="1116">
        <f>IF($C14="","",W14*VLOOKUP($C14,ATELIER!$A$2:$F$109,4,0))</f>
        <v>1.28</v>
      </c>
      <c r="Y14" s="1116">
        <f>16</f>
        <v>16</v>
      </c>
      <c r="Z14" s="1116">
        <f>IF($C14="","",Y14*VLOOKUP($C14,ATELIER!$A$2:$F$109,4,0))</f>
        <v>1.28</v>
      </c>
      <c r="AA14" s="1116">
        <f>16</f>
        <v>16</v>
      </c>
      <c r="AB14" s="1120">
        <f>IF($C14="","",AA14*VLOOKUP($C14,ATELIER!$A$2:$F$109,4,0))</f>
        <v>1.28</v>
      </c>
      <c r="AC14" s="1116">
        <f>16</f>
        <v>16</v>
      </c>
      <c r="AD14" s="1120">
        <f>IF($C14="","",AC14*VLOOKUP($C14,ATELIER!$A$2:$F$109,4,0))</f>
        <v>1.28</v>
      </c>
      <c r="AE14" s="1116">
        <f>16</f>
        <v>16</v>
      </c>
      <c r="AF14" s="1120">
        <f>IF($C14="","",AE14*VLOOKUP($C14,ATELIER!$A$2:$F$109,4,0))</f>
        <v>1.28</v>
      </c>
      <c r="AG14" s="1116">
        <f>16</f>
        <v>16</v>
      </c>
      <c r="AH14" s="1120">
        <f>IF($C14="","",AG14*VLOOKUP($C14,ATELIER!$A$2:$F$109,4,0))</f>
        <v>1.28</v>
      </c>
      <c r="AI14" s="1116">
        <f>16</f>
        <v>16</v>
      </c>
      <c r="AJ14" s="1120">
        <f>IF($C14="","",AI14*VLOOKUP($C14,ATELIER!$A$2:$F$109,4,0))</f>
        <v>1.28</v>
      </c>
      <c r="AK14" s="1116">
        <f>16</f>
        <v>16</v>
      </c>
      <c r="AL14" s="1120">
        <f>IF($C14="","",AK14*VLOOKUP($C14,ATELIER!$A$2:$F$109,4,0))</f>
        <v>1.28</v>
      </c>
      <c r="AM14" s="1116">
        <f>16</f>
        <v>16</v>
      </c>
      <c r="AN14" s="1120">
        <f>IF($C14="","",AM14*VLOOKUP($C14,ATELIER!$A$2:$F$109,4,0))</f>
        <v>1.28</v>
      </c>
    </row>
    <row r="15" spans="1:40" ht="15" customHeight="1" x14ac:dyDescent="0.2">
      <c r="A15" s="1625"/>
      <c r="B15" s="361" t="s">
        <v>1155</v>
      </c>
      <c r="C15" s="362" t="s">
        <v>424</v>
      </c>
      <c r="D15" s="363" t="str">
        <f>IF($C15="","",VLOOKUP($C15,ATELIER!$A$2:$E$109,3,0))</f>
        <v>pc</v>
      </c>
      <c r="E15" s="364">
        <f>32</f>
        <v>32</v>
      </c>
      <c r="F15" s="372">
        <f>IF($C15="","",E15*VLOOKUP($C15,ATELIER!$A$2:$F$109,4,0))</f>
        <v>1.28</v>
      </c>
      <c r="G15" s="364">
        <f>32</f>
        <v>32</v>
      </c>
      <c r="H15" s="372">
        <f>IF($C15="","",G15*VLOOKUP($C15,ATELIER!$A$2:$F$109,4,0))</f>
        <v>1.28</v>
      </c>
      <c r="I15" s="364">
        <f>32</f>
        <v>32</v>
      </c>
      <c r="J15" s="372">
        <f>IF($C15="","",I15*VLOOKUP($C15,ATELIER!$A$2:$F$109,4,0))</f>
        <v>1.28</v>
      </c>
      <c r="K15" s="364">
        <f>32</f>
        <v>32</v>
      </c>
      <c r="L15" s="372">
        <f>IF($C15="","",K15*VLOOKUP($C15,ATELIER!$A$2:$F$109,4,0))</f>
        <v>1.28</v>
      </c>
      <c r="M15" s="364">
        <f>32</f>
        <v>32</v>
      </c>
      <c r="N15" s="372">
        <f>IF($C15="","",M15*VLOOKUP($C15,ATELIER!$A$2:$F$109,4,0))</f>
        <v>1.28</v>
      </c>
      <c r="O15" s="364">
        <f>32</f>
        <v>32</v>
      </c>
      <c r="P15" s="372">
        <f>IF($C15="","",O15*VLOOKUP($C15,ATELIER!$A$2:$F$109,4,0))</f>
        <v>1.28</v>
      </c>
      <c r="Q15" s="364">
        <f>32</f>
        <v>32</v>
      </c>
      <c r="R15" s="372">
        <f>IF($C15="","",Q15*VLOOKUP($C15,ATELIER!$A$2:$F$109,4,0))</f>
        <v>1.28</v>
      </c>
      <c r="S15" s="364">
        <f>32</f>
        <v>32</v>
      </c>
      <c r="T15" s="372">
        <f>IF($C15="","",S15*VLOOKUP($C15,ATELIER!$A$2:$F$109,4,0))</f>
        <v>1.28</v>
      </c>
      <c r="U15" s="364">
        <f>32</f>
        <v>32</v>
      </c>
      <c r="V15" s="372">
        <f>IF($C15="","",U15*VLOOKUP($C15,ATELIER!$A$2:$F$109,4,0))</f>
        <v>1.28</v>
      </c>
      <c r="W15" s="1116">
        <f>32</f>
        <v>32</v>
      </c>
      <c r="X15" s="1116">
        <f>IF($C15="","",W15*VLOOKUP($C15,ATELIER!$A$2:$F$109,4,0))</f>
        <v>1.28</v>
      </c>
      <c r="Y15" s="1116">
        <f>32</f>
        <v>32</v>
      </c>
      <c r="Z15" s="1116">
        <f>IF($C15="","",Y15*VLOOKUP($C15,ATELIER!$A$2:$F$109,4,0))</f>
        <v>1.28</v>
      </c>
      <c r="AA15" s="1116">
        <f>32</f>
        <v>32</v>
      </c>
      <c r="AB15" s="1120">
        <f>IF($C15="","",AA15*VLOOKUP($C15,ATELIER!$A$2:$F$109,4,0))</f>
        <v>1.28</v>
      </c>
      <c r="AC15" s="1116">
        <f>32</f>
        <v>32</v>
      </c>
      <c r="AD15" s="1120">
        <f>IF($C15="","",AC15*VLOOKUP($C15,ATELIER!$A$2:$F$109,4,0))</f>
        <v>1.28</v>
      </c>
      <c r="AE15" s="1116">
        <f>32</f>
        <v>32</v>
      </c>
      <c r="AF15" s="1120">
        <f>IF($C15="","",AE15*VLOOKUP($C15,ATELIER!$A$2:$F$109,4,0))</f>
        <v>1.28</v>
      </c>
      <c r="AG15" s="1116">
        <f>32</f>
        <v>32</v>
      </c>
      <c r="AH15" s="1120">
        <f>IF($C15="","",AG15*VLOOKUP($C15,ATELIER!$A$2:$F$109,4,0))</f>
        <v>1.28</v>
      </c>
      <c r="AI15" s="1116">
        <f>32</f>
        <v>32</v>
      </c>
      <c r="AJ15" s="1120">
        <f>IF($C15="","",AI15*VLOOKUP($C15,ATELIER!$A$2:$F$109,4,0))</f>
        <v>1.28</v>
      </c>
      <c r="AK15" s="1116">
        <f>32</f>
        <v>32</v>
      </c>
      <c r="AL15" s="1120">
        <f>IF($C15="","",AK15*VLOOKUP($C15,ATELIER!$A$2:$F$109,4,0))</f>
        <v>1.28</v>
      </c>
      <c r="AM15" s="1116">
        <f>32</f>
        <v>32</v>
      </c>
      <c r="AN15" s="1120">
        <f>IF($C15="","",AM15*VLOOKUP($C15,ATELIER!$A$2:$F$109,4,0))</f>
        <v>1.28</v>
      </c>
    </row>
    <row r="16" spans="1:40" ht="15" customHeight="1" x14ac:dyDescent="0.2">
      <c r="A16" s="1624"/>
      <c r="B16" s="361" t="s">
        <v>1155</v>
      </c>
      <c r="C16" s="362" t="s">
        <v>1174</v>
      </c>
      <c r="D16" s="363" t="str">
        <f>IF($C16="","",VLOOKUP($C16,ATELIER!$A$2:$E$109,3,0))</f>
        <v>pc</v>
      </c>
      <c r="E16" s="364">
        <f>2*('Outils de calculs'!E36+'Outils de calculs'!E37+'Outils de calculs'!E38)</f>
        <v>2</v>
      </c>
      <c r="F16" s="372">
        <f>IF($C16="","",E16*VLOOKUP($C16,ATELIER!$A$2:$F$109,4,0))</f>
        <v>0.1</v>
      </c>
      <c r="G16" s="364">
        <f>2*('Outils de calculs'!G36+'Outils de calculs'!G37+'Outils de calculs'!G38)</f>
        <v>2</v>
      </c>
      <c r="H16" s="372">
        <f>IF($C16="","",G16*VLOOKUP($C16,ATELIER!$A$2:$F$109,4,0))</f>
        <v>0.1</v>
      </c>
      <c r="I16" s="364">
        <f>2*('Outils de calculs'!I36+'Outils de calculs'!I37+'Outils de calculs'!I38)</f>
        <v>2</v>
      </c>
      <c r="J16" s="372">
        <f>IF($C16="","",I16*VLOOKUP($C16,ATELIER!$A$2:$F$109,4,0))</f>
        <v>0.1</v>
      </c>
      <c r="K16" s="364">
        <f>2*('Outils de calculs'!K36+'Outils de calculs'!K37+'Outils de calculs'!K38)</f>
        <v>2</v>
      </c>
      <c r="L16" s="372">
        <f>IF($C16="","",K16*VLOOKUP($C16,ATELIER!$A$2:$F$109,4,0))</f>
        <v>0.1</v>
      </c>
      <c r="M16" s="364">
        <f>2*('Outils de calculs'!M36+'Outils de calculs'!M37+'Outils de calculs'!M38)</f>
        <v>6</v>
      </c>
      <c r="N16" s="372">
        <f>IF($C16="","",M16*VLOOKUP($C16,ATELIER!$A$2:$F$109,4,0))</f>
        <v>0.30000000000000004</v>
      </c>
      <c r="O16" s="364">
        <f>2*('Outils de calculs'!O36+'Outils de calculs'!O37+'Outils de calculs'!O38)</f>
        <v>4</v>
      </c>
      <c r="P16" s="372">
        <f>IF($C16="","",O16*VLOOKUP($C16,ATELIER!$A$2:$F$109,4,0))</f>
        <v>0.2</v>
      </c>
      <c r="Q16" s="364">
        <f>2*('Outils de calculs'!Q36+'Outils de calculs'!Q37+'Outils de calculs'!Q38)</f>
        <v>6</v>
      </c>
      <c r="R16" s="372">
        <f>IF($C16="","",Q16*VLOOKUP($C16,ATELIER!$A$2:$F$109,4,0))</f>
        <v>0.30000000000000004</v>
      </c>
      <c r="S16" s="364">
        <f>2*('Outils de calculs'!S36+'Outils de calculs'!S37+'Outils de calculs'!S38)</f>
        <v>6</v>
      </c>
      <c r="T16" s="372">
        <f>IF($C16="","",S16*VLOOKUP($C16,ATELIER!$A$2:$F$109,4,0))</f>
        <v>0.30000000000000004</v>
      </c>
      <c r="U16" s="364">
        <f>2*('Outils de calculs'!U36+'Outils de calculs'!U37+'Outils de calculs'!U38)</f>
        <v>8</v>
      </c>
      <c r="V16" s="372">
        <f>IF($C16="","",U16*VLOOKUP($C16,ATELIER!$A$2:$F$109,4,0))</f>
        <v>0.4</v>
      </c>
      <c r="W16" s="1116">
        <f>2*('Outils de calculs'!W36+'Outils de calculs'!W37+'Outils de calculs'!W38)</f>
        <v>12</v>
      </c>
      <c r="X16" s="1116">
        <f>IF($C16="","",W16*VLOOKUP($C16,ATELIER!$A$2:$F$109,4,0))</f>
        <v>0.60000000000000009</v>
      </c>
      <c r="Y16" s="1116">
        <f>2*('Outils de calculs'!Y36+'Outils de calculs'!Y37+'Outils de calculs'!Y38)</f>
        <v>14</v>
      </c>
      <c r="Z16" s="1116">
        <f>IF($C16="","",Y16*VLOOKUP($C16,ATELIER!$A$2:$F$109,4,0))</f>
        <v>0.70000000000000007</v>
      </c>
      <c r="AA16" s="1116">
        <f>2*('Outils de calculs'!AA36+'Outils de calculs'!AA37+'Outils de calculs'!AA38)</f>
        <v>8</v>
      </c>
      <c r="AB16" s="1120">
        <f>IF($C16="","",AA16*VLOOKUP($C16,ATELIER!$A$2:$F$109,4,0))</f>
        <v>0.4</v>
      </c>
      <c r="AC16" s="1116">
        <f>2*('Outils de calculs'!AC36+'Outils de calculs'!AC37+'Outils de calculs'!AC38)</f>
        <v>12</v>
      </c>
      <c r="AD16" s="1120">
        <f>IF($C16="","",AC16*VLOOKUP($C16,ATELIER!$A$2:$F$109,4,0))</f>
        <v>0.60000000000000009</v>
      </c>
      <c r="AE16" s="1116">
        <f>2*('Outils de calculs'!AE36+'Outils de calculs'!AE37+'Outils de calculs'!AE38)</f>
        <v>12</v>
      </c>
      <c r="AF16" s="1120">
        <f>IF($C16="","",AE16*VLOOKUP($C16,ATELIER!$A$2:$F$109,4,0))</f>
        <v>0.60000000000000009</v>
      </c>
      <c r="AG16" s="1116">
        <f>2*('Outils de calculs'!AG36+'Outils de calculs'!AG37+'Outils de calculs'!AG38)</f>
        <v>12</v>
      </c>
      <c r="AH16" s="1120">
        <f>IF($C16="","",AG16*VLOOKUP($C16,ATELIER!$A$2:$F$109,4,0))</f>
        <v>0.60000000000000009</v>
      </c>
      <c r="AI16" s="1116">
        <f>2*('Outils de calculs'!AI36+'Outils de calculs'!AI37+'Outils de calculs'!AI38)</f>
        <v>16</v>
      </c>
      <c r="AJ16" s="1120">
        <f>IF($C16="","",AI16*VLOOKUP($C16,ATELIER!$A$2:$F$109,4,0))</f>
        <v>0.8</v>
      </c>
      <c r="AK16" s="1116">
        <f>2*('Outils de calculs'!AK36+'Outils de calculs'!AK37+'Outils de calculs'!AK38)</f>
        <v>18</v>
      </c>
      <c r="AL16" s="1120">
        <f>IF($C16="","",AK16*VLOOKUP($C16,ATELIER!$A$2:$F$109,4,0))</f>
        <v>0.9</v>
      </c>
      <c r="AM16" s="1116">
        <f>2*('Outils de calculs'!AM36+'Outils de calculs'!AM37+'Outils de calculs'!AM38)</f>
        <v>16</v>
      </c>
      <c r="AN16" s="1120">
        <f>IF($C16="","",AM16*VLOOKUP($C16,ATELIER!$A$2:$F$109,4,0))</f>
        <v>0.8</v>
      </c>
    </row>
    <row r="17" spans="1:40" ht="15" customHeight="1" x14ac:dyDescent="0.2">
      <c r="A17" s="1624"/>
      <c r="B17" s="361" t="s">
        <v>1155</v>
      </c>
      <c r="C17" s="362" t="s">
        <v>1175</v>
      </c>
      <c r="D17" s="363" t="str">
        <f>IF($C17="","",VLOOKUP($C17,ATELIER!$A$2:$E$109,3,0))</f>
        <v>ml</v>
      </c>
      <c r="E17" s="364">
        <f>2*'Outils de calculs'!E31</f>
        <v>3.2</v>
      </c>
      <c r="F17" s="372">
        <f>IF($C17="","",E17*VLOOKUP($C17,ATELIER!$A$2:$F$109,4,0))</f>
        <v>0.16000000000000003</v>
      </c>
      <c r="G17" s="364">
        <f>2*'Outils de calculs'!G31</f>
        <v>4</v>
      </c>
      <c r="H17" s="372">
        <f>IF($C17="","",G17*VLOOKUP($C17,ATELIER!$A$2:$F$109,4,0))</f>
        <v>0.2</v>
      </c>
      <c r="I17" s="364">
        <f>2*'Outils de calculs'!I31</f>
        <v>4</v>
      </c>
      <c r="J17" s="372">
        <f>IF($C17="","",I17*VLOOKUP($C17,ATELIER!$A$2:$F$109,4,0))</f>
        <v>0.2</v>
      </c>
      <c r="K17" s="364">
        <f>2*'Outils de calculs'!K31</f>
        <v>5</v>
      </c>
      <c r="L17" s="372">
        <f>IF($C17="","",K17*VLOOKUP($C17,ATELIER!$A$2:$F$109,4,0))</f>
        <v>0.25</v>
      </c>
      <c r="M17" s="364">
        <f>2*'Outils de calculs'!M31</f>
        <v>6</v>
      </c>
      <c r="N17" s="372">
        <f>IF($C17="","",M17*VLOOKUP($C17,ATELIER!$A$2:$F$109,4,0))</f>
        <v>0.30000000000000004</v>
      </c>
      <c r="O17" s="364">
        <f>2*'Outils de calculs'!O31</f>
        <v>7</v>
      </c>
      <c r="P17" s="372">
        <f>IF($C17="","",O17*VLOOKUP($C17,ATELIER!$A$2:$F$109,4,0))</f>
        <v>0.35000000000000003</v>
      </c>
      <c r="Q17" s="364">
        <f>2*'Outils de calculs'!Q31</f>
        <v>8</v>
      </c>
      <c r="R17" s="372">
        <f>IF($C17="","",Q17*VLOOKUP($C17,ATELIER!$A$2:$F$109,4,0))</f>
        <v>0.4</v>
      </c>
      <c r="S17" s="364">
        <f>2*'Outils de calculs'!S31</f>
        <v>8</v>
      </c>
      <c r="T17" s="372">
        <f>IF($C17="","",S17*VLOOKUP($C17,ATELIER!$A$2:$F$109,4,0))</f>
        <v>0.4</v>
      </c>
      <c r="U17" s="364">
        <f>2*'Outils de calculs'!U31</f>
        <v>8</v>
      </c>
      <c r="V17" s="372">
        <f>IF($C17="","",U17*VLOOKUP($C17,ATELIER!$A$2:$F$109,4,0))</f>
        <v>0.4</v>
      </c>
      <c r="W17" s="1116">
        <f>2*'Outils de calculs'!W31</f>
        <v>8</v>
      </c>
      <c r="X17" s="1116">
        <f>IF($C17="","",W17*VLOOKUP($C17,ATELIER!$A$2:$F$109,4,0))</f>
        <v>0.4</v>
      </c>
      <c r="Y17" s="1116">
        <f>2*'Outils de calculs'!Y31</f>
        <v>6</v>
      </c>
      <c r="Z17" s="1116">
        <f>IF($C17="","",Y17*VLOOKUP($C17,ATELIER!$A$2:$F$109,4,0))</f>
        <v>0.30000000000000004</v>
      </c>
      <c r="AA17" s="1116">
        <f>2*'Outils de calculs'!AA31</f>
        <v>7</v>
      </c>
      <c r="AB17" s="1120">
        <f>IF($C17="","",AA17*VLOOKUP($C17,ATELIER!$A$2:$F$109,4,0))</f>
        <v>0.35000000000000003</v>
      </c>
      <c r="AC17" s="1116">
        <f>2*'Outils de calculs'!AC31</f>
        <v>8</v>
      </c>
      <c r="AD17" s="1120">
        <f>IF($C17="","",AC17*VLOOKUP($C17,ATELIER!$A$2:$F$109,4,0))</f>
        <v>0.4</v>
      </c>
      <c r="AE17" s="1116">
        <f>2*'Outils de calculs'!AE31</f>
        <v>8</v>
      </c>
      <c r="AF17" s="1120">
        <f>IF($C17="","",AE17*VLOOKUP($C17,ATELIER!$A$2:$F$109,4,0))</f>
        <v>0.4</v>
      </c>
      <c r="AG17" s="1116">
        <f>2*'Outils de calculs'!AG31</f>
        <v>9</v>
      </c>
      <c r="AH17" s="1120">
        <f>IF($C17="","",AG17*VLOOKUP($C17,ATELIER!$A$2:$F$109,4,0))</f>
        <v>0.45</v>
      </c>
      <c r="AI17" s="1116">
        <f>2*'Outils de calculs'!AI31</f>
        <v>8</v>
      </c>
      <c r="AJ17" s="1120">
        <f>IF($C17="","",AI17*VLOOKUP($C17,ATELIER!$A$2:$F$109,4,0))</f>
        <v>0.4</v>
      </c>
      <c r="AK17" s="1116">
        <f>2*'Outils de calculs'!AK31</f>
        <v>8</v>
      </c>
      <c r="AL17" s="1120">
        <f>IF($C17="","",AK17*VLOOKUP($C17,ATELIER!$A$2:$F$109,4,0))</f>
        <v>0.4</v>
      </c>
      <c r="AM17" s="1116">
        <f>2*'Outils de calculs'!AM31</f>
        <v>10</v>
      </c>
      <c r="AN17" s="1120">
        <f>IF($C17="","",AM17*VLOOKUP($C17,ATELIER!$A$2:$F$109,4,0))</f>
        <v>0.5</v>
      </c>
    </row>
    <row r="18" spans="1:40" ht="15" customHeight="1" x14ac:dyDescent="0.2">
      <c r="A18" s="1624"/>
      <c r="B18" s="361" t="s">
        <v>1155</v>
      </c>
      <c r="C18" s="362" t="s">
        <v>1250</v>
      </c>
      <c r="D18" s="363" t="str">
        <f>IF($C18="","",VLOOKUP($C18,ATELIER!$A$2:$E$109,3,0))</f>
        <v>pc</v>
      </c>
      <c r="E18" s="364">
        <f>4</f>
        <v>4</v>
      </c>
      <c r="F18" s="372">
        <f>IF($C18="","",E18*VLOOKUP($C18,ATELIER!$A$2:$F$109,4,0))</f>
        <v>0.32</v>
      </c>
      <c r="G18" s="364">
        <f>4</f>
        <v>4</v>
      </c>
      <c r="H18" s="372">
        <f>IF($C18="","",G18*VLOOKUP($C18,ATELIER!$A$2:$F$109,4,0))</f>
        <v>0.32</v>
      </c>
      <c r="I18" s="364">
        <f>4</f>
        <v>4</v>
      </c>
      <c r="J18" s="372">
        <f>IF($C18="","",I18*VLOOKUP($C18,ATELIER!$A$2:$F$109,4,0))</f>
        <v>0.32</v>
      </c>
      <c r="K18" s="364">
        <f>4</f>
        <v>4</v>
      </c>
      <c r="L18" s="372">
        <f>IF($C18="","",K18*VLOOKUP($C18,ATELIER!$A$2:$F$109,4,0))</f>
        <v>0.32</v>
      </c>
      <c r="M18" s="364">
        <f>4</f>
        <v>4</v>
      </c>
      <c r="N18" s="372">
        <f>IF($C18="","",M18*VLOOKUP($C18,ATELIER!$A$2:$F$109,4,0))</f>
        <v>0.32</v>
      </c>
      <c r="O18" s="364">
        <f>4</f>
        <v>4</v>
      </c>
      <c r="P18" s="372">
        <f>IF($C18="","",O18*VLOOKUP($C18,ATELIER!$A$2:$F$109,4,0))</f>
        <v>0.32</v>
      </c>
      <c r="Q18" s="364">
        <f>4</f>
        <v>4</v>
      </c>
      <c r="R18" s="372">
        <f>IF($C18="","",Q18*VLOOKUP($C18,ATELIER!$A$2:$F$109,4,0))</f>
        <v>0.32</v>
      </c>
      <c r="S18" s="364">
        <f>4</f>
        <v>4</v>
      </c>
      <c r="T18" s="372">
        <f>IF($C18="","",S18*VLOOKUP($C18,ATELIER!$A$2:$F$109,4,0))</f>
        <v>0.32</v>
      </c>
      <c r="U18" s="364">
        <f>4</f>
        <v>4</v>
      </c>
      <c r="V18" s="372">
        <f>IF($C18="","",U18*VLOOKUP($C18,ATELIER!$A$2:$F$109,4,0))</f>
        <v>0.32</v>
      </c>
      <c r="W18" s="1116">
        <f>4</f>
        <v>4</v>
      </c>
      <c r="X18" s="1116">
        <f>IF($C18="","",W18*VLOOKUP($C18,ATELIER!$A$2:$F$109,4,0))</f>
        <v>0.32</v>
      </c>
      <c r="Y18" s="1116">
        <f>4</f>
        <v>4</v>
      </c>
      <c r="Z18" s="1116">
        <f>IF($C18="","",Y18*VLOOKUP($C18,ATELIER!$A$2:$F$109,4,0))</f>
        <v>0.32</v>
      </c>
      <c r="AA18" s="1116">
        <f>4</f>
        <v>4</v>
      </c>
      <c r="AB18" s="1120">
        <f>IF($C18="","",AA18*VLOOKUP($C18,ATELIER!$A$2:$F$109,4,0))</f>
        <v>0.32</v>
      </c>
      <c r="AC18" s="1116">
        <f>4</f>
        <v>4</v>
      </c>
      <c r="AD18" s="1120">
        <f>IF($C18="","",AC18*VLOOKUP($C18,ATELIER!$A$2:$F$109,4,0))</f>
        <v>0.32</v>
      </c>
      <c r="AE18" s="1116">
        <f>4</f>
        <v>4</v>
      </c>
      <c r="AF18" s="1120">
        <f>IF($C18="","",AE18*VLOOKUP($C18,ATELIER!$A$2:$F$109,4,0))</f>
        <v>0.32</v>
      </c>
      <c r="AG18" s="1116">
        <f>4</f>
        <v>4</v>
      </c>
      <c r="AH18" s="1120">
        <f>IF($C18="","",AG18*VLOOKUP($C18,ATELIER!$A$2:$F$109,4,0))</f>
        <v>0.32</v>
      </c>
      <c r="AI18" s="1116">
        <f>4</f>
        <v>4</v>
      </c>
      <c r="AJ18" s="1120">
        <f>IF($C18="","",AI18*VLOOKUP($C18,ATELIER!$A$2:$F$109,4,0))</f>
        <v>0.32</v>
      </c>
      <c r="AK18" s="1116">
        <f>4</f>
        <v>4</v>
      </c>
      <c r="AL18" s="1120">
        <f>IF($C18="","",AK18*VLOOKUP($C18,ATELIER!$A$2:$F$109,4,0))</f>
        <v>0.32</v>
      </c>
      <c r="AM18" s="1116">
        <f>4</f>
        <v>4</v>
      </c>
      <c r="AN18" s="1120">
        <f>IF($C18="","",AM18*VLOOKUP($C18,ATELIER!$A$2:$F$109,4,0))</f>
        <v>0.32</v>
      </c>
    </row>
    <row r="19" spans="1:40" ht="35.25" customHeight="1" x14ac:dyDescent="0.2">
      <c r="A19" s="1624"/>
      <c r="B19" s="375" t="s">
        <v>449</v>
      </c>
      <c r="C19" s="376" t="s">
        <v>450</v>
      </c>
      <c r="D19" s="377" t="s">
        <v>451</v>
      </c>
      <c r="E19" s="376">
        <f>F19*Simulation!$P$8</f>
        <v>144.9</v>
      </c>
      <c r="F19" s="377">
        <f>SUM(F13:F18)</f>
        <v>3.22</v>
      </c>
      <c r="G19" s="376">
        <f>H19*Simulation!$P$8</f>
        <v>146.70000000000002</v>
      </c>
      <c r="H19" s="377">
        <f>SUM(H13:H18)</f>
        <v>3.2600000000000002</v>
      </c>
      <c r="I19" s="376">
        <f>J19*Simulation!$P$8</f>
        <v>146.70000000000002</v>
      </c>
      <c r="J19" s="377">
        <f>SUM(J13:J18)</f>
        <v>3.2600000000000002</v>
      </c>
      <c r="K19" s="376">
        <f>L19*Simulation!$P$8</f>
        <v>148.94999999999999</v>
      </c>
      <c r="L19" s="377">
        <f>SUM(L13:L18)</f>
        <v>3.31</v>
      </c>
      <c r="M19" s="376">
        <f>N19*Simulation!$P$8</f>
        <v>160.19999999999999</v>
      </c>
      <c r="N19" s="377">
        <f>SUM(N13:N18)</f>
        <v>3.56</v>
      </c>
      <c r="O19" s="376">
        <f>P19*Simulation!$P$8</f>
        <v>157.95000000000002</v>
      </c>
      <c r="P19" s="377">
        <f>SUM(P13:P18)</f>
        <v>3.5100000000000002</v>
      </c>
      <c r="Q19" s="376">
        <f>R19*Simulation!$P$8</f>
        <v>164.70000000000002</v>
      </c>
      <c r="R19" s="377">
        <f>SUM(R13:R18)</f>
        <v>3.66</v>
      </c>
      <c r="S19" s="376">
        <f>T19*Simulation!$P$8</f>
        <v>164.70000000000002</v>
      </c>
      <c r="T19" s="377">
        <f>SUM(T13:T18)</f>
        <v>3.66</v>
      </c>
      <c r="U19" s="376">
        <f>V19*Simulation!$P$8</f>
        <v>169.2</v>
      </c>
      <c r="V19" s="377">
        <f>SUM(V13:V18)</f>
        <v>3.76</v>
      </c>
      <c r="W19" s="1121">
        <f>X19*Simulation!$P$8</f>
        <v>178.2</v>
      </c>
      <c r="X19" s="1121">
        <f>SUM(X13:X18)</f>
        <v>3.96</v>
      </c>
      <c r="Y19" s="1121">
        <f>Z19*Simulation!$P$8</f>
        <v>178.20000000000002</v>
      </c>
      <c r="Z19" s="1121">
        <f>SUM(Z13:Z18)</f>
        <v>3.9600000000000004</v>
      </c>
      <c r="AA19" s="1121">
        <f>AB19*Simulation!$P$8</f>
        <v>166.95</v>
      </c>
      <c r="AB19" s="1122">
        <f>SUM(AB13:AB18)</f>
        <v>3.71</v>
      </c>
      <c r="AC19" s="1121">
        <f>AD19*Simulation!$P$8</f>
        <v>178.2</v>
      </c>
      <c r="AD19" s="1122">
        <f>SUM(AD13:AD18)</f>
        <v>3.96</v>
      </c>
      <c r="AE19" s="1121">
        <f>AF19*Simulation!$P$8</f>
        <v>178.2</v>
      </c>
      <c r="AF19" s="1122">
        <f>SUM(AF13:AF18)</f>
        <v>3.96</v>
      </c>
      <c r="AG19" s="1121">
        <f>AH19*Simulation!$P$8</f>
        <v>180.45000000000002</v>
      </c>
      <c r="AH19" s="1122">
        <f>SUM(AH13:AH18)</f>
        <v>4.0100000000000007</v>
      </c>
      <c r="AI19" s="1121">
        <f>AJ19*Simulation!$P$8</f>
        <v>187.20000000000002</v>
      </c>
      <c r="AJ19" s="1122">
        <f>SUM(AJ13:AJ18)</f>
        <v>4.16</v>
      </c>
      <c r="AK19" s="1121">
        <f>AL19*Simulation!$P$8</f>
        <v>191.7</v>
      </c>
      <c r="AL19" s="1122">
        <f>SUM(AL13:AL18)</f>
        <v>4.26</v>
      </c>
      <c r="AM19" s="1121">
        <f>AN19*Simulation!$P$8</f>
        <v>191.70000000000002</v>
      </c>
      <c r="AN19" s="1122">
        <f>SUM(AN13:AN18)</f>
        <v>4.2600000000000007</v>
      </c>
    </row>
    <row r="20" spans="1:40" ht="15" customHeight="1" x14ac:dyDescent="0.2">
      <c r="A20" s="1626" t="s">
        <v>452</v>
      </c>
      <c r="B20" s="361" t="s">
        <v>1160</v>
      </c>
      <c r="C20" s="378" t="s">
        <v>384</v>
      </c>
      <c r="D20" s="363" t="str">
        <f>IF(C20="","",VLOOKUP($C20,CHANTIER!$A$2:$C$83,3,0))</f>
        <v>ml</v>
      </c>
      <c r="E20" s="364">
        <f>'Outils de calculs'!E26</f>
        <v>8.1999999999999993</v>
      </c>
      <c r="F20" s="372">
        <f>IF($C20="","",E20*VLOOKUP($C20,CHANTIER!$A$2:$D$83,4,0))</f>
        <v>0.65599999999999992</v>
      </c>
      <c r="G20" s="364">
        <f>'Outils de calculs'!G26</f>
        <v>10</v>
      </c>
      <c r="H20" s="372">
        <f>IF($C20="","",G20*VLOOKUP($C20,CHANTIER!$A$2:$D$83,4,0))</f>
        <v>0.8</v>
      </c>
      <c r="I20" s="364">
        <f>'Outils de calculs'!I26</f>
        <v>12</v>
      </c>
      <c r="J20" s="372">
        <f>IF($C20="","",I20*VLOOKUP($C20,CHANTIER!$A$2:$D$83,4,0))</f>
        <v>0.96</v>
      </c>
      <c r="K20" s="364">
        <f>'Outils de calculs'!K26</f>
        <v>13</v>
      </c>
      <c r="L20" s="372">
        <f>IF($C20="","",K20*VLOOKUP($C20,CHANTIER!$A$2:$D$83,4,0))</f>
        <v>1.04</v>
      </c>
      <c r="M20" s="364">
        <f>'Outils de calculs'!M26</f>
        <v>14</v>
      </c>
      <c r="N20" s="372">
        <f>IF($C20="","",M20*VLOOKUP($C20,CHANTIER!$A$2:$D$83,4,0))</f>
        <v>1.1200000000000001</v>
      </c>
      <c r="O20" s="364">
        <f>'Outils de calculs'!O26</f>
        <v>15</v>
      </c>
      <c r="P20" s="372">
        <f>IF($C20="","",O20*VLOOKUP($C20,CHANTIER!$A$2:$D$83,4,0))</f>
        <v>1.2</v>
      </c>
      <c r="Q20" s="364">
        <f>'Outils de calculs'!Q26</f>
        <v>16</v>
      </c>
      <c r="R20" s="372">
        <f>IF($C20="","",Q20*VLOOKUP($C20,CHANTIER!$A$2:$D$83,4,0))</f>
        <v>1.28</v>
      </c>
      <c r="S20" s="364">
        <f>'Outils de calculs'!S26</f>
        <v>17</v>
      </c>
      <c r="T20" s="372">
        <f>IF($C20="","",S20*VLOOKUP($C20,CHANTIER!$A$2:$D$83,4,0))</f>
        <v>1.36</v>
      </c>
      <c r="U20" s="364">
        <f>'Outils de calculs'!U26</f>
        <v>18</v>
      </c>
      <c r="V20" s="372">
        <f>IF($C20="","",U20*VLOOKUP($C20,CHANTIER!$A$2:$D$83,4,0))</f>
        <v>1.44</v>
      </c>
      <c r="W20" s="1116">
        <f>'Outils de calculs'!W26</f>
        <v>20</v>
      </c>
      <c r="X20" s="1116">
        <f>IF($C20="","",W20*VLOOKUP($C20,CHANTIER!$A$2:$D$83,4,0))</f>
        <v>1.6</v>
      </c>
      <c r="Y20" s="1116">
        <f>'Outils de calculs'!Y26</f>
        <v>22</v>
      </c>
      <c r="Z20" s="1116">
        <f>IF($C20="","",Y20*VLOOKUP($C20,CHANTIER!$A$2:$D$83,4,0))</f>
        <v>1.76</v>
      </c>
      <c r="AA20" s="1116">
        <f>'Outils de calculs'!AA26</f>
        <v>23</v>
      </c>
      <c r="AB20" s="1120">
        <f>IF($C20="","",AA20*VLOOKUP($C20,CHANTIER!$A$2:$D$83,4,0))</f>
        <v>1.84</v>
      </c>
      <c r="AC20" s="1116">
        <f>'Outils de calculs'!AC26</f>
        <v>22</v>
      </c>
      <c r="AD20" s="1120">
        <f>IF($C20="","",AC20*VLOOKUP($C20,CHANTIER!$A$2:$D$83,4,0))</f>
        <v>1.76</v>
      </c>
      <c r="AE20" s="1116">
        <f>'Outils de calculs'!AE26</f>
        <v>24</v>
      </c>
      <c r="AF20" s="1120">
        <f>IF($C20="","",AE20*VLOOKUP($C20,CHANTIER!$A$2:$D$83,4,0))</f>
        <v>1.92</v>
      </c>
      <c r="AG20" s="1116">
        <f>'Outils de calculs'!AG26</f>
        <v>25</v>
      </c>
      <c r="AH20" s="1120">
        <f>IF($C20="","",AG20*VLOOKUP($C20,CHANTIER!$A$2:$D$83,4,0))</f>
        <v>2</v>
      </c>
      <c r="AI20" s="1116">
        <f>'Outils de calculs'!AI26</f>
        <v>26</v>
      </c>
      <c r="AJ20" s="1120">
        <f>IF($C20="","",AI20*VLOOKUP($C20,CHANTIER!$A$2:$D$83,4,0))</f>
        <v>2.08</v>
      </c>
      <c r="AK20" s="1116">
        <f>'Outils de calculs'!AK26</f>
        <v>28</v>
      </c>
      <c r="AL20" s="1120">
        <f>IF($C20="","",AK20*VLOOKUP($C20,CHANTIER!$A$2:$D$83,4,0))</f>
        <v>2.2400000000000002</v>
      </c>
      <c r="AM20" s="1116">
        <f>'Outils de calculs'!AM26</f>
        <v>26</v>
      </c>
      <c r="AN20" s="1120">
        <f>IF($C20="","",AM20*VLOOKUP($C20,CHANTIER!$A$2:$D$83,4,0))</f>
        <v>2.08</v>
      </c>
    </row>
    <row r="21" spans="1:40" ht="15" customHeight="1" x14ac:dyDescent="0.2">
      <c r="A21" s="1626"/>
      <c r="B21" s="361" t="s">
        <v>1160</v>
      </c>
      <c r="C21" s="378" t="s">
        <v>1248</v>
      </c>
      <c r="D21" s="363" t="str">
        <f>IF(C21="","",VLOOKUP($C21,CHANTIER!$A$2:$C$83,3,0))</f>
        <v>pc</v>
      </c>
      <c r="E21" s="364">
        <f>4</f>
        <v>4</v>
      </c>
      <c r="F21" s="372">
        <f>IF($C21="","",E21*VLOOKUP($C21,CHANTIER!$A$2:$D$83,4,0))</f>
        <v>0.6</v>
      </c>
      <c r="G21" s="364">
        <f>4</f>
        <v>4</v>
      </c>
      <c r="H21" s="372">
        <f>IF($C21="","",G21*VLOOKUP($C21,CHANTIER!$A$2:$D$83,4,0))</f>
        <v>0.6</v>
      </c>
      <c r="I21" s="364">
        <f>4</f>
        <v>4</v>
      </c>
      <c r="J21" s="372">
        <f>IF($C21="","",I21*VLOOKUP($C21,CHANTIER!$A$2:$D$83,4,0))</f>
        <v>0.6</v>
      </c>
      <c r="K21" s="364">
        <f>4</f>
        <v>4</v>
      </c>
      <c r="L21" s="372">
        <f>IF($C21="","",K21*VLOOKUP($C21,CHANTIER!$A$2:$D$83,4,0))</f>
        <v>0.6</v>
      </c>
      <c r="M21" s="364">
        <f>4</f>
        <v>4</v>
      </c>
      <c r="N21" s="372">
        <f>IF($C21="","",M21*VLOOKUP($C21,CHANTIER!$A$2:$D$83,4,0))</f>
        <v>0.6</v>
      </c>
      <c r="O21" s="364">
        <f>4</f>
        <v>4</v>
      </c>
      <c r="P21" s="372">
        <f>IF($C21="","",O21*VLOOKUP($C21,CHANTIER!$A$2:$D$83,4,0))</f>
        <v>0.6</v>
      </c>
      <c r="Q21" s="364">
        <f>4</f>
        <v>4</v>
      </c>
      <c r="R21" s="372">
        <f>IF($C21="","",Q21*VLOOKUP($C21,CHANTIER!$A$2:$D$83,4,0))</f>
        <v>0.6</v>
      </c>
      <c r="S21" s="364">
        <f>4</f>
        <v>4</v>
      </c>
      <c r="T21" s="372">
        <f>IF($C21="","",S21*VLOOKUP($C21,CHANTIER!$A$2:$D$83,4,0))</f>
        <v>0.6</v>
      </c>
      <c r="U21" s="364">
        <f>4</f>
        <v>4</v>
      </c>
      <c r="V21" s="372">
        <f>IF($C21="","",U21*VLOOKUP($C21,CHANTIER!$A$2:$D$83,4,0))</f>
        <v>0.6</v>
      </c>
      <c r="W21" s="1116">
        <f>4</f>
        <v>4</v>
      </c>
      <c r="X21" s="1116">
        <f>IF($C21="","",W21*VLOOKUP($C21,CHANTIER!$A$2:$D$83,4,0))</f>
        <v>0.6</v>
      </c>
      <c r="Y21" s="1116">
        <f>4</f>
        <v>4</v>
      </c>
      <c r="Z21" s="1116">
        <f>IF($C21="","",Y21*VLOOKUP($C21,CHANTIER!$A$2:$D$83,4,0))</f>
        <v>0.6</v>
      </c>
      <c r="AA21" s="1116">
        <f>4</f>
        <v>4</v>
      </c>
      <c r="AB21" s="1120">
        <f>IF($C21="","",AA21*VLOOKUP($C21,CHANTIER!$A$2:$D$83,4,0))</f>
        <v>0.6</v>
      </c>
      <c r="AC21" s="1116">
        <f>4</f>
        <v>4</v>
      </c>
      <c r="AD21" s="1120">
        <f>IF($C21="","",AC21*VLOOKUP($C21,CHANTIER!$A$2:$D$83,4,0))</f>
        <v>0.6</v>
      </c>
      <c r="AE21" s="1116">
        <f>4</f>
        <v>4</v>
      </c>
      <c r="AF21" s="1120">
        <f>IF($C21="","",AE21*VLOOKUP($C21,CHANTIER!$A$2:$D$83,4,0))</f>
        <v>0.6</v>
      </c>
      <c r="AG21" s="1116">
        <f>4</f>
        <v>4</v>
      </c>
      <c r="AH21" s="1120">
        <f>IF($C21="","",AG21*VLOOKUP($C21,CHANTIER!$A$2:$D$83,4,0))</f>
        <v>0.6</v>
      </c>
      <c r="AI21" s="1116">
        <f>4</f>
        <v>4</v>
      </c>
      <c r="AJ21" s="1120">
        <f>IF($C21="","",AI21*VLOOKUP($C21,CHANTIER!$A$2:$D$83,4,0))</f>
        <v>0.6</v>
      </c>
      <c r="AK21" s="1116">
        <f>4</f>
        <v>4</v>
      </c>
      <c r="AL21" s="1120">
        <f>IF($C21="","",AK21*VLOOKUP($C21,CHANTIER!$A$2:$D$83,4,0))</f>
        <v>0.6</v>
      </c>
      <c r="AM21" s="1116">
        <f>4</f>
        <v>4</v>
      </c>
      <c r="AN21" s="1120">
        <f>IF($C21="","",AM21*VLOOKUP($C21,CHANTIER!$A$2:$D$83,4,0))</f>
        <v>0.6</v>
      </c>
    </row>
    <row r="22" spans="1:40" ht="15" customHeight="1" x14ac:dyDescent="0.2">
      <c r="A22" s="1626"/>
      <c r="B22" s="361" t="s">
        <v>1160</v>
      </c>
      <c r="C22" s="378" t="s">
        <v>1252</v>
      </c>
      <c r="D22" s="363" t="str">
        <f>IF(C22="","",VLOOKUP($C22,CHANTIER!$A$2:$C$83,3,0))</f>
        <v>ml</v>
      </c>
      <c r="E22" s="364">
        <f>E5</f>
        <v>36.08</v>
      </c>
      <c r="F22" s="372">
        <f>IF($C22="","",E22*VLOOKUP($C22,CHANTIER!$A$2:$D$83,4,0))</f>
        <v>2.1647999999999996</v>
      </c>
      <c r="G22" s="364">
        <f>G5</f>
        <v>44</v>
      </c>
      <c r="H22" s="372">
        <f>IF($C22="","",G22*VLOOKUP($C22,CHANTIER!$A$2:$D$83,4,0))</f>
        <v>2.6399999999999997</v>
      </c>
      <c r="I22" s="364">
        <f>I5</f>
        <v>52.800000000000004</v>
      </c>
      <c r="J22" s="372">
        <f>IF($C22="","",I22*VLOOKUP($C22,CHANTIER!$A$2:$D$83,4,0))</f>
        <v>3.1680000000000001</v>
      </c>
      <c r="K22" s="364">
        <f>K5</f>
        <v>57.2</v>
      </c>
      <c r="L22" s="372">
        <f>IF($C22="","",K22*VLOOKUP($C22,CHANTIER!$A$2:$D$83,4,0))</f>
        <v>3.4319999999999999</v>
      </c>
      <c r="M22" s="364">
        <f>M5</f>
        <v>61.600000000000009</v>
      </c>
      <c r="N22" s="372">
        <f>IF($C22="","",M22*VLOOKUP($C22,CHANTIER!$A$2:$D$83,4,0))</f>
        <v>3.6960000000000002</v>
      </c>
      <c r="O22" s="364">
        <f>O5</f>
        <v>66</v>
      </c>
      <c r="P22" s="372">
        <f>IF($C22="","",O22*VLOOKUP($C22,CHANTIER!$A$2:$D$83,4,0))</f>
        <v>3.96</v>
      </c>
      <c r="Q22" s="364">
        <f>Q5</f>
        <v>70.400000000000006</v>
      </c>
      <c r="R22" s="372">
        <f>IF($C22="","",Q22*VLOOKUP($C22,CHANTIER!$A$2:$D$83,4,0))</f>
        <v>4.2240000000000002</v>
      </c>
      <c r="S22" s="364">
        <f>S5</f>
        <v>74.800000000000011</v>
      </c>
      <c r="T22" s="372">
        <f>IF($C22="","",S22*VLOOKUP($C22,CHANTIER!$A$2:$D$83,4,0))</f>
        <v>4.4880000000000004</v>
      </c>
      <c r="U22" s="364">
        <f>U5</f>
        <v>79.2</v>
      </c>
      <c r="V22" s="372">
        <f>IF($C22="","",U22*VLOOKUP($C22,CHANTIER!$A$2:$D$83,4,0))</f>
        <v>4.7519999999999998</v>
      </c>
      <c r="W22" s="1116">
        <f>W5</f>
        <v>88</v>
      </c>
      <c r="X22" s="1116">
        <f>IF($C22="","",W22*VLOOKUP($C22,CHANTIER!$A$2:$D$83,4,0))</f>
        <v>5.2799999999999994</v>
      </c>
      <c r="Y22" s="1116">
        <f>Y5</f>
        <v>96.800000000000011</v>
      </c>
      <c r="Z22" s="1116">
        <f>IF($C22="","",Y22*VLOOKUP($C22,CHANTIER!$A$2:$D$83,4,0))</f>
        <v>5.8080000000000007</v>
      </c>
      <c r="AA22" s="1116">
        <f>AA5</f>
        <v>101.2</v>
      </c>
      <c r="AB22" s="1120">
        <f>IF($C22="","",AA22*VLOOKUP($C22,CHANTIER!$A$2:$D$83,4,0))</f>
        <v>6.0720000000000001</v>
      </c>
      <c r="AC22" s="1116">
        <f>AC5</f>
        <v>96.800000000000011</v>
      </c>
      <c r="AD22" s="1120">
        <f>IF($C22="","",AC22*VLOOKUP($C22,CHANTIER!$A$2:$D$83,4,0))</f>
        <v>5.8080000000000007</v>
      </c>
      <c r="AE22" s="1116">
        <f>AE5</f>
        <v>105.60000000000001</v>
      </c>
      <c r="AF22" s="1120">
        <f>IF($C22="","",AE22*VLOOKUP($C22,CHANTIER!$A$2:$D$83,4,0))</f>
        <v>6.3360000000000003</v>
      </c>
      <c r="AG22" s="1116">
        <f>AG5</f>
        <v>110.00000000000001</v>
      </c>
      <c r="AH22" s="1120">
        <f>IF($C22="","",AG22*VLOOKUP($C22,CHANTIER!$A$2:$D$83,4,0))</f>
        <v>6.6000000000000005</v>
      </c>
      <c r="AI22" s="1116">
        <f>AI5</f>
        <v>114.4</v>
      </c>
      <c r="AJ22" s="1120">
        <f>IF($C22="","",AI22*VLOOKUP($C22,CHANTIER!$A$2:$D$83,4,0))</f>
        <v>6.8639999999999999</v>
      </c>
      <c r="AK22" s="1116">
        <f>AK5</f>
        <v>123.20000000000002</v>
      </c>
      <c r="AL22" s="1120">
        <f>IF($C22="","",AK22*VLOOKUP($C22,CHANTIER!$A$2:$D$83,4,0))</f>
        <v>7.3920000000000003</v>
      </c>
      <c r="AM22" s="1116">
        <f>AM5</f>
        <v>114.4</v>
      </c>
      <c r="AN22" s="1120">
        <f>IF($C22="","",AM22*VLOOKUP($C22,CHANTIER!$A$2:$D$83,4,0))</f>
        <v>6.8639999999999999</v>
      </c>
    </row>
    <row r="23" spans="1:40" ht="15" customHeight="1" x14ac:dyDescent="0.2">
      <c r="A23" s="1626"/>
      <c r="B23" s="361" t="s">
        <v>1160</v>
      </c>
      <c r="C23" s="378" t="s">
        <v>1254</v>
      </c>
      <c r="D23" s="363" t="str">
        <f>IF(C23="","",VLOOKUP($C23,CHANTIER!$A$2:$C$83,3,0))</f>
        <v>ml</v>
      </c>
      <c r="E23" s="364">
        <f>E10</f>
        <v>8.5</v>
      </c>
      <c r="F23" s="372">
        <f>IF($C23="","",E23*VLOOKUP($C23,CHANTIER!$A$2:$D$83,4,0))</f>
        <v>0.42500000000000004</v>
      </c>
      <c r="G23" s="364">
        <f>G10</f>
        <v>10.3</v>
      </c>
      <c r="H23" s="372">
        <f>IF($C23="","",G23*VLOOKUP($C23,CHANTIER!$A$2:$D$83,4,0))</f>
        <v>0.51500000000000001</v>
      </c>
      <c r="I23" s="364">
        <f>I10</f>
        <v>12.3</v>
      </c>
      <c r="J23" s="372">
        <f>IF($C23="","",I23*VLOOKUP($C23,CHANTIER!$A$2:$D$83,4,0))</f>
        <v>0.6150000000000001</v>
      </c>
      <c r="K23" s="364">
        <f>K10</f>
        <v>13.3</v>
      </c>
      <c r="L23" s="372">
        <f>IF($C23="","",K23*VLOOKUP($C23,CHANTIER!$A$2:$D$83,4,0))</f>
        <v>0.66500000000000004</v>
      </c>
      <c r="M23" s="364">
        <f>M10</f>
        <v>14.3</v>
      </c>
      <c r="N23" s="372">
        <f>IF($C23="","",M23*VLOOKUP($C23,CHANTIER!$A$2:$D$83,4,0))</f>
        <v>0.71500000000000008</v>
      </c>
      <c r="O23" s="364">
        <f>O10</f>
        <v>15.3</v>
      </c>
      <c r="P23" s="372">
        <f>IF($C23="","",O23*VLOOKUP($C23,CHANTIER!$A$2:$D$83,4,0))</f>
        <v>0.76500000000000012</v>
      </c>
      <c r="Q23" s="364">
        <f>Q10</f>
        <v>16.3</v>
      </c>
      <c r="R23" s="372">
        <f>IF($C23="","",Q23*VLOOKUP($C23,CHANTIER!$A$2:$D$83,4,0))</f>
        <v>0.81500000000000006</v>
      </c>
      <c r="S23" s="364">
        <f>S10</f>
        <v>17.3</v>
      </c>
      <c r="T23" s="372">
        <f>IF($C23="","",S23*VLOOKUP($C23,CHANTIER!$A$2:$D$83,4,0))</f>
        <v>0.8650000000000001</v>
      </c>
      <c r="U23" s="364">
        <f>U10</f>
        <v>18.3</v>
      </c>
      <c r="V23" s="372">
        <f>IF($C23="","",U23*VLOOKUP($C23,CHANTIER!$A$2:$D$83,4,0))</f>
        <v>0.91500000000000004</v>
      </c>
      <c r="W23" s="1116">
        <f>W10</f>
        <v>20.3</v>
      </c>
      <c r="X23" s="1116">
        <f>IF($C23="","",W23*VLOOKUP($C23,CHANTIER!$A$2:$D$83,4,0))</f>
        <v>1.0150000000000001</v>
      </c>
      <c r="Y23" s="1116">
        <f>Y10</f>
        <v>22.3</v>
      </c>
      <c r="Z23" s="1116">
        <f>IF($C23="","",Y23*VLOOKUP($C23,CHANTIER!$A$2:$D$83,4,0))</f>
        <v>1.115</v>
      </c>
      <c r="AA23" s="1116">
        <f>AA10</f>
        <v>23.3</v>
      </c>
      <c r="AB23" s="1120">
        <f>IF($C23="","",AA23*VLOOKUP($C23,CHANTIER!$A$2:$D$83,4,0))</f>
        <v>1.165</v>
      </c>
      <c r="AC23" s="1116">
        <f>AC10</f>
        <v>22.3</v>
      </c>
      <c r="AD23" s="1120">
        <f>IF($C23="","",AC23*VLOOKUP($C23,CHANTIER!$A$2:$D$83,4,0))</f>
        <v>1.115</v>
      </c>
      <c r="AE23" s="1116">
        <f>AE10</f>
        <v>24.3</v>
      </c>
      <c r="AF23" s="1120">
        <f>IF($C23="","",AE23*VLOOKUP($C23,CHANTIER!$A$2:$D$83,4,0))</f>
        <v>1.2150000000000001</v>
      </c>
      <c r="AG23" s="1116">
        <f>AG10</f>
        <v>25.3</v>
      </c>
      <c r="AH23" s="1120">
        <f>IF($C23="","",AG23*VLOOKUP($C23,CHANTIER!$A$2:$D$83,4,0))</f>
        <v>1.2650000000000001</v>
      </c>
      <c r="AI23" s="1116">
        <f>AI10</f>
        <v>26.3</v>
      </c>
      <c r="AJ23" s="1120">
        <f>IF($C23="","",AI23*VLOOKUP($C23,CHANTIER!$A$2:$D$83,4,0))</f>
        <v>1.3150000000000002</v>
      </c>
      <c r="AK23" s="1116">
        <f>AK10</f>
        <v>28.3</v>
      </c>
      <c r="AL23" s="1120">
        <f>IF($C23="","",AK23*VLOOKUP($C23,CHANTIER!$A$2:$D$83,4,0))</f>
        <v>1.415</v>
      </c>
      <c r="AM23" s="1116">
        <f>AM10</f>
        <v>26.3</v>
      </c>
      <c r="AN23" s="1120">
        <f>IF($C23="","",AM23*VLOOKUP($C23,CHANTIER!$A$2:$D$83,4,0))</f>
        <v>1.3150000000000002</v>
      </c>
    </row>
    <row r="24" spans="1:40" ht="15" customHeight="1" x14ac:dyDescent="0.2">
      <c r="A24" s="1626"/>
      <c r="B24" s="361" t="s">
        <v>1159</v>
      </c>
      <c r="C24" s="378" t="s">
        <v>108</v>
      </c>
      <c r="D24" s="363" t="str">
        <f>IF(C24="","",VLOOKUP($C24,CHANTIER!$A$2:$C$83,3,0))</f>
        <v>ml</v>
      </c>
      <c r="E24" s="364">
        <f>E11</f>
        <v>8.5</v>
      </c>
      <c r="F24" s="372">
        <f>IF($C24="","",E24*VLOOKUP($C24,CHANTIER!$A$2:$D$83,4,0))</f>
        <v>0.42500000000000004</v>
      </c>
      <c r="G24" s="364">
        <f t="shared" ref="G24" si="0">G11</f>
        <v>10.3</v>
      </c>
      <c r="H24" s="372">
        <f>IF($C24="","",G24*VLOOKUP($C24,CHANTIER!$A$2:$D$83,4,0))</f>
        <v>0.51500000000000001</v>
      </c>
      <c r="I24" s="364">
        <f t="shared" ref="I24" si="1">I11</f>
        <v>12.3</v>
      </c>
      <c r="J24" s="372">
        <f>IF($C24="","",I24*VLOOKUP($C24,CHANTIER!$A$2:$D$83,4,0))</f>
        <v>0.6150000000000001</v>
      </c>
      <c r="K24" s="364">
        <f t="shared" ref="K24" si="2">K11</f>
        <v>13.3</v>
      </c>
      <c r="L24" s="372">
        <f>IF($C24="","",K24*VLOOKUP($C24,CHANTIER!$A$2:$D$83,4,0))</f>
        <v>0.66500000000000004</v>
      </c>
      <c r="M24" s="364">
        <f t="shared" ref="M24" si="3">M11</f>
        <v>14.3</v>
      </c>
      <c r="N24" s="372">
        <f>IF($C24="","",M24*VLOOKUP($C24,CHANTIER!$A$2:$D$83,4,0))</f>
        <v>0.71500000000000008</v>
      </c>
      <c r="O24" s="364">
        <f t="shared" ref="O24" si="4">O11</f>
        <v>15.3</v>
      </c>
      <c r="P24" s="372">
        <f>IF($C24="","",O24*VLOOKUP($C24,CHANTIER!$A$2:$D$83,4,0))</f>
        <v>0.76500000000000012</v>
      </c>
      <c r="Q24" s="364">
        <f t="shared" ref="Q24" si="5">Q11</f>
        <v>16.3</v>
      </c>
      <c r="R24" s="372">
        <f>IF($C24="","",Q24*VLOOKUP($C24,CHANTIER!$A$2:$D$83,4,0))</f>
        <v>0.81500000000000006</v>
      </c>
      <c r="S24" s="364">
        <f t="shared" ref="S24" si="6">S11</f>
        <v>17.3</v>
      </c>
      <c r="T24" s="372">
        <f>IF($C24="","",S24*VLOOKUP($C24,CHANTIER!$A$2:$D$83,4,0))</f>
        <v>0.8650000000000001</v>
      </c>
      <c r="U24" s="364">
        <f t="shared" ref="U24" si="7">U11</f>
        <v>18.3</v>
      </c>
      <c r="V24" s="372">
        <f>IF($C24="","",U24*VLOOKUP($C24,CHANTIER!$A$2:$D$83,4,0))</f>
        <v>0.91500000000000004</v>
      </c>
      <c r="W24" s="1116"/>
      <c r="X24" s="1116"/>
      <c r="Y24" s="1116"/>
      <c r="Z24" s="1116"/>
      <c r="AA24" s="1116"/>
      <c r="AB24" s="1120"/>
      <c r="AC24" s="1116"/>
      <c r="AD24" s="1120"/>
      <c r="AE24" s="1116"/>
      <c r="AF24" s="1120"/>
      <c r="AG24" s="1116"/>
      <c r="AH24" s="1120"/>
      <c r="AI24" s="1116"/>
      <c r="AJ24" s="1120"/>
      <c r="AK24" s="1116"/>
      <c r="AL24" s="1120"/>
      <c r="AM24" s="1116"/>
      <c r="AN24" s="1120"/>
    </row>
    <row r="25" spans="1:40" ht="15" customHeight="1" x14ac:dyDescent="0.2">
      <c r="A25" s="1626"/>
      <c r="B25" s="361" t="s">
        <v>1160</v>
      </c>
      <c r="C25" s="378" t="s">
        <v>1255</v>
      </c>
      <c r="D25" s="363" t="str">
        <f>IF(C25="","",VLOOKUP($C25,CHANTIER!$A$2:$C$83,3,0))</f>
        <v>ml</v>
      </c>
      <c r="E25" s="364">
        <f>E6</f>
        <v>2.5</v>
      </c>
      <c r="F25" s="372">
        <f>IF($C25="","",E25*VLOOKUP($C25,CHANTIER!$A$2:$D$83,4,0))</f>
        <v>0.375</v>
      </c>
      <c r="G25" s="364">
        <f>G6</f>
        <v>3</v>
      </c>
      <c r="H25" s="372">
        <f>IF($C25="","",G25*VLOOKUP($C25,CHANTIER!$A$2:$D$83,4,0))</f>
        <v>0.44999999999999996</v>
      </c>
      <c r="I25" s="364">
        <f>I6</f>
        <v>4</v>
      </c>
      <c r="J25" s="372">
        <f>IF($C25="","",I25*VLOOKUP($C25,CHANTIER!$A$2:$D$83,4,0))</f>
        <v>0.6</v>
      </c>
      <c r="K25" s="364">
        <f>K6</f>
        <v>4</v>
      </c>
      <c r="L25" s="372">
        <f>IF($C25="","",K25*VLOOKUP($C25,CHANTIER!$A$2:$D$83,4,0))</f>
        <v>0.6</v>
      </c>
      <c r="M25" s="364">
        <f>M6</f>
        <v>4</v>
      </c>
      <c r="N25" s="372">
        <f>IF($C25="","",M25*VLOOKUP($C25,CHANTIER!$A$2:$D$83,4,0))</f>
        <v>0.6</v>
      </c>
      <c r="O25" s="364">
        <f>O6</f>
        <v>4</v>
      </c>
      <c r="P25" s="372">
        <f>IF($C25="","",O25*VLOOKUP($C25,CHANTIER!$A$2:$D$83,4,0))</f>
        <v>0.6</v>
      </c>
      <c r="Q25" s="364">
        <f>Q6</f>
        <v>4</v>
      </c>
      <c r="R25" s="372">
        <f>IF($C25="","",Q25*VLOOKUP($C25,CHANTIER!$A$2:$D$83,4,0))</f>
        <v>0.6</v>
      </c>
      <c r="S25" s="364">
        <f>S6</f>
        <v>4.5</v>
      </c>
      <c r="T25" s="372">
        <f>IF($C25="","",S25*VLOOKUP($C25,CHANTIER!$A$2:$D$83,4,0))</f>
        <v>0.67499999999999993</v>
      </c>
      <c r="U25" s="364">
        <f>U6</f>
        <v>5</v>
      </c>
      <c r="V25" s="372">
        <f>IF($C25="","",U25*VLOOKUP($C25,CHANTIER!$A$2:$D$83,4,0))</f>
        <v>0.75</v>
      </c>
      <c r="W25" s="1116">
        <f>W6</f>
        <v>6</v>
      </c>
      <c r="X25" s="1116">
        <f>IF($C25="","",W25*VLOOKUP($C25,CHANTIER!$A$2:$D$83,4,0))</f>
        <v>0.89999999999999991</v>
      </c>
      <c r="Y25" s="1116">
        <f>Y6</f>
        <v>8</v>
      </c>
      <c r="Z25" s="1116">
        <f>IF($C25="","",Y25*VLOOKUP($C25,CHANTIER!$A$2:$D$83,4,0))</f>
        <v>1.2</v>
      </c>
      <c r="AA25" s="1116">
        <f>AA6</f>
        <v>8</v>
      </c>
      <c r="AB25" s="1120">
        <f>IF($C25="","",AA25*VLOOKUP($C25,CHANTIER!$A$2:$D$83,4,0))</f>
        <v>1.2</v>
      </c>
      <c r="AC25" s="1116">
        <f>AC6</f>
        <v>7</v>
      </c>
      <c r="AD25" s="1120">
        <f>IF($C25="","",AC25*VLOOKUP($C25,CHANTIER!$A$2:$D$83,4,0))</f>
        <v>1.05</v>
      </c>
      <c r="AE25" s="1116">
        <f>AE6</f>
        <v>8</v>
      </c>
      <c r="AF25" s="1120">
        <f>IF($C25="","",AE25*VLOOKUP($C25,CHANTIER!$A$2:$D$83,4,0))</f>
        <v>1.2</v>
      </c>
      <c r="AG25" s="1116">
        <f>AG6</f>
        <v>8</v>
      </c>
      <c r="AH25" s="1120">
        <f>IF($C25="","",AG25*VLOOKUP($C25,CHANTIER!$A$2:$D$83,4,0))</f>
        <v>1.2</v>
      </c>
      <c r="AI25" s="1116">
        <f>AI6</f>
        <v>9</v>
      </c>
      <c r="AJ25" s="1120">
        <f>IF($C25="","",AI25*VLOOKUP($C25,CHANTIER!$A$2:$D$83,4,0))</f>
        <v>1.3499999999999999</v>
      </c>
      <c r="AK25" s="1116">
        <f>AK6</f>
        <v>10</v>
      </c>
      <c r="AL25" s="1120">
        <f>IF($C25="","",AK25*VLOOKUP($C25,CHANTIER!$A$2:$D$83,4,0))</f>
        <v>1.5</v>
      </c>
      <c r="AM25" s="1116">
        <f>AM6</f>
        <v>8</v>
      </c>
      <c r="AN25" s="1120">
        <f>IF($C25="","",AM25*VLOOKUP($C25,CHANTIER!$A$2:$D$83,4,0))</f>
        <v>1.2</v>
      </c>
    </row>
    <row r="26" spans="1:40" ht="30.75" customHeight="1" x14ac:dyDescent="0.2">
      <c r="A26" s="1626"/>
      <c r="B26" s="379" t="s">
        <v>453</v>
      </c>
      <c r="C26" s="380" t="s">
        <v>450</v>
      </c>
      <c r="D26" s="381" t="s">
        <v>451</v>
      </c>
      <c r="E26" s="382">
        <f>F26*Simulation!$P$9</f>
        <v>209.06099999999998</v>
      </c>
      <c r="F26" s="383">
        <f>SUM(F20:F25)</f>
        <v>4.6457999999999995</v>
      </c>
      <c r="G26" s="382">
        <f>H26*Simulation!$P$9</f>
        <v>248.39999999999995</v>
      </c>
      <c r="H26" s="383">
        <f>SUM(H20:H25)</f>
        <v>5.5199999999999987</v>
      </c>
      <c r="I26" s="382">
        <f>J26*Simulation!$P$9</f>
        <v>295.11</v>
      </c>
      <c r="J26" s="383">
        <f>SUM(J20:J25)</f>
        <v>6.5579999999999998</v>
      </c>
      <c r="K26" s="382">
        <f>L26*Simulation!$P$9</f>
        <v>315.08999999999997</v>
      </c>
      <c r="L26" s="383">
        <f>SUM(L20:L25)</f>
        <v>7.0019999999999998</v>
      </c>
      <c r="M26" s="382">
        <f>N26*Simulation!$P$9</f>
        <v>335.07</v>
      </c>
      <c r="N26" s="383">
        <f>SUM(N20:N25)</f>
        <v>7.4459999999999997</v>
      </c>
      <c r="O26" s="382">
        <f>P26*Simulation!$P$9</f>
        <v>355.05</v>
      </c>
      <c r="P26" s="383">
        <f>SUM(P20:P25)</f>
        <v>7.8900000000000006</v>
      </c>
      <c r="Q26" s="382">
        <f>R26*Simulation!$P$9</f>
        <v>375.03000000000009</v>
      </c>
      <c r="R26" s="383">
        <f>SUM(R20:R25)</f>
        <v>8.3340000000000014</v>
      </c>
      <c r="S26" s="382">
        <f>T26*Simulation!$P$9</f>
        <v>398.38500000000005</v>
      </c>
      <c r="T26" s="383">
        <f>SUM(T20:T25)</f>
        <v>8.8530000000000015</v>
      </c>
      <c r="U26" s="382">
        <f>V26*Simulation!$P$9</f>
        <v>421.74</v>
      </c>
      <c r="V26" s="383">
        <f>SUM(V20:V25)</f>
        <v>9.3719999999999999</v>
      </c>
      <c r="W26" s="1123">
        <f>X26*Simulation!$P$9</f>
        <v>422.77499999999998</v>
      </c>
      <c r="X26" s="1123">
        <f>SUM(X20:X25)</f>
        <v>9.3949999999999996</v>
      </c>
      <c r="Y26" s="1123">
        <f>Z26*Simulation!$P$9</f>
        <v>471.73500000000001</v>
      </c>
      <c r="Z26" s="1123">
        <f>SUM(Z20:Z25)</f>
        <v>10.483000000000001</v>
      </c>
      <c r="AA26" s="1123">
        <f>AB26*Simulation!$P$9</f>
        <v>489.46499999999997</v>
      </c>
      <c r="AB26" s="1124">
        <f>SUM(AB20:AB25)</f>
        <v>10.876999999999999</v>
      </c>
      <c r="AC26" s="1123">
        <f>AD26*Simulation!$P$9</f>
        <v>464.98500000000007</v>
      </c>
      <c r="AD26" s="1124">
        <f>SUM(AD20:AD25)</f>
        <v>10.333000000000002</v>
      </c>
      <c r="AE26" s="1123">
        <f>AF26*Simulation!$P$9</f>
        <v>507.19499999999994</v>
      </c>
      <c r="AF26" s="1124">
        <f>SUM(AF20:AF25)</f>
        <v>11.270999999999999</v>
      </c>
      <c r="AG26" s="1123">
        <f>AH26*Simulation!$P$9</f>
        <v>524.92500000000007</v>
      </c>
      <c r="AH26" s="1124">
        <f>SUM(AH20:AH25)</f>
        <v>11.665000000000001</v>
      </c>
      <c r="AI26" s="1123">
        <f>AJ26*Simulation!$P$9</f>
        <v>549.40499999999997</v>
      </c>
      <c r="AJ26" s="1124">
        <f>SUM(AJ20:AJ25)</f>
        <v>12.209</v>
      </c>
      <c r="AK26" s="1123">
        <f>AL26*Simulation!$P$9</f>
        <v>591.61500000000012</v>
      </c>
      <c r="AL26" s="1124">
        <f>SUM(AL20:AL25)</f>
        <v>13.147000000000002</v>
      </c>
      <c r="AM26" s="1123">
        <f>AN26*Simulation!$P$9</f>
        <v>542.65499999999997</v>
      </c>
      <c r="AN26" s="1124">
        <f>SUM(AN20:AN25)</f>
        <v>12.058999999999999</v>
      </c>
    </row>
    <row r="27" spans="1:40" ht="15" customHeight="1" x14ac:dyDescent="0.2">
      <c r="A27" s="1628" t="s">
        <v>4</v>
      </c>
      <c r="B27" s="361" t="s">
        <v>1171</v>
      </c>
      <c r="C27" s="378"/>
      <c r="D27" s="363" t="str">
        <f>IF(C27="","",VLOOKUP($C27,MINIPELLE!$A$2:$C$28,3,0))</f>
        <v/>
      </c>
      <c r="E27" s="364">
        <v>2</v>
      </c>
      <c r="F27" s="372" t="str">
        <f>IF($C27="","",E27*VLOOKUP($C27,MINIPELLE!$A$2:$D$28,4,0))</f>
        <v/>
      </c>
      <c r="G27" s="364">
        <v>2</v>
      </c>
      <c r="H27" s="372" t="str">
        <f>IF($C27="","",G27*VLOOKUP($C27,MINIPELLE!$A$2:$D$28,4,0))</f>
        <v/>
      </c>
      <c r="I27" s="364">
        <v>2</v>
      </c>
      <c r="J27" s="372" t="str">
        <f>IF($C27="","",I27*VLOOKUP($C27,MINIPELLE!$A$2:$D$28,4,0))</f>
        <v/>
      </c>
      <c r="K27" s="364">
        <v>2</v>
      </c>
      <c r="L27" s="372" t="str">
        <f>IF($C27="","",K27*VLOOKUP($C27,MINIPELLE!$A$2:$D$28,4,0))</f>
        <v/>
      </c>
      <c r="M27" s="364">
        <v>2</v>
      </c>
      <c r="N27" s="372" t="str">
        <f>IF($C27="","",M27*VLOOKUP($C27,MINIPELLE!$A$2:$D$28,4,0))</f>
        <v/>
      </c>
      <c r="O27" s="364">
        <v>2</v>
      </c>
      <c r="P27" s="372" t="str">
        <f>IF($C27="","",O27*VLOOKUP($C27,MINIPELLE!$A$2:$D$28,4,0))</f>
        <v/>
      </c>
      <c r="Q27" s="364">
        <v>2</v>
      </c>
      <c r="R27" s="372" t="str">
        <f>IF($C27="","",Q27*VLOOKUP($C27,MINIPELLE!$A$2:$D$28,4,0))</f>
        <v/>
      </c>
      <c r="S27" s="364">
        <v>2</v>
      </c>
      <c r="T27" s="372" t="str">
        <f>IF($C27="","",S27*VLOOKUP($C27,MINIPELLE!$A$2:$D$28,4,0))</f>
        <v/>
      </c>
      <c r="U27" s="364">
        <v>2</v>
      </c>
      <c r="V27" s="372" t="str">
        <f>IF($C27="","",U27*VLOOKUP($C27,MINIPELLE!$A$2:$D$28,4,0))</f>
        <v/>
      </c>
      <c r="W27" s="1116">
        <v>2</v>
      </c>
      <c r="X27" s="1116" t="str">
        <f>IF($C27="","",W27*VLOOKUP($C27,MINIPELLE!$A$2:$D$28,4,0))</f>
        <v/>
      </c>
      <c r="Y27" s="1116">
        <v>2</v>
      </c>
      <c r="Z27" s="1116" t="str">
        <f>IF($C27="","",Y27*VLOOKUP($C27,MINIPELLE!$A$2:$D$28,4,0))</f>
        <v/>
      </c>
      <c r="AA27" s="1116">
        <v>2</v>
      </c>
      <c r="AB27" s="1120" t="str">
        <f>IF($C27="","",AA27*VLOOKUP($C27,MINIPELLE!$A$2:$D$28,4,0))</f>
        <v/>
      </c>
      <c r="AC27" s="1116">
        <v>2</v>
      </c>
      <c r="AD27" s="1120" t="str">
        <f>IF($C27="","",AC27*VLOOKUP($C27,MINIPELLE!$A$2:$D$28,4,0))</f>
        <v/>
      </c>
      <c r="AE27" s="1116">
        <v>2</v>
      </c>
      <c r="AF27" s="1120" t="str">
        <f>IF($C27="","",AE27*VLOOKUP($C27,MINIPELLE!$A$2:$D$28,4,0))</f>
        <v/>
      </c>
      <c r="AG27" s="1116">
        <v>2</v>
      </c>
      <c r="AH27" s="1120" t="str">
        <f>IF($C27="","",AG27*VLOOKUP($C27,MINIPELLE!$A$2:$D$28,4,0))</f>
        <v/>
      </c>
      <c r="AI27" s="1116">
        <v>2</v>
      </c>
      <c r="AJ27" s="1120" t="str">
        <f>IF($C27="","",AI27*VLOOKUP($C27,MINIPELLE!$A$2:$D$28,4,0))</f>
        <v/>
      </c>
      <c r="AK27" s="1116">
        <v>2</v>
      </c>
      <c r="AL27" s="1120" t="str">
        <f>IF($C27="","",AK27*VLOOKUP($C27,MINIPELLE!$A$2:$D$28,4,0))</f>
        <v/>
      </c>
      <c r="AM27" s="1116">
        <v>3</v>
      </c>
      <c r="AN27" s="1120" t="str">
        <f>IF($C27="","",AM27*VLOOKUP($C27,MINIPELLE!$A$2:$D$28,4,0))</f>
        <v/>
      </c>
    </row>
    <row r="28" spans="1:40" ht="15" customHeight="1" x14ac:dyDescent="0.2">
      <c r="A28" s="1628"/>
      <c r="B28" s="445" t="s">
        <v>1172</v>
      </c>
      <c r="C28" s="446" t="s">
        <v>102</v>
      </c>
      <c r="D28" s="363" t="str">
        <f>IF(C28="","",VLOOKUP($C28,MINIPELLE!$A$2:$C$28,3,0))</f>
        <v>m3</v>
      </c>
      <c r="E28" s="364">
        <f>E2*2*0.5*1.1</f>
        <v>2.2000000000000002</v>
      </c>
      <c r="F28" s="389">
        <f>IF($C28="","",E28*VLOOKUP($C28,MINIPELLE!$A$2:$D$28,4,0))</f>
        <v>0.55000000000000004</v>
      </c>
      <c r="G28" s="364">
        <f>G2*2*0.5*1.1</f>
        <v>3.3000000000000003</v>
      </c>
      <c r="H28" s="389">
        <f>IF($C28="","",G28*VLOOKUP($C28,MINIPELLE!$A$2:$D$28,4,0))</f>
        <v>0.82500000000000007</v>
      </c>
      <c r="I28" s="364">
        <f>I2*2*0.5*1.1</f>
        <v>4.4000000000000004</v>
      </c>
      <c r="J28" s="389">
        <f>IF($C28="","",I28*VLOOKUP($C28,MINIPELLE!$A$2:$D$28,4,0))</f>
        <v>1.1000000000000001</v>
      </c>
      <c r="K28" s="364">
        <f>K2*2*0.5*1.1</f>
        <v>5.5</v>
      </c>
      <c r="L28" s="389">
        <f>IF($C28="","",K28*VLOOKUP($C28,MINIPELLE!$A$2:$D$28,4,0))</f>
        <v>1.375</v>
      </c>
      <c r="M28" s="364">
        <f>M2*2*0.5*1.1</f>
        <v>6.6000000000000005</v>
      </c>
      <c r="N28" s="389">
        <f>IF($C28="","",M28*VLOOKUP($C28,MINIPELLE!$A$2:$D$28,4,0))</f>
        <v>1.6500000000000001</v>
      </c>
      <c r="O28" s="364">
        <f>O2*2*0.5*1.1</f>
        <v>7.7000000000000011</v>
      </c>
      <c r="P28" s="389">
        <f>IF($C28="","",O28*VLOOKUP($C28,MINIPELLE!$A$2:$D$28,4,0))</f>
        <v>1.9250000000000003</v>
      </c>
      <c r="Q28" s="364">
        <f>Q2*2*0.5*1.1</f>
        <v>8.8000000000000007</v>
      </c>
      <c r="R28" s="389">
        <f>IF($C28="","",Q28*VLOOKUP($C28,MINIPELLE!$A$2:$D$28,4,0))</f>
        <v>2.2000000000000002</v>
      </c>
      <c r="S28" s="364">
        <f>S2*2*0.5*1.1</f>
        <v>9.9</v>
      </c>
      <c r="T28" s="389">
        <f>IF($C28="","",S28*VLOOKUP($C28,MINIPELLE!$A$2:$D$28,4,0))</f>
        <v>2.4750000000000001</v>
      </c>
      <c r="U28" s="364">
        <f>U2*2*0.5*1.1</f>
        <v>11</v>
      </c>
      <c r="V28" s="389">
        <f>IF($C28="","",U28*VLOOKUP($C28,MINIPELLE!$A$2:$D$28,4,0))</f>
        <v>2.75</v>
      </c>
      <c r="W28" s="1116">
        <f>W2*2*0.5*1.1</f>
        <v>13.200000000000001</v>
      </c>
      <c r="X28" s="1116">
        <f>IF($C28="","",W28*VLOOKUP($C28,MINIPELLE!$A$2:$D$28,4,0))</f>
        <v>3.3000000000000003</v>
      </c>
      <c r="Y28" s="1116">
        <f>Y2*2*0.5*1.1</f>
        <v>13.200000000000001</v>
      </c>
      <c r="Z28" s="1116">
        <f>IF($C28="","",Y28*VLOOKUP($C28,MINIPELLE!$A$2:$D$28,4,0))</f>
        <v>3.3000000000000003</v>
      </c>
      <c r="AA28" s="1116">
        <f>AA2*2*0.5*1.1</f>
        <v>15.400000000000002</v>
      </c>
      <c r="AB28" s="1125">
        <f>IF($C28="","",AA28*VLOOKUP($C28,MINIPELLE!$A$2:$D$28,4,0))</f>
        <v>3.8500000000000005</v>
      </c>
      <c r="AC28" s="1116">
        <f>AC2*2*0.5*1.1</f>
        <v>15.400000000000002</v>
      </c>
      <c r="AD28" s="1125">
        <f>IF($C28="","",AC28*VLOOKUP($C28,MINIPELLE!$A$2:$D$28,4,0))</f>
        <v>3.8500000000000005</v>
      </c>
      <c r="AE28" s="1116">
        <f>AE2*2*0.5*1.1</f>
        <v>17.600000000000001</v>
      </c>
      <c r="AF28" s="1125">
        <f>IF($C28="","",AE28*VLOOKUP($C28,MINIPELLE!$A$2:$D$28,4,0))</f>
        <v>4.4000000000000004</v>
      </c>
      <c r="AG28" s="1116">
        <f>AG2*2*0.5*1.1</f>
        <v>19.8</v>
      </c>
      <c r="AH28" s="1125">
        <f>IF($C28="","",AG28*VLOOKUP($C28,MINIPELLE!$A$2:$D$28,4,0))</f>
        <v>4.95</v>
      </c>
      <c r="AI28" s="1116">
        <f>AI2*2*0.5*1.1</f>
        <v>19.8</v>
      </c>
      <c r="AJ28" s="1125">
        <f>IF($C28="","",AI28*VLOOKUP($C28,MINIPELLE!$A$2:$D$28,4,0))</f>
        <v>4.95</v>
      </c>
      <c r="AK28" s="1116">
        <f>AK2*2*0.5*1.1</f>
        <v>22</v>
      </c>
      <c r="AL28" s="1125">
        <f>IF($C28="","",AK28*VLOOKUP($C28,MINIPELLE!$A$2:$D$28,4,0))</f>
        <v>5.5</v>
      </c>
      <c r="AM28" s="1116">
        <f>AM2*2*0.5*1.1</f>
        <v>22</v>
      </c>
      <c r="AN28" s="1125">
        <f>IF($C28="","",AM28*VLOOKUP($C28,MINIPELLE!$A$2:$D$28,4,0))</f>
        <v>5.5</v>
      </c>
    </row>
    <row r="29" spans="1:40" ht="29.25" customHeight="1" x14ac:dyDescent="0.2">
      <c r="A29" s="1628"/>
      <c r="B29" s="384" t="s">
        <v>454</v>
      </c>
      <c r="C29" s="385" t="s">
        <v>455</v>
      </c>
      <c r="D29" s="386" t="s">
        <v>451</v>
      </c>
      <c r="E29" s="387">
        <f>F29*Simulation!$P$10</f>
        <v>44</v>
      </c>
      <c r="F29" s="388">
        <f>SUM(F28,F27)</f>
        <v>0.55000000000000004</v>
      </c>
      <c r="G29" s="387">
        <f>H29*Simulation!$P$10</f>
        <v>66</v>
      </c>
      <c r="H29" s="388">
        <f>SUM(H28,H27)</f>
        <v>0.82500000000000007</v>
      </c>
      <c r="I29" s="387">
        <f>J29*Simulation!$P$10</f>
        <v>88</v>
      </c>
      <c r="J29" s="388">
        <f>SUM(J28,J27)</f>
        <v>1.1000000000000001</v>
      </c>
      <c r="K29" s="387">
        <f>L29*Simulation!$P$10</f>
        <v>110</v>
      </c>
      <c r="L29" s="388">
        <f>SUM(L28,L27)</f>
        <v>1.375</v>
      </c>
      <c r="M29" s="387">
        <f>N29*Simulation!$P$10</f>
        <v>132</v>
      </c>
      <c r="N29" s="388">
        <f>SUM(N28,N27)</f>
        <v>1.6500000000000001</v>
      </c>
      <c r="O29" s="387">
        <f>P29*Simulation!$P$10</f>
        <v>154.00000000000003</v>
      </c>
      <c r="P29" s="388">
        <f>SUM(P28,P27)</f>
        <v>1.9250000000000003</v>
      </c>
      <c r="Q29" s="387">
        <f>R29*Simulation!$P$10</f>
        <v>176</v>
      </c>
      <c r="R29" s="388">
        <f>SUM(R28,R27)</f>
        <v>2.2000000000000002</v>
      </c>
      <c r="S29" s="387">
        <f>T29*Simulation!$P$10</f>
        <v>198</v>
      </c>
      <c r="T29" s="388">
        <f>SUM(T28,T27)</f>
        <v>2.4750000000000001</v>
      </c>
      <c r="U29" s="387">
        <f>V29*Simulation!$P$10</f>
        <v>220</v>
      </c>
      <c r="V29" s="388">
        <f>SUM(V28,V27)</f>
        <v>2.75</v>
      </c>
      <c r="W29" s="1126">
        <f>X29*Simulation!$P$10</f>
        <v>264</v>
      </c>
      <c r="X29" s="1126">
        <f>SUM(X28,X27)</f>
        <v>3.3000000000000003</v>
      </c>
      <c r="Y29" s="1126">
        <f>Z29*Simulation!$P$10</f>
        <v>264</v>
      </c>
      <c r="Z29" s="1126">
        <f>SUM(Z28,Z27)</f>
        <v>3.3000000000000003</v>
      </c>
      <c r="AA29" s="1126">
        <f>AB29*Simulation!$P$10</f>
        <v>308.00000000000006</v>
      </c>
      <c r="AB29" s="1127">
        <f>SUM(AB28,AB27)</f>
        <v>3.8500000000000005</v>
      </c>
      <c r="AC29" s="1126">
        <f>AD29*Simulation!$P$10</f>
        <v>308.00000000000006</v>
      </c>
      <c r="AD29" s="1127">
        <f>SUM(AD28,AD27)</f>
        <v>3.8500000000000005</v>
      </c>
      <c r="AE29" s="1126">
        <f>AF29*Simulation!$P$10</f>
        <v>352</v>
      </c>
      <c r="AF29" s="1127">
        <f>SUM(AF28,AF27)</f>
        <v>4.4000000000000004</v>
      </c>
      <c r="AG29" s="1126">
        <f>AH29*Simulation!$P$10</f>
        <v>396</v>
      </c>
      <c r="AH29" s="1127">
        <f>SUM(AH28,AH27)</f>
        <v>4.95</v>
      </c>
      <c r="AI29" s="1126">
        <f>AJ29*Simulation!$P$10</f>
        <v>396</v>
      </c>
      <c r="AJ29" s="1127">
        <f>SUM(AJ28,AJ27)</f>
        <v>4.95</v>
      </c>
      <c r="AK29" s="1126">
        <f>AL29*Simulation!$P$10</f>
        <v>440</v>
      </c>
      <c r="AL29" s="1127">
        <f>SUM(AL28,AL27)</f>
        <v>5.5</v>
      </c>
      <c r="AM29" s="1126">
        <f>AN29*Simulation!$P$10</f>
        <v>440</v>
      </c>
      <c r="AN29" s="1127">
        <f>SUM(AN28,AN27)</f>
        <v>5.5</v>
      </c>
    </row>
    <row r="30" spans="1:40" x14ac:dyDescent="0.2">
      <c r="A30" s="199"/>
      <c r="B30" s="172"/>
      <c r="C30" s="200"/>
      <c r="D30" s="201"/>
      <c r="E30" s="202"/>
      <c r="F30" s="203"/>
      <c r="G30" s="202"/>
      <c r="H30" s="203"/>
      <c r="I30" s="202"/>
      <c r="J30" s="203"/>
      <c r="K30" s="202"/>
      <c r="L30" s="203"/>
      <c r="M30" s="202"/>
      <c r="N30" s="203"/>
      <c r="O30" s="202"/>
      <c r="P30" s="203"/>
      <c r="Q30" s="202"/>
      <c r="R30" s="203"/>
      <c r="S30" s="202"/>
      <c r="T30" s="203"/>
      <c r="U30" s="202"/>
      <c r="V30" s="203"/>
      <c r="W30" s="1128"/>
      <c r="X30" s="1128"/>
      <c r="Y30" s="1128"/>
      <c r="Z30" s="1128"/>
      <c r="AA30" s="1128"/>
      <c r="AB30" s="1129"/>
      <c r="AC30" s="1128"/>
      <c r="AD30" s="1129"/>
      <c r="AE30" s="1128"/>
      <c r="AF30" s="1129"/>
      <c r="AG30" s="1128"/>
      <c r="AH30" s="1129"/>
      <c r="AI30" s="1128"/>
      <c r="AJ30" s="1129"/>
      <c r="AK30" s="1128"/>
      <c r="AL30" s="1129"/>
      <c r="AM30" s="1128"/>
      <c r="AN30" s="1129"/>
    </row>
    <row r="31" spans="1:40" ht="36" customHeight="1" x14ac:dyDescent="0.2">
      <c r="A31" s="204"/>
      <c r="B31" s="1561" t="s">
        <v>456</v>
      </c>
      <c r="C31" s="1564" t="s">
        <v>445</v>
      </c>
      <c r="D31" s="1564"/>
      <c r="E31" s="1547">
        <f>E29+E26+E19+E12</f>
        <v>773.77688876000002</v>
      </c>
      <c r="F31" s="1547"/>
      <c r="G31" s="1547">
        <f>G29+G26+G19+G12</f>
        <v>912.71793300000013</v>
      </c>
      <c r="H31" s="1547"/>
      <c r="I31" s="1547">
        <f>I29+I26+I19+I12</f>
        <v>1066.4823466000003</v>
      </c>
      <c r="J31" s="1547"/>
      <c r="K31" s="1547">
        <f>K29+K26+K19+K12</f>
        <v>1152.3058934000001</v>
      </c>
      <c r="L31" s="1547"/>
      <c r="M31" s="1547">
        <f>M29+M26+M19+M12</f>
        <v>1247.1294402000001</v>
      </c>
      <c r="N31" s="1547"/>
      <c r="O31" s="1547">
        <f>O29+O26+O19+O12</f>
        <v>1328.4529870000001</v>
      </c>
      <c r="P31" s="1547"/>
      <c r="Q31" s="1547">
        <f>Q29+Q26+Q19+Q12</f>
        <v>1418.7765338000004</v>
      </c>
      <c r="R31" s="1547"/>
      <c r="S31" s="1547">
        <f>S29+S26+S19+S12</f>
        <v>1506.6587406000003</v>
      </c>
      <c r="T31" s="1547"/>
      <c r="U31" s="1547">
        <f>U29+U26+U19+U12</f>
        <v>1599.0409474000003</v>
      </c>
      <c r="V31" s="1547"/>
      <c r="W31" s="1110">
        <f>W29+W26+W19+W12</f>
        <v>1652.3628610000001</v>
      </c>
      <c r="X31" s="1110"/>
      <c r="Y31" s="1110">
        <f>Y29+Y26+Y19+Y12</f>
        <v>1779.7945946000004</v>
      </c>
      <c r="Z31" s="1110"/>
      <c r="AA31" s="1636">
        <f>AA29+AA26+AA19+AA12</f>
        <v>1867.6431413999999</v>
      </c>
      <c r="AB31" s="1636"/>
      <c r="AC31" s="1636">
        <f>AC29+AC26+AC19+AC12</f>
        <v>1815.1772746000004</v>
      </c>
      <c r="AD31" s="1636"/>
      <c r="AE31" s="1636">
        <f>AE29+AE26+AE19+AE12</f>
        <v>1977.9916882000002</v>
      </c>
      <c r="AF31" s="1636"/>
      <c r="AG31" s="1636">
        <f>AG29+AG26+AG19+AG12</f>
        <v>2079.3402350000001</v>
      </c>
      <c r="AH31" s="1636"/>
      <c r="AI31" s="1636">
        <f>AI29+AI26+AI19+AI12</f>
        <v>2149.8061017999999</v>
      </c>
      <c r="AJ31" s="1636"/>
      <c r="AK31" s="1636">
        <f>AK29+AK26+AK19+AK12</f>
        <v>2317.1205154000008</v>
      </c>
      <c r="AL31" s="1636"/>
      <c r="AM31" s="1636">
        <f>AM29+AM26+AM19+AM12</f>
        <v>2189.6887818000005</v>
      </c>
      <c r="AN31" s="1636"/>
    </row>
    <row r="32" spans="1:40" ht="18" customHeight="1" x14ac:dyDescent="0.2">
      <c r="A32" s="154"/>
      <c r="B32" s="1562"/>
      <c r="C32" s="1565" t="s">
        <v>457</v>
      </c>
      <c r="D32" s="1565"/>
      <c r="E32" s="149">
        <f>E12-F12</f>
        <v>86.726743560000045</v>
      </c>
      <c r="F32" s="207">
        <f>E32/E$31</f>
        <v>0.11208236485194353</v>
      </c>
      <c r="G32" s="149">
        <f>G12-H12</f>
        <v>104.21952300000004</v>
      </c>
      <c r="H32" s="207">
        <f>G32/G$31</f>
        <v>0.11418590479255986</v>
      </c>
      <c r="I32" s="149">
        <f>I12-J12</f>
        <v>123.84746460000008</v>
      </c>
      <c r="J32" s="207">
        <f>I32/I$31</f>
        <v>0.11612706482656002</v>
      </c>
      <c r="K32" s="149">
        <f>K12-L12</f>
        <v>133.44597540000001</v>
      </c>
      <c r="L32" s="207">
        <f>K32/K$31</f>
        <v>0.11580776958994246</v>
      </c>
      <c r="M32" s="149">
        <f>M12-N12</f>
        <v>143.04448620000005</v>
      </c>
      <c r="N32" s="207">
        <f>M32/M$31</f>
        <v>0.11469898920601236</v>
      </c>
      <c r="O32" s="149">
        <f>O12-P12</f>
        <v>152.64299700000004</v>
      </c>
      <c r="P32" s="207">
        <f>O32/O$31</f>
        <v>0.11490282192425078</v>
      </c>
      <c r="Q32" s="149">
        <f>Q12-R12</f>
        <v>162.24150780000002</v>
      </c>
      <c r="R32" s="207">
        <f>Q32/Q$31</f>
        <v>0.11435310912949635</v>
      </c>
      <c r="S32" s="149">
        <f>S12-T12</f>
        <v>172.05547860000013</v>
      </c>
      <c r="T32" s="207">
        <f>S32/S$31</f>
        <v>0.11419671486555878</v>
      </c>
      <c r="U32" s="149">
        <f>U12-V12</f>
        <v>181.86944940000001</v>
      </c>
      <c r="V32" s="207">
        <f>U32/U$31</f>
        <v>0.11373658047701347</v>
      </c>
      <c r="W32" s="1130">
        <f>W12-X12</f>
        <v>181.70489100000009</v>
      </c>
      <c r="X32" s="1130">
        <f>W32/W$31</f>
        <v>0.109966699983824</v>
      </c>
      <c r="Y32" s="1130">
        <f>Y12-Z12</f>
        <v>199.81375260000004</v>
      </c>
      <c r="Z32" s="1130">
        <f>Y32/Y$31</f>
        <v>0.11226787248722213</v>
      </c>
      <c r="AA32" s="1130">
        <f>AA12-AB12</f>
        <v>208.43726340000001</v>
      </c>
      <c r="AB32" s="1131">
        <f>AA32/AA$31</f>
        <v>0.11160443811752699</v>
      </c>
      <c r="AC32" s="1130">
        <f>AC12-AD12</f>
        <v>199.38283260000003</v>
      </c>
      <c r="AD32" s="1131">
        <f>AC32/AC$31</f>
        <v>0.10984207184057922</v>
      </c>
      <c r="AE32" s="1130">
        <f>AE12-AF12</f>
        <v>217.06077420000008</v>
      </c>
      <c r="AF32" s="1131">
        <f>AE32/AE$31</f>
        <v>0.109737960727999</v>
      </c>
      <c r="AG32" s="1130">
        <f>AG12-AH12</f>
        <v>225.68428500000005</v>
      </c>
      <c r="AH32" s="1131">
        <f>AG32/AG$31</f>
        <v>0.1085364872959331</v>
      </c>
      <c r="AI32" s="1130">
        <f>AI12-AJ12</f>
        <v>234.73871580000002</v>
      </c>
      <c r="AJ32" s="1131">
        <f>AI32/AI$31</f>
        <v>0.1091906454277234</v>
      </c>
      <c r="AK32" s="1130">
        <f>AK12-AL12</f>
        <v>252.41665740000019</v>
      </c>
      <c r="AL32" s="1131">
        <f>AK32/AK$31</f>
        <v>0.10893548942422009</v>
      </c>
      <c r="AM32" s="1130">
        <f>AM12-AN12</f>
        <v>234.30779580000012</v>
      </c>
      <c r="AN32" s="1131">
        <f>AM32/AM$31</f>
        <v>0.10700506745410229</v>
      </c>
    </row>
    <row r="33" spans="1:40" ht="18" customHeight="1" x14ac:dyDescent="0.2">
      <c r="A33" s="154"/>
      <c r="B33" s="1562"/>
      <c r="C33" s="1565" t="s">
        <v>9</v>
      </c>
      <c r="D33" s="1565"/>
      <c r="E33" s="149">
        <f>E12</f>
        <v>375.81588876000006</v>
      </c>
      <c r="F33" s="207">
        <f>E33/E$31</f>
        <v>0.48569024769175512</v>
      </c>
      <c r="G33" s="149">
        <f>G12</f>
        <v>451.61793300000005</v>
      </c>
      <c r="H33" s="207">
        <f>G33/G$31</f>
        <v>0.49480558743442593</v>
      </c>
      <c r="I33" s="149">
        <f>I12</f>
        <v>536.6723466000002</v>
      </c>
      <c r="J33" s="207">
        <f>I33/I$31</f>
        <v>0.50321728091509332</v>
      </c>
      <c r="K33" s="149">
        <f>K12</f>
        <v>578.2658934000001</v>
      </c>
      <c r="L33" s="207">
        <f>K33/K$31</f>
        <v>0.50183366822308406</v>
      </c>
      <c r="M33" s="149">
        <f>M12</f>
        <v>619.85944020000011</v>
      </c>
      <c r="N33" s="207">
        <f>M33/M$31</f>
        <v>0.4970289532260535</v>
      </c>
      <c r="O33" s="149">
        <f>O12</f>
        <v>661.45298700000012</v>
      </c>
      <c r="P33" s="207">
        <f>O33/O$31</f>
        <v>0.49791222833841997</v>
      </c>
      <c r="Q33" s="149">
        <f>Q12</f>
        <v>703.04653380000013</v>
      </c>
      <c r="R33" s="207">
        <f>Q33/Q$31</f>
        <v>0.49553013956115094</v>
      </c>
      <c r="S33" s="149">
        <f>S12</f>
        <v>745.57374060000029</v>
      </c>
      <c r="T33" s="207">
        <f>S33/S$31</f>
        <v>0.49485243108408788</v>
      </c>
      <c r="U33" s="149">
        <f>U12</f>
        <v>788.10094740000011</v>
      </c>
      <c r="V33" s="207">
        <f>U33/U$31</f>
        <v>0.49285851540039177</v>
      </c>
      <c r="W33" s="1130">
        <f>W12</f>
        <v>787.38786100000016</v>
      </c>
      <c r="X33" s="1130">
        <f>W33/W$31</f>
        <v>0.47652236659657055</v>
      </c>
      <c r="Y33" s="1130">
        <f>Y12</f>
        <v>865.85959460000026</v>
      </c>
      <c r="Z33" s="1130">
        <f>Y33/Y$31</f>
        <v>0.48649411411129589</v>
      </c>
      <c r="AA33" s="1130">
        <f>AA12</f>
        <v>903.22814140000003</v>
      </c>
      <c r="AB33" s="1131">
        <f>AA33/AA$31</f>
        <v>0.48361923184261696</v>
      </c>
      <c r="AC33" s="1130">
        <f>AC12</f>
        <v>863.9922746000002</v>
      </c>
      <c r="AD33" s="1131">
        <f>AC33/AC$31</f>
        <v>0.47598231130917662</v>
      </c>
      <c r="AE33" s="1130">
        <f>AE12</f>
        <v>940.59668820000024</v>
      </c>
      <c r="AF33" s="1131">
        <f>AE33/AE$31</f>
        <v>0.47553116315466232</v>
      </c>
      <c r="AG33" s="1130">
        <f>AG12</f>
        <v>977.96523500000012</v>
      </c>
      <c r="AH33" s="1131">
        <f>AG33/AG$31</f>
        <v>0.47032477828237668</v>
      </c>
      <c r="AI33" s="1130">
        <f>AI12</f>
        <v>1017.2011018000001</v>
      </c>
      <c r="AJ33" s="1131">
        <f>AI33/AI$31</f>
        <v>0.47315946352013472</v>
      </c>
      <c r="AK33" s="1130">
        <f>AK12</f>
        <v>1093.8055154000003</v>
      </c>
      <c r="AL33" s="1131">
        <f>AK33/AK$31</f>
        <v>0.47205378750495353</v>
      </c>
      <c r="AM33" s="1130">
        <f>AM12</f>
        <v>1015.3337818000002</v>
      </c>
      <c r="AN33" s="1131">
        <f>AM33/AM$31</f>
        <v>0.46368862563444313</v>
      </c>
    </row>
    <row r="34" spans="1:40" ht="18" customHeight="1" x14ac:dyDescent="0.2">
      <c r="A34" s="154"/>
      <c r="B34" s="1562"/>
      <c r="C34" s="1565" t="s">
        <v>458</v>
      </c>
      <c r="D34" s="1565"/>
      <c r="E34" s="149">
        <f>E19</f>
        <v>144.9</v>
      </c>
      <c r="F34" s="207">
        <f>E34/E$31</f>
        <v>0.18726328235546874</v>
      </c>
      <c r="G34" s="149">
        <f>G19</f>
        <v>146.70000000000002</v>
      </c>
      <c r="H34" s="207">
        <f>G34/G$31</f>
        <v>0.16072873633348453</v>
      </c>
      <c r="I34" s="149">
        <f>I19</f>
        <v>146.70000000000002</v>
      </c>
      <c r="J34" s="207">
        <f>I34/I$31</f>
        <v>0.13755501951596952</v>
      </c>
      <c r="K34" s="149">
        <f>K19</f>
        <v>148.94999999999999</v>
      </c>
      <c r="L34" s="207">
        <f>K34/K$31</f>
        <v>0.12926255159600661</v>
      </c>
      <c r="M34" s="149">
        <f>M19</f>
        <v>160.19999999999999</v>
      </c>
      <c r="N34" s="207">
        <f>M34/M$31</f>
        <v>0.12845499018474696</v>
      </c>
      <c r="O34" s="149">
        <f>O19</f>
        <v>157.95000000000002</v>
      </c>
      <c r="P34" s="207">
        <f>O34/O$31</f>
        <v>0.11889769645269352</v>
      </c>
      <c r="Q34" s="149">
        <f>Q19</f>
        <v>164.70000000000002</v>
      </c>
      <c r="R34" s="207">
        <f>Q34/Q$31</f>
        <v>0.11608593466010705</v>
      </c>
      <c r="S34" s="149">
        <f>S19</f>
        <v>164.70000000000002</v>
      </c>
      <c r="T34" s="207">
        <f>S34/S$31</f>
        <v>0.10931473436009215</v>
      </c>
      <c r="U34" s="149">
        <f>U19</f>
        <v>169.2</v>
      </c>
      <c r="V34" s="207">
        <f>U34/U$31</f>
        <v>0.10581342540046573</v>
      </c>
      <c r="W34" s="1130">
        <f>W19</f>
        <v>178.2</v>
      </c>
      <c r="X34" s="1130">
        <f>W34/W$31</f>
        <v>0.1078455611693877</v>
      </c>
      <c r="Y34" s="1130">
        <f>Y19</f>
        <v>178.20000000000002</v>
      </c>
      <c r="Z34" s="1130">
        <f>Y34/Y$31</f>
        <v>0.10012391347893128</v>
      </c>
      <c r="AA34" s="1130">
        <f>AA19</f>
        <v>166.95</v>
      </c>
      <c r="AB34" s="1131">
        <f>AA34/AA$31</f>
        <v>8.9390738679795634E-2</v>
      </c>
      <c r="AC34" s="1130">
        <f>AC19</f>
        <v>178.2</v>
      </c>
      <c r="AD34" s="1131">
        <f>AC34/AC$31</f>
        <v>9.817222950814479E-2</v>
      </c>
      <c r="AE34" s="1130">
        <f>AE19</f>
        <v>178.2</v>
      </c>
      <c r="AF34" s="1131">
        <f>AE34/AE$31</f>
        <v>9.0091379586212744E-2</v>
      </c>
      <c r="AG34" s="1130">
        <f>AG19</f>
        <v>180.45000000000002</v>
      </c>
      <c r="AH34" s="1131">
        <f>AG34/AG$31</f>
        <v>8.6782334589894566E-2</v>
      </c>
      <c r="AI34" s="1130">
        <f>AI19</f>
        <v>187.20000000000002</v>
      </c>
      <c r="AJ34" s="1131">
        <f>AI34/AI$31</f>
        <v>8.7077620555295804E-2</v>
      </c>
      <c r="AK34" s="1130">
        <f>AK19</f>
        <v>191.7</v>
      </c>
      <c r="AL34" s="1131">
        <f>AK34/AK$31</f>
        <v>8.273199375083308E-2</v>
      </c>
      <c r="AM34" s="1130">
        <f>AM19</f>
        <v>191.70000000000002</v>
      </c>
      <c r="AN34" s="1131">
        <f>AM34/AM$31</f>
        <v>8.7546687727201089E-2</v>
      </c>
    </row>
    <row r="35" spans="1:40" ht="18" customHeight="1" x14ac:dyDescent="0.2">
      <c r="A35" s="154"/>
      <c r="B35" s="1562"/>
      <c r="C35" s="1565" t="s">
        <v>459</v>
      </c>
      <c r="D35" s="1565"/>
      <c r="E35" s="149">
        <f>E26</f>
        <v>209.06099999999998</v>
      </c>
      <c r="F35" s="207">
        <f>E35/E$31</f>
        <v>0.27018253328168834</v>
      </c>
      <c r="G35" s="149">
        <f>G26</f>
        <v>248.39999999999995</v>
      </c>
      <c r="H35" s="207">
        <f>G35/G$31</f>
        <v>0.27215417931313934</v>
      </c>
      <c r="I35" s="149">
        <f>I26</f>
        <v>295.11</v>
      </c>
      <c r="J35" s="207">
        <f>I35/I$31</f>
        <v>0.27671344109991658</v>
      </c>
      <c r="K35" s="149">
        <f>K26</f>
        <v>315.08999999999997</v>
      </c>
      <c r="L35" s="207">
        <f>K35/K$31</f>
        <v>0.27344301700158252</v>
      </c>
      <c r="M35" s="149">
        <f>M26</f>
        <v>335.07</v>
      </c>
      <c r="N35" s="207">
        <f>M35/M$31</f>
        <v>0.26867299351562529</v>
      </c>
      <c r="O35" s="149">
        <f>O26</f>
        <v>355.05</v>
      </c>
      <c r="P35" s="207">
        <f>O35/O$31</f>
        <v>0.26726576211161018</v>
      </c>
      <c r="Q35" s="149">
        <f>Q26</f>
        <v>375.03000000000009</v>
      </c>
      <c r="R35" s="207">
        <f>Q35/Q$31</f>
        <v>0.26433338236539133</v>
      </c>
      <c r="S35" s="149">
        <f>S26</f>
        <v>398.38500000000005</v>
      </c>
      <c r="T35" s="207">
        <f>S35/S$31</f>
        <v>0.26441621401363274</v>
      </c>
      <c r="U35" s="149">
        <f>U26</f>
        <v>421.74</v>
      </c>
      <c r="V35" s="207">
        <f>U35/U$31</f>
        <v>0.26374559118435237</v>
      </c>
      <c r="W35" s="1130">
        <f>W26</f>
        <v>422.77499999999998</v>
      </c>
      <c r="X35" s="1130">
        <f>W35/W$31</f>
        <v>0.25586087050161554</v>
      </c>
      <c r="Y35" s="1130">
        <f>Y26</f>
        <v>471.73500000000001</v>
      </c>
      <c r="Z35" s="1130">
        <f>Y35/Y$31</f>
        <v>0.26505024873728195</v>
      </c>
      <c r="AA35" s="1130">
        <f>AA26</f>
        <v>489.46499999999997</v>
      </c>
      <c r="AB35" s="1131">
        <f>AA35/AA$31</f>
        <v>0.26207629774127683</v>
      </c>
      <c r="AC35" s="1130">
        <f>AC26</f>
        <v>464.98500000000007</v>
      </c>
      <c r="AD35" s="1131">
        <f>AC35/AC$31</f>
        <v>0.25616506250193444</v>
      </c>
      <c r="AE35" s="1130">
        <f>AE26</f>
        <v>507.19499999999994</v>
      </c>
      <c r="AF35" s="1131">
        <f>AE35/AE$31</f>
        <v>0.25641917659500096</v>
      </c>
      <c r="AG35" s="1130">
        <f>AG26</f>
        <v>524.92500000000007</v>
      </c>
      <c r="AH35" s="1131">
        <f>AG35/AG$31</f>
        <v>0.25244786358880805</v>
      </c>
      <c r="AI35" s="1130">
        <f>AI26</f>
        <v>549.40499999999997</v>
      </c>
      <c r="AJ35" s="1131">
        <f>AI35/AI$31</f>
        <v>0.25556025705759766</v>
      </c>
      <c r="AK35" s="1130">
        <f>AK26</f>
        <v>591.61500000000012</v>
      </c>
      <c r="AL35" s="1131">
        <f>AK35/AK$31</f>
        <v>0.25532336193478938</v>
      </c>
      <c r="AM35" s="1130">
        <f>AM26</f>
        <v>542.65499999999997</v>
      </c>
    </row>
    <row r="36" spans="1:40" ht="18" customHeight="1" x14ac:dyDescent="0.2">
      <c r="A36" s="154"/>
      <c r="B36" s="1563"/>
      <c r="C36" s="1565" t="s">
        <v>5</v>
      </c>
      <c r="D36" s="1565"/>
      <c r="E36" s="149">
        <f>E29</f>
        <v>44</v>
      </c>
      <c r="F36" s="207">
        <f>E36/E$31</f>
        <v>5.6863936671087814E-2</v>
      </c>
      <c r="G36" s="149">
        <f>G29</f>
        <v>66</v>
      </c>
      <c r="H36" s="207">
        <f>G36/G$31</f>
        <v>7.2311496918950086E-2</v>
      </c>
      <c r="I36" s="149">
        <f>I29</f>
        <v>88</v>
      </c>
      <c r="J36" s="207">
        <f>I36/I$31</f>
        <v>8.2514258469020565E-2</v>
      </c>
      <c r="K36" s="149">
        <f>K29</f>
        <v>110</v>
      </c>
      <c r="L36" s="207">
        <f>K36/K$31</f>
        <v>9.5460763179326807E-2</v>
      </c>
      <c r="M36" s="149">
        <f>M29</f>
        <v>132</v>
      </c>
      <c r="N36" s="207">
        <f>M36/M$31</f>
        <v>0.10584306307357429</v>
      </c>
      <c r="O36" s="149">
        <f>O29</f>
        <v>154.00000000000003</v>
      </c>
      <c r="P36" s="207">
        <f>O36/O$31</f>
        <v>0.11592431309727637</v>
      </c>
      <c r="Q36" s="149">
        <f>Q29</f>
        <v>176</v>
      </c>
      <c r="R36" s="207">
        <f>Q36/Q$31</f>
        <v>0.12405054341335058</v>
      </c>
      <c r="S36" s="149">
        <f>S29</f>
        <v>198</v>
      </c>
      <c r="T36" s="207">
        <f>S36/S$31</f>
        <v>0.13141662054218728</v>
      </c>
      <c r="U36" s="149">
        <f>U29</f>
        <v>220</v>
      </c>
      <c r="V36" s="207">
        <f>U36/U$31</f>
        <v>0.13758246801478999</v>
      </c>
      <c r="W36" s="1130">
        <f>W29</f>
        <v>264</v>
      </c>
      <c r="X36" s="1130">
        <f>W36/W$31</f>
        <v>0.15977120173242626</v>
      </c>
      <c r="Y36" s="1130">
        <f>Y29</f>
        <v>264</v>
      </c>
      <c r="Z36" s="1130">
        <f>Y36/Y$31</f>
        <v>0.14833172367249078</v>
      </c>
      <c r="AA36" s="1130">
        <f>AA29</f>
        <v>308.00000000000006</v>
      </c>
      <c r="AB36" s="1131">
        <f>AA36/AA$31</f>
        <v>0.16491373173631063</v>
      </c>
      <c r="AC36" s="1130">
        <f>AC29</f>
        <v>308.00000000000006</v>
      </c>
      <c r="AD36" s="1131">
        <f>AC36/AC$31</f>
        <v>0.16968039668074411</v>
      </c>
      <c r="AE36" s="1130">
        <f>AE29</f>
        <v>352</v>
      </c>
      <c r="AF36" s="1131">
        <f>AE36/AE$31</f>
        <v>0.17795828066412395</v>
      </c>
      <c r="AG36" s="1130">
        <f>AG29</f>
        <v>396</v>
      </c>
      <c r="AH36" s="1131">
        <f>AG36/AG$31</f>
        <v>0.19044502353892073</v>
      </c>
      <c r="AI36" s="1130">
        <f>AI29</f>
        <v>396</v>
      </c>
      <c r="AJ36" s="1131">
        <f>AI36/AI$31</f>
        <v>0.18420265886697187</v>
      </c>
      <c r="AK36" s="1130">
        <f>AK29</f>
        <v>440</v>
      </c>
      <c r="AL36" s="1131">
        <f>AK36/AK$31</f>
        <v>0.18989085680942386</v>
      </c>
      <c r="AM36" s="1130">
        <f>AM29</f>
        <v>440</v>
      </c>
      <c r="AN36" s="1131">
        <f>AM36/AM$31</f>
        <v>0.20094179760025288</v>
      </c>
    </row>
    <row r="37" spans="1:40" x14ac:dyDescent="0.2">
      <c r="A37" s="154"/>
      <c r="B37" s="172"/>
      <c r="C37" s="154"/>
      <c r="D37" s="227"/>
      <c r="E37" s="154"/>
      <c r="F37" s="154"/>
      <c r="G37" s="154"/>
      <c r="H37" s="154"/>
      <c r="I37" s="154"/>
      <c r="J37" s="154"/>
      <c r="K37" s="154"/>
      <c r="L37" s="154"/>
      <c r="M37" s="154"/>
      <c r="N37" s="154"/>
      <c r="O37" s="154"/>
      <c r="P37" s="154"/>
      <c r="Q37" s="228"/>
      <c r="R37" s="229"/>
      <c r="S37" s="154"/>
      <c r="T37" s="230"/>
      <c r="U37" s="154"/>
      <c r="V37" s="154"/>
      <c r="W37" s="1132"/>
      <c r="X37" s="1132"/>
      <c r="Y37" s="1132"/>
      <c r="Z37" s="1132"/>
      <c r="AA37" s="1132"/>
      <c r="AB37" s="1132"/>
      <c r="AC37" s="1132"/>
      <c r="AD37" s="1132"/>
      <c r="AE37" s="1132"/>
      <c r="AF37" s="1132"/>
      <c r="AG37" s="1132"/>
      <c r="AH37" s="1132"/>
      <c r="AI37" s="1132"/>
      <c r="AJ37" s="1132"/>
      <c r="AK37" s="1132"/>
      <c r="AL37" s="1132"/>
      <c r="AM37" s="1132"/>
      <c r="AN37" s="1132"/>
    </row>
    <row r="38" spans="1:40" x14ac:dyDescent="0.2">
      <c r="A38" s="154"/>
      <c r="B38" s="172"/>
      <c r="C38" s="154"/>
      <c r="D38" s="227"/>
      <c r="E38" s="154"/>
      <c r="F38" s="154"/>
      <c r="G38" s="154"/>
      <c r="H38" s="154"/>
      <c r="I38" s="154"/>
      <c r="J38" s="154"/>
      <c r="K38" s="154"/>
      <c r="L38" s="154"/>
      <c r="M38" s="154"/>
      <c r="N38" s="154"/>
      <c r="O38" s="154"/>
      <c r="P38" s="154"/>
      <c r="Q38" s="154"/>
      <c r="R38" s="154"/>
      <c r="S38" s="154"/>
      <c r="T38" s="154"/>
      <c r="U38" s="154"/>
      <c r="V38" s="154"/>
      <c r="W38" s="1132"/>
      <c r="X38" s="1132"/>
      <c r="Y38" s="1132"/>
      <c r="Z38" s="1132"/>
      <c r="AA38" s="1132"/>
      <c r="AB38" s="1132"/>
      <c r="AC38" s="1132"/>
      <c r="AD38" s="1132"/>
      <c r="AE38" s="1132"/>
      <c r="AF38" s="1132"/>
      <c r="AG38" s="1132"/>
      <c r="AH38" s="1132"/>
      <c r="AI38" s="1132"/>
      <c r="AJ38" s="1132"/>
      <c r="AK38" s="1132"/>
      <c r="AL38" s="1132"/>
      <c r="AM38" s="1132"/>
      <c r="AN38" s="1132"/>
    </row>
    <row r="39" spans="1:40" ht="36" x14ac:dyDescent="0.2">
      <c r="A39" s="154"/>
      <c r="B39" s="1375" t="s">
        <v>1462</v>
      </c>
      <c r="C39" s="1568" t="s">
        <v>1463</v>
      </c>
      <c r="D39" s="1569"/>
      <c r="E39" s="149">
        <f>(VLOOKUP("Prix HT",$C$1:$N$39,E$1,0))-(VLOOKUP("Non margé",$D$1:$N$39,E$1,0))</f>
        <v>484.68774356</v>
      </c>
      <c r="F39" s="207">
        <f>E39/VLOOKUP("Prix HT",$C$1:$N$39,E$1,0)</f>
        <v>0.62639211716018839</v>
      </c>
      <c r="G39" s="149">
        <f>(VLOOKUP("Prix HT",$C$1:$N$39,G$1,0))-(VLOOKUP("Non margé",$D$1:$N$39,G$1,0))</f>
        <v>565.31952300000012</v>
      </c>
      <c r="H39" s="207">
        <f>G39/VLOOKUP("Prix HT",$C$1:$N$39,G$1,0)</f>
        <v>0.61938031735813392</v>
      </c>
      <c r="I39" s="149">
        <f>(VLOOKUP("Prix HT",$C$1:$N$39,I$1,0))-(VLOOKUP("Non margé",$D$1:$N$39,I$1,0))</f>
        <v>653.65746460000014</v>
      </c>
      <c r="J39" s="207">
        <f>I39/VLOOKUP("Prix HT",$C$1:$N$39,I$1,0)</f>
        <v>0.61290978391146678</v>
      </c>
      <c r="K39" s="149">
        <f>(VLOOKUP("Prix HT",$C$1:$N$39,K$1,0))-(VLOOKUP("Non margé",$D$1:$N$39,K$1,0))</f>
        <v>707.48597539999992</v>
      </c>
      <c r="L39" s="207">
        <f>K39/VLOOKUP("Prix HT",$C$1:$N$39,K$1,0)</f>
        <v>0.61397410136685837</v>
      </c>
      <c r="M39" s="149">
        <f>(VLOOKUP("Prix HT",$C$1:$N$39,M$1,0))-(VLOOKUP("Non margé",$D$1:$N$39,M$1,0))</f>
        <v>770.31448620000003</v>
      </c>
      <c r="N39" s="207">
        <f>M39/VLOOKUP("Prix HT",$C$1:$N$39,M$1,0)</f>
        <v>0.61767003597995884</v>
      </c>
      <c r="O39" s="149">
        <f>(VLOOKUP("Prix HT",$C$1:$AM$39,O$1,0))-(VLOOKUP("Non margé",$D$1:$AM$39,O$1,0))</f>
        <v>819.64299700000004</v>
      </c>
      <c r="P39" s="207">
        <f>O39/VLOOKUP("Prix HT",$C$1:$AM$39,O$1,0)</f>
        <v>0.61699059358583075</v>
      </c>
      <c r="Q39" s="149">
        <f>(VLOOKUP("Prix HT",$C$1:$AM$39,Q$1,0))-(VLOOKUP("Non margé",$D$1:$AM$39,Q$1,0))</f>
        <v>877.97150780000027</v>
      </c>
      <c r="R39" s="207">
        <f>Q39/VLOOKUP("Prix HT",$C$1:$AM$39,Q$1,0)</f>
        <v>0.61882296956834548</v>
      </c>
      <c r="S39" s="149">
        <f>(VLOOKUP("Prix HT",$C$1:$AM$39,S$1,0))-(VLOOKUP("Non margé",$D$1:$AM$39,S$1,0))</f>
        <v>933.14047860000016</v>
      </c>
      <c r="T39" s="207">
        <f>S39/VLOOKUP("Prix HT",$C$1:$AM$39,S$1,0)</f>
        <v>0.61934428378147088</v>
      </c>
      <c r="U39" s="149">
        <f>(VLOOKUP("Prix HT",$C$1:$AM$39,U$1,0))-(VLOOKUP("Non margé",$D$1:$AM$39,U$1,0))</f>
        <v>992.80944940000018</v>
      </c>
      <c r="V39" s="207">
        <f>U39/VLOOKUP("Prix HT",$C$1:$AM$39,U$1,0)</f>
        <v>0.62087806507662169</v>
      </c>
      <c r="W39" s="1130">
        <f>(VLOOKUP("Prix HT",$C$1:$AM$39,W$1,0))-(VLOOKUP("Non margé",$D$1:$AM$39,W$1,0))</f>
        <v>1046.679891</v>
      </c>
      <c r="X39" s="1130">
        <f>W39/VLOOKUP("Prix HT",$C$1:$AM$39,W$1,0)</f>
        <v>0.63344433338725348</v>
      </c>
      <c r="Y39" s="1130">
        <f>(VLOOKUP("Prix HT",$C$1:$AM$39,Y$1,0))-(VLOOKUP("Non margé",$D$1:$AM$39,Y$1,0))</f>
        <v>1113.7487526000002</v>
      </c>
      <c r="Z39" s="1130">
        <f>Y39/VLOOKUP("Prix HT",$C$1:$AM$39,Y$1,0)</f>
        <v>0.62577375837592619</v>
      </c>
      <c r="AA39" s="1130">
        <f>(VLOOKUP("Prix HT",$C$1:$AM$39,AA$1,0))-(VLOOKUP("Non margé",$D$1:$AM$39,AA$1,0))</f>
        <v>1172.8522633999999</v>
      </c>
      <c r="AB39" s="1131">
        <f>AA39/VLOOKUP("Prix HT",$C$1:$AM$39,AA$1,0)</f>
        <v>0.62798520627491006</v>
      </c>
      <c r="AC39" s="1130">
        <f>(VLOOKUP("Prix HT",$C$1:$AM$39,AC$1,0))-(VLOOKUP("Non margé",$D$1:$AM$39,AC$1,0))</f>
        <v>1150.5678326000002</v>
      </c>
      <c r="AD39" s="1131">
        <f>AC39/VLOOKUP("Prix HT",$C$1:$AM$39,AC$1,0)</f>
        <v>0.63385976053140258</v>
      </c>
      <c r="AE39" s="1130">
        <f>(VLOOKUP("Prix HT",$C$1:$AM$39,AE$1,0))-(VLOOKUP("Non margé",$D$1:$AM$39,AE$1,0))</f>
        <v>1254.4557742000002</v>
      </c>
      <c r="AF39" s="1131">
        <f>AE39/VLOOKUP("Prix HT",$C$1:$AM$39,AE$1,0)</f>
        <v>0.63420679757333676</v>
      </c>
      <c r="AG39" s="1130">
        <f>(VLOOKUP("Prix HT",$C$1:$AM$39,AG$1,0))-(VLOOKUP("Non margé",$D$1:$AM$39,AG$1,0))</f>
        <v>1327.059285</v>
      </c>
      <c r="AH39" s="1131">
        <f>AG39/VLOOKUP("Prix HT",$C$1:$AM$39,AG$1,0)</f>
        <v>0.63821170901355639</v>
      </c>
      <c r="AI39" s="1130">
        <f>(VLOOKUP("Prix HT",$C$1:$AM$39,AI$1,0))-(VLOOKUP("Non margé",$D$1:$AM$39,AI$1,0))</f>
        <v>1367.3437157999997</v>
      </c>
      <c r="AJ39" s="1131">
        <f>AI39/VLOOKUP("Prix HT",$C$1:$AM$39,AI$1,0)</f>
        <v>0.63603118190758867</v>
      </c>
      <c r="AK39" s="1130">
        <f>(VLOOKUP("Prix HT",$C$1:$AM$39,AK$1,0))-(VLOOKUP("Non margé",$D$1:$AM$39,AK$1,0))</f>
        <v>1475.7316574000006</v>
      </c>
      <c r="AL39" s="1131">
        <f>AK39/VLOOKUP("Prix HT",$C$1:$AM$39,AK$1,0)</f>
        <v>0.63688170191926652</v>
      </c>
      <c r="AM39" s="1130" t="e">
        <f>(VLOOKUP("Prix HT",$C$1:$AM$39,AM$1,0))-(VLOOKUP("Non margé",$D$1:$AM$39,AM$1,0))</f>
        <v>#REF!</v>
      </c>
      <c r="AN39" s="1131" t="e">
        <f>AM39/VLOOKUP("Prix HT",$C$1:$AM$39,AM$1,0)</f>
        <v>#REF!</v>
      </c>
    </row>
    <row r="40" spans="1:40" x14ac:dyDescent="0.2">
      <c r="AN40" s="335"/>
    </row>
  </sheetData>
  <mergeCells count="41">
    <mergeCell ref="C39:D39"/>
    <mergeCell ref="AE2:AF2"/>
    <mergeCell ref="B2:B3"/>
    <mergeCell ref="C2:C3"/>
    <mergeCell ref="E2:F2"/>
    <mergeCell ref="G2:H2"/>
    <mergeCell ref="I2:J2"/>
    <mergeCell ref="K2:L2"/>
    <mergeCell ref="M2:N2"/>
    <mergeCell ref="O2:P2"/>
    <mergeCell ref="Q2:R2"/>
    <mergeCell ref="S2:T2"/>
    <mergeCell ref="U2:V2"/>
    <mergeCell ref="C34:D34"/>
    <mergeCell ref="C35:D35"/>
    <mergeCell ref="A4:A11"/>
    <mergeCell ref="A13:A19"/>
    <mergeCell ref="A20:A26"/>
    <mergeCell ref="A27:A29"/>
    <mergeCell ref="B31:B36"/>
    <mergeCell ref="AK31:AL31"/>
    <mergeCell ref="Q31:R31"/>
    <mergeCell ref="S31:T31"/>
    <mergeCell ref="U31:V31"/>
    <mergeCell ref="AA31:AB31"/>
    <mergeCell ref="AM31:AN31"/>
    <mergeCell ref="AM2:AN2"/>
    <mergeCell ref="C36:D36"/>
    <mergeCell ref="AC31:AD31"/>
    <mergeCell ref="AE31:AF31"/>
    <mergeCell ref="AG31:AH31"/>
    <mergeCell ref="AI31:AJ31"/>
    <mergeCell ref="E31:F31"/>
    <mergeCell ref="G31:H31"/>
    <mergeCell ref="I31:J31"/>
    <mergeCell ref="K31:L31"/>
    <mergeCell ref="M31:N31"/>
    <mergeCell ref="O31:P31"/>
    <mergeCell ref="C31:D31"/>
    <mergeCell ref="C32:D32"/>
    <mergeCell ref="C33:D33"/>
  </mergeCells>
  <dataValidations xWindow="303" yWindow="557" count="9">
    <dataValidation type="list" allowBlank="1" showInputMessage="1" promptTitle="MINIPELLE" prompt="choisir la prestation" sqref="C27:C28" xr:uid="{00000000-0002-0000-1500-000000000000}">
      <formula1>INDIRECT(B27)</formula1>
    </dataValidation>
    <dataValidation type="list" allowBlank="1" showInputMessage="1" promptTitle="Main d'oeuvre CHANTIER" prompt="choisir la prestation" sqref="C20:C25" xr:uid="{00000000-0002-0000-1500-000001000000}">
      <formula1>INDIRECT(B20)</formula1>
    </dataValidation>
    <dataValidation type="list" allowBlank="1" showInputMessage="1" showErrorMessage="1" promptTitle="MATIERES" prompt="choisir le produit" sqref="C4:C11" xr:uid="{00000000-0002-0000-1500-000002000000}">
      <formula1>INDIRECT(B4)</formula1>
    </dataValidation>
    <dataValidation type="list" allowBlank="1" showInputMessage="1" showErrorMessage="1" promptTitle="MATIERES" prompt="choisir catégorie" sqref="B4:B10" xr:uid="{00000000-0002-0000-1500-000003000000}">
      <formula1>MOA_ALIM</formula1>
    </dataValidation>
    <dataValidation type="list" allowBlank="1" showInputMessage="1" showErrorMessage="1" promptTitle="Catégorie MOC" prompt="choisir" sqref="B20:B25" xr:uid="{00000000-0002-0000-1500-000004000000}">
      <formula1>CATEGORIE_MOC</formula1>
    </dataValidation>
    <dataValidation type="list" allowBlank="1" showInputMessage="1" showErrorMessage="1" promptTitle="MINIPELLE" prompt="choisir catégorie" sqref="B27:B28" xr:uid="{00000000-0002-0000-1500-000005000000}">
      <formula1>CATEGORIE_MP</formula1>
    </dataValidation>
    <dataValidation type="list" allowBlank="1" showInputMessage="1" showErrorMessage="1" promptTitle="Main d'oeuvre ATELIER" prompt="choisir la prestation" sqref="C13:C18" xr:uid="{00000000-0002-0000-1500-000006000000}">
      <formula1>INDIRECT(B13)</formula1>
    </dataValidation>
    <dataValidation type="list" allowBlank="1" showInputMessage="1" showErrorMessage="1" promptTitle="MO ATELIER" prompt="choisir catégorie" sqref="B13:B18" xr:uid="{00000000-0002-0000-1500-000007000000}">
      <formula1>CATEGORIE_MOA</formula1>
    </dataValidation>
    <dataValidation type="list" allowBlank="1" showInputMessage="1" showErrorMessage="1" promptTitle="MATIERES" prompt="choisir catégorie" sqref="B11" xr:uid="{9AA00EE5-1296-4DEC-8A41-D460C7703D5E}">
      <formula1>MA_CATEGORIE</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published="0" codeName="Feuil23"/>
  <dimension ref="A1:AN40"/>
  <sheetViews>
    <sheetView zoomScaleNormal="100" workbookViewId="0">
      <pane xSplit="4" ySplit="3" topLeftCell="AK36" activePane="bottomRight" state="frozen"/>
      <selection sqref="A1:XFD1"/>
      <selection pane="topRight" sqref="A1:XFD1"/>
      <selection pane="bottomLeft" sqref="A1:XFD1"/>
      <selection pane="bottomRight" activeCell="AK36" sqref="AK36:AL36"/>
    </sheetView>
  </sheetViews>
  <sheetFormatPr baseColWidth="10" defaultColWidth="11.125" defaultRowHeight="18" x14ac:dyDescent="0.2"/>
  <cols>
    <col min="1" max="1" width="18.125" style="210" customWidth="1"/>
    <col min="2" max="2" width="22.5" style="464"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807" width="11.5" customWidth="1"/>
  </cols>
  <sheetData>
    <row r="1" spans="1:40"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t="s">
        <v>467</v>
      </c>
    </row>
    <row r="2" spans="1:40" ht="35.1" customHeight="1" x14ac:dyDescent="0.2">
      <c r="A2" s="174"/>
      <c r="B2" s="1572" t="s">
        <v>1289</v>
      </c>
      <c r="C2" s="1574" t="s">
        <v>468</v>
      </c>
      <c r="D2" s="115" t="s">
        <v>203</v>
      </c>
      <c r="E2" s="1571">
        <v>2</v>
      </c>
      <c r="F2" s="1571"/>
      <c r="G2" s="1571">
        <v>3</v>
      </c>
      <c r="H2" s="1571"/>
      <c r="I2" s="1571">
        <v>4</v>
      </c>
      <c r="J2" s="1571"/>
      <c r="K2" s="1571">
        <v>5</v>
      </c>
      <c r="L2" s="1571"/>
      <c r="M2" s="1571">
        <v>6</v>
      </c>
      <c r="N2" s="1571"/>
      <c r="O2" s="1571">
        <v>7</v>
      </c>
      <c r="P2" s="1571"/>
      <c r="Q2" s="1571">
        <v>8</v>
      </c>
      <c r="R2" s="1571"/>
      <c r="S2" s="1571">
        <v>9</v>
      </c>
      <c r="T2" s="1571"/>
      <c r="U2" s="1571">
        <v>10</v>
      </c>
      <c r="V2" s="1571"/>
      <c r="W2" s="218">
        <v>12</v>
      </c>
      <c r="X2" s="463" t="s">
        <v>469</v>
      </c>
      <c r="Y2" s="463">
        <v>12</v>
      </c>
      <c r="Z2" s="465" t="s">
        <v>470</v>
      </c>
      <c r="AA2" s="218">
        <v>14</v>
      </c>
      <c r="AB2" s="463" t="s">
        <v>471</v>
      </c>
      <c r="AC2" s="218">
        <v>14</v>
      </c>
      <c r="AD2" s="463" t="s">
        <v>472</v>
      </c>
      <c r="AE2" s="1571">
        <v>16</v>
      </c>
      <c r="AF2" s="1571"/>
      <c r="AG2" s="218">
        <v>18</v>
      </c>
      <c r="AH2" s="463" t="s">
        <v>473</v>
      </c>
      <c r="AI2" s="218">
        <v>18</v>
      </c>
      <c r="AJ2" s="463" t="s">
        <v>474</v>
      </c>
      <c r="AK2" s="218">
        <v>20</v>
      </c>
      <c r="AL2" s="463" t="s">
        <v>475</v>
      </c>
      <c r="AM2" s="1619">
        <v>20</v>
      </c>
      <c r="AN2" s="1620"/>
    </row>
    <row r="3" spans="1:40" ht="35.1" customHeight="1" x14ac:dyDescent="0.2">
      <c r="A3" s="174"/>
      <c r="B3" s="1573"/>
      <c r="C3" s="1574"/>
      <c r="D3" s="176" t="s">
        <v>222</v>
      </c>
      <c r="E3" s="236" t="s">
        <v>444</v>
      </c>
      <c r="F3" s="466" t="s">
        <v>477</v>
      </c>
      <c r="G3" s="236" t="s">
        <v>444</v>
      </c>
      <c r="H3" s="466" t="s">
        <v>477</v>
      </c>
      <c r="I3" s="236" t="s">
        <v>444</v>
      </c>
      <c r="J3" s="466" t="s">
        <v>477</v>
      </c>
      <c r="K3" s="236" t="s">
        <v>444</v>
      </c>
      <c r="L3" s="466" t="s">
        <v>477</v>
      </c>
      <c r="M3" s="236" t="s">
        <v>444</v>
      </c>
      <c r="N3" s="466" t="s">
        <v>477</v>
      </c>
      <c r="O3" s="236" t="s">
        <v>444</v>
      </c>
      <c r="P3" s="466" t="s">
        <v>477</v>
      </c>
      <c r="Q3" s="220" t="s">
        <v>444</v>
      </c>
      <c r="R3" s="467" t="s">
        <v>477</v>
      </c>
      <c r="S3" s="236" t="s">
        <v>444</v>
      </c>
      <c r="T3" s="466" t="s">
        <v>477</v>
      </c>
      <c r="U3" s="236" t="s">
        <v>444</v>
      </c>
      <c r="V3" s="466" t="s">
        <v>477</v>
      </c>
      <c r="W3" s="236" t="s">
        <v>444</v>
      </c>
      <c r="X3" s="466" t="s">
        <v>477</v>
      </c>
      <c r="Y3" s="236" t="s">
        <v>444</v>
      </c>
      <c r="Z3" s="466" t="s">
        <v>477</v>
      </c>
      <c r="AA3" s="236" t="s">
        <v>444</v>
      </c>
      <c r="AB3" s="466" t="s">
        <v>477</v>
      </c>
      <c r="AC3" s="236" t="s">
        <v>444</v>
      </c>
      <c r="AD3" s="466" t="s">
        <v>477</v>
      </c>
      <c r="AE3" s="236" t="s">
        <v>444</v>
      </c>
      <c r="AF3" s="466" t="s">
        <v>477</v>
      </c>
      <c r="AG3" s="236" t="s">
        <v>444</v>
      </c>
      <c r="AH3" s="466" t="s">
        <v>477</v>
      </c>
      <c r="AI3" s="236" t="s">
        <v>444</v>
      </c>
      <c r="AJ3" s="466" t="s">
        <v>477</v>
      </c>
      <c r="AK3" s="236" t="s">
        <v>444</v>
      </c>
      <c r="AL3" s="466" t="s">
        <v>477</v>
      </c>
      <c r="AM3" s="236" t="s">
        <v>444</v>
      </c>
      <c r="AN3" s="1380" t="s">
        <v>477</v>
      </c>
    </row>
    <row r="4" spans="1:40" ht="15" customHeight="1" x14ac:dyDescent="0.2">
      <c r="A4" s="1630" t="s">
        <v>1078</v>
      </c>
      <c r="B4" s="361" t="s">
        <v>239</v>
      </c>
      <c r="C4" s="362" t="s">
        <v>780</v>
      </c>
      <c r="D4" s="363" t="str">
        <f>IF($C4="","",VLOOKUP($C4,MATIERES!$A$2:$F$227,5,0))</f>
        <v>ml</v>
      </c>
      <c r="E4" s="364">
        <f>4*1.3</f>
        <v>5.2</v>
      </c>
      <c r="F4" s="365">
        <f>IF($C4="","",E4*VLOOKUP($C4,MATIERES!$A$2:$F$349,4,0))</f>
        <v>12.740000000000002</v>
      </c>
      <c r="G4" s="364">
        <f>4*1.3</f>
        <v>5.2</v>
      </c>
      <c r="H4" s="365">
        <f>IF($C4="","",G4*VLOOKUP($C4,MATIERES!$A$2:$F$349,4,0))</f>
        <v>12.740000000000002</v>
      </c>
      <c r="I4" s="364">
        <f>4*1.3</f>
        <v>5.2</v>
      </c>
      <c r="J4" s="365">
        <f>IF($C4="","",I4*VLOOKUP($C4,MATIERES!$A$2:$F$349,4,0))</f>
        <v>12.740000000000002</v>
      </c>
      <c r="K4" s="364">
        <f>4*1.3</f>
        <v>5.2</v>
      </c>
      <c r="L4" s="365">
        <f>IF($C4="","",K4*VLOOKUP($C4,MATIERES!$A$2:$F$349,4,0))</f>
        <v>12.740000000000002</v>
      </c>
      <c r="M4" s="364">
        <f>4*1.3</f>
        <v>5.2</v>
      </c>
      <c r="N4" s="365">
        <f>IF($C4="","",M4*VLOOKUP($C4,MATIERES!$A$2:$F$349,4,0))</f>
        <v>12.740000000000002</v>
      </c>
      <c r="O4" s="364">
        <f>4*1.3</f>
        <v>5.2</v>
      </c>
      <c r="P4" s="365">
        <f>IF($C4="","",O4*VLOOKUP($C4,MATIERES!$A$2:$F$349,4,0))</f>
        <v>12.740000000000002</v>
      </c>
      <c r="Q4" s="364">
        <f>4*1.3</f>
        <v>5.2</v>
      </c>
      <c r="R4" s="365">
        <f>IF($C4="","",Q4*VLOOKUP($C4,MATIERES!$A$2:$F$349,4,0))</f>
        <v>12.740000000000002</v>
      </c>
      <c r="S4" s="364">
        <f>4*1.3</f>
        <v>5.2</v>
      </c>
      <c r="T4" s="365">
        <f>IF($C4="","",S4*VLOOKUP($C4,MATIERES!$A$2:$F$349,4,0))</f>
        <v>12.740000000000002</v>
      </c>
      <c r="U4" s="364">
        <f>4*1.3</f>
        <v>5.2</v>
      </c>
      <c r="V4" s="365">
        <f>IF($C4="","",U4*VLOOKUP($C4,MATIERES!$A$2:$F$349,4,0))</f>
        <v>12.740000000000002</v>
      </c>
      <c r="W4" s="364">
        <f>4*1.3</f>
        <v>5.2</v>
      </c>
      <c r="X4" s="365">
        <f>IF($C4="","",W4*VLOOKUP($C4,MATIERES!$A$2:$F$349,4,0))</f>
        <v>12.740000000000002</v>
      </c>
      <c r="Y4" s="364">
        <f>4*1.3</f>
        <v>5.2</v>
      </c>
      <c r="Z4" s="365">
        <f>IF($C4="","",Y4*VLOOKUP($C4,MATIERES!$A$2:$F$349,4,0))</f>
        <v>12.740000000000002</v>
      </c>
      <c r="AA4" s="364">
        <f>4*1.3</f>
        <v>5.2</v>
      </c>
      <c r="AB4" s="365">
        <f>IF($C4="","",AA4*VLOOKUP($C4,MATIERES!$A$2:$F$349,4,0))</f>
        <v>12.740000000000002</v>
      </c>
      <c r="AC4" s="364">
        <f>4*1.3</f>
        <v>5.2</v>
      </c>
      <c r="AD4" s="365">
        <f>IF($C4="","",AC4*VLOOKUP($C4,MATIERES!$A$2:$F$349,4,0))</f>
        <v>12.740000000000002</v>
      </c>
      <c r="AE4" s="364">
        <f>4*1.3</f>
        <v>5.2</v>
      </c>
      <c r="AF4" s="365">
        <f>IF($C4="","",AE4*VLOOKUP($C4,MATIERES!$A$2:$F$349,4,0))</f>
        <v>12.740000000000002</v>
      </c>
      <c r="AG4" s="364">
        <f>4*1.3</f>
        <v>5.2</v>
      </c>
      <c r="AH4" s="365">
        <f>IF($C4="","",AG4*VLOOKUP($C4,MATIERES!$A$2:$F$349,4,0))</f>
        <v>12.740000000000002</v>
      </c>
      <c r="AI4" s="364">
        <f>4*1.3</f>
        <v>5.2</v>
      </c>
      <c r="AJ4" s="365">
        <f>IF($C4="","",AI4*VLOOKUP($C4,MATIERES!$A$2:$F$349,4,0))</f>
        <v>12.740000000000002</v>
      </c>
      <c r="AK4" s="364">
        <f>4*1.3</f>
        <v>5.2</v>
      </c>
      <c r="AL4" s="365">
        <f>IF($C4="","",AK4*VLOOKUP($C4,MATIERES!$A$2:$F$349,4,0))</f>
        <v>12.740000000000002</v>
      </c>
      <c r="AM4" s="364">
        <f>4*1.3</f>
        <v>5.2</v>
      </c>
      <c r="AN4" s="365">
        <f>IF($C4="","",AM4*VLOOKUP($C4,MATIERES!$A$2:$F$349,4,0))</f>
        <v>12.740000000000002</v>
      </c>
    </row>
    <row r="5" spans="1:40" ht="15" customHeight="1" x14ac:dyDescent="0.2">
      <c r="A5" s="1631"/>
      <c r="B5" s="361" t="s">
        <v>239</v>
      </c>
      <c r="C5" s="362" t="s">
        <v>779</v>
      </c>
      <c r="D5" s="363" t="str">
        <f>IF($C5="","",VLOOKUP($C5,MATIERES!$A$2:$F$227,5,0))</f>
        <v>ml</v>
      </c>
      <c r="E5" s="364">
        <f>'Outils de calculs'!E26*1.1</f>
        <v>9.02</v>
      </c>
      <c r="F5" s="365">
        <f>IF($C5="","",E5*VLOOKUP($C5,MATIERES!$A$2:$F$349,4,0))</f>
        <v>17.047799999999999</v>
      </c>
      <c r="G5" s="364">
        <f>'Outils de calculs'!G26*1.1</f>
        <v>11</v>
      </c>
      <c r="H5" s="365">
        <f>IF($C5="","",G5*VLOOKUP($C5,MATIERES!$A$2:$F$349,4,0))</f>
        <v>20.79</v>
      </c>
      <c r="I5" s="364">
        <f>'Outils de calculs'!I26*1.1</f>
        <v>13.200000000000001</v>
      </c>
      <c r="J5" s="365">
        <f>IF($C5="","",I5*VLOOKUP($C5,MATIERES!$A$2:$F$349,4,0))</f>
        <v>24.948</v>
      </c>
      <c r="K5" s="364">
        <f>'Outils de calculs'!K26*1.1</f>
        <v>14.3</v>
      </c>
      <c r="L5" s="365">
        <f>IF($C5="","",K5*VLOOKUP($C5,MATIERES!$A$2:$F$349,4,0))</f>
        <v>27.027000000000001</v>
      </c>
      <c r="M5" s="364">
        <f>'Outils de calculs'!M26*1.1</f>
        <v>15.400000000000002</v>
      </c>
      <c r="N5" s="365">
        <f>IF($C5="","",M5*VLOOKUP($C5,MATIERES!$A$2:$F$349,4,0))</f>
        <v>29.106000000000002</v>
      </c>
      <c r="O5" s="364">
        <f>'Outils de calculs'!O26*1.1</f>
        <v>16.5</v>
      </c>
      <c r="P5" s="365">
        <f>IF($C5="","",O5*VLOOKUP($C5,MATIERES!$A$2:$F$349,4,0))</f>
        <v>31.184999999999999</v>
      </c>
      <c r="Q5" s="364">
        <f>'Outils de calculs'!Q26*1.1</f>
        <v>17.600000000000001</v>
      </c>
      <c r="R5" s="365">
        <f>IF($C5="","",Q5*VLOOKUP($C5,MATIERES!$A$2:$F$349,4,0))</f>
        <v>33.264000000000003</v>
      </c>
      <c r="S5" s="364">
        <f>'Outils de calculs'!S26*1.1</f>
        <v>18.700000000000003</v>
      </c>
      <c r="T5" s="365">
        <f>IF($C5="","",S5*VLOOKUP($C5,MATIERES!$A$2:$F$349,4,0))</f>
        <v>35.343000000000004</v>
      </c>
      <c r="U5" s="364">
        <f>'Outils de calculs'!U26*1.1</f>
        <v>19.8</v>
      </c>
      <c r="V5" s="365">
        <f>IF($C5="","",U5*VLOOKUP($C5,MATIERES!$A$2:$F$349,4,0))</f>
        <v>37.421999999999997</v>
      </c>
      <c r="W5" s="364">
        <f>'Outils de calculs'!W26*1.1</f>
        <v>22</v>
      </c>
      <c r="X5" s="365">
        <f>IF($C5="","",W5*VLOOKUP($C5,MATIERES!$A$2:$F$349,4,0))</f>
        <v>41.58</v>
      </c>
      <c r="Y5" s="364">
        <f>'Outils de calculs'!Y26*1.1</f>
        <v>24.200000000000003</v>
      </c>
      <c r="Z5" s="365">
        <f>IF($C5="","",Y5*VLOOKUP($C5,MATIERES!$A$2:$F$349,4,0))</f>
        <v>45.738</v>
      </c>
      <c r="AA5" s="364">
        <f>'Outils de calculs'!AA26*1.1</f>
        <v>25.3</v>
      </c>
      <c r="AB5" s="365">
        <f>IF($C5="","",AA5*VLOOKUP($C5,MATIERES!$A$2:$F$349,4,0))</f>
        <v>47.817</v>
      </c>
      <c r="AC5" s="364">
        <f>'Outils de calculs'!AC26*1.1</f>
        <v>24.200000000000003</v>
      </c>
      <c r="AD5" s="365">
        <f>IF($C5="","",AC5*VLOOKUP($C5,MATIERES!$A$2:$F$349,4,0))</f>
        <v>45.738</v>
      </c>
      <c r="AE5" s="364">
        <f>'Outils de calculs'!AE26*1.1</f>
        <v>26.400000000000002</v>
      </c>
      <c r="AF5" s="365">
        <f>IF($C5="","",AE5*VLOOKUP($C5,MATIERES!$A$2:$F$349,4,0))</f>
        <v>49.896000000000001</v>
      </c>
      <c r="AG5" s="364">
        <f>'Outils de calculs'!AG26*1.1</f>
        <v>27.500000000000004</v>
      </c>
      <c r="AH5" s="365">
        <f>IF($C5="","",AG5*VLOOKUP($C5,MATIERES!$A$2:$F$349,4,0))</f>
        <v>51.975000000000001</v>
      </c>
      <c r="AI5" s="364">
        <f>'Outils de calculs'!AI26*1.1</f>
        <v>28.6</v>
      </c>
      <c r="AJ5" s="365">
        <f>IF($C5="","",AI5*VLOOKUP($C5,MATIERES!$A$2:$F$349,4,0))</f>
        <v>54.054000000000002</v>
      </c>
      <c r="AK5" s="364">
        <f>'Outils de calculs'!AK26*1.1</f>
        <v>30.800000000000004</v>
      </c>
      <c r="AL5" s="365">
        <f>IF($C5="","",AK5*VLOOKUP($C5,MATIERES!$A$2:$F$349,4,0))</f>
        <v>58.212000000000003</v>
      </c>
      <c r="AM5" s="364">
        <f>'Outils de calculs'!AM26*1.1</f>
        <v>28.6</v>
      </c>
      <c r="AN5" s="365">
        <f>IF($C5="","",AM5*VLOOKUP($C5,MATIERES!$A$2:$F$349,4,0))</f>
        <v>54.054000000000002</v>
      </c>
    </row>
    <row r="6" spans="1:40" ht="15" customHeight="1" x14ac:dyDescent="0.2">
      <c r="A6" s="1631"/>
      <c r="B6" s="361" t="s">
        <v>1069</v>
      </c>
      <c r="C6" s="362" t="s">
        <v>761</v>
      </c>
      <c r="D6" s="363" t="str">
        <f>IF($C6="","",VLOOKUP($C6,MATIERES!$A$2:$F$227,5,0))</f>
        <v>ml</v>
      </c>
      <c r="E6" s="364">
        <f>'Outils de calculs'!E26</f>
        <v>8.1999999999999993</v>
      </c>
      <c r="F6" s="365">
        <f>IF($C6="","",E6*VLOOKUP($C6,MATIERES!$A$2:$F$349,4,0))</f>
        <v>55.267999999999994</v>
      </c>
      <c r="G6" s="364">
        <f>'Outils de calculs'!G26</f>
        <v>10</v>
      </c>
      <c r="H6" s="365">
        <f>IF($C6="","",G6*VLOOKUP($C6,MATIERES!$A$2:$F$349,4,0))</f>
        <v>67.400000000000006</v>
      </c>
      <c r="I6" s="364">
        <f>'Outils de calculs'!I26</f>
        <v>12</v>
      </c>
      <c r="J6" s="365">
        <f>IF($C6="","",I6*VLOOKUP($C6,MATIERES!$A$2:$F$349,4,0))</f>
        <v>80.88</v>
      </c>
      <c r="K6" s="364">
        <f>'Outils de calculs'!K26</f>
        <v>13</v>
      </c>
      <c r="L6" s="365">
        <f>IF($C6="","",K6*VLOOKUP($C6,MATIERES!$A$2:$F$349,4,0))</f>
        <v>87.62</v>
      </c>
      <c r="M6" s="364">
        <f>'Outils de calculs'!M26</f>
        <v>14</v>
      </c>
      <c r="N6" s="365">
        <f>IF($C6="","",M6*VLOOKUP($C6,MATIERES!$A$2:$F$349,4,0))</f>
        <v>94.36</v>
      </c>
      <c r="O6" s="364">
        <f>'Outils de calculs'!O26</f>
        <v>15</v>
      </c>
      <c r="P6" s="365">
        <f>IF($C6="","",O6*VLOOKUP($C6,MATIERES!$A$2:$F$349,4,0))</f>
        <v>101.10000000000001</v>
      </c>
      <c r="Q6" s="364">
        <f>'Outils de calculs'!Q26</f>
        <v>16</v>
      </c>
      <c r="R6" s="365">
        <f>IF($C6="","",Q6*VLOOKUP($C6,MATIERES!$A$2:$F$349,4,0))</f>
        <v>107.84</v>
      </c>
      <c r="S6" s="364">
        <f>'Outils de calculs'!S26</f>
        <v>17</v>
      </c>
      <c r="T6" s="365">
        <f>IF($C6="","",S6*VLOOKUP($C6,MATIERES!$A$2:$F$349,4,0))</f>
        <v>114.58</v>
      </c>
      <c r="U6" s="364">
        <f>'Outils de calculs'!U26</f>
        <v>18</v>
      </c>
      <c r="V6" s="365">
        <f>IF($C6="","",U6*VLOOKUP($C6,MATIERES!$A$2:$F$349,4,0))</f>
        <v>121.32000000000001</v>
      </c>
      <c r="W6" s="364">
        <f>'Outils de calculs'!W26</f>
        <v>20</v>
      </c>
      <c r="X6" s="365">
        <f>IF($C6="","",W6*VLOOKUP($C6,MATIERES!$A$2:$F$349,4,0))</f>
        <v>134.80000000000001</v>
      </c>
      <c r="Y6" s="364">
        <f>'Outils de calculs'!Y26</f>
        <v>22</v>
      </c>
      <c r="Z6" s="365">
        <f>IF($C6="","",Y6*VLOOKUP($C6,MATIERES!$A$2:$F$349,4,0))</f>
        <v>148.28</v>
      </c>
      <c r="AA6" s="364">
        <f>'Outils de calculs'!AA26</f>
        <v>23</v>
      </c>
      <c r="AB6" s="365">
        <f>IF($C6="","",AA6*VLOOKUP($C6,MATIERES!$A$2:$F$349,4,0))</f>
        <v>155.02000000000001</v>
      </c>
      <c r="AC6" s="364">
        <f>'Outils de calculs'!AC26</f>
        <v>22</v>
      </c>
      <c r="AD6" s="365">
        <f>IF($C6="","",AC6*VLOOKUP($C6,MATIERES!$A$2:$F$349,4,0))</f>
        <v>148.28</v>
      </c>
      <c r="AE6" s="364">
        <f>'Outils de calculs'!AE26</f>
        <v>24</v>
      </c>
      <c r="AF6" s="365">
        <f>IF($C6="","",AE6*VLOOKUP($C6,MATIERES!$A$2:$F$349,4,0))</f>
        <v>161.76</v>
      </c>
      <c r="AG6" s="364">
        <f>'Outils de calculs'!AG26</f>
        <v>25</v>
      </c>
      <c r="AH6" s="365">
        <f>IF($C6="","",AG6*VLOOKUP($C6,MATIERES!$A$2:$F$349,4,0))</f>
        <v>168.5</v>
      </c>
      <c r="AI6" s="364">
        <f>'Outils de calculs'!AI26</f>
        <v>26</v>
      </c>
      <c r="AJ6" s="365">
        <f>IF($C6="","",AI6*VLOOKUP($C6,MATIERES!$A$2:$F$349,4,0))</f>
        <v>175.24</v>
      </c>
      <c r="AK6" s="364">
        <f>'Outils de calculs'!AK26</f>
        <v>28</v>
      </c>
      <c r="AL6" s="365">
        <f>IF($C6="","",AK6*VLOOKUP($C6,MATIERES!$A$2:$F$349,4,0))</f>
        <v>188.72</v>
      </c>
      <c r="AM6" s="364">
        <f>'Outils de calculs'!AM26</f>
        <v>26</v>
      </c>
      <c r="AN6" s="365">
        <f>IF($C6="","",AM6*VLOOKUP($C6,MATIERES!$A$2:$F$349,4,0))</f>
        <v>175.24</v>
      </c>
    </row>
    <row r="7" spans="1:40" ht="15" customHeight="1" x14ac:dyDescent="0.2">
      <c r="A7" s="1631"/>
      <c r="B7" s="361" t="s">
        <v>764</v>
      </c>
      <c r="C7" s="362" t="s">
        <v>768</v>
      </c>
      <c r="D7" s="363" t="str">
        <f>IF($C7="","",VLOOKUP($C7,MATIERES!$A$2:$F$413,5,0))</f>
        <v>pc</v>
      </c>
      <c r="E7" s="364">
        <f>12</f>
        <v>12</v>
      </c>
      <c r="F7" s="365">
        <f>IF($C7="","",E7*VLOOKUP($C7,MATIERES!$A$2:$F$349,4,0))</f>
        <v>4.7380000000000004</v>
      </c>
      <c r="G7" s="364">
        <f>12</f>
        <v>12</v>
      </c>
      <c r="H7" s="365">
        <f>IF($C7="","",G7*VLOOKUP($C7,MATIERES!$A$2:$F$349,4,0))</f>
        <v>4.7380000000000004</v>
      </c>
      <c r="I7" s="364">
        <f>12</f>
        <v>12</v>
      </c>
      <c r="J7" s="365">
        <f>IF($C7="","",I7*VLOOKUP($C7,MATIERES!$A$2:$F$349,4,0))</f>
        <v>4.7380000000000004</v>
      </c>
      <c r="K7" s="364">
        <f>12</f>
        <v>12</v>
      </c>
      <c r="L7" s="365">
        <f>IF($C7="","",K7*VLOOKUP($C7,MATIERES!$A$2:$F$349,4,0))</f>
        <v>4.7380000000000004</v>
      </c>
      <c r="M7" s="364">
        <f>12</f>
        <v>12</v>
      </c>
      <c r="N7" s="365">
        <f>IF($C7="","",M7*VLOOKUP($C7,MATIERES!$A$2:$F$349,4,0))</f>
        <v>4.7380000000000004</v>
      </c>
      <c r="O7" s="364">
        <f>12</f>
        <v>12</v>
      </c>
      <c r="P7" s="365">
        <f>IF($C7="","",O7*VLOOKUP($C7,MATIERES!$A$2:$F$349,4,0))</f>
        <v>4.7380000000000004</v>
      </c>
      <c r="Q7" s="364">
        <f>12</f>
        <v>12</v>
      </c>
      <c r="R7" s="365">
        <f>IF($C7="","",Q7*VLOOKUP($C7,MATIERES!$A$2:$F$349,4,0))</f>
        <v>4.7380000000000004</v>
      </c>
      <c r="S7" s="364">
        <f>12</f>
        <v>12</v>
      </c>
      <c r="T7" s="365">
        <f>IF($C7="","",S7*VLOOKUP($C7,MATIERES!$A$2:$F$349,4,0))</f>
        <v>4.7380000000000004</v>
      </c>
      <c r="U7" s="364">
        <f>12</f>
        <v>12</v>
      </c>
      <c r="V7" s="365">
        <f>IF($C7="","",U7*VLOOKUP($C7,MATIERES!$A$2:$F$349,4,0))</f>
        <v>4.7380000000000004</v>
      </c>
      <c r="W7" s="364">
        <f>12</f>
        <v>12</v>
      </c>
      <c r="X7" s="365">
        <f>IF($C7="","",W7*VLOOKUP($C7,MATIERES!$A$2:$F$349,4,0))</f>
        <v>4.7380000000000004</v>
      </c>
      <c r="Y7" s="364">
        <f>12</f>
        <v>12</v>
      </c>
      <c r="Z7" s="365">
        <f>IF($C7="","",Y7*VLOOKUP($C7,MATIERES!$A$2:$F$349,4,0))</f>
        <v>4.7380000000000004</v>
      </c>
      <c r="AA7" s="364">
        <f>12</f>
        <v>12</v>
      </c>
      <c r="AB7" s="365">
        <f>IF($C7="","",AA7*VLOOKUP($C7,MATIERES!$A$2:$F$349,4,0))</f>
        <v>4.7380000000000004</v>
      </c>
      <c r="AC7" s="364">
        <f>12</f>
        <v>12</v>
      </c>
      <c r="AD7" s="365">
        <f>IF($C7="","",AC7*VLOOKUP($C7,MATIERES!$A$2:$F$349,4,0))</f>
        <v>4.7380000000000004</v>
      </c>
      <c r="AE7" s="364">
        <f>12</f>
        <v>12</v>
      </c>
      <c r="AF7" s="365">
        <f>IF($C7="","",AE7*VLOOKUP($C7,MATIERES!$A$2:$F$349,4,0))</f>
        <v>4.7380000000000004</v>
      </c>
      <c r="AG7" s="364">
        <f>12</f>
        <v>12</v>
      </c>
      <c r="AH7" s="365">
        <f>IF($C7="","",AG7*VLOOKUP($C7,MATIERES!$A$2:$F$349,4,0))</f>
        <v>4.7380000000000004</v>
      </c>
      <c r="AI7" s="364">
        <f>12</f>
        <v>12</v>
      </c>
      <c r="AJ7" s="365">
        <f>IF($C7="","",AI7*VLOOKUP($C7,MATIERES!$A$2:$F$349,4,0))</f>
        <v>4.7380000000000004</v>
      </c>
      <c r="AK7" s="364">
        <f>12</f>
        <v>12</v>
      </c>
      <c r="AL7" s="365">
        <f>IF($C7="","",AK7*VLOOKUP($C7,MATIERES!$A$2:$F$349,4,0))</f>
        <v>4.7380000000000004</v>
      </c>
      <c r="AM7" s="364">
        <f>12</f>
        <v>12</v>
      </c>
      <c r="AN7" s="365">
        <f>IF($C7="","",AM7*VLOOKUP($C7,MATIERES!$A$2:$F$349,4,0))</f>
        <v>4.7380000000000004</v>
      </c>
    </row>
    <row r="8" spans="1:40" ht="15" customHeight="1" x14ac:dyDescent="0.2">
      <c r="A8" s="1631"/>
      <c r="B8" s="361" t="s">
        <v>764</v>
      </c>
      <c r="C8" s="362" t="s">
        <v>767</v>
      </c>
      <c r="D8" s="363" t="str">
        <f>IF($C8="","",VLOOKUP($C8,MATIERES!$A$2:$F$413,5,0))</f>
        <v>pc</v>
      </c>
      <c r="E8" s="364">
        <f>E6*4</f>
        <v>32.799999999999997</v>
      </c>
      <c r="F8" s="365">
        <f>IF($C8="","",E8*VLOOKUP($C8,MATIERES!$A$2:$F$349,4,0))</f>
        <v>6.1335999999999995</v>
      </c>
      <c r="G8" s="364">
        <f>G6*4</f>
        <v>40</v>
      </c>
      <c r="H8" s="365">
        <f>IF($C8="","",G8*VLOOKUP($C8,MATIERES!$A$2:$F$349,4,0))</f>
        <v>7.48</v>
      </c>
      <c r="I8" s="364">
        <f>I6*4</f>
        <v>48</v>
      </c>
      <c r="J8" s="365">
        <f>IF($C8="","",I8*VLOOKUP($C8,MATIERES!$A$2:$F$349,4,0))</f>
        <v>8.9759999999999991</v>
      </c>
      <c r="K8" s="364">
        <f>K6*4</f>
        <v>52</v>
      </c>
      <c r="L8" s="365">
        <f>IF($C8="","",K8*VLOOKUP($C8,MATIERES!$A$2:$F$349,4,0))</f>
        <v>9.7240000000000002</v>
      </c>
      <c r="M8" s="364">
        <f>M6*4</f>
        <v>56</v>
      </c>
      <c r="N8" s="365">
        <f>IF($C8="","",M8*VLOOKUP($C8,MATIERES!$A$2:$F$349,4,0))</f>
        <v>10.472</v>
      </c>
      <c r="O8" s="364">
        <f>O6*4</f>
        <v>60</v>
      </c>
      <c r="P8" s="365">
        <f>IF($C8="","",O8*VLOOKUP($C8,MATIERES!$A$2:$F$349,4,0))</f>
        <v>11.22</v>
      </c>
      <c r="Q8" s="364">
        <f>Q6*4</f>
        <v>64</v>
      </c>
      <c r="R8" s="365">
        <f>IF($C8="","",Q8*VLOOKUP($C8,MATIERES!$A$2:$F$349,4,0))</f>
        <v>11.968</v>
      </c>
      <c r="S8" s="364">
        <f>S6*4</f>
        <v>68</v>
      </c>
      <c r="T8" s="365">
        <f>IF($C8="","",S8*VLOOKUP($C8,MATIERES!$A$2:$F$349,4,0))</f>
        <v>12.715999999999999</v>
      </c>
      <c r="U8" s="364">
        <f>U6*4</f>
        <v>72</v>
      </c>
      <c r="V8" s="365">
        <f>IF($C8="","",U8*VLOOKUP($C8,MATIERES!$A$2:$F$349,4,0))</f>
        <v>13.464</v>
      </c>
      <c r="W8" s="364">
        <f>W6*4</f>
        <v>80</v>
      </c>
      <c r="X8" s="365">
        <f>IF($C8="","",W8*VLOOKUP($C8,MATIERES!$A$2:$F$349,4,0))</f>
        <v>14.96</v>
      </c>
      <c r="Y8" s="364">
        <f>Y6*4</f>
        <v>88</v>
      </c>
      <c r="Z8" s="365">
        <f>IF($C8="","",Y8*VLOOKUP($C8,MATIERES!$A$2:$F$349,4,0))</f>
        <v>16.456</v>
      </c>
      <c r="AA8" s="364">
        <f>AA6*4</f>
        <v>92</v>
      </c>
      <c r="AB8" s="365">
        <f>IF($C8="","",AA8*VLOOKUP($C8,MATIERES!$A$2:$F$349,4,0))</f>
        <v>17.204000000000001</v>
      </c>
      <c r="AC8" s="364">
        <f>AC6*4</f>
        <v>88</v>
      </c>
      <c r="AD8" s="365">
        <f>IF($C8="","",AC8*VLOOKUP($C8,MATIERES!$A$2:$F$349,4,0))</f>
        <v>16.456</v>
      </c>
      <c r="AE8" s="364">
        <f>AE6*4</f>
        <v>96</v>
      </c>
      <c r="AF8" s="365">
        <f>IF($C8="","",AE8*VLOOKUP($C8,MATIERES!$A$2:$F$349,4,0))</f>
        <v>17.951999999999998</v>
      </c>
      <c r="AG8" s="364">
        <f>AG6*4</f>
        <v>100</v>
      </c>
      <c r="AH8" s="365">
        <f>IF($C8="","",AG8*VLOOKUP($C8,MATIERES!$A$2:$F$349,4,0))</f>
        <v>18.7</v>
      </c>
      <c r="AI8" s="364">
        <f>AI6*4</f>
        <v>104</v>
      </c>
      <c r="AJ8" s="365">
        <f>IF($C8="","",AI8*VLOOKUP($C8,MATIERES!$A$2:$F$349,4,0))</f>
        <v>19.448</v>
      </c>
      <c r="AK8" s="364">
        <f>AK6*4</f>
        <v>112</v>
      </c>
      <c r="AL8" s="365">
        <f>IF($C8="","",AK8*VLOOKUP($C8,MATIERES!$A$2:$F$349,4,0))</f>
        <v>20.943999999999999</v>
      </c>
      <c r="AM8" s="364">
        <f>AM6*4</f>
        <v>104</v>
      </c>
      <c r="AN8" s="365">
        <f>IF($C8="","",AM8*VLOOKUP($C8,MATIERES!$A$2:$F$349,4,0))</f>
        <v>19.448</v>
      </c>
    </row>
    <row r="9" spans="1:40" ht="15" customHeight="1" x14ac:dyDescent="0.2">
      <c r="A9" s="1631"/>
      <c r="B9" s="361" t="s">
        <v>736</v>
      </c>
      <c r="C9" s="362" t="s">
        <v>108</v>
      </c>
      <c r="D9" s="363" t="str">
        <f>IF($C9="","",VLOOKUP($C9,MATIERES!$A$2:$F$227,5,0))</f>
        <v>ml</v>
      </c>
      <c r="E9" s="364">
        <f>('Outils de calculs'!E26+0.3)</f>
        <v>8.5</v>
      </c>
      <c r="F9" s="365">
        <f>IF($C9="","",E9*VLOOKUP($C9,MATIERES!$A$2:$F$349,4,0))</f>
        <v>27.625</v>
      </c>
      <c r="G9" s="364">
        <f>('Outils de calculs'!G26+0.3)</f>
        <v>10.3</v>
      </c>
      <c r="H9" s="365">
        <f>IF($C9="","",G9*VLOOKUP($C9,MATIERES!$A$2:$F$349,4,0))</f>
        <v>33.475000000000001</v>
      </c>
      <c r="I9" s="364">
        <f>('Outils de calculs'!I26+0.3)</f>
        <v>12.3</v>
      </c>
      <c r="J9" s="365">
        <f>IF($C9="","",I9*VLOOKUP($C9,MATIERES!$A$2:$F$349,4,0))</f>
        <v>39.975000000000001</v>
      </c>
      <c r="K9" s="364">
        <f>('Outils de calculs'!K26+0.3)</f>
        <v>13.3</v>
      </c>
      <c r="L9" s="365">
        <f>IF($C9="","",K9*VLOOKUP($C9,MATIERES!$A$2:$F$349,4,0))</f>
        <v>43.225000000000001</v>
      </c>
      <c r="M9" s="364">
        <f>('Outils de calculs'!M26+0.3)</f>
        <v>14.3</v>
      </c>
      <c r="N9" s="365">
        <f>IF($C9="","",M9*VLOOKUP($C9,MATIERES!$A$2:$F$349,4,0))</f>
        <v>46.475000000000001</v>
      </c>
      <c r="O9" s="364">
        <f>('Outils de calculs'!O26+0.3)</f>
        <v>15.3</v>
      </c>
      <c r="P9" s="365">
        <f>IF($C9="","",O9*VLOOKUP($C9,MATIERES!$A$2:$F$349,4,0))</f>
        <v>49.725000000000001</v>
      </c>
      <c r="Q9" s="364">
        <f>('Outils de calculs'!Q26+0.3)</f>
        <v>16.3</v>
      </c>
      <c r="R9" s="365">
        <f>IF($C9="","",Q9*VLOOKUP($C9,MATIERES!$A$2:$F$349,4,0))</f>
        <v>52.975000000000001</v>
      </c>
      <c r="S9" s="364">
        <f>('Outils de calculs'!S26+0.3)</f>
        <v>17.3</v>
      </c>
      <c r="T9" s="365">
        <f>IF($C9="","",S9*VLOOKUP($C9,MATIERES!$A$2:$F$349,4,0))</f>
        <v>56.225000000000001</v>
      </c>
      <c r="U9" s="364">
        <f>('Outils de calculs'!U26+0.3)</f>
        <v>18.3</v>
      </c>
      <c r="V9" s="365">
        <f>IF($C9="","",U9*VLOOKUP($C9,MATIERES!$A$2:$F$349,4,0))</f>
        <v>59.475000000000001</v>
      </c>
      <c r="W9" s="364">
        <f>('Outils de calculs'!W26+0.3)</f>
        <v>20.3</v>
      </c>
      <c r="X9" s="365">
        <f>IF($C9="","",W9*VLOOKUP($C9,MATIERES!$A$2:$F$349,4,0))</f>
        <v>65.975000000000009</v>
      </c>
      <c r="Y9" s="364">
        <f>('Outils de calculs'!Y26+0.3)</f>
        <v>22.3</v>
      </c>
      <c r="Z9" s="365">
        <f>IF($C9="","",Y9*VLOOKUP($C9,MATIERES!$A$2:$F$349,4,0))</f>
        <v>72.475000000000009</v>
      </c>
      <c r="AA9" s="364">
        <f>('Outils de calculs'!AA26+0.3)</f>
        <v>23.3</v>
      </c>
      <c r="AB9" s="365">
        <f>IF($C9="","",AA9*VLOOKUP($C9,MATIERES!$A$2:$F$349,4,0))</f>
        <v>75.725000000000009</v>
      </c>
      <c r="AC9" s="364">
        <f>('Outils de calculs'!AC26+0.3)</f>
        <v>22.3</v>
      </c>
      <c r="AD9" s="365">
        <f>IF($C9="","",AC9*VLOOKUP($C9,MATIERES!$A$2:$F$349,4,0))</f>
        <v>72.475000000000009</v>
      </c>
      <c r="AE9" s="364">
        <f>('Outils de calculs'!AE26+0.3)</f>
        <v>24.3</v>
      </c>
      <c r="AF9" s="365">
        <f>IF($C9="","",AE9*VLOOKUP($C9,MATIERES!$A$2:$F$349,4,0))</f>
        <v>78.975000000000009</v>
      </c>
      <c r="AG9" s="364">
        <f>('Outils de calculs'!AG26+0.3)</f>
        <v>25.3</v>
      </c>
      <c r="AH9" s="365">
        <f>IF($C9="","",AG9*VLOOKUP($C9,MATIERES!$A$2:$F$349,4,0))</f>
        <v>82.225000000000009</v>
      </c>
      <c r="AI9" s="364">
        <f>('Outils de calculs'!AI26+0.3)</f>
        <v>26.3</v>
      </c>
      <c r="AJ9" s="365">
        <f>IF($C9="","",AI9*VLOOKUP($C9,MATIERES!$A$2:$F$349,4,0))</f>
        <v>85.475000000000009</v>
      </c>
      <c r="AK9" s="364">
        <f>('Outils de calculs'!AK26+0.3)</f>
        <v>28.3</v>
      </c>
      <c r="AL9" s="365">
        <f>IF($C9="","",AK9*VLOOKUP($C9,MATIERES!$A$2:$F$349,4,0))</f>
        <v>91.975000000000009</v>
      </c>
      <c r="AM9" s="364">
        <f>('Outils de calculs'!AM26+0.3)</f>
        <v>26.3</v>
      </c>
      <c r="AN9" s="365">
        <f>IF($C9="","",AM9*VLOOKUP($C9,MATIERES!$A$2:$F$349,4,0))</f>
        <v>85.475000000000009</v>
      </c>
    </row>
    <row r="10" spans="1:40" ht="15" customHeight="1" x14ac:dyDescent="0.2">
      <c r="A10" s="1631"/>
      <c r="B10" s="361"/>
      <c r="C10" s="362"/>
      <c r="D10" s="363" t="str">
        <f>IF($C10="","",VLOOKUP($C10,MATIERES!$A$2:$F$413,5,0))</f>
        <v/>
      </c>
      <c r="E10" s="364"/>
      <c r="F10" s="365"/>
      <c r="G10" s="364"/>
      <c r="H10" s="365"/>
      <c r="I10" s="364"/>
      <c r="J10" s="365"/>
      <c r="K10" s="364"/>
      <c r="L10" s="365"/>
      <c r="M10" s="364"/>
      <c r="N10" s="365"/>
      <c r="O10" s="364"/>
      <c r="P10" s="365"/>
      <c r="Q10" s="364"/>
      <c r="R10" s="365"/>
      <c r="S10" s="364"/>
      <c r="T10" s="365"/>
      <c r="U10" s="364"/>
      <c r="V10" s="365"/>
      <c r="W10" s="364"/>
      <c r="X10" s="365"/>
      <c r="Y10" s="364"/>
      <c r="Z10" s="365"/>
      <c r="AA10" s="364"/>
      <c r="AB10" s="365"/>
      <c r="AC10" s="364"/>
      <c r="AD10" s="365"/>
      <c r="AE10" s="364">
        <v>19</v>
      </c>
      <c r="AF10" s="365" t="str">
        <f>IF($C10="","",AE10*VLOOKUP($C10,MATIERES!$A$2:$F$349,4,0))</f>
        <v/>
      </c>
      <c r="AG10" s="364">
        <v>20</v>
      </c>
      <c r="AH10" s="365" t="str">
        <f>IF($C10="","",AG10*VLOOKUP($C10,MATIERES!$A$2:$F$349,4,0))</f>
        <v/>
      </c>
      <c r="AI10" s="364">
        <v>21</v>
      </c>
      <c r="AJ10" s="365" t="str">
        <f>IF($C10="","",AI10*VLOOKUP($C10,MATIERES!$A$2:$F$349,4,0))</f>
        <v/>
      </c>
      <c r="AK10" s="364">
        <v>22</v>
      </c>
      <c r="AL10" s="365" t="str">
        <f>IF($C10="","",AK10*VLOOKUP($C10,MATIERES!$A$2:$F$349,4,0))</f>
        <v/>
      </c>
      <c r="AM10" s="364">
        <v>23</v>
      </c>
      <c r="AN10" s="365" t="str">
        <f>IF($C10="","",AM10*VLOOKUP($C10,MATIERES!$A$2:$F$349,4,0))</f>
        <v/>
      </c>
    </row>
    <row r="11" spans="1:40" ht="30" customHeight="1" x14ac:dyDescent="0.2">
      <c r="A11" s="449"/>
      <c r="B11" s="367" t="s">
        <v>683</v>
      </c>
      <c r="C11" s="368" t="s">
        <v>446</v>
      </c>
      <c r="D11" s="369" t="s">
        <v>447</v>
      </c>
      <c r="E11" s="370">
        <f>F11*(1+Simulation!$P$11)</f>
        <v>160.61812</v>
      </c>
      <c r="F11" s="371">
        <f>SUM(F4:F10)</f>
        <v>123.55239999999999</v>
      </c>
      <c r="G11" s="370">
        <f>H11*(1+Simulation!$P$11)</f>
        <v>190.60990000000004</v>
      </c>
      <c r="H11" s="371">
        <f>SUM(H4:H10)</f>
        <v>146.62300000000002</v>
      </c>
      <c r="I11" s="370">
        <f>J11*(1+Simulation!$P$11)</f>
        <v>223.93409999999997</v>
      </c>
      <c r="J11" s="371">
        <f>SUM(J4:J10)</f>
        <v>172.25699999999998</v>
      </c>
      <c r="K11" s="370">
        <f>L11*(1+Simulation!$P$11)</f>
        <v>240.59619999999998</v>
      </c>
      <c r="L11" s="371">
        <f>SUM(L4:L10)</f>
        <v>185.07399999999998</v>
      </c>
      <c r="M11" s="370">
        <f>N11*(1+Simulation!$P$11)</f>
        <v>257.25830000000002</v>
      </c>
      <c r="N11" s="371">
        <f>SUM(N4:N10)</f>
        <v>197.89100000000002</v>
      </c>
      <c r="O11" s="370">
        <f>P11*(1+Simulation!$P$11)</f>
        <v>273.92040000000003</v>
      </c>
      <c r="P11" s="371">
        <f>SUM(P4:P10)</f>
        <v>210.708</v>
      </c>
      <c r="Q11" s="370">
        <f>R11*(1+Simulation!$P$11)</f>
        <v>290.58249999999998</v>
      </c>
      <c r="R11" s="371">
        <f>SUM(R4:R10)</f>
        <v>223.52499999999998</v>
      </c>
      <c r="S11" s="370">
        <f>T11*(1+Simulation!$P$11)</f>
        <v>307.24460000000005</v>
      </c>
      <c r="T11" s="371">
        <f>SUM(T4:T10)</f>
        <v>236.34200000000001</v>
      </c>
      <c r="U11" s="370">
        <f>V11*(1+Simulation!$P$11)</f>
        <v>323.9067</v>
      </c>
      <c r="V11" s="371">
        <f>SUM(V4:V10)</f>
        <v>249.15899999999999</v>
      </c>
      <c r="W11" s="370">
        <f>X11*(1+Simulation!$P$11)</f>
        <v>357.23090000000002</v>
      </c>
      <c r="X11" s="371">
        <f>SUM(X4:X10)</f>
        <v>274.79300000000001</v>
      </c>
      <c r="Y11" s="370">
        <f>Z11*(1+Simulation!$P$11)</f>
        <v>390.55510000000004</v>
      </c>
      <c r="Z11" s="371">
        <f>SUM(Z4:Z10)</f>
        <v>300.42700000000002</v>
      </c>
      <c r="AA11" s="370">
        <f>AB11*(1+Simulation!$P$11)</f>
        <v>407.21720000000005</v>
      </c>
      <c r="AB11" s="371">
        <f>SUM(AB4:AB10)</f>
        <v>313.24400000000003</v>
      </c>
      <c r="AC11" s="370">
        <f>AD11*(1+Simulation!$P$11)</f>
        <v>390.55510000000004</v>
      </c>
      <c r="AD11" s="371">
        <f>SUM(AD4:AD10)</f>
        <v>300.42700000000002</v>
      </c>
      <c r="AE11" s="370">
        <f>AF11*(1+Simulation!$P$11)</f>
        <v>423.8793</v>
      </c>
      <c r="AF11" s="371">
        <f>SUM(AF4:AF10)</f>
        <v>326.06099999999998</v>
      </c>
      <c r="AG11" s="370">
        <f>AH11*(1+Simulation!$P$11)</f>
        <v>440.54140000000007</v>
      </c>
      <c r="AH11" s="371">
        <f>SUM(AH4:AH10)</f>
        <v>338.87800000000004</v>
      </c>
      <c r="AI11" s="370">
        <f>AJ11*(1+Simulation!$P$11)</f>
        <v>457.20350000000008</v>
      </c>
      <c r="AJ11" s="371">
        <f>SUM(AJ4:AJ10)</f>
        <v>351.69500000000005</v>
      </c>
      <c r="AK11" s="370">
        <f>AL11*(1+Simulation!$P$11)</f>
        <v>490.5277000000001</v>
      </c>
      <c r="AL11" s="371">
        <f>SUM(AL4:AL10)</f>
        <v>377.32900000000006</v>
      </c>
      <c r="AM11" s="370">
        <f>AN11*(1+Simulation!$P$11)</f>
        <v>457.20350000000008</v>
      </c>
      <c r="AN11" s="371">
        <f>SUM(AN4:AN10)</f>
        <v>351.69500000000005</v>
      </c>
    </row>
    <row r="12" spans="1:40" ht="15" customHeight="1" x14ac:dyDescent="0.2">
      <c r="A12" s="1624" t="s">
        <v>448</v>
      </c>
      <c r="B12" s="361" t="s">
        <v>1155</v>
      </c>
      <c r="C12" s="362" t="s">
        <v>425</v>
      </c>
      <c r="D12" s="363" t="str">
        <f>IF($C12="","",VLOOKUP($C12,ATELIER!$A$2:$E$109,3,0))</f>
        <v>pc</v>
      </c>
      <c r="E12" s="364">
        <f>4</f>
        <v>4</v>
      </c>
      <c r="F12" s="372">
        <f>IF($C12="","",E12*VLOOKUP($C12,ATELIER!$A$2:$F$109,4,0))</f>
        <v>0.32</v>
      </c>
      <c r="G12" s="364">
        <f>4</f>
        <v>4</v>
      </c>
      <c r="H12" s="372">
        <f>IF($C12="","",G12*VLOOKUP($C12,ATELIER!$A$2:$F$109,4,0))</f>
        <v>0.32</v>
      </c>
      <c r="I12" s="364">
        <f>4</f>
        <v>4</v>
      </c>
      <c r="J12" s="372">
        <f>IF($C12="","",I12*VLOOKUP($C12,ATELIER!$A$2:$F$109,4,0))</f>
        <v>0.32</v>
      </c>
      <c r="K12" s="364">
        <f>4</f>
        <v>4</v>
      </c>
      <c r="L12" s="372">
        <f>IF($C12="","",K12*VLOOKUP($C12,ATELIER!$A$2:$F$109,4,0))</f>
        <v>0.32</v>
      </c>
      <c r="M12" s="364">
        <f>4</f>
        <v>4</v>
      </c>
      <c r="N12" s="372">
        <f>IF($C12="","",M12*VLOOKUP($C12,ATELIER!$A$2:$F$109,4,0))</f>
        <v>0.32</v>
      </c>
      <c r="O12" s="364">
        <f>4</f>
        <v>4</v>
      </c>
      <c r="P12" s="372">
        <f>IF($C12="","",O12*VLOOKUP($C12,ATELIER!$A$2:$F$109,4,0))</f>
        <v>0.32</v>
      </c>
      <c r="Q12" s="364">
        <f>4</f>
        <v>4</v>
      </c>
      <c r="R12" s="372">
        <f>IF($C12="","",Q12*VLOOKUP($C12,ATELIER!$A$2:$F$109,4,0))</f>
        <v>0.32</v>
      </c>
      <c r="S12" s="364">
        <f>4</f>
        <v>4</v>
      </c>
      <c r="T12" s="372">
        <f>IF($C12="","",S12*VLOOKUP($C12,ATELIER!$A$2:$F$109,4,0))</f>
        <v>0.32</v>
      </c>
      <c r="U12" s="364">
        <f>4</f>
        <v>4</v>
      </c>
      <c r="V12" s="372">
        <f>IF($C12="","",U12*VLOOKUP($C12,ATELIER!$A$2:$F$109,4,0))</f>
        <v>0.32</v>
      </c>
      <c r="W12" s="364">
        <f>4</f>
        <v>4</v>
      </c>
      <c r="X12" s="372">
        <f>IF($C12="","",W12*VLOOKUP($C12,ATELIER!$A$2:$F$109,4,0))</f>
        <v>0.32</v>
      </c>
      <c r="Y12" s="364">
        <f>4</f>
        <v>4</v>
      </c>
      <c r="Z12" s="372">
        <f>IF($C12="","",Y12*VLOOKUP($C12,ATELIER!$A$2:$F$109,4,0))</f>
        <v>0.32</v>
      </c>
      <c r="AA12" s="364">
        <f>4</f>
        <v>4</v>
      </c>
      <c r="AB12" s="372">
        <f>IF($C12="","",AA12*VLOOKUP($C12,ATELIER!$A$2:$F$109,4,0))</f>
        <v>0.32</v>
      </c>
      <c r="AC12" s="364">
        <f>4</f>
        <v>4</v>
      </c>
      <c r="AD12" s="372">
        <f>IF($C12="","",AC12*VLOOKUP($C12,ATELIER!$A$2:$F$109,4,0))</f>
        <v>0.32</v>
      </c>
      <c r="AE12" s="364">
        <f>4</f>
        <v>4</v>
      </c>
      <c r="AF12" s="372">
        <f>IF($C12="","",AE12*VLOOKUP($C12,ATELIER!$A$2:$F$109,4,0))</f>
        <v>0.32</v>
      </c>
      <c r="AG12" s="364">
        <f>4</f>
        <v>4</v>
      </c>
      <c r="AH12" s="372">
        <f>IF($C12="","",AG12*VLOOKUP($C12,ATELIER!$A$2:$F$109,4,0))</f>
        <v>0.32</v>
      </c>
      <c r="AI12" s="364">
        <f>4</f>
        <v>4</v>
      </c>
      <c r="AJ12" s="372">
        <f>IF($C12="","",AI12*VLOOKUP($C12,ATELIER!$A$2:$F$109,4,0))</f>
        <v>0.32</v>
      </c>
      <c r="AK12" s="364">
        <f>4</f>
        <v>4</v>
      </c>
      <c r="AL12" s="372">
        <f>IF($C12="","",AK12*VLOOKUP($C12,ATELIER!$A$2:$F$109,4,0))</f>
        <v>0.32</v>
      </c>
      <c r="AM12" s="364">
        <f>4</f>
        <v>4</v>
      </c>
      <c r="AN12" s="372">
        <f>IF($C12="","",AM12*VLOOKUP($C12,ATELIER!$A$2:$F$109,4,0))</f>
        <v>0.32</v>
      </c>
    </row>
    <row r="13" spans="1:40" ht="15" customHeight="1" x14ac:dyDescent="0.2">
      <c r="A13" s="1624"/>
      <c r="B13" s="361" t="s">
        <v>1155</v>
      </c>
      <c r="C13" s="362" t="s">
        <v>1250</v>
      </c>
      <c r="D13" s="363" t="str">
        <f>IF($C13="","",VLOOKUP($C13,ATELIER!$A$2:$E$109,3,0))</f>
        <v>pc</v>
      </c>
      <c r="E13" s="364">
        <f>4</f>
        <v>4</v>
      </c>
      <c r="F13" s="372">
        <f>IF($C13="","",E13*VLOOKUP($C13,ATELIER!$A$2:$F$109,4,0))</f>
        <v>0.32</v>
      </c>
      <c r="G13" s="364">
        <f>4</f>
        <v>4</v>
      </c>
      <c r="H13" s="372">
        <f>IF($C13="","",G13*VLOOKUP($C13,ATELIER!$A$2:$F$109,4,0))</f>
        <v>0.32</v>
      </c>
      <c r="I13" s="364">
        <f>4</f>
        <v>4</v>
      </c>
      <c r="J13" s="372">
        <f>IF($C13="","",I13*VLOOKUP($C13,ATELIER!$A$2:$F$109,4,0))</f>
        <v>0.32</v>
      </c>
      <c r="K13" s="364">
        <f>4</f>
        <v>4</v>
      </c>
      <c r="L13" s="372">
        <f>IF($C13="","",K13*VLOOKUP($C13,ATELIER!$A$2:$F$109,4,0))</f>
        <v>0.32</v>
      </c>
      <c r="M13" s="364">
        <f>4</f>
        <v>4</v>
      </c>
      <c r="N13" s="372">
        <f>IF($C13="","",M13*VLOOKUP($C13,ATELIER!$A$2:$F$109,4,0))</f>
        <v>0.32</v>
      </c>
      <c r="O13" s="364">
        <f>4</f>
        <v>4</v>
      </c>
      <c r="P13" s="372">
        <f>IF($C13="","",O13*VLOOKUP($C13,ATELIER!$A$2:$F$109,4,0))</f>
        <v>0.32</v>
      </c>
      <c r="Q13" s="364">
        <f>4</f>
        <v>4</v>
      </c>
      <c r="R13" s="372">
        <f>IF($C13="","",Q13*VLOOKUP($C13,ATELIER!$A$2:$F$109,4,0))</f>
        <v>0.32</v>
      </c>
      <c r="S13" s="364">
        <f>4</f>
        <v>4</v>
      </c>
      <c r="T13" s="372">
        <f>IF($C13="","",S13*VLOOKUP($C13,ATELIER!$A$2:$F$109,4,0))</f>
        <v>0.32</v>
      </c>
      <c r="U13" s="364">
        <f>4</f>
        <v>4</v>
      </c>
      <c r="V13" s="372">
        <f>IF($C13="","",U13*VLOOKUP($C13,ATELIER!$A$2:$F$109,4,0))</f>
        <v>0.32</v>
      </c>
      <c r="W13" s="364">
        <f>4</f>
        <v>4</v>
      </c>
      <c r="X13" s="372">
        <f>IF($C13="","",W13*VLOOKUP($C13,ATELIER!$A$2:$F$109,4,0))</f>
        <v>0.32</v>
      </c>
      <c r="Y13" s="364">
        <f>4</f>
        <v>4</v>
      </c>
      <c r="Z13" s="372">
        <f>IF($C13="","",Y13*VLOOKUP($C13,ATELIER!$A$2:$F$109,4,0))</f>
        <v>0.32</v>
      </c>
      <c r="AA13" s="364">
        <f>4</f>
        <v>4</v>
      </c>
      <c r="AB13" s="372">
        <f>IF($C13="","",AA13*VLOOKUP($C13,ATELIER!$A$2:$F$109,4,0))</f>
        <v>0.32</v>
      </c>
      <c r="AC13" s="364">
        <f>4</f>
        <v>4</v>
      </c>
      <c r="AD13" s="372">
        <f>IF($C13="","",AC13*VLOOKUP($C13,ATELIER!$A$2:$F$109,4,0))</f>
        <v>0.32</v>
      </c>
      <c r="AE13" s="364">
        <f>4</f>
        <v>4</v>
      </c>
      <c r="AF13" s="372">
        <f>IF($C13="","",AE13*VLOOKUP($C13,ATELIER!$A$2:$F$109,4,0))</f>
        <v>0.32</v>
      </c>
      <c r="AG13" s="364">
        <f>4</f>
        <v>4</v>
      </c>
      <c r="AH13" s="372">
        <f>IF($C13="","",AG13*VLOOKUP($C13,ATELIER!$A$2:$F$109,4,0))</f>
        <v>0.32</v>
      </c>
      <c r="AI13" s="364">
        <f>4</f>
        <v>4</v>
      </c>
      <c r="AJ13" s="372">
        <f>IF($C13="","",AI13*VLOOKUP($C13,ATELIER!$A$2:$F$109,4,0))</f>
        <v>0.32</v>
      </c>
      <c r="AK13" s="364">
        <f>4</f>
        <v>4</v>
      </c>
      <c r="AL13" s="372">
        <f>IF($C13="","",AK13*VLOOKUP($C13,ATELIER!$A$2:$F$109,4,0))</f>
        <v>0.32</v>
      </c>
      <c r="AM13" s="364">
        <f>4</f>
        <v>4</v>
      </c>
      <c r="AN13" s="372">
        <f>IF($C13="","",AM13*VLOOKUP($C13,ATELIER!$A$2:$F$109,4,0))</f>
        <v>0.32</v>
      </c>
    </row>
    <row r="14" spans="1:40" ht="15" customHeight="1" x14ac:dyDescent="0.2">
      <c r="A14" s="1625"/>
      <c r="B14" s="361" t="s">
        <v>1154</v>
      </c>
      <c r="C14" s="362" t="s">
        <v>428</v>
      </c>
      <c r="D14" s="363" t="str">
        <f>IF($C14="","",VLOOKUP($C14,ATELIER!$A$2:$E$109,3,0))</f>
        <v>pc</v>
      </c>
      <c r="E14" s="364">
        <f>'Outils de calculs'!E26/1.92</f>
        <v>4.270833333333333</v>
      </c>
      <c r="F14" s="372">
        <f>IF($C14="","",E14*VLOOKUP($C14,ATELIER!$A$2:$F$109,4,0))</f>
        <v>0.64062499999999989</v>
      </c>
      <c r="G14" s="364">
        <f>'Outils de calculs'!G26/1.92</f>
        <v>5.2083333333333339</v>
      </c>
      <c r="H14" s="372">
        <f>IF($C14="","",G14*VLOOKUP($C14,ATELIER!$A$2:$F$109,4,0))</f>
        <v>0.78125000000000011</v>
      </c>
      <c r="I14" s="364">
        <f>'Outils de calculs'!I26/1.92</f>
        <v>6.25</v>
      </c>
      <c r="J14" s="372">
        <f>IF($C14="","",I14*VLOOKUP($C14,ATELIER!$A$2:$F$109,4,0))</f>
        <v>0.9375</v>
      </c>
      <c r="K14" s="364">
        <f>'Outils de calculs'!K26/1.92</f>
        <v>6.7708333333333339</v>
      </c>
      <c r="L14" s="372">
        <f>IF($C14="","",K14*VLOOKUP($C14,ATELIER!$A$2:$F$109,4,0))</f>
        <v>1.015625</v>
      </c>
      <c r="M14" s="364">
        <f>'Outils de calculs'!M26/1.92</f>
        <v>7.291666666666667</v>
      </c>
      <c r="N14" s="372">
        <f>IF($C14="","",M14*VLOOKUP($C14,ATELIER!$A$2:$F$109,4,0))</f>
        <v>1.09375</v>
      </c>
      <c r="O14" s="364">
        <f>'Outils de calculs'!O26/1.92</f>
        <v>7.8125</v>
      </c>
      <c r="P14" s="372">
        <f>IF($C14="","",O14*VLOOKUP($C14,ATELIER!$A$2:$F$109,4,0))</f>
        <v>1.171875</v>
      </c>
      <c r="Q14" s="364">
        <f>'Outils de calculs'!Q26/1.92</f>
        <v>8.3333333333333339</v>
      </c>
      <c r="R14" s="372">
        <f>IF($C14="","",Q14*VLOOKUP($C14,ATELIER!$A$2:$F$109,4,0))</f>
        <v>1.25</v>
      </c>
      <c r="S14" s="364">
        <f>'Outils de calculs'!S26/1.92</f>
        <v>8.8541666666666679</v>
      </c>
      <c r="T14" s="372">
        <f>IF($C14="","",S14*VLOOKUP($C14,ATELIER!$A$2:$F$109,4,0))</f>
        <v>1.3281250000000002</v>
      </c>
      <c r="U14" s="364">
        <f>'Outils de calculs'!U26/1.92</f>
        <v>9.375</v>
      </c>
      <c r="V14" s="372">
        <f>IF($C14="","",U14*VLOOKUP($C14,ATELIER!$A$2:$F$109,4,0))</f>
        <v>1.40625</v>
      </c>
      <c r="W14" s="364">
        <f>'Outils de calculs'!W26/1.92</f>
        <v>10.416666666666668</v>
      </c>
      <c r="X14" s="372">
        <f>IF($C14="","",W14*VLOOKUP($C14,ATELIER!$A$2:$F$109,4,0))</f>
        <v>1.5625000000000002</v>
      </c>
      <c r="Y14" s="364">
        <f>'Outils de calculs'!Y26/1.92</f>
        <v>11.458333333333334</v>
      </c>
      <c r="Z14" s="372">
        <f>IF($C14="","",Y14*VLOOKUP($C14,ATELIER!$A$2:$F$109,4,0))</f>
        <v>1.71875</v>
      </c>
      <c r="AA14" s="364">
        <f>'Outils de calculs'!AA26/1.92</f>
        <v>11.979166666666668</v>
      </c>
      <c r="AB14" s="372">
        <f>IF($C14="","",AA14*VLOOKUP($C14,ATELIER!$A$2:$F$109,4,0))</f>
        <v>1.7968750000000002</v>
      </c>
      <c r="AC14" s="364">
        <f>'Outils de calculs'!AC26/1.92</f>
        <v>11.458333333333334</v>
      </c>
      <c r="AD14" s="372">
        <f>IF($C14="","",AC14*VLOOKUP($C14,ATELIER!$A$2:$F$109,4,0))</f>
        <v>1.71875</v>
      </c>
      <c r="AE14" s="364">
        <f>'Outils de calculs'!AE26/1.92</f>
        <v>12.5</v>
      </c>
      <c r="AF14" s="372">
        <f>IF($C14="","",AE14*VLOOKUP($C14,ATELIER!$A$2:$F$109,4,0))</f>
        <v>1.875</v>
      </c>
      <c r="AG14" s="364">
        <f>'Outils de calculs'!AG26/1.92</f>
        <v>13.020833333333334</v>
      </c>
      <c r="AH14" s="372">
        <f>IF($C14="","",AG14*VLOOKUP($C14,ATELIER!$A$2:$F$109,4,0))</f>
        <v>1.953125</v>
      </c>
      <c r="AI14" s="364">
        <f>'Outils de calculs'!AI26/1.92</f>
        <v>13.541666666666668</v>
      </c>
      <c r="AJ14" s="372">
        <f>IF($C14="","",AI14*VLOOKUP($C14,ATELIER!$A$2:$F$109,4,0))</f>
        <v>2.03125</v>
      </c>
      <c r="AK14" s="364">
        <f>'Outils de calculs'!AK26/1.92</f>
        <v>14.583333333333334</v>
      </c>
      <c r="AL14" s="372">
        <f>IF($C14="","",AK14*VLOOKUP($C14,ATELIER!$A$2:$F$109,4,0))</f>
        <v>2.1875</v>
      </c>
      <c r="AM14" s="364">
        <f>'Outils de calculs'!AM26/1.92</f>
        <v>13.541666666666668</v>
      </c>
      <c r="AN14" s="372">
        <f>IF($C14="","",AM14*VLOOKUP($C14,ATELIER!$A$2:$F$109,4,0))</f>
        <v>2.03125</v>
      </c>
    </row>
    <row r="15" spans="1:40" ht="15" customHeight="1" x14ac:dyDescent="0.2">
      <c r="A15" s="1624"/>
      <c r="B15" s="361" t="s">
        <v>1154</v>
      </c>
      <c r="C15" s="362" t="s">
        <v>431</v>
      </c>
      <c r="D15" s="363" t="str">
        <f>IF($C15="","",VLOOKUP($C15,ATELIER!$A$2:$E$109,3,0))</f>
        <v>pc</v>
      </c>
      <c r="E15" s="364">
        <f>E14*4</f>
        <v>17.083333333333332</v>
      </c>
      <c r="F15" s="372">
        <f>IF($C15="","",E15*VLOOKUP($C15,ATELIER!$A$2:$F$109,4,0))</f>
        <v>1.7083333333333333</v>
      </c>
      <c r="G15" s="364">
        <f>G14*4</f>
        <v>20.833333333333336</v>
      </c>
      <c r="H15" s="372">
        <f>IF($C15="","",G15*VLOOKUP($C15,ATELIER!$A$2:$F$109,4,0))</f>
        <v>2.0833333333333335</v>
      </c>
      <c r="I15" s="364">
        <f>I14*4</f>
        <v>25</v>
      </c>
      <c r="J15" s="372">
        <f>IF($C15="","",I15*VLOOKUP($C15,ATELIER!$A$2:$F$109,4,0))</f>
        <v>2.5</v>
      </c>
      <c r="K15" s="364">
        <f>K14*4</f>
        <v>27.083333333333336</v>
      </c>
      <c r="L15" s="372">
        <f>IF($C15="","",K15*VLOOKUP($C15,ATELIER!$A$2:$F$109,4,0))</f>
        <v>2.7083333333333339</v>
      </c>
      <c r="M15" s="364">
        <f>M14*4</f>
        <v>29.166666666666668</v>
      </c>
      <c r="N15" s="372">
        <f>IF($C15="","",M15*VLOOKUP($C15,ATELIER!$A$2:$F$109,4,0))</f>
        <v>2.916666666666667</v>
      </c>
      <c r="O15" s="364">
        <f>O14*4</f>
        <v>31.25</v>
      </c>
      <c r="P15" s="372">
        <f>IF($C15="","",O15*VLOOKUP($C15,ATELIER!$A$2:$F$109,4,0))</f>
        <v>3.125</v>
      </c>
      <c r="Q15" s="364">
        <f>Q14*4</f>
        <v>33.333333333333336</v>
      </c>
      <c r="R15" s="372">
        <f>IF($C15="","",Q15*VLOOKUP($C15,ATELIER!$A$2:$F$109,4,0))</f>
        <v>3.3333333333333339</v>
      </c>
      <c r="S15" s="364">
        <f>S14*4</f>
        <v>35.416666666666671</v>
      </c>
      <c r="T15" s="372">
        <f>IF($C15="","",S15*VLOOKUP($C15,ATELIER!$A$2:$F$109,4,0))</f>
        <v>3.5416666666666674</v>
      </c>
      <c r="U15" s="364">
        <f>U14*4</f>
        <v>37.5</v>
      </c>
      <c r="V15" s="372">
        <f>IF($C15="","",U15*VLOOKUP($C15,ATELIER!$A$2:$F$109,4,0))</f>
        <v>3.75</v>
      </c>
      <c r="W15" s="364">
        <f>W14*4</f>
        <v>41.666666666666671</v>
      </c>
      <c r="X15" s="372">
        <f>IF($C15="","",W15*VLOOKUP($C15,ATELIER!$A$2:$F$109,4,0))</f>
        <v>4.166666666666667</v>
      </c>
      <c r="Y15" s="364">
        <f>Y14*4</f>
        <v>45.833333333333336</v>
      </c>
      <c r="Z15" s="372">
        <f>IF($C15="","",Y15*VLOOKUP($C15,ATELIER!$A$2:$F$109,4,0))</f>
        <v>4.5833333333333339</v>
      </c>
      <c r="AA15" s="364">
        <f>AA14*4</f>
        <v>47.916666666666671</v>
      </c>
      <c r="AB15" s="372">
        <f>IF($C15="","",AA15*VLOOKUP($C15,ATELIER!$A$2:$F$109,4,0))</f>
        <v>4.791666666666667</v>
      </c>
      <c r="AC15" s="364">
        <f>AC14*4</f>
        <v>45.833333333333336</v>
      </c>
      <c r="AD15" s="372">
        <f>IF($C15="","",AC15*VLOOKUP($C15,ATELIER!$A$2:$F$109,4,0))</f>
        <v>4.5833333333333339</v>
      </c>
      <c r="AE15" s="364">
        <f>AE14*4</f>
        <v>50</v>
      </c>
      <c r="AF15" s="372">
        <f>IF($C15="","",AE15*VLOOKUP($C15,ATELIER!$A$2:$F$109,4,0))</f>
        <v>5</v>
      </c>
      <c r="AG15" s="364">
        <f>AG14*4</f>
        <v>52.083333333333336</v>
      </c>
      <c r="AH15" s="372">
        <f>IF($C15="","",AG15*VLOOKUP($C15,ATELIER!$A$2:$F$109,4,0))</f>
        <v>5.2083333333333339</v>
      </c>
      <c r="AI15" s="364">
        <f>AI14*4</f>
        <v>54.166666666666671</v>
      </c>
      <c r="AJ15" s="372">
        <f>IF($C15="","",AI15*VLOOKUP($C15,ATELIER!$A$2:$F$109,4,0))</f>
        <v>5.4166666666666679</v>
      </c>
      <c r="AK15" s="364">
        <f>AK14*4</f>
        <v>58.333333333333336</v>
      </c>
      <c r="AL15" s="372">
        <f>IF($C15="","",AK15*VLOOKUP($C15,ATELIER!$A$2:$F$109,4,0))</f>
        <v>5.8333333333333339</v>
      </c>
      <c r="AM15" s="364">
        <f>AM14*4</f>
        <v>54.166666666666671</v>
      </c>
      <c r="AN15" s="372">
        <f>IF($C15="","",AM15*VLOOKUP($C15,ATELIER!$A$2:$F$109,4,0))</f>
        <v>5.4166666666666679</v>
      </c>
    </row>
    <row r="16" spans="1:40" ht="15" customHeight="1" x14ac:dyDescent="0.2">
      <c r="A16" s="1624"/>
      <c r="B16" s="361"/>
      <c r="C16" s="362"/>
      <c r="D16" s="363" t="str">
        <f>IF($C16="","",VLOOKUP($C16,ATELIER!$A$2:$E$109,3,0))</f>
        <v/>
      </c>
      <c r="E16" s="364"/>
      <c r="F16" s="372"/>
      <c r="G16" s="364"/>
      <c r="H16" s="372"/>
      <c r="I16" s="364"/>
      <c r="J16" s="372"/>
      <c r="K16" s="364"/>
      <c r="L16" s="372"/>
      <c r="M16" s="364"/>
      <c r="N16" s="372"/>
      <c r="O16" s="364"/>
      <c r="P16" s="372"/>
      <c r="Q16" s="364"/>
      <c r="R16" s="372"/>
      <c r="S16" s="364"/>
      <c r="T16" s="372"/>
      <c r="U16" s="364"/>
      <c r="V16" s="372"/>
      <c r="W16" s="364"/>
      <c r="X16" s="372"/>
      <c r="Y16" s="364"/>
      <c r="Z16" s="372"/>
      <c r="AA16" s="364"/>
      <c r="AB16" s="372"/>
      <c r="AC16" s="364"/>
      <c r="AD16" s="372"/>
      <c r="AE16" s="364"/>
      <c r="AF16" s="372"/>
      <c r="AG16" s="364"/>
      <c r="AH16" s="372"/>
      <c r="AI16" s="364"/>
      <c r="AJ16" s="372"/>
      <c r="AK16" s="364"/>
      <c r="AL16" s="372"/>
      <c r="AM16" s="364"/>
      <c r="AN16" s="372"/>
    </row>
    <row r="17" spans="1:40" ht="35.25" customHeight="1" x14ac:dyDescent="0.2">
      <c r="A17" s="1624"/>
      <c r="B17" s="375" t="s">
        <v>449</v>
      </c>
      <c r="C17" s="376" t="s">
        <v>450</v>
      </c>
      <c r="D17" s="377" t="s">
        <v>451</v>
      </c>
      <c r="E17" s="376">
        <f>F17*Simulation!$P$8</f>
        <v>134.50312499999998</v>
      </c>
      <c r="F17" s="377">
        <f>SUM(F12:F16)</f>
        <v>2.9889583333333332</v>
      </c>
      <c r="G17" s="376">
        <f>H17*Simulation!$P$8</f>
        <v>157.70625000000001</v>
      </c>
      <c r="H17" s="377">
        <f>SUM(H12:H16)</f>
        <v>3.5045833333333336</v>
      </c>
      <c r="I17" s="376">
        <f>J17*Simulation!$P$8</f>
        <v>183.48750000000001</v>
      </c>
      <c r="J17" s="377">
        <f>SUM(J12:J16)</f>
        <v>4.0775000000000006</v>
      </c>
      <c r="K17" s="376">
        <f>L17*Simulation!$P$8</f>
        <v>196.37812500000004</v>
      </c>
      <c r="L17" s="377">
        <f>SUM(L12:L16)</f>
        <v>4.3639583333333345</v>
      </c>
      <c r="M17" s="376">
        <f>N17*Simulation!$P$8</f>
        <v>209.26875000000001</v>
      </c>
      <c r="N17" s="377">
        <f>SUM(N12:N16)</f>
        <v>4.6504166666666666</v>
      </c>
      <c r="O17" s="376">
        <f>P17*Simulation!$P$8</f>
        <v>222.15937500000001</v>
      </c>
      <c r="P17" s="377">
        <f>SUM(P12:P16)</f>
        <v>4.9368750000000006</v>
      </c>
      <c r="Q17" s="376">
        <f>R17*Simulation!$P$8</f>
        <v>235.05000000000004</v>
      </c>
      <c r="R17" s="377">
        <f>SUM(R12:R16)</f>
        <v>5.2233333333333345</v>
      </c>
      <c r="S17" s="376">
        <f>T17*Simulation!$P$8</f>
        <v>247.94062500000004</v>
      </c>
      <c r="T17" s="377">
        <f>SUM(T12:T16)</f>
        <v>5.5097916666666675</v>
      </c>
      <c r="U17" s="376">
        <f>V17*Simulation!$P$8</f>
        <v>260.83125000000001</v>
      </c>
      <c r="V17" s="377">
        <f>SUM(V12:V16)</f>
        <v>5.7962500000000006</v>
      </c>
      <c r="W17" s="376">
        <f>X17*Simulation!$P$8</f>
        <v>286.61250000000001</v>
      </c>
      <c r="X17" s="377">
        <f>SUM(X12:X16)</f>
        <v>6.3691666666666666</v>
      </c>
      <c r="Y17" s="376">
        <f>Z17*Simulation!$P$8</f>
        <v>312.39375000000007</v>
      </c>
      <c r="Z17" s="377">
        <f>SUM(Z12:Z16)</f>
        <v>6.9420833333333345</v>
      </c>
      <c r="AA17" s="376">
        <f>AB17*Simulation!$P$8</f>
        <v>325.28437500000001</v>
      </c>
      <c r="AB17" s="377">
        <f>SUM(AB12:AB16)</f>
        <v>7.2285416666666666</v>
      </c>
      <c r="AC17" s="376">
        <f>AD17*Simulation!$P$8</f>
        <v>312.39375000000007</v>
      </c>
      <c r="AD17" s="377">
        <f>SUM(AD12:AD16)</f>
        <v>6.9420833333333345</v>
      </c>
      <c r="AE17" s="376">
        <f>AF17*Simulation!$P$8</f>
        <v>338.17500000000001</v>
      </c>
      <c r="AF17" s="377">
        <f>SUM(AF12:AF16)</f>
        <v>7.5150000000000006</v>
      </c>
      <c r="AG17" s="376">
        <f>AH17*Simulation!$P$8</f>
        <v>351.06562500000007</v>
      </c>
      <c r="AH17" s="377">
        <f>SUM(AH12:AH16)</f>
        <v>7.8014583333333345</v>
      </c>
      <c r="AI17" s="376">
        <f>AJ17*Simulation!$P$8</f>
        <v>363.95625000000007</v>
      </c>
      <c r="AJ17" s="377">
        <f>SUM(AJ12:AJ16)</f>
        <v>8.0879166666666684</v>
      </c>
      <c r="AK17" s="376">
        <f>AL17*Simulation!$P$8</f>
        <v>389.73750000000007</v>
      </c>
      <c r="AL17" s="377">
        <f>SUM(AL12:AL16)</f>
        <v>8.6608333333333345</v>
      </c>
      <c r="AM17" s="376">
        <f>AN17*Simulation!$P$8</f>
        <v>363.95625000000007</v>
      </c>
      <c r="AN17" s="377">
        <f>SUM(AN12:AN16)</f>
        <v>8.0879166666666684</v>
      </c>
    </row>
    <row r="18" spans="1:40" ht="15" customHeight="1" x14ac:dyDescent="0.2">
      <c r="A18" s="1626" t="s">
        <v>452</v>
      </c>
      <c r="B18" s="361" t="s">
        <v>1160</v>
      </c>
      <c r="C18" s="378" t="s">
        <v>1253</v>
      </c>
      <c r="D18" s="363" t="str">
        <f>IF(C18="","",VLOOKUP($C18,CHANTIER!$A$2:$C$83,3,0))</f>
        <v>ml</v>
      </c>
      <c r="E18" s="364">
        <f>E5</f>
        <v>9.02</v>
      </c>
      <c r="F18" s="372">
        <f>IF($C18="","",E18*VLOOKUP($C18,CHANTIER!$A$2:$D$83,4,0))</f>
        <v>1.353</v>
      </c>
      <c r="G18" s="364">
        <f>G5</f>
        <v>11</v>
      </c>
      <c r="H18" s="372">
        <f>IF($C18="","",G18*VLOOKUP($C18,CHANTIER!$A$2:$D$83,4,0))</f>
        <v>1.65</v>
      </c>
      <c r="I18" s="364">
        <f>I5</f>
        <v>13.200000000000001</v>
      </c>
      <c r="J18" s="372">
        <f>IF($C18="","",I18*VLOOKUP($C18,CHANTIER!$A$2:$D$83,4,0))</f>
        <v>1.98</v>
      </c>
      <c r="K18" s="364">
        <f>K5</f>
        <v>14.3</v>
      </c>
      <c r="L18" s="372">
        <f>IF($C18="","",K18*VLOOKUP($C18,CHANTIER!$A$2:$D$83,4,0))</f>
        <v>2.145</v>
      </c>
      <c r="M18" s="364">
        <f>M5</f>
        <v>15.400000000000002</v>
      </c>
      <c r="N18" s="372">
        <f>IF($C18="","",M18*VLOOKUP($C18,CHANTIER!$A$2:$D$83,4,0))</f>
        <v>2.31</v>
      </c>
      <c r="O18" s="364">
        <f>O5</f>
        <v>16.5</v>
      </c>
      <c r="P18" s="372">
        <f>IF($C18="","",O18*VLOOKUP($C18,CHANTIER!$A$2:$D$83,4,0))</f>
        <v>2.4750000000000001</v>
      </c>
      <c r="Q18" s="364">
        <f>Q5</f>
        <v>17.600000000000001</v>
      </c>
      <c r="R18" s="372">
        <f>IF($C18="","",Q18*VLOOKUP($C18,CHANTIER!$A$2:$D$83,4,0))</f>
        <v>2.64</v>
      </c>
      <c r="S18" s="364">
        <f>S5</f>
        <v>18.700000000000003</v>
      </c>
      <c r="T18" s="372">
        <f>IF($C18="","",S18*VLOOKUP($C18,CHANTIER!$A$2:$D$83,4,0))</f>
        <v>2.8050000000000002</v>
      </c>
      <c r="U18" s="364">
        <f>U5</f>
        <v>19.8</v>
      </c>
      <c r="V18" s="372">
        <f>IF($C18="","",U18*VLOOKUP($C18,CHANTIER!$A$2:$D$83,4,0))</f>
        <v>2.97</v>
      </c>
      <c r="W18" s="364">
        <f>W5</f>
        <v>22</v>
      </c>
      <c r="X18" s="372">
        <f>IF($C18="","",W18*VLOOKUP($C18,CHANTIER!$A$2:$D$83,4,0))</f>
        <v>3.3</v>
      </c>
      <c r="Y18" s="364">
        <f>Y5</f>
        <v>24.200000000000003</v>
      </c>
      <c r="Z18" s="372">
        <f>IF($C18="","",Y18*VLOOKUP($C18,CHANTIER!$A$2:$D$83,4,0))</f>
        <v>3.6300000000000003</v>
      </c>
      <c r="AA18" s="364">
        <f>AA5</f>
        <v>25.3</v>
      </c>
      <c r="AB18" s="372">
        <f>IF($C18="","",AA18*VLOOKUP($C18,CHANTIER!$A$2:$D$83,4,0))</f>
        <v>3.7949999999999999</v>
      </c>
      <c r="AC18" s="364">
        <f>AC5</f>
        <v>24.200000000000003</v>
      </c>
      <c r="AD18" s="372">
        <f>IF($C18="","",AC18*VLOOKUP($C18,CHANTIER!$A$2:$D$83,4,0))</f>
        <v>3.6300000000000003</v>
      </c>
      <c r="AE18" s="364">
        <f>AE5</f>
        <v>26.400000000000002</v>
      </c>
      <c r="AF18" s="372">
        <f>IF($C18="","",AE18*VLOOKUP($C18,CHANTIER!$A$2:$D$83,4,0))</f>
        <v>3.96</v>
      </c>
      <c r="AG18" s="364">
        <f>AG5</f>
        <v>27.500000000000004</v>
      </c>
      <c r="AH18" s="372">
        <f>IF($C18="","",AG18*VLOOKUP($C18,CHANTIER!$A$2:$D$83,4,0))</f>
        <v>4.125</v>
      </c>
      <c r="AI18" s="364">
        <f>AI5</f>
        <v>28.6</v>
      </c>
      <c r="AJ18" s="372">
        <f>IF($C18="","",AI18*VLOOKUP($C18,CHANTIER!$A$2:$D$83,4,0))</f>
        <v>4.29</v>
      </c>
      <c r="AK18" s="364">
        <f>AK5</f>
        <v>30.800000000000004</v>
      </c>
      <c r="AL18" s="372">
        <f>IF($C18="","",AK18*VLOOKUP($C18,CHANTIER!$A$2:$D$83,4,0))</f>
        <v>4.62</v>
      </c>
      <c r="AM18" s="364">
        <f>AM5</f>
        <v>28.6</v>
      </c>
      <c r="AN18" s="372">
        <f>IF($C18="","",AM18*VLOOKUP($C18,CHANTIER!$A$2:$D$83,4,0))</f>
        <v>4.29</v>
      </c>
    </row>
    <row r="19" spans="1:40" ht="15" customHeight="1" x14ac:dyDescent="0.2">
      <c r="A19" s="1626"/>
      <c r="B19" s="361" t="s">
        <v>1160</v>
      </c>
      <c r="C19" s="378" t="s">
        <v>1255</v>
      </c>
      <c r="D19" s="363" t="str">
        <f>IF(C19="","",VLOOKUP($C19,CHANTIER!$A$2:$C$83,3,0))</f>
        <v>ml</v>
      </c>
      <c r="E19" s="364">
        <f>1</f>
        <v>1</v>
      </c>
      <c r="F19" s="372">
        <f>IF($C19="","",E19*VLOOKUP($C19,CHANTIER!$A$2:$D$83,4,0))</f>
        <v>0.15</v>
      </c>
      <c r="G19" s="364">
        <f>1</f>
        <v>1</v>
      </c>
      <c r="H19" s="372">
        <f>IF($C19="","",G19*VLOOKUP($C19,CHANTIER!$A$2:$D$83,4,0))</f>
        <v>0.15</v>
      </c>
      <c r="I19" s="364">
        <f>1</f>
        <v>1</v>
      </c>
      <c r="J19" s="372">
        <f>IF($C19="","",I19*VLOOKUP($C19,CHANTIER!$A$2:$D$83,4,0))</f>
        <v>0.15</v>
      </c>
      <c r="K19" s="364">
        <f>1</f>
        <v>1</v>
      </c>
      <c r="L19" s="372">
        <f>IF($C19="","",K19*VLOOKUP($C19,CHANTIER!$A$2:$D$83,4,0))</f>
        <v>0.15</v>
      </c>
      <c r="M19" s="364">
        <f>1</f>
        <v>1</v>
      </c>
      <c r="N19" s="372">
        <f>IF($C19="","",M19*VLOOKUP($C19,CHANTIER!$A$2:$D$83,4,0))</f>
        <v>0.15</v>
      </c>
      <c r="O19" s="364">
        <f>1</f>
        <v>1</v>
      </c>
      <c r="P19" s="372">
        <f>IF($C19="","",O19*VLOOKUP($C19,CHANTIER!$A$2:$D$83,4,0))</f>
        <v>0.15</v>
      </c>
      <c r="Q19" s="364">
        <f>1</f>
        <v>1</v>
      </c>
      <c r="R19" s="372">
        <f>IF($C19="","",Q19*VLOOKUP($C19,CHANTIER!$A$2:$D$83,4,0))</f>
        <v>0.15</v>
      </c>
      <c r="S19" s="364">
        <f>1</f>
        <v>1</v>
      </c>
      <c r="T19" s="372">
        <f>IF($C19="","",S19*VLOOKUP($C19,CHANTIER!$A$2:$D$83,4,0))</f>
        <v>0.15</v>
      </c>
      <c r="U19" s="364">
        <f>1</f>
        <v>1</v>
      </c>
      <c r="V19" s="372">
        <f>IF($C19="","",U19*VLOOKUP($C19,CHANTIER!$A$2:$D$83,4,0))</f>
        <v>0.15</v>
      </c>
      <c r="W19" s="364">
        <f>1</f>
        <v>1</v>
      </c>
      <c r="X19" s="372">
        <f>IF($C19="","",W19*VLOOKUP($C19,CHANTIER!$A$2:$D$83,4,0))</f>
        <v>0.15</v>
      </c>
      <c r="Y19" s="364">
        <f>1</f>
        <v>1</v>
      </c>
      <c r="Z19" s="372">
        <f>IF($C19="","",Y19*VLOOKUP($C19,CHANTIER!$A$2:$D$83,4,0))</f>
        <v>0.15</v>
      </c>
      <c r="AA19" s="364">
        <f>1</f>
        <v>1</v>
      </c>
      <c r="AB19" s="372">
        <f>IF($C19="","",AA19*VLOOKUP($C19,CHANTIER!$A$2:$D$83,4,0))</f>
        <v>0.15</v>
      </c>
      <c r="AC19" s="364">
        <f>1</f>
        <v>1</v>
      </c>
      <c r="AD19" s="372">
        <f>IF($C19="","",AC19*VLOOKUP($C19,CHANTIER!$A$2:$D$83,4,0))</f>
        <v>0.15</v>
      </c>
      <c r="AE19" s="364">
        <f>1</f>
        <v>1</v>
      </c>
      <c r="AF19" s="372">
        <f>IF($C19="","",AE19*VLOOKUP($C19,CHANTIER!$A$2:$D$83,4,0))</f>
        <v>0.15</v>
      </c>
      <c r="AG19" s="364">
        <f>1</f>
        <v>1</v>
      </c>
      <c r="AH19" s="372">
        <f>IF($C19="","",AG19*VLOOKUP($C19,CHANTIER!$A$2:$D$83,4,0))</f>
        <v>0.15</v>
      </c>
      <c r="AI19" s="364">
        <f>1</f>
        <v>1</v>
      </c>
      <c r="AJ19" s="372">
        <f>IF($C19="","",AI19*VLOOKUP($C19,CHANTIER!$A$2:$D$83,4,0))</f>
        <v>0.15</v>
      </c>
      <c r="AK19" s="364">
        <f>1</f>
        <v>1</v>
      </c>
      <c r="AL19" s="372">
        <f>IF($C19="","",AK19*VLOOKUP($C19,CHANTIER!$A$2:$D$83,4,0))</f>
        <v>0.15</v>
      </c>
      <c r="AM19" s="364">
        <f>1</f>
        <v>1</v>
      </c>
      <c r="AN19" s="372">
        <f>IF($C19="","",AM19*VLOOKUP($C19,CHANTIER!$A$2:$D$83,4,0))</f>
        <v>0.15</v>
      </c>
    </row>
    <row r="20" spans="1:40" ht="15" customHeight="1" x14ac:dyDescent="0.2">
      <c r="A20" s="1627"/>
      <c r="B20" s="361" t="s">
        <v>1160</v>
      </c>
      <c r="C20" s="378" t="s">
        <v>1248</v>
      </c>
      <c r="D20" s="363" t="str">
        <f>IF(C20="","",VLOOKUP($C20,CHANTIER!$A$2:$C$83,3,0))</f>
        <v>pc</v>
      </c>
      <c r="E20" s="364">
        <f>4</f>
        <v>4</v>
      </c>
      <c r="F20" s="372">
        <f>IF($C20="","",E20*VLOOKUP($C20,CHANTIER!$A$2:$D$83,4,0))</f>
        <v>0.6</v>
      </c>
      <c r="G20" s="364">
        <f>4</f>
        <v>4</v>
      </c>
      <c r="H20" s="372">
        <f>IF($C20="","",G20*VLOOKUP($C20,CHANTIER!$A$2:$D$83,4,0))</f>
        <v>0.6</v>
      </c>
      <c r="I20" s="364">
        <f>4</f>
        <v>4</v>
      </c>
      <c r="J20" s="372">
        <f>IF($C20="","",I20*VLOOKUP($C20,CHANTIER!$A$2:$D$83,4,0))</f>
        <v>0.6</v>
      </c>
      <c r="K20" s="364">
        <f>4</f>
        <v>4</v>
      </c>
      <c r="L20" s="372">
        <f>IF($C20="","",K20*VLOOKUP($C20,CHANTIER!$A$2:$D$83,4,0))</f>
        <v>0.6</v>
      </c>
      <c r="M20" s="364">
        <f>4</f>
        <v>4</v>
      </c>
      <c r="N20" s="372">
        <f>IF($C20="","",M20*VLOOKUP($C20,CHANTIER!$A$2:$D$83,4,0))</f>
        <v>0.6</v>
      </c>
      <c r="O20" s="364">
        <f>4</f>
        <v>4</v>
      </c>
      <c r="P20" s="372">
        <f>IF($C20="","",O20*VLOOKUP($C20,CHANTIER!$A$2:$D$83,4,0))</f>
        <v>0.6</v>
      </c>
      <c r="Q20" s="364">
        <f>4</f>
        <v>4</v>
      </c>
      <c r="R20" s="372">
        <f>IF($C20="","",Q20*VLOOKUP($C20,CHANTIER!$A$2:$D$83,4,0))</f>
        <v>0.6</v>
      </c>
      <c r="S20" s="364">
        <f>4</f>
        <v>4</v>
      </c>
      <c r="T20" s="372">
        <f>IF($C20="","",S20*VLOOKUP($C20,CHANTIER!$A$2:$D$83,4,0))</f>
        <v>0.6</v>
      </c>
      <c r="U20" s="364">
        <f>4</f>
        <v>4</v>
      </c>
      <c r="V20" s="372">
        <f>IF($C20="","",U20*VLOOKUP($C20,CHANTIER!$A$2:$D$83,4,0))</f>
        <v>0.6</v>
      </c>
      <c r="W20" s="364">
        <f>4</f>
        <v>4</v>
      </c>
      <c r="X20" s="372">
        <f>IF($C20="","",W20*VLOOKUP($C20,CHANTIER!$A$2:$D$83,4,0))</f>
        <v>0.6</v>
      </c>
      <c r="Y20" s="364">
        <f>4</f>
        <v>4</v>
      </c>
      <c r="Z20" s="372">
        <f>IF($C20="","",Y20*VLOOKUP($C20,CHANTIER!$A$2:$D$83,4,0))</f>
        <v>0.6</v>
      </c>
      <c r="AA20" s="364">
        <f>4</f>
        <v>4</v>
      </c>
      <c r="AB20" s="372">
        <f>IF($C20="","",AA20*VLOOKUP($C20,CHANTIER!$A$2:$D$83,4,0))</f>
        <v>0.6</v>
      </c>
      <c r="AC20" s="364">
        <f>4</f>
        <v>4</v>
      </c>
      <c r="AD20" s="372">
        <f>IF($C20="","",AC20*VLOOKUP($C20,CHANTIER!$A$2:$D$83,4,0))</f>
        <v>0.6</v>
      </c>
      <c r="AE20" s="364">
        <f>4</f>
        <v>4</v>
      </c>
      <c r="AF20" s="372">
        <f>IF($C20="","",AE20*VLOOKUP($C20,CHANTIER!$A$2:$D$83,4,0))</f>
        <v>0.6</v>
      </c>
      <c r="AG20" s="364">
        <f>4</f>
        <v>4</v>
      </c>
      <c r="AH20" s="372">
        <f>IF($C20="","",AG20*VLOOKUP($C20,CHANTIER!$A$2:$D$83,4,0))</f>
        <v>0.6</v>
      </c>
      <c r="AI20" s="364">
        <f>4</f>
        <v>4</v>
      </c>
      <c r="AJ20" s="372">
        <f>IF($C20="","",AI20*VLOOKUP($C20,CHANTIER!$A$2:$D$83,4,0))</f>
        <v>0.6</v>
      </c>
      <c r="AK20" s="364">
        <f>4</f>
        <v>4</v>
      </c>
      <c r="AL20" s="372">
        <f>IF($C20="","",AK20*VLOOKUP($C20,CHANTIER!$A$2:$D$83,4,0))</f>
        <v>0.6</v>
      </c>
      <c r="AM20" s="364">
        <f>4</f>
        <v>4</v>
      </c>
      <c r="AN20" s="372">
        <f>IF($C20="","",AM20*VLOOKUP($C20,CHANTIER!$A$2:$D$83,4,0))</f>
        <v>0.6</v>
      </c>
    </row>
    <row r="21" spans="1:40" ht="15" customHeight="1" x14ac:dyDescent="0.2">
      <c r="A21" s="1626"/>
      <c r="B21" s="361" t="s">
        <v>1160</v>
      </c>
      <c r="C21" s="378" t="s">
        <v>409</v>
      </c>
      <c r="D21" s="363" t="str">
        <f>IF(C21="","",VLOOKUP($C21,CHANTIER!$A$2:$C$83,3,0))</f>
        <v>ml</v>
      </c>
      <c r="E21" s="364">
        <f>E6</f>
        <v>8.1999999999999993</v>
      </c>
      <c r="F21" s="372">
        <f>IF($C21="","",E21*VLOOKUP($C21,CHANTIER!$A$2:$D$83,4,0))</f>
        <v>1.64</v>
      </c>
      <c r="G21" s="364">
        <f>G6</f>
        <v>10</v>
      </c>
      <c r="H21" s="372">
        <f>IF($C21="","",G21*VLOOKUP($C21,CHANTIER!$A$2:$D$83,4,0))</f>
        <v>2</v>
      </c>
      <c r="I21" s="364">
        <f>I6</f>
        <v>12</v>
      </c>
      <c r="J21" s="372">
        <f>IF($C21="","",I21*VLOOKUP($C21,CHANTIER!$A$2:$D$83,4,0))</f>
        <v>2.4000000000000004</v>
      </c>
      <c r="K21" s="364">
        <f>K6</f>
        <v>13</v>
      </c>
      <c r="L21" s="372">
        <f>IF($C21="","",K21*VLOOKUP($C21,CHANTIER!$A$2:$D$83,4,0))</f>
        <v>2.6</v>
      </c>
      <c r="M21" s="364">
        <f>M6</f>
        <v>14</v>
      </c>
      <c r="N21" s="372">
        <f>IF($C21="","",M21*VLOOKUP($C21,CHANTIER!$A$2:$D$83,4,0))</f>
        <v>2.8000000000000003</v>
      </c>
      <c r="O21" s="364">
        <f>O6</f>
        <v>15</v>
      </c>
      <c r="P21" s="372">
        <f>IF($C21="","",O21*VLOOKUP($C21,CHANTIER!$A$2:$D$83,4,0))</f>
        <v>3</v>
      </c>
      <c r="Q21" s="364">
        <f>Q6</f>
        <v>16</v>
      </c>
      <c r="R21" s="372">
        <f>IF($C21="","",Q21*VLOOKUP($C21,CHANTIER!$A$2:$D$83,4,0))</f>
        <v>3.2</v>
      </c>
      <c r="S21" s="364">
        <f>S6</f>
        <v>17</v>
      </c>
      <c r="T21" s="372">
        <f>IF($C21="","",S21*VLOOKUP($C21,CHANTIER!$A$2:$D$83,4,0))</f>
        <v>3.4000000000000004</v>
      </c>
      <c r="U21" s="364">
        <f>U6</f>
        <v>18</v>
      </c>
      <c r="V21" s="372">
        <f>IF($C21="","",U21*VLOOKUP($C21,CHANTIER!$A$2:$D$83,4,0))</f>
        <v>3.6</v>
      </c>
      <c r="W21" s="364">
        <f>W6</f>
        <v>20</v>
      </c>
      <c r="X21" s="372">
        <f>IF($C21="","",W21*VLOOKUP($C21,CHANTIER!$A$2:$D$83,4,0))</f>
        <v>4</v>
      </c>
      <c r="Y21" s="364">
        <f>Y6</f>
        <v>22</v>
      </c>
      <c r="Z21" s="372">
        <f>IF($C21="","",Y21*VLOOKUP($C21,CHANTIER!$A$2:$D$83,4,0))</f>
        <v>4.4000000000000004</v>
      </c>
      <c r="AA21" s="364">
        <f>AA6</f>
        <v>23</v>
      </c>
      <c r="AB21" s="372">
        <f>IF($C21="","",AA21*VLOOKUP($C21,CHANTIER!$A$2:$D$83,4,0))</f>
        <v>4.6000000000000005</v>
      </c>
      <c r="AC21" s="364">
        <f>AC6</f>
        <v>22</v>
      </c>
      <c r="AD21" s="372">
        <f>IF($C21="","",AC21*VLOOKUP($C21,CHANTIER!$A$2:$D$83,4,0))</f>
        <v>4.4000000000000004</v>
      </c>
      <c r="AE21" s="364">
        <f>AE6</f>
        <v>24</v>
      </c>
      <c r="AF21" s="372">
        <f>IF($C21="","",AE21*VLOOKUP($C21,CHANTIER!$A$2:$D$83,4,0))</f>
        <v>4.8000000000000007</v>
      </c>
      <c r="AG21" s="364">
        <f>AG6</f>
        <v>25</v>
      </c>
      <c r="AH21" s="372">
        <f>IF($C21="","",AG21*VLOOKUP($C21,CHANTIER!$A$2:$D$83,4,0))</f>
        <v>5</v>
      </c>
      <c r="AI21" s="364">
        <f>AI6</f>
        <v>26</v>
      </c>
      <c r="AJ21" s="372">
        <f>IF($C21="","",AI21*VLOOKUP($C21,CHANTIER!$A$2:$D$83,4,0))</f>
        <v>5.2</v>
      </c>
      <c r="AK21" s="364">
        <f>AK6</f>
        <v>28</v>
      </c>
      <c r="AL21" s="372">
        <f>IF($C21="","",AK21*VLOOKUP($C21,CHANTIER!$A$2:$D$83,4,0))</f>
        <v>5.6000000000000005</v>
      </c>
      <c r="AM21" s="364">
        <f>AM6</f>
        <v>26</v>
      </c>
      <c r="AN21" s="372">
        <f>IF($C21="","",AM21*VLOOKUP($C21,CHANTIER!$A$2:$D$83,4,0))</f>
        <v>5.2</v>
      </c>
    </row>
    <row r="22" spans="1:40" ht="15" customHeight="1" x14ac:dyDescent="0.2">
      <c r="A22" s="1626"/>
      <c r="B22" s="361" t="s">
        <v>1159</v>
      </c>
      <c r="C22" s="378" t="s">
        <v>108</v>
      </c>
      <c r="D22" s="363" t="str">
        <f>IF(C22="","",VLOOKUP($C22,CHANTIER!$A$2:$C$83,3,0))</f>
        <v>ml</v>
      </c>
      <c r="E22" s="364">
        <f>E9</f>
        <v>8.5</v>
      </c>
      <c r="F22" s="372">
        <f>IF($C22="","",E22*VLOOKUP($C22,CHANTIER!$A$2:$D$83,4,0))</f>
        <v>0.42500000000000004</v>
      </c>
      <c r="G22" s="364">
        <f t="shared" ref="G22" si="0">G9</f>
        <v>10.3</v>
      </c>
      <c r="H22" s="372">
        <f>IF($C22="","",G22*VLOOKUP($C22,CHANTIER!$A$2:$D$83,4,0))</f>
        <v>0.51500000000000001</v>
      </c>
      <c r="I22" s="364">
        <f t="shared" ref="I22" si="1">I9</f>
        <v>12.3</v>
      </c>
      <c r="J22" s="372">
        <f>IF($C22="","",I22*VLOOKUP($C22,CHANTIER!$A$2:$D$83,4,0))</f>
        <v>0.6150000000000001</v>
      </c>
      <c r="K22" s="364">
        <f t="shared" ref="K22" si="2">K9</f>
        <v>13.3</v>
      </c>
      <c r="L22" s="372">
        <f>IF($C22="","",K22*VLOOKUP($C22,CHANTIER!$A$2:$D$83,4,0))</f>
        <v>0.66500000000000004</v>
      </c>
      <c r="M22" s="364">
        <f t="shared" ref="M22" si="3">M9</f>
        <v>14.3</v>
      </c>
      <c r="N22" s="372">
        <f>IF($C22="","",M22*VLOOKUP($C22,CHANTIER!$A$2:$D$83,4,0))</f>
        <v>0.71500000000000008</v>
      </c>
      <c r="O22" s="364">
        <f t="shared" ref="O22" si="4">O9</f>
        <v>15.3</v>
      </c>
      <c r="P22" s="372">
        <f>IF($C22="","",O22*VLOOKUP($C22,CHANTIER!$A$2:$D$83,4,0))</f>
        <v>0.76500000000000012</v>
      </c>
      <c r="Q22" s="364">
        <f t="shared" ref="Q22" si="5">Q9</f>
        <v>16.3</v>
      </c>
      <c r="R22" s="372">
        <f>IF($C22="","",Q22*VLOOKUP($C22,CHANTIER!$A$2:$D$83,4,0))</f>
        <v>0.81500000000000006</v>
      </c>
      <c r="S22" s="364">
        <f t="shared" ref="S22" si="6">S9</f>
        <v>17.3</v>
      </c>
      <c r="T22" s="372">
        <f>IF($C22="","",S22*VLOOKUP($C22,CHANTIER!$A$2:$D$83,4,0))</f>
        <v>0.8650000000000001</v>
      </c>
      <c r="U22" s="364">
        <f t="shared" ref="U22" si="7">U9</f>
        <v>18.3</v>
      </c>
      <c r="V22" s="372">
        <f>IF($C22="","",U22*VLOOKUP($C22,CHANTIER!$A$2:$D$83,4,0))</f>
        <v>0.91500000000000004</v>
      </c>
      <c r="W22" s="364">
        <f t="shared" ref="W22" si="8">W9</f>
        <v>20.3</v>
      </c>
      <c r="X22" s="372">
        <f>IF($C22="","",W22*VLOOKUP($C22,CHANTIER!$A$2:$D$83,4,0))</f>
        <v>1.0150000000000001</v>
      </c>
      <c r="Y22" s="364">
        <f t="shared" ref="Y22" si="9">Y9</f>
        <v>22.3</v>
      </c>
      <c r="Z22" s="372">
        <f>IF($C22="","",Y22*VLOOKUP($C22,CHANTIER!$A$2:$D$83,4,0))</f>
        <v>1.115</v>
      </c>
      <c r="AA22" s="364">
        <f t="shared" ref="AA22" si="10">AA9</f>
        <v>23.3</v>
      </c>
      <c r="AB22" s="372">
        <f>IF($C22="","",AA22*VLOOKUP($C22,CHANTIER!$A$2:$D$83,4,0))</f>
        <v>1.165</v>
      </c>
      <c r="AC22" s="364">
        <f t="shared" ref="AC22" si="11">AC9</f>
        <v>22.3</v>
      </c>
      <c r="AD22" s="372">
        <f>IF($C22="","",AC22*VLOOKUP($C22,CHANTIER!$A$2:$D$83,4,0))</f>
        <v>1.115</v>
      </c>
      <c r="AE22" s="364">
        <f t="shared" ref="AE22" si="12">AE9</f>
        <v>24.3</v>
      </c>
      <c r="AF22" s="372">
        <f>IF($C22="","",AE22*VLOOKUP($C22,CHANTIER!$A$2:$D$83,4,0))</f>
        <v>1.2150000000000001</v>
      </c>
      <c r="AG22" s="364">
        <f t="shared" ref="AG22" si="13">AG9</f>
        <v>25.3</v>
      </c>
      <c r="AH22" s="372">
        <f>IF($C22="","",AG22*VLOOKUP($C22,CHANTIER!$A$2:$D$83,4,0))</f>
        <v>1.2650000000000001</v>
      </c>
      <c r="AI22" s="364">
        <f t="shared" ref="AI22" si="14">AI9</f>
        <v>26.3</v>
      </c>
      <c r="AJ22" s="372">
        <f>IF($C22="","",AI22*VLOOKUP($C22,CHANTIER!$A$2:$D$83,4,0))</f>
        <v>1.3150000000000002</v>
      </c>
      <c r="AK22" s="364">
        <f t="shared" ref="AK22:AM22" si="15">AK9</f>
        <v>28.3</v>
      </c>
      <c r="AL22" s="372">
        <f>IF($C22="","",AK22*VLOOKUP($C22,CHANTIER!$A$2:$D$83,4,0))</f>
        <v>1.415</v>
      </c>
      <c r="AM22" s="364">
        <f t="shared" si="15"/>
        <v>26.3</v>
      </c>
      <c r="AN22" s="372">
        <f>IF($C22="","",AM22*VLOOKUP($C22,CHANTIER!$A$2:$D$83,4,0))</f>
        <v>1.3150000000000002</v>
      </c>
    </row>
    <row r="23" spans="1:40" ht="30.75" customHeight="1" x14ac:dyDescent="0.2">
      <c r="A23" s="1626"/>
      <c r="B23" s="379" t="s">
        <v>453</v>
      </c>
      <c r="C23" s="380" t="s">
        <v>450</v>
      </c>
      <c r="D23" s="381" t="s">
        <v>451</v>
      </c>
      <c r="E23" s="382">
        <f>F23*Simulation!$P$9</f>
        <v>187.55999999999997</v>
      </c>
      <c r="F23" s="383">
        <f>SUM(F18:F22)</f>
        <v>4.1679999999999993</v>
      </c>
      <c r="G23" s="382">
        <f>H23*Simulation!$P$9</f>
        <v>221.17500000000001</v>
      </c>
      <c r="H23" s="383">
        <f>SUM(H18:H22)</f>
        <v>4.915</v>
      </c>
      <c r="I23" s="382">
        <f>J23*Simulation!$P$9</f>
        <v>258.52500000000003</v>
      </c>
      <c r="J23" s="383">
        <f>SUM(J18:J22)</f>
        <v>5.745000000000001</v>
      </c>
      <c r="K23" s="382">
        <f>L23*Simulation!$P$9</f>
        <v>277.2</v>
      </c>
      <c r="L23" s="383">
        <f>SUM(L18:L22)</f>
        <v>6.16</v>
      </c>
      <c r="M23" s="382">
        <f>N23*Simulation!$P$9</f>
        <v>295.875</v>
      </c>
      <c r="N23" s="383">
        <f>SUM(N18:N22)</f>
        <v>6.5750000000000002</v>
      </c>
      <c r="O23" s="382">
        <f>P23*Simulation!$P$9</f>
        <v>314.55</v>
      </c>
      <c r="P23" s="383">
        <f>SUM(P18:P22)</f>
        <v>6.99</v>
      </c>
      <c r="Q23" s="382">
        <f>R23*Simulation!$P$9</f>
        <v>333.22500000000002</v>
      </c>
      <c r="R23" s="383">
        <f>SUM(R18:R22)</f>
        <v>7.4050000000000002</v>
      </c>
      <c r="S23" s="382">
        <f>T23*Simulation!$P$9</f>
        <v>351.90000000000003</v>
      </c>
      <c r="T23" s="383">
        <f>SUM(T18:T22)</f>
        <v>7.82</v>
      </c>
      <c r="U23" s="382">
        <f>V23*Simulation!$P$9</f>
        <v>370.57499999999999</v>
      </c>
      <c r="V23" s="383">
        <f>SUM(V18:V22)</f>
        <v>8.2349999999999994</v>
      </c>
      <c r="W23" s="382">
        <f>X23*Simulation!$P$9</f>
        <v>407.92500000000007</v>
      </c>
      <c r="X23" s="383">
        <f>SUM(X18:X22)</f>
        <v>9.0650000000000013</v>
      </c>
      <c r="Y23" s="382">
        <f>Z23*Simulation!$P$9</f>
        <v>445.27500000000003</v>
      </c>
      <c r="Z23" s="383">
        <f>SUM(Z18:Z22)</f>
        <v>9.8950000000000014</v>
      </c>
      <c r="AA23" s="382">
        <f>AB23*Simulation!$P$9</f>
        <v>463.94999999999993</v>
      </c>
      <c r="AB23" s="383">
        <f>SUM(AB18:AB22)</f>
        <v>10.309999999999999</v>
      </c>
      <c r="AC23" s="382">
        <f>AD23*Simulation!$P$9</f>
        <v>445.27500000000003</v>
      </c>
      <c r="AD23" s="383">
        <f>SUM(AD18:AD22)</f>
        <v>9.8950000000000014</v>
      </c>
      <c r="AE23" s="382">
        <f>AF23*Simulation!$P$9</f>
        <v>482.62500000000006</v>
      </c>
      <c r="AF23" s="383">
        <f>SUM(AF18:AF22)</f>
        <v>10.725000000000001</v>
      </c>
      <c r="AG23" s="382">
        <f>AH23*Simulation!$P$9</f>
        <v>501.3</v>
      </c>
      <c r="AH23" s="383">
        <f>SUM(AH18:AH22)</f>
        <v>11.14</v>
      </c>
      <c r="AI23" s="382">
        <f>AJ23*Simulation!$P$9</f>
        <v>519.97500000000002</v>
      </c>
      <c r="AJ23" s="383">
        <f>SUM(AJ18:AJ22)</f>
        <v>11.555</v>
      </c>
      <c r="AK23" s="382">
        <f>AL23*Simulation!$P$9</f>
        <v>557.32500000000005</v>
      </c>
      <c r="AL23" s="383">
        <f>SUM(AL18:AL22)</f>
        <v>12.385000000000002</v>
      </c>
      <c r="AM23" s="382">
        <f>AN23*Simulation!$P$9</f>
        <v>519.97500000000002</v>
      </c>
      <c r="AN23" s="383">
        <f>SUM(AN18:AN22)</f>
        <v>11.555</v>
      </c>
    </row>
    <row r="24" spans="1:40" ht="15" customHeight="1" x14ac:dyDescent="0.2">
      <c r="A24" s="1628" t="s">
        <v>4</v>
      </c>
      <c r="B24" s="361" t="s">
        <v>1170</v>
      </c>
      <c r="C24" s="378" t="s">
        <v>405</v>
      </c>
      <c r="D24" s="363" t="str">
        <f>IF(C24="","",VLOOKUP($C24,MINIPELLE!$A$2:$C$28,3,0))</f>
        <v>ml</v>
      </c>
      <c r="E24" s="364">
        <f>E6</f>
        <v>8.1999999999999993</v>
      </c>
      <c r="F24" s="372">
        <f>IF($C24="","",E24*VLOOKUP($C24,MINIPELLE!$A$2:$D$28,4,0))</f>
        <v>0.65599999999999992</v>
      </c>
      <c r="G24" s="364">
        <f>G6</f>
        <v>10</v>
      </c>
      <c r="H24" s="372">
        <f>IF($C24="","",G24*VLOOKUP($C24,MINIPELLE!$A$2:$D$28,4,0))</f>
        <v>0.8</v>
      </c>
      <c r="I24" s="364">
        <f>I6</f>
        <v>12</v>
      </c>
      <c r="J24" s="372">
        <f>IF($C24="","",I24*VLOOKUP($C24,MINIPELLE!$A$2:$D$28,4,0))</f>
        <v>0.96</v>
      </c>
      <c r="K24" s="364">
        <f>K6</f>
        <v>13</v>
      </c>
      <c r="L24" s="372">
        <f>IF($C24="","",K24*VLOOKUP($C24,MINIPELLE!$A$2:$D$28,4,0))</f>
        <v>1.04</v>
      </c>
      <c r="M24" s="364">
        <f>M6</f>
        <v>14</v>
      </c>
      <c r="N24" s="372">
        <f>IF($C24="","",M24*VLOOKUP($C24,MINIPELLE!$A$2:$D$28,4,0))</f>
        <v>1.1200000000000001</v>
      </c>
      <c r="O24" s="364">
        <f>O6</f>
        <v>15</v>
      </c>
      <c r="P24" s="372">
        <f>IF($C24="","",O24*VLOOKUP($C24,MINIPELLE!$A$2:$D$28,4,0))</f>
        <v>1.2</v>
      </c>
      <c r="Q24" s="364">
        <f>Q6</f>
        <v>16</v>
      </c>
      <c r="R24" s="372">
        <f>IF($C24="","",Q24*VLOOKUP($C24,MINIPELLE!$A$2:$D$28,4,0))</f>
        <v>1.28</v>
      </c>
      <c r="S24" s="364">
        <f>S6</f>
        <v>17</v>
      </c>
      <c r="T24" s="372">
        <f>IF($C24="","",S24*VLOOKUP($C24,MINIPELLE!$A$2:$D$28,4,0))</f>
        <v>1.36</v>
      </c>
      <c r="U24" s="364">
        <f>U6</f>
        <v>18</v>
      </c>
      <c r="V24" s="372">
        <f>IF($C24="","",U24*VLOOKUP($C24,MINIPELLE!$A$2:$D$28,4,0))</f>
        <v>1.44</v>
      </c>
      <c r="W24" s="364">
        <f>W6</f>
        <v>20</v>
      </c>
      <c r="X24" s="372">
        <f>IF($C24="","",W24*VLOOKUP($C24,MINIPELLE!$A$2:$D$28,4,0))</f>
        <v>1.6</v>
      </c>
      <c r="Y24" s="364">
        <f>Y6</f>
        <v>22</v>
      </c>
      <c r="Z24" s="372">
        <f>IF($C24="","",Y24*VLOOKUP($C24,MINIPELLE!$A$2:$D$28,4,0))</f>
        <v>1.76</v>
      </c>
      <c r="AA24" s="364">
        <f>AA6</f>
        <v>23</v>
      </c>
      <c r="AB24" s="372">
        <f>IF($C24="","",AA24*VLOOKUP($C24,MINIPELLE!$A$2:$D$28,4,0))</f>
        <v>1.84</v>
      </c>
      <c r="AC24" s="364">
        <f>AC6</f>
        <v>22</v>
      </c>
      <c r="AD24" s="372">
        <f>IF($C24="","",AC24*VLOOKUP($C24,MINIPELLE!$A$2:$D$28,4,0))</f>
        <v>1.76</v>
      </c>
      <c r="AE24" s="364">
        <f>AE6</f>
        <v>24</v>
      </c>
      <c r="AF24" s="372">
        <f>IF($C24="","",AE24*VLOOKUP($C24,MINIPELLE!$A$2:$D$28,4,0))</f>
        <v>1.92</v>
      </c>
      <c r="AG24" s="364">
        <f>AG6</f>
        <v>25</v>
      </c>
      <c r="AH24" s="372">
        <f>IF($C24="","",AG24*VLOOKUP($C24,MINIPELLE!$A$2:$D$28,4,0))</f>
        <v>2</v>
      </c>
      <c r="AI24" s="364">
        <f>AI6</f>
        <v>26</v>
      </c>
      <c r="AJ24" s="372">
        <f>IF($C24="","",AI24*VLOOKUP($C24,MINIPELLE!$A$2:$D$28,4,0))</f>
        <v>2.08</v>
      </c>
      <c r="AK24" s="364">
        <f>AK6</f>
        <v>28</v>
      </c>
      <c r="AL24" s="372">
        <f>IF($C24="","",AK24*VLOOKUP($C24,MINIPELLE!$A$2:$D$28,4,0))</f>
        <v>2.2400000000000002</v>
      </c>
      <c r="AM24" s="364">
        <f>AM6</f>
        <v>26</v>
      </c>
      <c r="AN24" s="372">
        <f>IF($C24="","",AM24*VLOOKUP($C24,MINIPELLE!$A$2:$D$28,4,0))</f>
        <v>2.08</v>
      </c>
    </row>
    <row r="25" spans="1:40" ht="15" customHeight="1" x14ac:dyDescent="0.2">
      <c r="A25" s="1629"/>
      <c r="B25" s="361" t="s">
        <v>1172</v>
      </c>
      <c r="C25" s="378" t="s">
        <v>102</v>
      </c>
      <c r="D25" s="363" t="str">
        <f>IF(C25="","",VLOOKUP($C25,MINIPELLE!$A$2:$C$28,3,0))</f>
        <v>m3</v>
      </c>
      <c r="E25" s="364">
        <f>E2*2*0.5*1.1</f>
        <v>2.2000000000000002</v>
      </c>
      <c r="F25" s="389">
        <f>IF($C25="","",E25*VLOOKUP($C25,MINIPELLE!$A$2:$D$28,4,0))</f>
        <v>0.55000000000000004</v>
      </c>
      <c r="G25" s="364">
        <f>G2*2*0.5*1.1</f>
        <v>3.3000000000000003</v>
      </c>
      <c r="H25" s="389">
        <f>IF($C25="","",G25*VLOOKUP($C25,MINIPELLE!$A$2:$D$28,4,0))</f>
        <v>0.82500000000000007</v>
      </c>
      <c r="I25" s="364">
        <f>I2*2*0.5*1.1</f>
        <v>4.4000000000000004</v>
      </c>
      <c r="J25" s="389">
        <f>IF($C25="","",I25*VLOOKUP($C25,MINIPELLE!$A$2:$D$28,4,0))</f>
        <v>1.1000000000000001</v>
      </c>
      <c r="K25" s="364">
        <f>K2*2*0.5*1.1</f>
        <v>5.5</v>
      </c>
      <c r="L25" s="389">
        <f>IF($C25="","",K25*VLOOKUP($C25,MINIPELLE!$A$2:$D$28,4,0))</f>
        <v>1.375</v>
      </c>
      <c r="M25" s="364">
        <f>M2*2*0.5*1.1</f>
        <v>6.6000000000000005</v>
      </c>
      <c r="N25" s="389">
        <f>IF($C25="","",M25*VLOOKUP($C25,MINIPELLE!$A$2:$D$28,4,0))</f>
        <v>1.6500000000000001</v>
      </c>
      <c r="O25" s="364">
        <f>O2*2*0.5*1.1</f>
        <v>7.7000000000000011</v>
      </c>
      <c r="P25" s="389">
        <f>IF($C25="","",O25*VLOOKUP($C25,MINIPELLE!$A$2:$D$28,4,0))</f>
        <v>1.9250000000000003</v>
      </c>
      <c r="Q25" s="364">
        <f>Q2*2*0.5*1.1</f>
        <v>8.8000000000000007</v>
      </c>
      <c r="R25" s="389">
        <f>IF($C25="","",Q25*VLOOKUP($C25,MINIPELLE!$A$2:$D$28,4,0))</f>
        <v>2.2000000000000002</v>
      </c>
      <c r="S25" s="364">
        <f>S2*2*0.5*1.1</f>
        <v>9.9</v>
      </c>
      <c r="T25" s="389">
        <f>IF($C25="","",S25*VLOOKUP($C25,MINIPELLE!$A$2:$D$28,4,0))</f>
        <v>2.4750000000000001</v>
      </c>
      <c r="U25" s="364">
        <f>U2*2*0.5*1.1</f>
        <v>11</v>
      </c>
      <c r="V25" s="389">
        <f>IF($C25="","",U25*VLOOKUP($C25,MINIPELLE!$A$2:$D$28,4,0))</f>
        <v>2.75</v>
      </c>
      <c r="W25" s="364">
        <f>W2*2*0.5*1.1</f>
        <v>13.200000000000001</v>
      </c>
      <c r="X25" s="389">
        <f>IF($C25="","",W25*VLOOKUP($C25,MINIPELLE!$A$2:$D$28,4,0))</f>
        <v>3.3000000000000003</v>
      </c>
      <c r="Y25" s="364">
        <f>Y2*2*0.5*1.1</f>
        <v>13.200000000000001</v>
      </c>
      <c r="Z25" s="389">
        <f>IF($C25="","",Y25*VLOOKUP($C25,MINIPELLE!$A$2:$D$28,4,0))</f>
        <v>3.3000000000000003</v>
      </c>
      <c r="AA25" s="364">
        <f>AA2*2*0.5*1.1</f>
        <v>15.400000000000002</v>
      </c>
      <c r="AB25" s="389">
        <f>IF($C25="","",AA25*VLOOKUP($C25,MINIPELLE!$A$2:$D$28,4,0))</f>
        <v>3.8500000000000005</v>
      </c>
      <c r="AC25" s="364">
        <f>AC2*2*0.5*1.1</f>
        <v>15.400000000000002</v>
      </c>
      <c r="AD25" s="389">
        <f>IF($C25="","",AC25*VLOOKUP($C25,MINIPELLE!$A$2:$D$28,4,0))</f>
        <v>3.8500000000000005</v>
      </c>
      <c r="AE25" s="364">
        <f>AE2*2*0.5*1.1</f>
        <v>17.600000000000001</v>
      </c>
      <c r="AF25" s="389">
        <f>IF($C25="","",AE25*VLOOKUP($C25,MINIPELLE!$A$2:$D$28,4,0))</f>
        <v>4.4000000000000004</v>
      </c>
      <c r="AG25" s="364">
        <f>AG2*2*0.5*1.1</f>
        <v>19.8</v>
      </c>
      <c r="AH25" s="389">
        <f>IF($C25="","",AG25*VLOOKUP($C25,MINIPELLE!$A$2:$D$28,4,0))</f>
        <v>4.95</v>
      </c>
      <c r="AI25" s="364">
        <f>AI2*2*0.5*1.1</f>
        <v>19.8</v>
      </c>
      <c r="AJ25" s="389">
        <f>IF($C25="","",AI25*VLOOKUP($C25,MINIPELLE!$A$2:$D$28,4,0))</f>
        <v>4.95</v>
      </c>
      <c r="AK25" s="364">
        <f>AK2*2*0.5*1.1</f>
        <v>22</v>
      </c>
      <c r="AL25" s="389">
        <f>IF($C25="","",AK25*VLOOKUP($C25,MINIPELLE!$A$2:$D$28,4,0))</f>
        <v>5.5</v>
      </c>
      <c r="AM25" s="364">
        <f>AM2*2*0.5*1.1</f>
        <v>22</v>
      </c>
      <c r="AN25" s="389">
        <f>IF($C25="","",AM25*VLOOKUP($C25,MINIPELLE!$A$2:$D$28,4,0))</f>
        <v>5.5</v>
      </c>
    </row>
    <row r="26" spans="1:40" ht="29.25" customHeight="1" x14ac:dyDescent="0.2">
      <c r="A26" s="1629"/>
      <c r="B26" s="384" t="s">
        <v>454</v>
      </c>
      <c r="C26" s="385" t="s">
        <v>455</v>
      </c>
      <c r="D26" s="386" t="s">
        <v>451</v>
      </c>
      <c r="E26" s="387">
        <f>F26*Simulation!$P$10</f>
        <v>96.47999999999999</v>
      </c>
      <c r="F26" s="388">
        <f>SUM(F24:F25)</f>
        <v>1.206</v>
      </c>
      <c r="G26" s="387">
        <f>H26*Simulation!$P$10</f>
        <v>130</v>
      </c>
      <c r="H26" s="388">
        <f>SUM(H24:H25)</f>
        <v>1.625</v>
      </c>
      <c r="I26" s="387">
        <f>J26*Simulation!$P$10</f>
        <v>164.8</v>
      </c>
      <c r="J26" s="388">
        <f>SUM(J24:J25)</f>
        <v>2.06</v>
      </c>
      <c r="K26" s="387">
        <f>L26*Simulation!$P$10</f>
        <v>193.2</v>
      </c>
      <c r="L26" s="388">
        <f>SUM(L24:L25)</f>
        <v>2.415</v>
      </c>
      <c r="M26" s="387">
        <f>N26*Simulation!$P$10</f>
        <v>221.60000000000002</v>
      </c>
      <c r="N26" s="388">
        <f>SUM(N24:N25)</f>
        <v>2.7700000000000005</v>
      </c>
      <c r="O26" s="387">
        <f>P26*Simulation!$P$10</f>
        <v>250</v>
      </c>
      <c r="P26" s="388">
        <f>SUM(P24:P25)</f>
        <v>3.125</v>
      </c>
      <c r="Q26" s="387">
        <f>R26*Simulation!$P$10</f>
        <v>278.40000000000003</v>
      </c>
      <c r="R26" s="388">
        <f>SUM(R24:R25)</f>
        <v>3.4800000000000004</v>
      </c>
      <c r="S26" s="387">
        <f>T26*Simulation!$P$10</f>
        <v>306.8</v>
      </c>
      <c r="T26" s="388">
        <f>SUM(T24:T25)</f>
        <v>3.835</v>
      </c>
      <c r="U26" s="387">
        <f>V26*Simulation!$P$10</f>
        <v>335.19999999999993</v>
      </c>
      <c r="V26" s="388">
        <f>SUM(V24:V25)</f>
        <v>4.1899999999999995</v>
      </c>
      <c r="W26" s="387">
        <f>X26*Simulation!$P$10</f>
        <v>392</v>
      </c>
      <c r="X26" s="388">
        <f>SUM(X24:X25)</f>
        <v>4.9000000000000004</v>
      </c>
      <c r="Y26" s="387">
        <f>Z26*Simulation!$P$10</f>
        <v>404.80000000000007</v>
      </c>
      <c r="Z26" s="388">
        <f>SUM(Z24:Z25)</f>
        <v>5.0600000000000005</v>
      </c>
      <c r="AA26" s="387">
        <f>AB26*Simulation!$P$10</f>
        <v>455.20000000000005</v>
      </c>
      <c r="AB26" s="388">
        <f>SUM(AB24:AB25)</f>
        <v>5.69</v>
      </c>
      <c r="AC26" s="387">
        <f>AD26*Simulation!$P$10</f>
        <v>448.8</v>
      </c>
      <c r="AD26" s="388">
        <f>SUM(AD24:AD25)</f>
        <v>5.61</v>
      </c>
      <c r="AE26" s="387">
        <f>AF26*Simulation!$P$10</f>
        <v>505.6</v>
      </c>
      <c r="AF26" s="388">
        <f>SUM(AF24:AF25)</f>
        <v>6.32</v>
      </c>
      <c r="AG26" s="387">
        <f>AH26*Simulation!$P$10</f>
        <v>556</v>
      </c>
      <c r="AH26" s="388">
        <f>SUM(AH24:AH25)</f>
        <v>6.95</v>
      </c>
      <c r="AI26" s="387">
        <f>AJ26*Simulation!$P$10</f>
        <v>562.4</v>
      </c>
      <c r="AJ26" s="388">
        <f>SUM(AJ24:AJ25)</f>
        <v>7.03</v>
      </c>
      <c r="AK26" s="387">
        <f>AL26*Simulation!$P$10</f>
        <v>619.20000000000005</v>
      </c>
      <c r="AL26" s="388">
        <f>SUM(AL24:AL25)</f>
        <v>7.74</v>
      </c>
      <c r="AM26" s="387">
        <f>AN26*Simulation!$P$10</f>
        <v>606.4</v>
      </c>
      <c r="AN26" s="388">
        <f>SUM(AN24:AN25)</f>
        <v>7.58</v>
      </c>
    </row>
    <row r="27" spans="1:40" x14ac:dyDescent="0.2">
      <c r="A27" s="199"/>
      <c r="B27" s="172"/>
      <c r="C27" s="200"/>
      <c r="D27" s="201"/>
      <c r="E27" s="202"/>
      <c r="F27" s="203"/>
      <c r="G27" s="202"/>
      <c r="H27" s="203"/>
      <c r="I27" s="202"/>
      <c r="J27" s="203"/>
      <c r="K27" s="202"/>
      <c r="L27" s="203"/>
      <c r="M27" s="202"/>
      <c r="N27" s="203"/>
      <c r="O27" s="202"/>
      <c r="P27" s="203"/>
      <c r="Q27" s="202"/>
      <c r="R27" s="203"/>
      <c r="S27" s="202"/>
      <c r="T27" s="203"/>
      <c r="U27" s="202"/>
      <c r="V27" s="203"/>
      <c r="W27" s="202"/>
      <c r="X27" s="203"/>
      <c r="Y27" s="202"/>
      <c r="Z27" s="203"/>
      <c r="AA27" s="202"/>
      <c r="AB27" s="203"/>
      <c r="AC27" s="202"/>
      <c r="AD27" s="203"/>
      <c r="AE27" s="202"/>
      <c r="AF27" s="203"/>
      <c r="AG27" s="202"/>
      <c r="AH27" s="203"/>
      <c r="AI27" s="202"/>
      <c r="AJ27" s="203"/>
      <c r="AK27" s="202"/>
      <c r="AL27" s="203"/>
      <c r="AM27" s="202"/>
      <c r="AN27" s="203"/>
    </row>
    <row r="28" spans="1:40" ht="36" customHeight="1" x14ac:dyDescent="0.2">
      <c r="A28" s="204"/>
      <c r="B28" s="1561" t="s">
        <v>456</v>
      </c>
      <c r="C28" s="1564" t="s">
        <v>445</v>
      </c>
      <c r="D28" s="1564"/>
      <c r="E28" s="1547">
        <f>E26+E23+E17+E11</f>
        <v>579.16124499999989</v>
      </c>
      <c r="F28" s="1547"/>
      <c r="G28" s="1547">
        <f>G26+G23+G17+G11</f>
        <v>699.49115000000006</v>
      </c>
      <c r="H28" s="1547"/>
      <c r="I28" s="1547">
        <f>I26+I23+I17+I11</f>
        <v>830.74659999999994</v>
      </c>
      <c r="J28" s="1547"/>
      <c r="K28" s="1547">
        <f>K26+K23+K17+K11</f>
        <v>907.374325</v>
      </c>
      <c r="L28" s="1547"/>
      <c r="M28" s="1547">
        <f>M26+M23+M17+M11</f>
        <v>984.00205000000005</v>
      </c>
      <c r="N28" s="1547"/>
      <c r="O28" s="1547">
        <f>O26+O23+O17+O11</f>
        <v>1060.6297749999999</v>
      </c>
      <c r="P28" s="1547"/>
      <c r="Q28" s="1547">
        <f>Q26+Q23+Q17+Q11</f>
        <v>1137.2575000000002</v>
      </c>
      <c r="R28" s="1547"/>
      <c r="S28" s="1547">
        <f>S26+S23+S17+S11</f>
        <v>1213.8852250000002</v>
      </c>
      <c r="T28" s="1547"/>
      <c r="U28" s="1547">
        <f>U26+U23+U17+U11</f>
        <v>1290.5129499999998</v>
      </c>
      <c r="V28" s="1547"/>
      <c r="W28" s="1547">
        <f>W26+W23+W17+W11</f>
        <v>1443.7684000000002</v>
      </c>
      <c r="X28" s="1547"/>
      <c r="Y28" s="1547">
        <f>Y26+Y23+Y17+Y11</f>
        <v>1553.02385</v>
      </c>
      <c r="Z28" s="1547"/>
      <c r="AA28" s="1547">
        <f>AA26+AA23+AA17+AA11</f>
        <v>1651.6515750000001</v>
      </c>
      <c r="AB28" s="1547"/>
      <c r="AC28" s="1547">
        <f>AC26+AC23+AC17+AC11</f>
        <v>1597.02385</v>
      </c>
      <c r="AD28" s="1547"/>
      <c r="AE28" s="1547">
        <f>AE26+AE23+AE17+AE11</f>
        <v>1750.2793000000001</v>
      </c>
      <c r="AF28" s="1547"/>
      <c r="AG28" s="1547">
        <f>AG26+AG23+AG17+AG11</f>
        <v>1848.907025</v>
      </c>
      <c r="AH28" s="1547"/>
      <c r="AI28" s="1547">
        <f>AI26+AI23+AI17+AI11</f>
        <v>1903.5347500000003</v>
      </c>
      <c r="AJ28" s="1547"/>
      <c r="AK28" s="1547">
        <f>AK26+AK23+AK17+AK11</f>
        <v>2056.7902000000004</v>
      </c>
      <c r="AL28" s="1547"/>
      <c r="AM28" s="1547">
        <f>AM26+AM23+AM17+AM11</f>
        <v>1947.5347500000003</v>
      </c>
      <c r="AN28" s="1547"/>
    </row>
    <row r="29" spans="1:40" ht="18" customHeight="1" x14ac:dyDescent="0.2">
      <c r="A29" s="154"/>
      <c r="B29" s="1562"/>
      <c r="C29" s="1565" t="s">
        <v>457</v>
      </c>
      <c r="D29" s="1565"/>
      <c r="E29" s="149">
        <f>E11-F11</f>
        <v>37.065720000000013</v>
      </c>
      <c r="F29" s="207">
        <f>E29/E$28</f>
        <v>6.3998964571602202E-2</v>
      </c>
      <c r="G29" s="149">
        <f>G11-H11</f>
        <v>43.98690000000002</v>
      </c>
      <c r="H29" s="207">
        <f>G29/G$28</f>
        <v>6.2884140850102271E-2</v>
      </c>
      <c r="I29" s="149">
        <f>I11-J11</f>
        <v>51.677099999999996</v>
      </c>
      <c r="J29" s="207">
        <f>I29/I$28</f>
        <v>6.2205611193593809E-2</v>
      </c>
      <c r="K29" s="149">
        <f>K11-L11</f>
        <v>55.522199999999998</v>
      </c>
      <c r="L29" s="207">
        <f>K29/K$28</f>
        <v>6.1189961485850944E-2</v>
      </c>
      <c r="M29" s="149">
        <f>M11-N11</f>
        <v>59.3673</v>
      </c>
      <c r="N29" s="207">
        <f>M29/M$28</f>
        <v>6.0332496258518969E-2</v>
      </c>
      <c r="O29" s="149">
        <f>O11-P11</f>
        <v>63.212400000000031</v>
      </c>
      <c r="P29" s="207">
        <f>O29/O$28</f>
        <v>5.9598930267632771E-2</v>
      </c>
      <c r="Q29" s="149">
        <f>Q11-R11</f>
        <v>67.057500000000005</v>
      </c>
      <c r="R29" s="207">
        <f>Q29/Q$28</f>
        <v>5.8964218745534758E-2</v>
      </c>
      <c r="S29" s="149">
        <f>S11-T11</f>
        <v>70.902600000000035</v>
      </c>
      <c r="T29" s="207">
        <f>S29/S$28</f>
        <v>5.8409640829098997E-2</v>
      </c>
      <c r="U29" s="149">
        <f>U11-V11</f>
        <v>74.747700000000009</v>
      </c>
      <c r="V29" s="207">
        <f>U29/U$28</f>
        <v>5.7920922064362099E-2</v>
      </c>
      <c r="W29" s="149">
        <f>W11-X11</f>
        <v>82.437900000000013</v>
      </c>
      <c r="X29" s="207">
        <f>W29/W$28</f>
        <v>5.7099116451087312E-2</v>
      </c>
      <c r="Y29" s="149">
        <f>Y11-Z11</f>
        <v>90.128100000000018</v>
      </c>
      <c r="Z29" s="207">
        <f>Y29/Y$28</f>
        <v>5.8033944552751085E-2</v>
      </c>
      <c r="AA29" s="149">
        <f>AA11-AB11</f>
        <v>93.97320000000002</v>
      </c>
      <c r="AB29" s="207">
        <f>AA29/AA$28</f>
        <v>5.6896503731424117E-2</v>
      </c>
      <c r="AC29" s="149">
        <f>AC11-AD11</f>
        <v>90.128100000000018</v>
      </c>
      <c r="AD29" s="207">
        <f>AC29/AC$28</f>
        <v>5.643503695952945E-2</v>
      </c>
      <c r="AE29" s="149">
        <f>AE11-AF11</f>
        <v>97.818300000000022</v>
      </c>
      <c r="AF29" s="207">
        <f>AE29/AE$28</f>
        <v>5.588725182318046E-2</v>
      </c>
      <c r="AG29" s="149">
        <f>AG11-AH11</f>
        <v>101.66340000000002</v>
      </c>
      <c r="AH29" s="207">
        <f>AG29/AG$28</f>
        <v>5.4985674577119434E-2</v>
      </c>
      <c r="AI29" s="149">
        <f>AI11-AJ11</f>
        <v>105.50850000000003</v>
      </c>
      <c r="AJ29" s="207">
        <f>AI29/AI$28</f>
        <v>5.5427672124188969E-2</v>
      </c>
      <c r="AK29" s="149">
        <f>AK11-AL11</f>
        <v>113.19870000000003</v>
      </c>
      <c r="AL29" s="207">
        <f>AK29/AK$28</f>
        <v>5.503658078495318E-2</v>
      </c>
      <c r="AM29" s="149">
        <f>AM11-AN11</f>
        <v>105.50850000000003</v>
      </c>
      <c r="AN29" s="207">
        <f>AM29/AM$28</f>
        <v>5.4175413301354447E-2</v>
      </c>
    </row>
    <row r="30" spans="1:40" ht="18" customHeight="1" x14ac:dyDescent="0.2">
      <c r="A30" s="154"/>
      <c r="B30" s="1562"/>
      <c r="C30" s="1565" t="s">
        <v>9</v>
      </c>
      <c r="D30" s="1565"/>
      <c r="E30" s="149">
        <f>E11</f>
        <v>160.61812</v>
      </c>
      <c r="F30" s="207">
        <f>E30/E$28</f>
        <v>0.27732884647694278</v>
      </c>
      <c r="G30" s="149">
        <f>G11</f>
        <v>190.60990000000004</v>
      </c>
      <c r="H30" s="207">
        <f>G30/G$28</f>
        <v>0.27249794368377644</v>
      </c>
      <c r="I30" s="149">
        <f>I11</f>
        <v>223.93409999999997</v>
      </c>
      <c r="J30" s="207">
        <f>I30/I$28</f>
        <v>0.26955764850557318</v>
      </c>
      <c r="K30" s="149">
        <f>K11</f>
        <v>240.59619999999998</v>
      </c>
      <c r="L30" s="207">
        <f>K30/K$28</f>
        <v>0.26515649977202077</v>
      </c>
      <c r="M30" s="149">
        <f>M11</f>
        <v>257.25830000000002</v>
      </c>
      <c r="N30" s="207">
        <f>M30/M$28</f>
        <v>0.26144081712024891</v>
      </c>
      <c r="O30" s="149">
        <f>O11</f>
        <v>273.92040000000003</v>
      </c>
      <c r="P30" s="207">
        <f>O30/O$28</f>
        <v>0.25826203115974194</v>
      </c>
      <c r="Q30" s="149">
        <f>Q11</f>
        <v>290.58249999999998</v>
      </c>
      <c r="R30" s="207">
        <f>Q30/Q$28</f>
        <v>0.25551161456398391</v>
      </c>
      <c r="S30" s="149">
        <f>S11</f>
        <v>307.24460000000005</v>
      </c>
      <c r="T30" s="207">
        <f>S30/S$28</f>
        <v>0.25310844359276224</v>
      </c>
      <c r="U30" s="149">
        <f>U11</f>
        <v>323.9067</v>
      </c>
      <c r="V30" s="207">
        <f>U30/U$28</f>
        <v>0.25099066227890238</v>
      </c>
      <c r="W30" s="149">
        <f>W11</f>
        <v>357.23090000000002</v>
      </c>
      <c r="X30" s="207">
        <f>W30/W$28</f>
        <v>0.24742950462137833</v>
      </c>
      <c r="Y30" s="149">
        <f>Y11</f>
        <v>390.55510000000004</v>
      </c>
      <c r="Z30" s="207">
        <f>Y30/Y$28</f>
        <v>0.2514804263952547</v>
      </c>
      <c r="AA30" s="149">
        <f>AA11</f>
        <v>407.21720000000005</v>
      </c>
      <c r="AB30" s="207">
        <f>AA30/AA$28</f>
        <v>0.24655151616950446</v>
      </c>
      <c r="AC30" s="149">
        <f>AC11</f>
        <v>390.55510000000004</v>
      </c>
      <c r="AD30" s="207">
        <f>AC30/AC$28</f>
        <v>0.24455182682462759</v>
      </c>
      <c r="AE30" s="149">
        <f>AE11</f>
        <v>423.8793</v>
      </c>
      <c r="AF30" s="207">
        <f>AE30/AE$28</f>
        <v>0.24217809123378192</v>
      </c>
      <c r="AG30" s="149">
        <f>AG11</f>
        <v>440.54140000000007</v>
      </c>
      <c r="AH30" s="207">
        <f>AG30/AG$28</f>
        <v>0.23827125650085085</v>
      </c>
      <c r="AI30" s="149">
        <f>AI11</f>
        <v>457.20350000000008</v>
      </c>
      <c r="AJ30" s="207">
        <f>AI30/AI$28</f>
        <v>0.24018657920481884</v>
      </c>
      <c r="AK30" s="149">
        <f>AK11</f>
        <v>490.5277000000001</v>
      </c>
      <c r="AL30" s="207">
        <f>AK30/AK$28</f>
        <v>0.23849185006813042</v>
      </c>
      <c r="AM30" s="149">
        <f>AM11</f>
        <v>457.20350000000008</v>
      </c>
      <c r="AN30" s="207">
        <f>AM30/AM$28</f>
        <v>0.23476012430586926</v>
      </c>
    </row>
    <row r="31" spans="1:40" ht="18" customHeight="1" x14ac:dyDescent="0.2">
      <c r="A31" s="154"/>
      <c r="B31" s="1562"/>
      <c r="C31" s="1565" t="s">
        <v>458</v>
      </c>
      <c r="D31" s="1565"/>
      <c r="E31" s="149">
        <f>E17</f>
        <v>134.50312499999998</v>
      </c>
      <c r="F31" s="207">
        <f>E31/E$28</f>
        <v>0.23223778552378796</v>
      </c>
      <c r="G31" s="149">
        <f>G17</f>
        <v>157.70625000000001</v>
      </c>
      <c r="H31" s="207">
        <f>G31/G$28</f>
        <v>0.22545853510798528</v>
      </c>
      <c r="I31" s="149">
        <f>I17</f>
        <v>183.48750000000001</v>
      </c>
      <c r="J31" s="207">
        <f>I31/I$28</f>
        <v>0.22087060001208556</v>
      </c>
      <c r="K31" s="149">
        <f>K17</f>
        <v>196.37812500000004</v>
      </c>
      <c r="L31" s="207">
        <f>K31/K$28</f>
        <v>0.21642459962706134</v>
      </c>
      <c r="M31" s="149">
        <f>M17</f>
        <v>209.26875000000001</v>
      </c>
      <c r="N31" s="207">
        <f>M31/M$28</f>
        <v>0.21267105083774979</v>
      </c>
      <c r="O31" s="149">
        <f>O17</f>
        <v>222.15937500000001</v>
      </c>
      <c r="P31" s="207">
        <f>O31/O$28</f>
        <v>0.20945987019834517</v>
      </c>
      <c r="Q31" s="149">
        <f>Q17</f>
        <v>235.05000000000004</v>
      </c>
      <c r="R31" s="207">
        <f>Q31/Q$28</f>
        <v>0.20668142439157358</v>
      </c>
      <c r="S31" s="149">
        <f>S17</f>
        <v>247.94062500000004</v>
      </c>
      <c r="T31" s="207">
        <f>S31/S$28</f>
        <v>0.20425376295357742</v>
      </c>
      <c r="U31" s="149">
        <f>U17</f>
        <v>260.83125000000001</v>
      </c>
      <c r="V31" s="207">
        <f>U31/U$28</f>
        <v>0.20211439954941951</v>
      </c>
      <c r="W31" s="149">
        <f>W17</f>
        <v>286.61250000000001</v>
      </c>
      <c r="X31" s="207">
        <f>W31/W$28</f>
        <v>0.19851695050258752</v>
      </c>
      <c r="Y31" s="149">
        <f>Y17</f>
        <v>312.39375000000007</v>
      </c>
      <c r="Z31" s="207">
        <f>Y31/Y$28</f>
        <v>0.20115193337178952</v>
      </c>
      <c r="AA31" s="149">
        <f>AA17</f>
        <v>325.28437500000001</v>
      </c>
      <c r="AB31" s="207">
        <f>AA31/AA$28</f>
        <v>0.19694491254912525</v>
      </c>
      <c r="AC31" s="149">
        <f>AC17</f>
        <v>312.39375000000007</v>
      </c>
      <c r="AD31" s="207">
        <f>AC31/AC$28</f>
        <v>0.19560994658908823</v>
      </c>
      <c r="AE31" s="149">
        <f>AE17</f>
        <v>338.17500000000001</v>
      </c>
      <c r="AF31" s="207">
        <f>AE31/AE$28</f>
        <v>0.19321202050438463</v>
      </c>
      <c r="AG31" s="149">
        <f>AG17</f>
        <v>351.06562500000007</v>
      </c>
      <c r="AH31" s="207">
        <f>AG31/AG$28</f>
        <v>0.18987738174665655</v>
      </c>
      <c r="AI31" s="149">
        <f>AI17</f>
        <v>363.95625000000007</v>
      </c>
      <c r="AJ31" s="207">
        <f>AI31/AI$28</f>
        <v>0.19120021318234406</v>
      </c>
      <c r="AK31" s="149">
        <f>AK17</f>
        <v>389.73750000000007</v>
      </c>
      <c r="AL31" s="207">
        <f>AK31/AK$28</f>
        <v>0.189488213236333</v>
      </c>
      <c r="AM31" s="149">
        <f>AM17</f>
        <v>363.95625000000007</v>
      </c>
      <c r="AN31" s="207">
        <f>AM31/AM$28</f>
        <v>0.18688049083591449</v>
      </c>
    </row>
    <row r="32" spans="1:40" ht="18" customHeight="1" x14ac:dyDescent="0.2">
      <c r="A32" s="154"/>
      <c r="B32" s="1562"/>
      <c r="C32" s="1565" t="s">
        <v>459</v>
      </c>
      <c r="D32" s="1565"/>
      <c r="E32" s="149">
        <f>E23</f>
        <v>187.55999999999997</v>
      </c>
      <c r="F32" s="207">
        <f>E32/E$28</f>
        <v>0.3238476359031931</v>
      </c>
      <c r="G32" s="149">
        <f>G23</f>
        <v>221.17500000000001</v>
      </c>
      <c r="H32" s="207">
        <f>G32/G$28</f>
        <v>0.31619413626605569</v>
      </c>
      <c r="I32" s="149">
        <f>I23</f>
        <v>258.52500000000003</v>
      </c>
      <c r="J32" s="207">
        <f>I32/I$28</f>
        <v>0.31119597720893477</v>
      </c>
      <c r="K32" s="149">
        <f>K23</f>
        <v>277.2</v>
      </c>
      <c r="L32" s="207">
        <f>K32/K$28</f>
        <v>0.30549685213982664</v>
      </c>
      <c r="M32" s="149">
        <f>M23</f>
        <v>295.875</v>
      </c>
      <c r="N32" s="207">
        <f>M32/M$28</f>
        <v>0.30068534918194528</v>
      </c>
      <c r="O32" s="149">
        <f>O23</f>
        <v>314.55</v>
      </c>
      <c r="P32" s="207">
        <f>O32/O$28</f>
        <v>0.29656908321284875</v>
      </c>
      <c r="Q32" s="149">
        <f>Q23</f>
        <v>333.22500000000002</v>
      </c>
      <c r="R32" s="207">
        <f>Q32/Q$28</f>
        <v>0.29300752028454413</v>
      </c>
      <c r="S32" s="149">
        <f>S23</f>
        <v>351.90000000000003</v>
      </c>
      <c r="T32" s="207">
        <f>S32/S$28</f>
        <v>0.28989561183595425</v>
      </c>
      <c r="U32" s="149">
        <f>U23</f>
        <v>370.57499999999999</v>
      </c>
      <c r="V32" s="207">
        <f>U32/U$28</f>
        <v>0.28715325948492038</v>
      </c>
      <c r="W32" s="149">
        <f>W23</f>
        <v>407.92500000000007</v>
      </c>
      <c r="X32" s="207">
        <f>W32/W$28</f>
        <v>0.28254185366572648</v>
      </c>
      <c r="Y32" s="149">
        <f>Y23</f>
        <v>445.27500000000003</v>
      </c>
      <c r="Z32" s="207">
        <f>Y32/Y$28</f>
        <v>0.28671484987175183</v>
      </c>
      <c r="AA32" s="149">
        <f>AA23</f>
        <v>463.94999999999993</v>
      </c>
      <c r="AB32" s="207">
        <f>AA32/AA$28</f>
        <v>0.28090064939998011</v>
      </c>
      <c r="AC32" s="149">
        <f>AC23</f>
        <v>445.27500000000003</v>
      </c>
      <c r="AD32" s="207">
        <f>AC32/AC$28</f>
        <v>0.27881549796516814</v>
      </c>
      <c r="AE32" s="149">
        <f>AE23</f>
        <v>482.62500000000006</v>
      </c>
      <c r="AF32" s="207">
        <f>AE32/AE$28</f>
        <v>0.27574170590945113</v>
      </c>
      <c r="AG32" s="149">
        <f>AG23</f>
        <v>501.3</v>
      </c>
      <c r="AH32" s="207">
        <f>AG32/AG$28</f>
        <v>0.2711331577097556</v>
      </c>
      <c r="AI32" s="149">
        <f>AI23</f>
        <v>519.97500000000002</v>
      </c>
      <c r="AJ32" s="207">
        <f>AI32/AI$28</f>
        <v>0.27316286188103472</v>
      </c>
      <c r="AK32" s="149">
        <f>AK23</f>
        <v>557.32500000000005</v>
      </c>
      <c r="AL32" s="207">
        <f>AK32/AK$28</f>
        <v>0.27096832725087855</v>
      </c>
      <c r="AM32" s="149">
        <f>AM23</f>
        <v>519.97500000000002</v>
      </c>
      <c r="AN32" s="207">
        <f>AM32/AM$28</f>
        <v>0.26699138487772811</v>
      </c>
    </row>
    <row r="33" spans="1:40" ht="18" customHeight="1" x14ac:dyDescent="0.2">
      <c r="A33" s="154"/>
      <c r="B33" s="1563"/>
      <c r="C33" s="1565" t="s">
        <v>5</v>
      </c>
      <c r="D33" s="1565"/>
      <c r="E33" s="149">
        <f>E26</f>
        <v>96.47999999999999</v>
      </c>
      <c r="F33" s="207">
        <f>E33/E$28</f>
        <v>0.1665857320960763</v>
      </c>
      <c r="G33" s="149">
        <f>G26</f>
        <v>130</v>
      </c>
      <c r="H33" s="207">
        <f>G33/G$28</f>
        <v>0.18584938494218259</v>
      </c>
      <c r="I33" s="149">
        <f>I26</f>
        <v>164.8</v>
      </c>
      <c r="J33" s="207">
        <f>I33/I$28</f>
        <v>0.19837577427340664</v>
      </c>
      <c r="K33" s="149">
        <f>K26</f>
        <v>193.2</v>
      </c>
      <c r="L33" s="207">
        <f>K33/K$28</f>
        <v>0.21292204846109128</v>
      </c>
      <c r="M33" s="149">
        <f>M26</f>
        <v>221.60000000000002</v>
      </c>
      <c r="N33" s="207">
        <f>M33/M$28</f>
        <v>0.22520278286005604</v>
      </c>
      <c r="O33" s="149">
        <f>O26</f>
        <v>250</v>
      </c>
      <c r="P33" s="207">
        <f>O33/O$28</f>
        <v>0.23570901542906433</v>
      </c>
      <c r="Q33" s="149">
        <f>Q26</f>
        <v>278.40000000000003</v>
      </c>
      <c r="R33" s="207">
        <f>Q33/Q$28</f>
        <v>0.24479944075989826</v>
      </c>
      <c r="S33" s="149">
        <f>S26</f>
        <v>306.8</v>
      </c>
      <c r="T33" s="207">
        <f>S33/S$28</f>
        <v>0.25274218161770606</v>
      </c>
      <c r="U33" s="149">
        <f>U26</f>
        <v>335.19999999999993</v>
      </c>
      <c r="V33" s="207">
        <f>U33/U$28</f>
        <v>0.25974167868675785</v>
      </c>
      <c r="W33" s="149">
        <f>W26</f>
        <v>392</v>
      </c>
      <c r="X33" s="207">
        <f>W33/W$28</f>
        <v>0.27151169121030766</v>
      </c>
      <c r="Y33" s="149">
        <f>Y26</f>
        <v>404.80000000000007</v>
      </c>
      <c r="Z33" s="207">
        <f>Y33/Y$28</f>
        <v>0.26065279036120409</v>
      </c>
      <c r="AA33" s="149">
        <f>AA26</f>
        <v>455.20000000000005</v>
      </c>
      <c r="AB33" s="207">
        <f>AA33/AA$28</f>
        <v>0.27560292188139018</v>
      </c>
      <c r="AC33" s="149">
        <f>AC26</f>
        <v>448.8</v>
      </c>
      <c r="AD33" s="207">
        <f>AC33/AC$28</f>
        <v>0.2810227286211161</v>
      </c>
      <c r="AE33" s="149">
        <f>AE26</f>
        <v>505.6</v>
      </c>
      <c r="AF33" s="207">
        <f>AE33/AE$28</f>
        <v>0.28886818235238226</v>
      </c>
      <c r="AG33" s="149">
        <f>AG26</f>
        <v>556</v>
      </c>
      <c r="AH33" s="207">
        <f>AG33/AG$28</f>
        <v>0.30071820404273708</v>
      </c>
      <c r="AI33" s="149">
        <f>AI26</f>
        <v>562.4</v>
      </c>
      <c r="AJ33" s="207">
        <f>AI33/AI$28</f>
        <v>0.29545034573180234</v>
      </c>
      <c r="AK33" s="149">
        <f>AK26</f>
        <v>619.20000000000005</v>
      </c>
      <c r="AL33" s="207">
        <f>AK33/AK$28</f>
        <v>0.30105160944465797</v>
      </c>
      <c r="AM33" s="149">
        <f>AM26</f>
        <v>606.4</v>
      </c>
      <c r="AN33" s="207">
        <f>AM33/AM$28</f>
        <v>0.31136799998048809</v>
      </c>
    </row>
    <row r="34" spans="1:40" x14ac:dyDescent="0.2">
      <c r="A34" s="154"/>
      <c r="B34" s="172"/>
      <c r="C34" s="154"/>
      <c r="D34" s="227"/>
      <c r="E34" s="154"/>
      <c r="F34" s="154"/>
      <c r="G34" s="154"/>
      <c r="H34" s="154"/>
      <c r="I34" s="154"/>
      <c r="J34" s="154"/>
      <c r="K34" s="154"/>
      <c r="L34" s="154"/>
      <c r="M34" s="154"/>
      <c r="N34" s="154"/>
      <c r="O34" s="154"/>
      <c r="P34" s="154"/>
      <c r="Q34" s="228"/>
      <c r="R34" s="229"/>
      <c r="S34" s="154"/>
      <c r="T34" s="230"/>
      <c r="U34" s="154"/>
      <c r="V34" s="154"/>
      <c r="W34" s="154"/>
      <c r="X34" s="154"/>
      <c r="Y34" s="154"/>
      <c r="Z34" s="154"/>
      <c r="AA34" s="154"/>
      <c r="AB34" s="154"/>
      <c r="AC34" s="154"/>
      <c r="AD34" s="154"/>
      <c r="AE34" s="154"/>
      <c r="AF34" s="154"/>
      <c r="AG34" s="154"/>
      <c r="AH34" s="154"/>
      <c r="AI34" s="154"/>
      <c r="AJ34" s="154"/>
      <c r="AK34" s="154"/>
      <c r="AL34" s="154"/>
      <c r="AM34" s="154"/>
      <c r="AN34" s="154"/>
    </row>
    <row r="35" spans="1:40" x14ac:dyDescent="0.2">
      <c r="A35" s="154"/>
      <c r="B35" s="172"/>
      <c r="C35" s="154"/>
      <c r="D35" s="227"/>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154"/>
      <c r="AE35" s="154"/>
      <c r="AF35" s="154"/>
      <c r="AG35" s="154"/>
      <c r="AH35" s="154"/>
      <c r="AI35" s="154"/>
      <c r="AJ35" s="154"/>
      <c r="AK35" s="154"/>
      <c r="AL35" s="154"/>
      <c r="AM35" s="154"/>
    </row>
    <row r="36" spans="1:40" ht="15" customHeight="1" x14ac:dyDescent="0.2">
      <c r="A36" s="154"/>
      <c r="B36" s="172"/>
      <c r="C36" s="154"/>
      <c r="D36" s="227"/>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4"/>
      <c r="AC36" s="154"/>
      <c r="AD36" s="154"/>
      <c r="AE36" s="154"/>
      <c r="AF36" s="154"/>
      <c r="AG36" s="154"/>
      <c r="AH36" s="154"/>
      <c r="AI36" s="154"/>
      <c r="AJ36" s="154"/>
      <c r="AK36" s="154"/>
      <c r="AL36" s="154"/>
      <c r="AM36" s="154"/>
      <c r="AN36" s="154"/>
    </row>
    <row r="37" spans="1:40" x14ac:dyDescent="0.2">
      <c r="A37" s="154"/>
      <c r="B37" s="172"/>
      <c r="C37" s="154"/>
      <c r="D37" s="227"/>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4"/>
      <c r="AC37" s="154"/>
      <c r="AD37" s="154"/>
      <c r="AE37" s="154"/>
      <c r="AF37" s="154"/>
      <c r="AG37" s="154"/>
      <c r="AH37" s="154"/>
      <c r="AI37" s="154"/>
      <c r="AJ37" s="154"/>
      <c r="AK37" s="154"/>
      <c r="AL37" s="154"/>
      <c r="AM37" s="154"/>
      <c r="AN37" s="154"/>
    </row>
    <row r="38" spans="1:40" ht="36" x14ac:dyDescent="0.2">
      <c r="A38" s="154"/>
      <c r="B38" s="1375" t="s">
        <v>1462</v>
      </c>
      <c r="C38" s="1568" t="s">
        <v>1463</v>
      </c>
      <c r="D38" s="1569"/>
      <c r="E38" s="149">
        <f>(VLOOKUP("Prix HT",$C$1:$N$38,E$1,0))-(VLOOKUP("Non margé",$D$1:$N$38,E$1,0))</f>
        <v>455.60884499999992</v>
      </c>
      <c r="F38" s="207">
        <f>E38/VLOOKUP("Prix HT",$C$1:$N$38,E$1,0)</f>
        <v>0.78667011809465948</v>
      </c>
      <c r="G38" s="149">
        <f>(VLOOKUP("Prix HT",$C$1:$N$38,G$1,0))-(VLOOKUP("Non margé",$D$1:$N$38,G$1,0))</f>
        <v>552.86815000000001</v>
      </c>
      <c r="H38" s="207">
        <f>G38/VLOOKUP("Prix HT",$C$1:$N$38,G$1,0)</f>
        <v>0.79038619716632574</v>
      </c>
      <c r="I38" s="149">
        <f>(VLOOKUP("Prix HT",$C$1:$N$38,I$1,0))-(VLOOKUP("Non margé",$D$1:$N$38,I$1,0))</f>
        <v>658.4896</v>
      </c>
      <c r="J38" s="207">
        <f>I38/VLOOKUP("Prix HT",$C$1:$N$38,I$1,0)</f>
        <v>0.79264796268802062</v>
      </c>
      <c r="K38" s="149">
        <f>(VLOOKUP("Prix HT",$C$1:$N$38,K$1,0))-(VLOOKUP("Non margé",$D$1:$N$38,K$1,0))</f>
        <v>722.30032500000004</v>
      </c>
      <c r="L38" s="207">
        <f>K38/VLOOKUP("Prix HT",$C$1:$N$38,K$1,0)</f>
        <v>0.79603346171383027</v>
      </c>
      <c r="M38" s="149">
        <f>(VLOOKUP("Prix HT",$C$1:$N$38,M$1,0))-(VLOOKUP("Non margé",$D$1:$N$38,M$1,0))</f>
        <v>786.11104999999998</v>
      </c>
      <c r="N38" s="207">
        <f>M38/VLOOKUP("Prix HT",$C$1:$N$38,M$1,0)</f>
        <v>0.79889167913826997</v>
      </c>
      <c r="O38" s="149">
        <f>(VLOOKUP("Prix HT",$C$1:$AM$38,O$1,0))-(VLOOKUP("Non margé",$D$1:$AM$38,O$1,0))</f>
        <v>849.92177499999991</v>
      </c>
      <c r="P38" s="207">
        <f>O38/VLOOKUP("Prix HT",$C$1:$AM$38,O$1,0)</f>
        <v>0.80133689910789085</v>
      </c>
      <c r="Q38" s="149">
        <f>(VLOOKUP("Prix HT",$C$1:$AM$38,Q$1,0))-(VLOOKUP("Non margé",$D$1:$AM$38,Q$1,0))</f>
        <v>913.73250000000019</v>
      </c>
      <c r="R38" s="207">
        <f>Q38/VLOOKUP("Prix HT",$C$1:$AM$38,Q$1,0)</f>
        <v>0.80345260418155084</v>
      </c>
      <c r="S38" s="149">
        <f>(VLOOKUP("Prix HT",$C$1:$AM$38,S$1,0))-(VLOOKUP("Non margé",$D$1:$AM$38,S$1,0))</f>
        <v>977.54322500000023</v>
      </c>
      <c r="T38" s="207">
        <f>S38/VLOOKUP("Prix HT",$C$1:$AM$38,S$1,0)</f>
        <v>0.80530119723633675</v>
      </c>
      <c r="U38" s="149">
        <f>(VLOOKUP("Prix HT",$C$1:$AM$38,U$1,0))-(VLOOKUP("Non margé",$D$1:$AM$38,U$1,0))</f>
        <v>1041.3539499999997</v>
      </c>
      <c r="V38" s="207">
        <f>U38/VLOOKUP("Prix HT",$C$1:$AM$38,U$1,0)</f>
        <v>0.80693025978545962</v>
      </c>
      <c r="W38" s="149">
        <f>(VLOOKUP("Prix HT",$C$1:$AM$38,W$1,0))-(VLOOKUP("Non margé",$D$1:$AM$38,W$1,0))</f>
        <v>1168.9754000000003</v>
      </c>
      <c r="X38" s="207">
        <f>W38/VLOOKUP("Prix HT",$C$1:$AM$38,W$1,0)</f>
        <v>0.80966961182970909</v>
      </c>
      <c r="Y38" s="149">
        <f>(VLOOKUP("Prix HT",$C$1:$AM$38,Y$1,0))-(VLOOKUP("Non margé",$D$1:$AM$38,Y$1,0))</f>
        <v>1252.5968499999999</v>
      </c>
      <c r="Z38" s="207">
        <f>Y38/VLOOKUP("Prix HT",$C$1:$AM$38,Y$1,0)</f>
        <v>0.80655351815749632</v>
      </c>
      <c r="AA38" s="149">
        <f>(VLOOKUP("Prix HT",$C$1:$AM$38,AA$1,0))-(VLOOKUP("Non margé",$D$1:$AM$38,AA$1,0))</f>
        <v>1338.4075750000002</v>
      </c>
      <c r="AB38" s="207">
        <f>AA38/VLOOKUP("Prix HT",$C$1:$AM$38,AA$1,0)</f>
        <v>0.81034498756191975</v>
      </c>
      <c r="AC38" s="149">
        <f>(VLOOKUP("Prix HT",$C$1:$AM$38,AC$1,0))-(VLOOKUP("Non margé",$D$1:$AM$38,AC$1,0))</f>
        <v>1296.5968499999999</v>
      </c>
      <c r="AD38" s="207">
        <f>AC38/VLOOKUP("Prix HT",$C$1:$AM$38,AC$1,0)</f>
        <v>0.81188321013490183</v>
      </c>
      <c r="AE38" s="149">
        <f>(VLOOKUP("Prix HT",$C$1:$AM$38,AE$1,0))-(VLOOKUP("Non margé",$D$1:$AM$38,AE$1,0))</f>
        <v>1424.2183000000002</v>
      </c>
      <c r="AF38" s="207">
        <f>AE38/VLOOKUP("Prix HT",$C$1:$AM$38,AE$1,0)</f>
        <v>0.81370916058939857</v>
      </c>
      <c r="AG38" s="149">
        <f>(VLOOKUP("Prix HT",$C$1:$AM$38,AG$1,0))-(VLOOKUP("Non margé",$D$1:$AM$38,AG$1,0))</f>
        <v>1510.0290249999998</v>
      </c>
      <c r="AH38" s="207">
        <f>AG38/VLOOKUP("Prix HT",$C$1:$AM$38,AG$1,0)</f>
        <v>0.81671441807626854</v>
      </c>
      <c r="AI38" s="149">
        <f>(VLOOKUP("Prix HT",$C$1:$AM$38,AI$1,0))-(VLOOKUP("Non margé",$D$1:$AM$38,AI$1,0))</f>
        <v>1551.8397500000001</v>
      </c>
      <c r="AJ38" s="207">
        <f>AI38/VLOOKUP("Prix HT",$C$1:$AM$38,AI$1,0)</f>
        <v>0.81524109291937008</v>
      </c>
      <c r="AK38" s="149">
        <f>(VLOOKUP("Prix HT",$C$1:$AM$38,AK$1,0))-(VLOOKUP("Non margé",$D$1:$AM$38,AK$1,0))</f>
        <v>1679.4612000000002</v>
      </c>
      <c r="AL38" s="207">
        <f>AK38/VLOOKUP("Prix HT",$C$1:$AM$38,AK$1,0)</f>
        <v>0.81654473071682265</v>
      </c>
      <c r="AM38" s="149" t="e">
        <f>(VLOOKUP("Prix HT",$C$1:$AM$38,AM$1,0))-(VLOOKUP("Non margé",$D$1:$AM$38,AM$1,0))</f>
        <v>#REF!</v>
      </c>
      <c r="AN38" s="207" t="e">
        <f>AM38/VLOOKUP("Prix HT",$C$1:$AM$38,AM$1,0)</f>
        <v>#REF!</v>
      </c>
    </row>
    <row r="39" spans="1:40" x14ac:dyDescent="0.2">
      <c r="AN39" s="135"/>
    </row>
    <row r="40" spans="1:40" x14ac:dyDescent="0.2">
      <c r="AN40" s="135"/>
    </row>
  </sheetData>
  <mergeCells count="43">
    <mergeCell ref="C38:D38"/>
    <mergeCell ref="AE2:AF2"/>
    <mergeCell ref="B2:B3"/>
    <mergeCell ref="C2:C3"/>
    <mergeCell ref="E2:F2"/>
    <mergeCell ref="G2:H2"/>
    <mergeCell ref="I2:J2"/>
    <mergeCell ref="K2:L2"/>
    <mergeCell ref="M2:N2"/>
    <mergeCell ref="O2:P2"/>
    <mergeCell ref="Q2:R2"/>
    <mergeCell ref="S2:T2"/>
    <mergeCell ref="U2:V2"/>
    <mergeCell ref="C31:D31"/>
    <mergeCell ref="C32:D32"/>
    <mergeCell ref="A4:A10"/>
    <mergeCell ref="A12:A17"/>
    <mergeCell ref="A18:A23"/>
    <mergeCell ref="A24:A26"/>
    <mergeCell ref="B28:B33"/>
    <mergeCell ref="AK28:AL28"/>
    <mergeCell ref="Q28:R28"/>
    <mergeCell ref="S28:T28"/>
    <mergeCell ref="U28:V28"/>
    <mergeCell ref="W28:X28"/>
    <mergeCell ref="Y28:Z28"/>
    <mergeCell ref="AA28:AB28"/>
    <mergeCell ref="AM28:AN28"/>
    <mergeCell ref="AM2:AN2"/>
    <mergeCell ref="C33:D33"/>
    <mergeCell ref="AC28:AD28"/>
    <mergeCell ref="AE28:AF28"/>
    <mergeCell ref="AG28:AH28"/>
    <mergeCell ref="AI28:AJ28"/>
    <mergeCell ref="E28:F28"/>
    <mergeCell ref="G28:H28"/>
    <mergeCell ref="I28:J28"/>
    <mergeCell ref="K28:L28"/>
    <mergeCell ref="M28:N28"/>
    <mergeCell ref="O28:P28"/>
    <mergeCell ref="C28:D28"/>
    <mergeCell ref="C29:D29"/>
    <mergeCell ref="C30:D30"/>
  </mergeCells>
  <dataValidations count="9">
    <dataValidation type="list" allowBlank="1" showInputMessage="1" promptTitle="MINIPELLE" prompt="choisir la prestation" sqref="C24:C25" xr:uid="{00000000-0002-0000-1600-000000000000}">
      <formula1>INDIRECT(B24)</formula1>
    </dataValidation>
    <dataValidation type="list" allowBlank="1" showInputMessage="1" showErrorMessage="1" promptTitle="Main d'oeuvre ATELIER" prompt="choisir la prestation" sqref="C12:C16" xr:uid="{00000000-0002-0000-1600-000001000000}">
      <formula1>INDIRECT(B12)</formula1>
    </dataValidation>
    <dataValidation type="list" allowBlank="1" showInputMessage="1" promptTitle="Main d'oeuvre CHANTIER" prompt="choisir la prestation" sqref="C18:C22" xr:uid="{00000000-0002-0000-1600-000002000000}">
      <formula1>INDIRECT(B18)</formula1>
    </dataValidation>
    <dataValidation type="list" allowBlank="1" showInputMessage="1" showErrorMessage="1" promptTitle="MATIERES" prompt="choisir le produit" sqref="C4:C10" xr:uid="{00000000-0002-0000-1600-000003000000}">
      <formula1>INDIRECT(B4)</formula1>
    </dataValidation>
    <dataValidation type="list" allowBlank="1" showInputMessage="1" showErrorMessage="1" promptTitle="MATIERES" prompt="choisir catégorie" sqref="B4:B8 B10" xr:uid="{00000000-0002-0000-1600-000004000000}">
      <formula1>MOA_ALIM</formula1>
    </dataValidation>
    <dataValidation type="list" allowBlank="1" showInputMessage="1" showErrorMessage="1" promptTitle="MO ATELIER" prompt="choisir catégorie" sqref="B12:B16" xr:uid="{00000000-0002-0000-1600-000005000000}">
      <formula1>CATEGORIE_MOA</formula1>
    </dataValidation>
    <dataValidation type="list" allowBlank="1" showInputMessage="1" showErrorMessage="1" promptTitle="Catégorie MOC" prompt="choisir" sqref="B18:B22" xr:uid="{00000000-0002-0000-1600-000006000000}">
      <formula1>CATEGORIE_MOC</formula1>
    </dataValidation>
    <dataValidation type="list" allowBlank="1" showInputMessage="1" showErrorMessage="1" promptTitle="MINIPELLE" prompt="choisir catégorie" sqref="B24:B25" xr:uid="{00000000-0002-0000-1600-000007000000}">
      <formula1>CATEGORIE_MP</formula1>
    </dataValidation>
    <dataValidation type="list" allowBlank="1" showInputMessage="1" showErrorMessage="1" promptTitle="MATIERES" prompt="choisir catégorie" sqref="B9" xr:uid="{6346CF0D-397D-4545-8185-5B986B4BF9A0}">
      <formula1>MA_CATEGORIE</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published="0" codeName="Feuil24"/>
  <dimension ref="A1:AN40"/>
  <sheetViews>
    <sheetView zoomScaleNormal="100" workbookViewId="0">
      <pane xSplit="4" ySplit="3" topLeftCell="E8" activePane="bottomRight" state="frozen"/>
      <selection pane="topRight" activeCell="E1" sqref="E1"/>
      <selection pane="bottomLeft" activeCell="A4" sqref="A4"/>
      <selection pane="bottomRight" activeCell="AK36" sqref="AK36:AL36"/>
    </sheetView>
  </sheetViews>
  <sheetFormatPr baseColWidth="10" defaultColWidth="11.125" defaultRowHeight="18" x14ac:dyDescent="0.2"/>
  <cols>
    <col min="1" max="1" width="18.125" style="210" customWidth="1"/>
    <col min="2" max="2" width="22.5" style="464"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807" width="11.5" customWidth="1"/>
  </cols>
  <sheetData>
    <row r="1" spans="1:40"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t="s">
        <v>467</v>
      </c>
    </row>
    <row r="2" spans="1:40" ht="35.1" customHeight="1" x14ac:dyDescent="0.2">
      <c r="A2" s="174"/>
      <c r="B2" s="1572" t="s">
        <v>1290</v>
      </c>
      <c r="C2" s="1574" t="s">
        <v>468</v>
      </c>
      <c r="D2" s="115" t="s">
        <v>203</v>
      </c>
      <c r="E2" s="1571">
        <v>2</v>
      </c>
      <c r="F2" s="1571"/>
      <c r="G2" s="1571">
        <v>3</v>
      </c>
      <c r="H2" s="1571"/>
      <c r="I2" s="1571">
        <v>4</v>
      </c>
      <c r="J2" s="1571"/>
      <c r="K2" s="1571">
        <v>5</v>
      </c>
      <c r="L2" s="1571"/>
      <c r="M2" s="1571">
        <v>6</v>
      </c>
      <c r="N2" s="1571"/>
      <c r="O2" s="1571">
        <v>7</v>
      </c>
      <c r="P2" s="1571"/>
      <c r="Q2" s="1571">
        <v>8</v>
      </c>
      <c r="R2" s="1571"/>
      <c r="S2" s="1571">
        <v>9</v>
      </c>
      <c r="T2" s="1571"/>
      <c r="U2" s="1571">
        <v>10</v>
      </c>
      <c r="V2" s="1571"/>
      <c r="W2" s="218">
        <v>12</v>
      </c>
      <c r="X2" s="463" t="s">
        <v>469</v>
      </c>
      <c r="Y2" s="463">
        <v>12</v>
      </c>
      <c r="Z2" s="465" t="s">
        <v>470</v>
      </c>
      <c r="AA2" s="218">
        <v>14</v>
      </c>
      <c r="AB2" s="463" t="s">
        <v>471</v>
      </c>
      <c r="AC2" s="218">
        <v>14</v>
      </c>
      <c r="AD2" s="463" t="s">
        <v>472</v>
      </c>
      <c r="AE2" s="1571">
        <v>16</v>
      </c>
      <c r="AF2" s="1571"/>
      <c r="AG2" s="218">
        <v>18</v>
      </c>
      <c r="AH2" s="463" t="s">
        <v>473</v>
      </c>
      <c r="AI2" s="218">
        <v>18</v>
      </c>
      <c r="AJ2" s="463" t="s">
        <v>474</v>
      </c>
      <c r="AK2" s="218">
        <v>20</v>
      </c>
      <c r="AL2" s="463" t="s">
        <v>475</v>
      </c>
      <c r="AM2" s="1619">
        <v>20</v>
      </c>
      <c r="AN2" s="1620"/>
    </row>
    <row r="3" spans="1:40" ht="35.1" customHeight="1" x14ac:dyDescent="0.2">
      <c r="A3" s="174"/>
      <c r="B3" s="1573"/>
      <c r="C3" s="1574"/>
      <c r="D3" s="176" t="s">
        <v>222</v>
      </c>
      <c r="E3" s="236" t="s">
        <v>444</v>
      </c>
      <c r="F3" s="466" t="s">
        <v>477</v>
      </c>
      <c r="G3" s="236" t="s">
        <v>444</v>
      </c>
      <c r="H3" s="466" t="s">
        <v>477</v>
      </c>
      <c r="I3" s="236" t="s">
        <v>444</v>
      </c>
      <c r="J3" s="466" t="s">
        <v>477</v>
      </c>
      <c r="K3" s="236" t="s">
        <v>444</v>
      </c>
      <c r="L3" s="466" t="s">
        <v>477</v>
      </c>
      <c r="M3" s="236" t="s">
        <v>444</v>
      </c>
      <c r="N3" s="466" t="s">
        <v>477</v>
      </c>
      <c r="O3" s="236" t="s">
        <v>444</v>
      </c>
      <c r="P3" s="466" t="s">
        <v>477</v>
      </c>
      <c r="Q3" s="220" t="s">
        <v>444</v>
      </c>
      <c r="R3" s="467" t="s">
        <v>477</v>
      </c>
      <c r="S3" s="236" t="s">
        <v>444</v>
      </c>
      <c r="T3" s="466" t="s">
        <v>477</v>
      </c>
      <c r="U3" s="236" t="s">
        <v>444</v>
      </c>
      <c r="V3" s="466" t="s">
        <v>477</v>
      </c>
      <c r="W3" s="236" t="s">
        <v>444</v>
      </c>
      <c r="X3" s="466" t="s">
        <v>477</v>
      </c>
      <c r="Y3" s="236" t="s">
        <v>444</v>
      </c>
      <c r="Z3" s="466" t="s">
        <v>477</v>
      </c>
      <c r="AA3" s="236" t="s">
        <v>444</v>
      </c>
      <c r="AB3" s="466" t="s">
        <v>477</v>
      </c>
      <c r="AC3" s="236" t="s">
        <v>444</v>
      </c>
      <c r="AD3" s="466" t="s">
        <v>477</v>
      </c>
      <c r="AE3" s="236" t="s">
        <v>444</v>
      </c>
      <c r="AF3" s="466" t="s">
        <v>477</v>
      </c>
      <c r="AG3" s="236" t="s">
        <v>444</v>
      </c>
      <c r="AH3" s="466" t="s">
        <v>477</v>
      </c>
      <c r="AI3" s="236" t="s">
        <v>444</v>
      </c>
      <c r="AJ3" s="466" t="s">
        <v>477</v>
      </c>
      <c r="AK3" s="236" t="s">
        <v>444</v>
      </c>
      <c r="AL3" s="466" t="s">
        <v>477</v>
      </c>
      <c r="AM3" s="236" t="s">
        <v>444</v>
      </c>
      <c r="AN3" s="1380" t="s">
        <v>477</v>
      </c>
    </row>
    <row r="4" spans="1:40" ht="15" customHeight="1" x14ac:dyDescent="0.2">
      <c r="A4" s="1630" t="s">
        <v>1078</v>
      </c>
      <c r="B4" s="361" t="s">
        <v>239</v>
      </c>
      <c r="C4" s="362" t="s">
        <v>780</v>
      </c>
      <c r="D4" s="363" t="str">
        <f>IF($C4="","",VLOOKUP($C4,MATIERES!$A$2:$F$227,5,0))</f>
        <v>ml</v>
      </c>
      <c r="E4" s="364">
        <f>4*1.3</f>
        <v>5.2</v>
      </c>
      <c r="F4" s="365">
        <f>IF($C4="","",E4*VLOOKUP($C4,MATIERES!$A$2:$F$349,4,0))</f>
        <v>12.740000000000002</v>
      </c>
      <c r="G4" s="364">
        <f>4*1.3</f>
        <v>5.2</v>
      </c>
      <c r="H4" s="365">
        <f>IF($C4="","",G4*VLOOKUP($C4,MATIERES!$A$2:$F$349,4,0))</f>
        <v>12.740000000000002</v>
      </c>
      <c r="I4" s="364">
        <f>4*1.3</f>
        <v>5.2</v>
      </c>
      <c r="J4" s="365">
        <f>IF($C4="","",I4*VLOOKUP($C4,MATIERES!$A$2:$F$349,4,0))</f>
        <v>12.740000000000002</v>
      </c>
      <c r="K4" s="364">
        <f>4*1.3</f>
        <v>5.2</v>
      </c>
      <c r="L4" s="365">
        <f>IF($C4="","",K4*VLOOKUP($C4,MATIERES!$A$2:$F$349,4,0))</f>
        <v>12.740000000000002</v>
      </c>
      <c r="M4" s="364">
        <f>4*1.3</f>
        <v>5.2</v>
      </c>
      <c r="N4" s="365">
        <f>IF($C4="","",M4*VLOOKUP($C4,MATIERES!$A$2:$F$349,4,0))</f>
        <v>12.740000000000002</v>
      </c>
      <c r="O4" s="364">
        <f>4*1.3</f>
        <v>5.2</v>
      </c>
      <c r="P4" s="365">
        <f>IF($C4="","",O4*VLOOKUP($C4,MATIERES!$A$2:$F$349,4,0))</f>
        <v>12.740000000000002</v>
      </c>
      <c r="Q4" s="364">
        <f>4*1.3</f>
        <v>5.2</v>
      </c>
      <c r="R4" s="365">
        <f>IF($C4="","",Q4*VLOOKUP($C4,MATIERES!$A$2:$F$349,4,0))</f>
        <v>12.740000000000002</v>
      </c>
      <c r="S4" s="364">
        <f>4*1.3</f>
        <v>5.2</v>
      </c>
      <c r="T4" s="365">
        <f>IF($C4="","",S4*VLOOKUP($C4,MATIERES!$A$2:$F$349,4,0))</f>
        <v>12.740000000000002</v>
      </c>
      <c r="U4" s="364">
        <f>4*1.3</f>
        <v>5.2</v>
      </c>
      <c r="V4" s="365">
        <f>IF($C4="","",U4*VLOOKUP($C4,MATIERES!$A$2:$F$349,4,0))</f>
        <v>12.740000000000002</v>
      </c>
      <c r="W4" s="364">
        <f>4*1.3</f>
        <v>5.2</v>
      </c>
      <c r="X4" s="365">
        <f>IF($C4="","",W4*VLOOKUP($C4,MATIERES!$A$2:$F$349,4,0))</f>
        <v>12.740000000000002</v>
      </c>
      <c r="Y4" s="364">
        <f>4*1.3</f>
        <v>5.2</v>
      </c>
      <c r="Z4" s="365">
        <f>IF($C4="","",Y4*VLOOKUP($C4,MATIERES!$A$2:$F$349,4,0))</f>
        <v>12.740000000000002</v>
      </c>
      <c r="AA4" s="364">
        <f>4*1.3</f>
        <v>5.2</v>
      </c>
      <c r="AB4" s="365">
        <f>IF($C4="","",AA4*VLOOKUP($C4,MATIERES!$A$2:$F$349,4,0))</f>
        <v>12.740000000000002</v>
      </c>
      <c r="AC4" s="364">
        <f>4*1.3</f>
        <v>5.2</v>
      </c>
      <c r="AD4" s="365">
        <f>IF($C4="","",AC4*VLOOKUP($C4,MATIERES!$A$2:$F$349,4,0))</f>
        <v>12.740000000000002</v>
      </c>
      <c r="AE4" s="364">
        <f>4*1.3</f>
        <v>5.2</v>
      </c>
      <c r="AF4" s="365">
        <f>IF($C4="","",AE4*VLOOKUP($C4,MATIERES!$A$2:$F$349,4,0))</f>
        <v>12.740000000000002</v>
      </c>
      <c r="AG4" s="364">
        <f>4*1.3</f>
        <v>5.2</v>
      </c>
      <c r="AH4" s="365">
        <f>IF($C4="","",AG4*VLOOKUP($C4,MATIERES!$A$2:$F$349,4,0))</f>
        <v>12.740000000000002</v>
      </c>
      <c r="AI4" s="364">
        <f>4*1.3</f>
        <v>5.2</v>
      </c>
      <c r="AJ4" s="365">
        <f>IF($C4="","",AI4*VLOOKUP($C4,MATIERES!$A$2:$F$349,4,0))</f>
        <v>12.740000000000002</v>
      </c>
      <c r="AK4" s="364">
        <f>4*1.3</f>
        <v>5.2</v>
      </c>
      <c r="AL4" s="365">
        <f>IF($C4="","",AK4*VLOOKUP($C4,MATIERES!$A$2:$F$349,4,0))</f>
        <v>12.740000000000002</v>
      </c>
      <c r="AM4" s="364">
        <f>4*1.3</f>
        <v>5.2</v>
      </c>
      <c r="AN4" s="365">
        <f>IF($C4="","",AM4*VLOOKUP($C4,MATIERES!$A$2:$F$349,4,0))</f>
        <v>12.740000000000002</v>
      </c>
    </row>
    <row r="5" spans="1:40" ht="14.25" customHeight="1" x14ac:dyDescent="0.2">
      <c r="A5" s="1631"/>
      <c r="B5" s="361" t="s">
        <v>239</v>
      </c>
      <c r="C5" s="362" t="s">
        <v>779</v>
      </c>
      <c r="D5" s="363" t="str">
        <f>IF($C5="","",VLOOKUP($C5,MATIERES!$A$2:$F$227,5,0))</f>
        <v>ml</v>
      </c>
      <c r="E5" s="364">
        <f>('Outils de calculs'!E26+2*'Outils de calculs'!E31)*1.1</f>
        <v>12.54</v>
      </c>
      <c r="F5" s="365">
        <f>IF($C5="","",E5*VLOOKUP($C5,MATIERES!$A$2:$F$349,4,0))</f>
        <v>23.700599999999998</v>
      </c>
      <c r="G5" s="364">
        <f>('Outils de calculs'!G26+2*'Outils de calculs'!G31)*1.1</f>
        <v>15.400000000000002</v>
      </c>
      <c r="H5" s="365">
        <f>IF($C5="","",G5*VLOOKUP($C5,MATIERES!$A$2:$F$349,4,0))</f>
        <v>29.106000000000002</v>
      </c>
      <c r="I5" s="364">
        <f>('Outils de calculs'!I26+2*'Outils de calculs'!I31)*1.1</f>
        <v>17.600000000000001</v>
      </c>
      <c r="J5" s="365">
        <f>IF($C5="","",I5*VLOOKUP($C5,MATIERES!$A$2:$F$349,4,0))</f>
        <v>33.264000000000003</v>
      </c>
      <c r="K5" s="364">
        <f>('Outils de calculs'!K26+2*'Outils de calculs'!K31)*1.1</f>
        <v>19.8</v>
      </c>
      <c r="L5" s="365">
        <f>IF($C5="","",K5*VLOOKUP($C5,MATIERES!$A$2:$F$349,4,0))</f>
        <v>37.421999999999997</v>
      </c>
      <c r="M5" s="364">
        <f>('Outils de calculs'!M26+2*'Outils de calculs'!M31)*1.1</f>
        <v>22</v>
      </c>
      <c r="N5" s="365">
        <f>IF($C5="","",M5*VLOOKUP($C5,MATIERES!$A$2:$F$349,4,0))</f>
        <v>41.58</v>
      </c>
      <c r="O5" s="364">
        <f>('Outils de calculs'!O26+2*'Outils de calculs'!O31)*1.1</f>
        <v>24.200000000000003</v>
      </c>
      <c r="P5" s="365">
        <f>IF($C5="","",O5*VLOOKUP($C5,MATIERES!$A$2:$F$349,4,0))</f>
        <v>45.738</v>
      </c>
      <c r="Q5" s="364">
        <f>('Outils de calculs'!Q26+2*'Outils de calculs'!Q31)*1.1</f>
        <v>26.400000000000002</v>
      </c>
      <c r="R5" s="365">
        <f>IF($C5="","",Q5*VLOOKUP($C5,MATIERES!$A$2:$F$349,4,0))</f>
        <v>49.896000000000001</v>
      </c>
      <c r="S5" s="364">
        <f>('Outils de calculs'!S26+2*'Outils de calculs'!S31)*1.1</f>
        <v>27.500000000000004</v>
      </c>
      <c r="T5" s="365">
        <f>IF($C5="","",S5*VLOOKUP($C5,MATIERES!$A$2:$F$349,4,0))</f>
        <v>51.975000000000001</v>
      </c>
      <c r="U5" s="364">
        <f>('Outils de calculs'!U26+2*'Outils de calculs'!U31)*1.1</f>
        <v>28.6</v>
      </c>
      <c r="V5" s="365">
        <f>IF($C5="","",U5*VLOOKUP($C5,MATIERES!$A$2:$F$349,4,0))</f>
        <v>54.054000000000002</v>
      </c>
      <c r="W5" s="364">
        <f>('Outils de calculs'!W26+2*'Outils de calculs'!W31)*1.1</f>
        <v>30.800000000000004</v>
      </c>
      <c r="X5" s="365">
        <f>IF($C5="","",W5*VLOOKUP($C5,MATIERES!$A$2:$F$349,4,0))</f>
        <v>58.212000000000003</v>
      </c>
      <c r="Y5" s="364">
        <f>('Outils de calculs'!Y26+2*'Outils de calculs'!Y31)*1.1</f>
        <v>30.800000000000004</v>
      </c>
      <c r="Z5" s="365">
        <f>IF($C5="","",Y5*VLOOKUP($C5,MATIERES!$A$2:$F$349,4,0))</f>
        <v>58.212000000000003</v>
      </c>
      <c r="AA5" s="364">
        <f>('Outils de calculs'!AA26+2*'Outils de calculs'!AA31)*1.1</f>
        <v>33</v>
      </c>
      <c r="AB5" s="365">
        <f>IF($C5="","",AA5*VLOOKUP($C5,MATIERES!$A$2:$F$349,4,0))</f>
        <v>62.37</v>
      </c>
      <c r="AC5" s="364">
        <f>('Outils de calculs'!AC26+2*'Outils de calculs'!AC31)*1.1</f>
        <v>33</v>
      </c>
      <c r="AD5" s="365">
        <f>IF($C5="","",AC5*VLOOKUP($C5,MATIERES!$A$2:$F$349,4,0))</f>
        <v>62.37</v>
      </c>
      <c r="AE5" s="364">
        <f>('Outils de calculs'!AE26+2*'Outils de calculs'!AE31)*1.1</f>
        <v>35.200000000000003</v>
      </c>
      <c r="AF5" s="365">
        <f>IF($C5="","",AE5*VLOOKUP($C5,MATIERES!$A$2:$F$349,4,0))</f>
        <v>66.528000000000006</v>
      </c>
      <c r="AG5" s="364">
        <f>('Outils de calculs'!AG26+2*'Outils de calculs'!AG31)*1.1</f>
        <v>37.400000000000006</v>
      </c>
      <c r="AH5" s="365">
        <f>IF($C5="","",AG5*VLOOKUP($C5,MATIERES!$A$2:$F$349,4,0))</f>
        <v>70.686000000000007</v>
      </c>
      <c r="AI5" s="364">
        <f>('Outils de calculs'!AI26+2*'Outils de calculs'!AI31)*1.1</f>
        <v>37.400000000000006</v>
      </c>
      <c r="AJ5" s="365">
        <f>IF($C5="","",AI5*VLOOKUP($C5,MATIERES!$A$2:$F$349,4,0))</f>
        <v>70.686000000000007</v>
      </c>
      <c r="AK5" s="364">
        <f>('Outils de calculs'!AK26+2*'Outils de calculs'!AK31)*1.1</f>
        <v>39.6</v>
      </c>
      <c r="AL5" s="365">
        <f>IF($C5="","",AK5*VLOOKUP($C5,MATIERES!$A$2:$F$349,4,0))</f>
        <v>74.843999999999994</v>
      </c>
      <c r="AM5" s="364">
        <f>('Outils de calculs'!AM26+2*'Outils de calculs'!AM31)*1.1</f>
        <v>39.6</v>
      </c>
      <c r="AN5" s="365">
        <f>IF($C5="","",AM5*VLOOKUP($C5,MATIERES!$A$2:$F$349,4,0))</f>
        <v>74.843999999999994</v>
      </c>
    </row>
    <row r="6" spans="1:40" ht="14.25" customHeight="1" x14ac:dyDescent="0.2">
      <c r="A6" s="1631"/>
      <c r="B6" s="361" t="s">
        <v>736</v>
      </c>
      <c r="C6" s="362" t="s">
        <v>108</v>
      </c>
      <c r="D6" s="363" t="str">
        <f>IF($C6="","",VLOOKUP($C6,MATIERES!$A$2:$F$227,5,0))</f>
        <v>ml</v>
      </c>
      <c r="E6" s="364">
        <f>'Outils de calculs'!E26+0.3</f>
        <v>8.5</v>
      </c>
      <c r="F6" s="365">
        <f>IF($C6="","",E6*VLOOKUP($C6,MATIERES!$A$2:$F$349,4,0))</f>
        <v>27.625</v>
      </c>
      <c r="G6" s="364">
        <f>'Outils de calculs'!G26+0.3</f>
        <v>10.3</v>
      </c>
      <c r="H6" s="365">
        <f>IF($C6="","",G6*VLOOKUP($C6,MATIERES!$A$2:$F$349,4,0))</f>
        <v>33.475000000000001</v>
      </c>
      <c r="I6" s="364">
        <f>'Outils de calculs'!I26+0.3</f>
        <v>12.3</v>
      </c>
      <c r="J6" s="365">
        <f>IF($C6="","",I6*VLOOKUP($C6,MATIERES!$A$2:$F$349,4,0))</f>
        <v>39.975000000000001</v>
      </c>
      <c r="K6" s="364">
        <f>'Outils de calculs'!K26+0.3</f>
        <v>13.3</v>
      </c>
      <c r="L6" s="365">
        <f>IF($C6="","",K6*VLOOKUP($C6,MATIERES!$A$2:$F$349,4,0))</f>
        <v>43.225000000000001</v>
      </c>
      <c r="M6" s="364">
        <f>'Outils de calculs'!M26+0.3</f>
        <v>14.3</v>
      </c>
      <c r="N6" s="365">
        <f>IF($C6="","",M6*VLOOKUP($C6,MATIERES!$A$2:$F$349,4,0))</f>
        <v>46.475000000000001</v>
      </c>
      <c r="O6" s="364">
        <f>'Outils de calculs'!O26+0.3</f>
        <v>15.3</v>
      </c>
      <c r="P6" s="365">
        <f>IF($C6="","",O6*VLOOKUP($C6,MATIERES!$A$2:$F$349,4,0))</f>
        <v>49.725000000000001</v>
      </c>
      <c r="Q6" s="364">
        <f>'Outils de calculs'!Q26+0.3</f>
        <v>16.3</v>
      </c>
      <c r="R6" s="365">
        <f>IF($C6="","",Q6*VLOOKUP($C6,MATIERES!$A$2:$F$349,4,0))</f>
        <v>52.975000000000001</v>
      </c>
      <c r="S6" s="364">
        <f>'Outils de calculs'!S26+0.3</f>
        <v>17.3</v>
      </c>
      <c r="T6" s="365">
        <f>IF($C6="","",S6*VLOOKUP($C6,MATIERES!$A$2:$F$349,4,0))</f>
        <v>56.225000000000001</v>
      </c>
      <c r="U6" s="364">
        <f>'Outils de calculs'!U26+0.3</f>
        <v>18.3</v>
      </c>
      <c r="V6" s="365">
        <f>IF($C6="","",U6*VLOOKUP($C6,MATIERES!$A$2:$F$349,4,0))</f>
        <v>59.475000000000001</v>
      </c>
      <c r="W6" s="364">
        <f>'Outils de calculs'!W26+0.3</f>
        <v>20.3</v>
      </c>
      <c r="X6" s="365">
        <f>IF($C6="","",W6*VLOOKUP($C6,MATIERES!$A$2:$F$349,4,0))</f>
        <v>65.975000000000009</v>
      </c>
      <c r="Y6" s="364">
        <f>'Outils de calculs'!Y26+0.3</f>
        <v>22.3</v>
      </c>
      <c r="Z6" s="365">
        <f>IF($C6="","",Y6*VLOOKUP($C6,MATIERES!$A$2:$F$349,4,0))</f>
        <v>72.475000000000009</v>
      </c>
      <c r="AA6" s="364">
        <f>'Outils de calculs'!AA26+0.3</f>
        <v>23.3</v>
      </c>
      <c r="AB6" s="365">
        <f>IF($C6="","",AA6*VLOOKUP($C6,MATIERES!$A$2:$F$349,4,0))</f>
        <v>75.725000000000009</v>
      </c>
      <c r="AC6" s="364">
        <f>'Outils de calculs'!AC26+0.3</f>
        <v>22.3</v>
      </c>
      <c r="AD6" s="365">
        <f>IF($C6="","",AC6*VLOOKUP($C6,MATIERES!$A$2:$F$349,4,0))</f>
        <v>72.475000000000009</v>
      </c>
      <c r="AE6" s="364">
        <f>'Outils de calculs'!AE26+0.3</f>
        <v>24.3</v>
      </c>
      <c r="AF6" s="365">
        <f>IF($C6="","",AE6*VLOOKUP($C6,MATIERES!$A$2:$F$349,4,0))</f>
        <v>78.975000000000009</v>
      </c>
      <c r="AG6" s="364">
        <f>'Outils de calculs'!AG26+0.3</f>
        <v>25.3</v>
      </c>
      <c r="AH6" s="365">
        <f>IF($C6="","",AG6*VLOOKUP($C6,MATIERES!$A$2:$F$349,4,0))</f>
        <v>82.225000000000009</v>
      </c>
      <c r="AI6" s="364">
        <f>'Outils de calculs'!AI26+0.3</f>
        <v>26.3</v>
      </c>
      <c r="AJ6" s="365">
        <f>IF($C6="","",AI6*VLOOKUP($C6,MATIERES!$A$2:$F$349,4,0))</f>
        <v>85.475000000000009</v>
      </c>
      <c r="AK6" s="364">
        <f>'Outils de calculs'!AK26+0.3</f>
        <v>28.3</v>
      </c>
      <c r="AL6" s="365">
        <f>IF($C6="","",AK6*VLOOKUP($C6,MATIERES!$A$2:$F$349,4,0))</f>
        <v>91.975000000000009</v>
      </c>
      <c r="AM6" s="364">
        <f>'Outils de calculs'!AM26+0.3</f>
        <v>26.3</v>
      </c>
      <c r="AN6" s="365">
        <f>IF($C6="","",AM6*VLOOKUP($C6,MATIERES!$A$2:$F$349,4,0))</f>
        <v>85.475000000000009</v>
      </c>
    </row>
    <row r="7" spans="1:40" ht="15" customHeight="1" x14ac:dyDescent="0.2">
      <c r="A7" s="1631"/>
      <c r="B7" s="361" t="s">
        <v>1069</v>
      </c>
      <c r="C7" s="362" t="s">
        <v>761</v>
      </c>
      <c r="D7" s="363" t="str">
        <f>IF($C7="","",VLOOKUP($C7,MATIERES!$A$2:$F$227,5,0))</f>
        <v>ml</v>
      </c>
      <c r="E7" s="364">
        <f>'Outils de calculs'!E26</f>
        <v>8.1999999999999993</v>
      </c>
      <c r="F7" s="365">
        <f>IF($C7="","",E7*VLOOKUP($C7,MATIERES!$A$2:$F$349,4,0))</f>
        <v>55.267999999999994</v>
      </c>
      <c r="G7" s="364">
        <f>'Outils de calculs'!G26</f>
        <v>10</v>
      </c>
      <c r="H7" s="365">
        <f>IF($C7="","",G7*VLOOKUP($C7,MATIERES!$A$2:$F$349,4,0))</f>
        <v>67.400000000000006</v>
      </c>
      <c r="I7" s="364">
        <f>'Outils de calculs'!I26</f>
        <v>12</v>
      </c>
      <c r="J7" s="365">
        <f>IF($C7="","",I7*VLOOKUP($C7,MATIERES!$A$2:$F$349,4,0))</f>
        <v>80.88</v>
      </c>
      <c r="K7" s="364">
        <f>'Outils de calculs'!K26</f>
        <v>13</v>
      </c>
      <c r="L7" s="365">
        <f>IF($C7="","",K7*VLOOKUP($C7,MATIERES!$A$2:$F$349,4,0))</f>
        <v>87.62</v>
      </c>
      <c r="M7" s="364">
        <f>'Outils de calculs'!M26</f>
        <v>14</v>
      </c>
      <c r="N7" s="365">
        <f>IF($C7="","",M7*VLOOKUP($C7,MATIERES!$A$2:$F$349,4,0))</f>
        <v>94.36</v>
      </c>
      <c r="O7" s="364">
        <f>'Outils de calculs'!O26</f>
        <v>15</v>
      </c>
      <c r="P7" s="365">
        <f>IF($C7="","",O7*VLOOKUP($C7,MATIERES!$A$2:$F$349,4,0))</f>
        <v>101.10000000000001</v>
      </c>
      <c r="Q7" s="364">
        <f>'Outils de calculs'!Q26</f>
        <v>16</v>
      </c>
      <c r="R7" s="365">
        <f>IF($C7="","",Q7*VLOOKUP($C7,MATIERES!$A$2:$F$349,4,0))</f>
        <v>107.84</v>
      </c>
      <c r="S7" s="364">
        <f>'Outils de calculs'!S26</f>
        <v>17</v>
      </c>
      <c r="T7" s="365">
        <f>IF($C7="","",S7*VLOOKUP($C7,MATIERES!$A$2:$F$349,4,0))</f>
        <v>114.58</v>
      </c>
      <c r="U7" s="364">
        <f>'Outils de calculs'!U26</f>
        <v>18</v>
      </c>
      <c r="V7" s="365">
        <f>IF($C7="","",U7*VLOOKUP($C7,MATIERES!$A$2:$F$349,4,0))</f>
        <v>121.32000000000001</v>
      </c>
      <c r="W7" s="364">
        <f>'Outils de calculs'!W26</f>
        <v>20</v>
      </c>
      <c r="X7" s="365">
        <f>IF($C7="","",W7*VLOOKUP($C7,MATIERES!$A$2:$F$349,4,0))</f>
        <v>134.80000000000001</v>
      </c>
      <c r="Y7" s="364">
        <f>'Outils de calculs'!Y26</f>
        <v>22</v>
      </c>
      <c r="Z7" s="365">
        <f>IF($C7="","",Y7*VLOOKUP($C7,MATIERES!$A$2:$F$349,4,0))</f>
        <v>148.28</v>
      </c>
      <c r="AA7" s="364">
        <f>'Outils de calculs'!AA26</f>
        <v>23</v>
      </c>
      <c r="AB7" s="365">
        <f>IF($C7="","",AA7*VLOOKUP($C7,MATIERES!$A$2:$F$349,4,0))</f>
        <v>155.02000000000001</v>
      </c>
      <c r="AC7" s="364">
        <f>'Outils de calculs'!AC26</f>
        <v>22</v>
      </c>
      <c r="AD7" s="365">
        <f>IF($C7="","",AC7*VLOOKUP($C7,MATIERES!$A$2:$F$349,4,0))</f>
        <v>148.28</v>
      </c>
      <c r="AE7" s="364">
        <f>'Outils de calculs'!AE26</f>
        <v>24</v>
      </c>
      <c r="AF7" s="365">
        <f>IF($C7="","",AE7*VLOOKUP($C7,MATIERES!$A$2:$F$349,4,0))</f>
        <v>161.76</v>
      </c>
      <c r="AG7" s="364">
        <f>'Outils de calculs'!AG26</f>
        <v>25</v>
      </c>
      <c r="AH7" s="365">
        <f>IF($C7="","",AG7*VLOOKUP($C7,MATIERES!$A$2:$F$349,4,0))</f>
        <v>168.5</v>
      </c>
      <c r="AI7" s="364">
        <f>'Outils de calculs'!AI26</f>
        <v>26</v>
      </c>
      <c r="AJ7" s="365">
        <f>IF($C7="","",AI7*VLOOKUP($C7,MATIERES!$A$2:$F$349,4,0))</f>
        <v>175.24</v>
      </c>
      <c r="AK7" s="364">
        <f>'Outils de calculs'!AK26</f>
        <v>28</v>
      </c>
      <c r="AL7" s="365">
        <f>IF($C7="","",AK7*VLOOKUP($C7,MATIERES!$A$2:$F$349,4,0))</f>
        <v>188.72</v>
      </c>
      <c r="AM7" s="364">
        <f>'Outils de calculs'!AM26</f>
        <v>26</v>
      </c>
      <c r="AN7" s="365">
        <f>IF($C7="","",AM7*VLOOKUP($C7,MATIERES!$A$2:$F$349,4,0))</f>
        <v>175.24</v>
      </c>
    </row>
    <row r="8" spans="1:40" ht="15" customHeight="1" x14ac:dyDescent="0.2">
      <c r="A8" s="1631"/>
      <c r="B8" s="361" t="s">
        <v>764</v>
      </c>
      <c r="C8" s="362" t="s">
        <v>768</v>
      </c>
      <c r="D8" s="363" t="str">
        <f>IF($C8="","",VLOOKUP($C8,MATIERES!$A$2:$F$413,5,0))</f>
        <v>pc</v>
      </c>
      <c r="E8" s="364">
        <f>12</f>
        <v>12</v>
      </c>
      <c r="F8" s="365">
        <f>IF($C8="","",E8*VLOOKUP($C8,MATIERES!$A$2:$F$349,4,0))</f>
        <v>4.7380000000000004</v>
      </c>
      <c r="G8" s="364">
        <f>12</f>
        <v>12</v>
      </c>
      <c r="H8" s="365">
        <f>IF($C8="","",G8*VLOOKUP($C8,MATIERES!$A$2:$F$349,4,0))</f>
        <v>4.7380000000000004</v>
      </c>
      <c r="I8" s="364">
        <f>12</f>
        <v>12</v>
      </c>
      <c r="J8" s="365">
        <f>IF($C8="","",I8*VLOOKUP($C8,MATIERES!$A$2:$F$349,4,0))</f>
        <v>4.7380000000000004</v>
      </c>
      <c r="K8" s="364">
        <f>12</f>
        <v>12</v>
      </c>
      <c r="L8" s="365">
        <f>IF($C8="","",K8*VLOOKUP($C8,MATIERES!$A$2:$F$349,4,0))</f>
        <v>4.7380000000000004</v>
      </c>
      <c r="M8" s="364">
        <f>12</f>
        <v>12</v>
      </c>
      <c r="N8" s="365">
        <f>IF($C8="","",M8*VLOOKUP($C8,MATIERES!$A$2:$F$349,4,0))</f>
        <v>4.7380000000000004</v>
      </c>
      <c r="O8" s="364">
        <f>12</f>
        <v>12</v>
      </c>
      <c r="P8" s="365">
        <f>IF($C8="","",O8*VLOOKUP($C8,MATIERES!$A$2:$F$349,4,0))</f>
        <v>4.7380000000000004</v>
      </c>
      <c r="Q8" s="364">
        <f>12</f>
        <v>12</v>
      </c>
      <c r="R8" s="365">
        <f>IF($C8="","",Q8*VLOOKUP($C8,MATIERES!$A$2:$F$349,4,0))</f>
        <v>4.7380000000000004</v>
      </c>
      <c r="S8" s="364">
        <f>12</f>
        <v>12</v>
      </c>
      <c r="T8" s="365">
        <f>IF($C8="","",S8*VLOOKUP($C8,MATIERES!$A$2:$F$349,4,0))</f>
        <v>4.7380000000000004</v>
      </c>
      <c r="U8" s="364">
        <f>12</f>
        <v>12</v>
      </c>
      <c r="V8" s="365">
        <f>IF($C8="","",U8*VLOOKUP($C8,MATIERES!$A$2:$F$349,4,0))</f>
        <v>4.7380000000000004</v>
      </c>
      <c r="W8" s="364">
        <f>12</f>
        <v>12</v>
      </c>
      <c r="X8" s="365">
        <f>IF($C8="","",W8*VLOOKUP($C8,MATIERES!$A$2:$F$349,4,0))</f>
        <v>4.7380000000000004</v>
      </c>
      <c r="Y8" s="364">
        <f>12</f>
        <v>12</v>
      </c>
      <c r="Z8" s="365">
        <f>IF($C8="","",Y8*VLOOKUP($C8,MATIERES!$A$2:$F$349,4,0))</f>
        <v>4.7380000000000004</v>
      </c>
      <c r="AA8" s="364">
        <f>12</f>
        <v>12</v>
      </c>
      <c r="AB8" s="365">
        <f>IF($C8="","",AA8*VLOOKUP($C8,MATIERES!$A$2:$F$349,4,0))</f>
        <v>4.7380000000000004</v>
      </c>
      <c r="AC8" s="364">
        <f>12</f>
        <v>12</v>
      </c>
      <c r="AD8" s="365">
        <f>IF($C8="","",AC8*VLOOKUP($C8,MATIERES!$A$2:$F$349,4,0))</f>
        <v>4.7380000000000004</v>
      </c>
      <c r="AE8" s="364">
        <f>12</f>
        <v>12</v>
      </c>
      <c r="AF8" s="365">
        <f>IF($C8="","",AE8*VLOOKUP($C8,MATIERES!$A$2:$F$349,4,0))</f>
        <v>4.7380000000000004</v>
      </c>
      <c r="AG8" s="364">
        <f>12</f>
        <v>12</v>
      </c>
      <c r="AH8" s="365">
        <f>IF($C8="","",AG8*VLOOKUP($C8,MATIERES!$A$2:$F$349,4,0))</f>
        <v>4.7380000000000004</v>
      </c>
      <c r="AI8" s="364">
        <f>12</f>
        <v>12</v>
      </c>
      <c r="AJ8" s="365">
        <f>IF($C8="","",AI8*VLOOKUP($C8,MATIERES!$A$2:$F$349,4,0))</f>
        <v>4.7380000000000004</v>
      </c>
      <c r="AK8" s="364">
        <f>12</f>
        <v>12</v>
      </c>
      <c r="AL8" s="365">
        <f>IF($C8="","",AK8*VLOOKUP($C8,MATIERES!$A$2:$F$349,4,0))</f>
        <v>4.7380000000000004</v>
      </c>
      <c r="AM8" s="364">
        <f>12</f>
        <v>12</v>
      </c>
      <c r="AN8" s="365">
        <f>IF($C8="","",AM8*VLOOKUP($C8,MATIERES!$A$2:$F$349,4,0))</f>
        <v>4.7380000000000004</v>
      </c>
    </row>
    <row r="9" spans="1:40" ht="15" customHeight="1" x14ac:dyDescent="0.2">
      <c r="A9" s="1631"/>
      <c r="B9" s="361" t="s">
        <v>764</v>
      </c>
      <c r="C9" s="362" t="s">
        <v>767</v>
      </c>
      <c r="D9" s="363" t="str">
        <f>IF($C9="","",VLOOKUP($C9,MATIERES!$A$2:$F$413,5,0))</f>
        <v>pc</v>
      </c>
      <c r="E9" s="364">
        <f>E7*4</f>
        <v>32.799999999999997</v>
      </c>
      <c r="F9" s="365">
        <f>IF($C9="","",E9*VLOOKUP($C9,MATIERES!$A$2:$F$349,4,0))</f>
        <v>6.1335999999999995</v>
      </c>
      <c r="G9" s="364">
        <f>G7*4</f>
        <v>40</v>
      </c>
      <c r="H9" s="365">
        <f>IF($C9="","",G9*VLOOKUP($C9,MATIERES!$A$2:$F$349,4,0))</f>
        <v>7.48</v>
      </c>
      <c r="I9" s="364">
        <f>I7*4</f>
        <v>48</v>
      </c>
      <c r="J9" s="365">
        <f>IF($C9="","",I9*VLOOKUP($C9,MATIERES!$A$2:$F$349,4,0))</f>
        <v>8.9759999999999991</v>
      </c>
      <c r="K9" s="364">
        <f>K7*4</f>
        <v>52</v>
      </c>
      <c r="L9" s="365">
        <f>IF($C9="","",K9*VLOOKUP($C9,MATIERES!$A$2:$F$349,4,0))</f>
        <v>9.7240000000000002</v>
      </c>
      <c r="M9" s="364">
        <f>M7*4</f>
        <v>56</v>
      </c>
      <c r="N9" s="365">
        <f>IF($C9="","",M9*VLOOKUP($C9,MATIERES!$A$2:$F$349,4,0))</f>
        <v>10.472</v>
      </c>
      <c r="O9" s="364">
        <f>O7*4</f>
        <v>60</v>
      </c>
      <c r="P9" s="365">
        <f>IF($C9="","",O9*VLOOKUP($C9,MATIERES!$A$2:$F$349,4,0))</f>
        <v>11.22</v>
      </c>
      <c r="Q9" s="364">
        <f>Q7*4</f>
        <v>64</v>
      </c>
      <c r="R9" s="365">
        <f>IF($C9="","",Q9*VLOOKUP($C9,MATIERES!$A$2:$F$349,4,0))</f>
        <v>11.968</v>
      </c>
      <c r="S9" s="364">
        <f>S7*4</f>
        <v>68</v>
      </c>
      <c r="T9" s="365">
        <f>IF($C9="","",S9*VLOOKUP($C9,MATIERES!$A$2:$F$349,4,0))</f>
        <v>12.715999999999999</v>
      </c>
      <c r="U9" s="364">
        <f>U7*4</f>
        <v>72</v>
      </c>
      <c r="V9" s="365">
        <f>IF($C9="","",U9*VLOOKUP($C9,MATIERES!$A$2:$F$349,4,0))</f>
        <v>13.464</v>
      </c>
      <c r="W9" s="364">
        <f>W7*4</f>
        <v>80</v>
      </c>
      <c r="X9" s="365">
        <f>IF($C9="","",W9*VLOOKUP($C9,MATIERES!$A$2:$F$349,4,0))</f>
        <v>14.96</v>
      </c>
      <c r="Y9" s="364">
        <f>Y7*4</f>
        <v>88</v>
      </c>
      <c r="Z9" s="365">
        <f>IF($C9="","",Y9*VLOOKUP($C9,MATIERES!$A$2:$F$349,4,0))</f>
        <v>16.456</v>
      </c>
      <c r="AA9" s="364">
        <f>AA7*4</f>
        <v>92</v>
      </c>
      <c r="AB9" s="365">
        <f>IF($C9="","",AA9*VLOOKUP($C9,MATIERES!$A$2:$F$349,4,0))</f>
        <v>17.204000000000001</v>
      </c>
      <c r="AC9" s="364">
        <f>AC7*4</f>
        <v>88</v>
      </c>
      <c r="AD9" s="365">
        <f>IF($C9="","",AC9*VLOOKUP($C9,MATIERES!$A$2:$F$349,4,0))</f>
        <v>16.456</v>
      </c>
      <c r="AE9" s="364">
        <f>AE7*4</f>
        <v>96</v>
      </c>
      <c r="AF9" s="365">
        <f>IF($C9="","",AE9*VLOOKUP($C9,MATIERES!$A$2:$F$349,4,0))</f>
        <v>17.951999999999998</v>
      </c>
      <c r="AG9" s="364">
        <f>AG7*4</f>
        <v>100</v>
      </c>
      <c r="AH9" s="365">
        <f>IF($C9="","",AG9*VLOOKUP($C9,MATIERES!$A$2:$F$349,4,0))</f>
        <v>18.7</v>
      </c>
      <c r="AI9" s="364">
        <f>AI7*4</f>
        <v>104</v>
      </c>
      <c r="AJ9" s="365">
        <f>IF($C9="","",AI9*VLOOKUP($C9,MATIERES!$A$2:$F$349,4,0))</f>
        <v>19.448</v>
      </c>
      <c r="AK9" s="364">
        <f>AK7*4</f>
        <v>112</v>
      </c>
      <c r="AL9" s="365">
        <f>IF($C9="","",AK9*VLOOKUP($C9,MATIERES!$A$2:$F$349,4,0))</f>
        <v>20.943999999999999</v>
      </c>
      <c r="AM9" s="364">
        <f>AM7*4</f>
        <v>104</v>
      </c>
      <c r="AN9" s="365">
        <f>IF($C9="","",AM9*VLOOKUP($C9,MATIERES!$A$2:$F$349,4,0))</f>
        <v>19.448</v>
      </c>
    </row>
    <row r="10" spans="1:40" ht="30" customHeight="1" x14ac:dyDescent="0.2">
      <c r="A10" s="449"/>
      <c r="B10" s="367" t="s">
        <v>683</v>
      </c>
      <c r="C10" s="368" t="s">
        <v>446</v>
      </c>
      <c r="D10" s="369" t="s">
        <v>447</v>
      </c>
      <c r="E10" s="370">
        <f>F10*(1+Simulation!$P$11)</f>
        <v>169.26676</v>
      </c>
      <c r="F10" s="371">
        <f>SUM(F4:F9)</f>
        <v>130.20519999999999</v>
      </c>
      <c r="G10" s="370">
        <f>H10*(1+Simulation!$P$11)</f>
        <v>201.42070000000001</v>
      </c>
      <c r="H10" s="371">
        <f>SUM(H4:H9)</f>
        <v>154.93899999999999</v>
      </c>
      <c r="I10" s="370">
        <f>J10*(1+Simulation!$P$11)</f>
        <v>234.74490000000003</v>
      </c>
      <c r="J10" s="371">
        <f>SUM(J4:J9)</f>
        <v>180.57300000000001</v>
      </c>
      <c r="K10" s="370">
        <f>L10*(1+Simulation!$P$11)</f>
        <v>254.1097</v>
      </c>
      <c r="L10" s="371">
        <f>SUM(L4:L9)</f>
        <v>195.46899999999999</v>
      </c>
      <c r="M10" s="370">
        <f>N10*(1+Simulation!$P$11)</f>
        <v>273.47450000000003</v>
      </c>
      <c r="N10" s="371">
        <f>SUM(N4:N9)</f>
        <v>210.36500000000001</v>
      </c>
      <c r="O10" s="370">
        <f>P10*(1+Simulation!$P$11)</f>
        <v>292.83929999999998</v>
      </c>
      <c r="P10" s="371">
        <f>SUM(P4:P9)</f>
        <v>225.261</v>
      </c>
      <c r="Q10" s="370">
        <f>R10*(1+Simulation!$P$11)</f>
        <v>312.20410000000004</v>
      </c>
      <c r="R10" s="371">
        <f>SUM(R4:R9)</f>
        <v>240.15700000000001</v>
      </c>
      <c r="S10" s="370">
        <f>T10*(1+Simulation!$P$11)</f>
        <v>328.86619999999999</v>
      </c>
      <c r="T10" s="371">
        <f>SUM(T4:T9)</f>
        <v>252.97399999999999</v>
      </c>
      <c r="U10" s="370">
        <f>V10*(1+Simulation!$P$11)</f>
        <v>345.5283</v>
      </c>
      <c r="V10" s="371">
        <f>SUM(V4:V9)</f>
        <v>265.791</v>
      </c>
      <c r="W10" s="370">
        <f>X10*(1+Simulation!$P$11)</f>
        <v>378.85250000000002</v>
      </c>
      <c r="X10" s="371">
        <f>SUM(X4:X9)</f>
        <v>291.42500000000001</v>
      </c>
      <c r="Y10" s="370">
        <f>Z10*(1+Simulation!$P$11)</f>
        <v>406.77130000000005</v>
      </c>
      <c r="Z10" s="371">
        <f>SUM(Z4:Z9)</f>
        <v>312.90100000000001</v>
      </c>
      <c r="AA10" s="370">
        <f>AB10*(1+Simulation!$P$11)</f>
        <v>426.13610000000006</v>
      </c>
      <c r="AB10" s="371">
        <f>SUM(AB4:AB9)</f>
        <v>327.79700000000003</v>
      </c>
      <c r="AC10" s="370">
        <f>AD10*(1+Simulation!$P$11)</f>
        <v>412.17670000000004</v>
      </c>
      <c r="AD10" s="371">
        <f>SUM(AD4:AD9)</f>
        <v>317.05900000000003</v>
      </c>
      <c r="AE10" s="370">
        <f>AF10*(1+Simulation!$P$11)</f>
        <v>445.5009</v>
      </c>
      <c r="AF10" s="371">
        <f>SUM(AF4:AF9)</f>
        <v>342.69299999999998</v>
      </c>
      <c r="AG10" s="370">
        <f>AH10*(1+Simulation!$P$11)</f>
        <v>464.8657</v>
      </c>
      <c r="AH10" s="371">
        <f>SUM(AH4:AH9)</f>
        <v>357.589</v>
      </c>
      <c r="AI10" s="370">
        <f>AJ10*(1+Simulation!$P$11)</f>
        <v>478.82510000000002</v>
      </c>
      <c r="AJ10" s="371">
        <f>SUM(AJ4:AJ9)</f>
        <v>368.327</v>
      </c>
      <c r="AK10" s="370">
        <f>AL10*(1+Simulation!$P$11)</f>
        <v>512.14930000000004</v>
      </c>
      <c r="AL10" s="371">
        <f>SUM(AL4:AL9)</f>
        <v>393.96100000000001</v>
      </c>
      <c r="AM10" s="370">
        <f>AN10*(1+Simulation!$P$11)</f>
        <v>484.23050000000001</v>
      </c>
      <c r="AN10" s="371">
        <f>SUM(AN4:AN9)</f>
        <v>372.48500000000001</v>
      </c>
    </row>
    <row r="11" spans="1:40" ht="15" customHeight="1" x14ac:dyDescent="0.2">
      <c r="A11" s="1624" t="s">
        <v>448</v>
      </c>
      <c r="B11" s="361" t="s">
        <v>1155</v>
      </c>
      <c r="C11" s="362" t="s">
        <v>425</v>
      </c>
      <c r="D11" s="363" t="str">
        <f>IF($C11="","",VLOOKUP($C11,ATELIER!$A$2:$E$109,3,0))</f>
        <v>pc</v>
      </c>
      <c r="E11" s="364">
        <f>4</f>
        <v>4</v>
      </c>
      <c r="F11" s="372">
        <f>IF($C11="","",E11*VLOOKUP($C11,ATELIER!$A$2:$F$109,4,0))</f>
        <v>0.32</v>
      </c>
      <c r="G11" s="364">
        <f>4</f>
        <v>4</v>
      </c>
      <c r="H11" s="372">
        <f>IF($C11="","",G11*VLOOKUP($C11,ATELIER!$A$2:$F$109,4,0))</f>
        <v>0.32</v>
      </c>
      <c r="I11" s="364">
        <f>4</f>
        <v>4</v>
      </c>
      <c r="J11" s="372">
        <f>IF($C11="","",I11*VLOOKUP($C11,ATELIER!$A$2:$F$109,4,0))</f>
        <v>0.32</v>
      </c>
      <c r="K11" s="364">
        <f>4</f>
        <v>4</v>
      </c>
      <c r="L11" s="372">
        <f>IF($C11="","",K11*VLOOKUP($C11,ATELIER!$A$2:$F$109,4,0))</f>
        <v>0.32</v>
      </c>
      <c r="M11" s="364">
        <f>4</f>
        <v>4</v>
      </c>
      <c r="N11" s="372">
        <f>IF($C11="","",M11*VLOOKUP($C11,ATELIER!$A$2:$F$109,4,0))</f>
        <v>0.32</v>
      </c>
      <c r="O11" s="364">
        <f>4</f>
        <v>4</v>
      </c>
      <c r="P11" s="372">
        <f>IF($C11="","",O11*VLOOKUP($C11,ATELIER!$A$2:$F$109,4,0))</f>
        <v>0.32</v>
      </c>
      <c r="Q11" s="364">
        <f>4</f>
        <v>4</v>
      </c>
      <c r="R11" s="372">
        <f>IF($C11="","",Q11*VLOOKUP($C11,ATELIER!$A$2:$F$109,4,0))</f>
        <v>0.32</v>
      </c>
      <c r="S11" s="364">
        <f>4</f>
        <v>4</v>
      </c>
      <c r="T11" s="372">
        <f>IF($C11="","",S11*VLOOKUP($C11,ATELIER!$A$2:$F$109,4,0))</f>
        <v>0.32</v>
      </c>
      <c r="U11" s="364">
        <f>4</f>
        <v>4</v>
      </c>
      <c r="V11" s="372">
        <f>IF($C11="","",U11*VLOOKUP($C11,ATELIER!$A$2:$F$109,4,0))</f>
        <v>0.32</v>
      </c>
      <c r="W11" s="364">
        <f>4</f>
        <v>4</v>
      </c>
      <c r="X11" s="372">
        <f>IF($C11="","",W11*VLOOKUP($C11,ATELIER!$A$2:$F$109,4,0))</f>
        <v>0.32</v>
      </c>
      <c r="Y11" s="364">
        <f>4</f>
        <v>4</v>
      </c>
      <c r="Z11" s="372">
        <f>IF($C11="","",Y11*VLOOKUP($C11,ATELIER!$A$2:$F$109,4,0))</f>
        <v>0.32</v>
      </c>
      <c r="AA11" s="364">
        <f>4</f>
        <v>4</v>
      </c>
      <c r="AB11" s="372">
        <f>IF($C11="","",AA11*VLOOKUP($C11,ATELIER!$A$2:$F$109,4,0))</f>
        <v>0.32</v>
      </c>
      <c r="AC11" s="364">
        <f>4</f>
        <v>4</v>
      </c>
      <c r="AD11" s="372">
        <f>IF($C11="","",AC11*VLOOKUP($C11,ATELIER!$A$2:$F$109,4,0))</f>
        <v>0.32</v>
      </c>
      <c r="AE11" s="364">
        <f>4</f>
        <v>4</v>
      </c>
      <c r="AF11" s="372">
        <f>IF($C11="","",AE11*VLOOKUP($C11,ATELIER!$A$2:$F$109,4,0))</f>
        <v>0.32</v>
      </c>
      <c r="AG11" s="364">
        <f>4</f>
        <v>4</v>
      </c>
      <c r="AH11" s="372">
        <f>IF($C11="","",AG11*VLOOKUP($C11,ATELIER!$A$2:$F$109,4,0))</f>
        <v>0.32</v>
      </c>
      <c r="AI11" s="364">
        <f>4</f>
        <v>4</v>
      </c>
      <c r="AJ11" s="372">
        <f>IF($C11="","",AI11*VLOOKUP($C11,ATELIER!$A$2:$F$109,4,0))</f>
        <v>0.32</v>
      </c>
      <c r="AK11" s="364">
        <f>4</f>
        <v>4</v>
      </c>
      <c r="AL11" s="372">
        <f>IF($C11="","",AK11*VLOOKUP($C11,ATELIER!$A$2:$F$109,4,0))</f>
        <v>0.32</v>
      </c>
      <c r="AM11" s="364">
        <f>4</f>
        <v>4</v>
      </c>
      <c r="AN11" s="372">
        <f>IF($C11="","",AM11*VLOOKUP($C11,ATELIER!$A$2:$F$109,4,0))</f>
        <v>0.32</v>
      </c>
    </row>
    <row r="12" spans="1:40" ht="15" customHeight="1" x14ac:dyDescent="0.2">
      <c r="A12" s="1624"/>
      <c r="B12" s="361" t="s">
        <v>1155</v>
      </c>
      <c r="C12" s="362" t="s">
        <v>1250</v>
      </c>
      <c r="D12" s="363" t="str">
        <f>IF($C12="","",VLOOKUP($C12,ATELIER!$A$2:$E$109,3,0))</f>
        <v>pc</v>
      </c>
      <c r="E12" s="364">
        <f>4</f>
        <v>4</v>
      </c>
      <c r="F12" s="372">
        <f>IF($C12="","",E12*VLOOKUP($C12,ATELIER!$A$2:$F$109,4,0))</f>
        <v>0.32</v>
      </c>
      <c r="G12" s="364">
        <f>4</f>
        <v>4</v>
      </c>
      <c r="H12" s="372">
        <f>IF($C12="","",G12*VLOOKUP($C12,ATELIER!$A$2:$F$109,4,0))</f>
        <v>0.32</v>
      </c>
      <c r="I12" s="364">
        <f>4</f>
        <v>4</v>
      </c>
      <c r="J12" s="372">
        <f>IF($C12="","",I12*VLOOKUP($C12,ATELIER!$A$2:$F$109,4,0))</f>
        <v>0.32</v>
      </c>
      <c r="K12" s="364">
        <f>4</f>
        <v>4</v>
      </c>
      <c r="L12" s="372">
        <f>IF($C12="","",K12*VLOOKUP($C12,ATELIER!$A$2:$F$109,4,0))</f>
        <v>0.32</v>
      </c>
      <c r="M12" s="364">
        <f>4</f>
        <v>4</v>
      </c>
      <c r="N12" s="372">
        <f>IF($C12="","",M12*VLOOKUP($C12,ATELIER!$A$2:$F$109,4,0))</f>
        <v>0.32</v>
      </c>
      <c r="O12" s="364">
        <f>4</f>
        <v>4</v>
      </c>
      <c r="P12" s="372">
        <f>IF($C12="","",O12*VLOOKUP($C12,ATELIER!$A$2:$F$109,4,0))</f>
        <v>0.32</v>
      </c>
      <c r="Q12" s="364">
        <f>4</f>
        <v>4</v>
      </c>
      <c r="R12" s="372">
        <f>IF($C12="","",Q12*VLOOKUP($C12,ATELIER!$A$2:$F$109,4,0))</f>
        <v>0.32</v>
      </c>
      <c r="S12" s="364">
        <f>4</f>
        <v>4</v>
      </c>
      <c r="T12" s="372">
        <f>IF($C12="","",S12*VLOOKUP($C12,ATELIER!$A$2:$F$109,4,0))</f>
        <v>0.32</v>
      </c>
      <c r="U12" s="364">
        <f>4</f>
        <v>4</v>
      </c>
      <c r="V12" s="372">
        <f>IF($C12="","",U12*VLOOKUP($C12,ATELIER!$A$2:$F$109,4,0))</f>
        <v>0.32</v>
      </c>
      <c r="W12" s="364">
        <f>4</f>
        <v>4</v>
      </c>
      <c r="X12" s="372">
        <f>IF($C12="","",W12*VLOOKUP($C12,ATELIER!$A$2:$F$109,4,0))</f>
        <v>0.32</v>
      </c>
      <c r="Y12" s="364">
        <f>4</f>
        <v>4</v>
      </c>
      <c r="Z12" s="372">
        <f>IF($C12="","",Y12*VLOOKUP($C12,ATELIER!$A$2:$F$109,4,0))</f>
        <v>0.32</v>
      </c>
      <c r="AA12" s="364">
        <f>4</f>
        <v>4</v>
      </c>
      <c r="AB12" s="372">
        <f>IF($C12="","",AA12*VLOOKUP($C12,ATELIER!$A$2:$F$109,4,0))</f>
        <v>0.32</v>
      </c>
      <c r="AC12" s="364">
        <f>4</f>
        <v>4</v>
      </c>
      <c r="AD12" s="372">
        <f>IF($C12="","",AC12*VLOOKUP($C12,ATELIER!$A$2:$F$109,4,0))</f>
        <v>0.32</v>
      </c>
      <c r="AE12" s="364">
        <f>4</f>
        <v>4</v>
      </c>
      <c r="AF12" s="372">
        <f>IF($C12="","",AE12*VLOOKUP($C12,ATELIER!$A$2:$F$109,4,0))</f>
        <v>0.32</v>
      </c>
      <c r="AG12" s="364">
        <f>4</f>
        <v>4</v>
      </c>
      <c r="AH12" s="372">
        <f>IF($C12="","",AG12*VLOOKUP($C12,ATELIER!$A$2:$F$109,4,0))</f>
        <v>0.32</v>
      </c>
      <c r="AI12" s="364">
        <f>4</f>
        <v>4</v>
      </c>
      <c r="AJ12" s="372">
        <f>IF($C12="","",AI12*VLOOKUP($C12,ATELIER!$A$2:$F$109,4,0))</f>
        <v>0.32</v>
      </c>
      <c r="AK12" s="364">
        <f>4</f>
        <v>4</v>
      </c>
      <c r="AL12" s="372">
        <f>IF($C12="","",AK12*VLOOKUP($C12,ATELIER!$A$2:$F$109,4,0))</f>
        <v>0.32</v>
      </c>
      <c r="AM12" s="364">
        <f>4</f>
        <v>4</v>
      </c>
      <c r="AN12" s="372">
        <f>IF($C12="","",AM12*VLOOKUP($C12,ATELIER!$A$2:$F$109,4,0))</f>
        <v>0.32</v>
      </c>
    </row>
    <row r="13" spans="1:40" ht="15" customHeight="1" x14ac:dyDescent="0.2">
      <c r="A13" s="1625"/>
      <c r="B13" s="361" t="s">
        <v>1154</v>
      </c>
      <c r="C13" s="362" t="s">
        <v>428</v>
      </c>
      <c r="D13" s="363" t="str">
        <f>IF($C13="","",VLOOKUP($C13,ATELIER!$A$2:$E$109,3,0))</f>
        <v>pc</v>
      </c>
      <c r="E13" s="364">
        <f>'Outils de calculs'!E26/1.92</f>
        <v>4.270833333333333</v>
      </c>
      <c r="F13" s="372">
        <f>IF($C13="","",E13*VLOOKUP($C13,ATELIER!$A$2:$F$109,4,0))</f>
        <v>0.64062499999999989</v>
      </c>
      <c r="G13" s="364">
        <f>'Outils de calculs'!G26/1.92</f>
        <v>5.2083333333333339</v>
      </c>
      <c r="H13" s="372">
        <f>IF($C13="","",G13*VLOOKUP($C13,ATELIER!$A$2:$F$109,4,0))</f>
        <v>0.78125000000000011</v>
      </c>
      <c r="I13" s="364">
        <f>'Outils de calculs'!I26/1.92</f>
        <v>6.25</v>
      </c>
      <c r="J13" s="372">
        <f>IF($C13="","",I13*VLOOKUP($C13,ATELIER!$A$2:$F$109,4,0))</f>
        <v>0.9375</v>
      </c>
      <c r="K13" s="364">
        <f>'Outils de calculs'!K26/1.92</f>
        <v>6.7708333333333339</v>
      </c>
      <c r="L13" s="372">
        <f>IF($C13="","",K13*VLOOKUP($C13,ATELIER!$A$2:$F$109,4,0))</f>
        <v>1.015625</v>
      </c>
      <c r="M13" s="364">
        <f>'Outils de calculs'!M26/1.92</f>
        <v>7.291666666666667</v>
      </c>
      <c r="N13" s="372">
        <f>IF($C13="","",M13*VLOOKUP($C13,ATELIER!$A$2:$F$109,4,0))</f>
        <v>1.09375</v>
      </c>
      <c r="O13" s="364">
        <f>'Outils de calculs'!O26/1.92</f>
        <v>7.8125</v>
      </c>
      <c r="P13" s="372">
        <f>IF($C13="","",O13*VLOOKUP($C13,ATELIER!$A$2:$F$109,4,0))</f>
        <v>1.171875</v>
      </c>
      <c r="Q13" s="364">
        <f>'Outils de calculs'!Q26/1.92</f>
        <v>8.3333333333333339</v>
      </c>
      <c r="R13" s="372">
        <f>IF($C13="","",Q13*VLOOKUP($C13,ATELIER!$A$2:$F$109,4,0))</f>
        <v>1.25</v>
      </c>
      <c r="S13" s="364">
        <f>'Outils de calculs'!S26/1.92</f>
        <v>8.8541666666666679</v>
      </c>
      <c r="T13" s="372">
        <f>IF($C13="","",S13*VLOOKUP($C13,ATELIER!$A$2:$F$109,4,0))</f>
        <v>1.3281250000000002</v>
      </c>
      <c r="U13" s="364">
        <f>'Outils de calculs'!U26/1.92</f>
        <v>9.375</v>
      </c>
      <c r="V13" s="372">
        <f>IF($C13="","",U13*VLOOKUP($C13,ATELIER!$A$2:$F$109,4,0))</f>
        <v>1.40625</v>
      </c>
      <c r="W13" s="364">
        <f>'Outils de calculs'!W26/1.92</f>
        <v>10.416666666666668</v>
      </c>
      <c r="X13" s="372">
        <f>IF($C13="","",W13*VLOOKUP($C13,ATELIER!$A$2:$F$109,4,0))</f>
        <v>1.5625000000000002</v>
      </c>
      <c r="Y13" s="364">
        <f>'Outils de calculs'!Y26/1.92</f>
        <v>11.458333333333334</v>
      </c>
      <c r="Z13" s="372">
        <f>IF($C13="","",Y13*VLOOKUP($C13,ATELIER!$A$2:$F$109,4,0))</f>
        <v>1.71875</v>
      </c>
      <c r="AA13" s="364">
        <f>'Outils de calculs'!AA26/1.92</f>
        <v>11.979166666666668</v>
      </c>
      <c r="AB13" s="372">
        <f>IF($C13="","",AA13*VLOOKUP($C13,ATELIER!$A$2:$F$109,4,0))</f>
        <v>1.7968750000000002</v>
      </c>
      <c r="AC13" s="364">
        <f>'Outils de calculs'!AC26/1.92</f>
        <v>11.458333333333334</v>
      </c>
      <c r="AD13" s="372">
        <f>IF($C13="","",AC13*VLOOKUP($C13,ATELIER!$A$2:$F$109,4,0))</f>
        <v>1.71875</v>
      </c>
      <c r="AE13" s="364">
        <f>'Outils de calculs'!AE26/1.92</f>
        <v>12.5</v>
      </c>
      <c r="AF13" s="372">
        <f>IF($C13="","",AE13*VLOOKUP($C13,ATELIER!$A$2:$F$109,4,0))</f>
        <v>1.875</v>
      </c>
      <c r="AG13" s="364">
        <f>'Outils de calculs'!AG26/1.92</f>
        <v>13.020833333333334</v>
      </c>
      <c r="AH13" s="372">
        <f>IF($C13="","",AG13*VLOOKUP($C13,ATELIER!$A$2:$F$109,4,0))</f>
        <v>1.953125</v>
      </c>
      <c r="AI13" s="364">
        <f>'Outils de calculs'!AI26/1.92</f>
        <v>13.541666666666668</v>
      </c>
      <c r="AJ13" s="372">
        <f>IF($C13="","",AI13*VLOOKUP($C13,ATELIER!$A$2:$F$109,4,0))</f>
        <v>2.03125</v>
      </c>
      <c r="AK13" s="364">
        <f>'Outils de calculs'!AK26/1.92</f>
        <v>14.583333333333334</v>
      </c>
      <c r="AL13" s="372">
        <f>IF($C13="","",AK13*VLOOKUP($C13,ATELIER!$A$2:$F$109,4,0))</f>
        <v>2.1875</v>
      </c>
      <c r="AM13" s="364">
        <f>'Outils de calculs'!AM26/1.92</f>
        <v>13.541666666666668</v>
      </c>
      <c r="AN13" s="372">
        <f>IF($C13="","",AM13*VLOOKUP($C13,ATELIER!$A$2:$F$109,4,0))</f>
        <v>2.03125</v>
      </c>
    </row>
    <row r="14" spans="1:40" ht="15" customHeight="1" x14ac:dyDescent="0.2">
      <c r="A14" s="1624"/>
      <c r="B14" s="361" t="s">
        <v>1154</v>
      </c>
      <c r="C14" s="362" t="s">
        <v>431</v>
      </c>
      <c r="D14" s="363" t="str">
        <f>IF($C14="","",VLOOKUP($C14,ATELIER!$A$2:$E$109,3,0))</f>
        <v>pc</v>
      </c>
      <c r="E14" s="364">
        <f>E13*4</f>
        <v>17.083333333333332</v>
      </c>
      <c r="F14" s="372">
        <f>IF($C14="","",E14*VLOOKUP($C14,ATELIER!$A$2:$F$109,4,0))</f>
        <v>1.7083333333333333</v>
      </c>
      <c r="G14" s="364">
        <f>G13*4</f>
        <v>20.833333333333336</v>
      </c>
      <c r="H14" s="372">
        <f>IF($C14="","",G14*VLOOKUP($C14,ATELIER!$A$2:$F$109,4,0))</f>
        <v>2.0833333333333335</v>
      </c>
      <c r="I14" s="364">
        <f>I13*4</f>
        <v>25</v>
      </c>
      <c r="J14" s="372">
        <f>IF($C14="","",I14*VLOOKUP($C14,ATELIER!$A$2:$F$109,4,0))</f>
        <v>2.5</v>
      </c>
      <c r="K14" s="364">
        <f>K13*4</f>
        <v>27.083333333333336</v>
      </c>
      <c r="L14" s="372">
        <f>IF($C14="","",K14*VLOOKUP($C14,ATELIER!$A$2:$F$109,4,0))</f>
        <v>2.7083333333333339</v>
      </c>
      <c r="M14" s="364">
        <f>M13*4</f>
        <v>29.166666666666668</v>
      </c>
      <c r="N14" s="372">
        <f>IF($C14="","",M14*VLOOKUP($C14,ATELIER!$A$2:$F$109,4,0))</f>
        <v>2.916666666666667</v>
      </c>
      <c r="O14" s="364">
        <f>O13*4</f>
        <v>31.25</v>
      </c>
      <c r="P14" s="372">
        <f>IF($C14="","",O14*VLOOKUP($C14,ATELIER!$A$2:$F$109,4,0))</f>
        <v>3.125</v>
      </c>
      <c r="Q14" s="364">
        <f>Q13*4</f>
        <v>33.333333333333336</v>
      </c>
      <c r="R14" s="372">
        <f>IF($C14="","",Q14*VLOOKUP($C14,ATELIER!$A$2:$F$109,4,0))</f>
        <v>3.3333333333333339</v>
      </c>
      <c r="S14" s="364">
        <f>S13*4</f>
        <v>35.416666666666671</v>
      </c>
      <c r="T14" s="372">
        <f>IF($C14="","",S14*VLOOKUP($C14,ATELIER!$A$2:$F$109,4,0))</f>
        <v>3.5416666666666674</v>
      </c>
      <c r="U14" s="364">
        <f>U13*4</f>
        <v>37.5</v>
      </c>
      <c r="V14" s="372">
        <f>IF($C14="","",U14*VLOOKUP($C14,ATELIER!$A$2:$F$109,4,0))</f>
        <v>3.75</v>
      </c>
      <c r="W14" s="364">
        <f>W13*4</f>
        <v>41.666666666666671</v>
      </c>
      <c r="X14" s="372">
        <f>IF($C14="","",W14*VLOOKUP($C14,ATELIER!$A$2:$F$109,4,0))</f>
        <v>4.166666666666667</v>
      </c>
      <c r="Y14" s="364">
        <f>Y13*4</f>
        <v>45.833333333333336</v>
      </c>
      <c r="Z14" s="372">
        <f>IF($C14="","",Y14*VLOOKUP($C14,ATELIER!$A$2:$F$109,4,0))</f>
        <v>4.5833333333333339</v>
      </c>
      <c r="AA14" s="364">
        <f>AA13*4</f>
        <v>47.916666666666671</v>
      </c>
      <c r="AB14" s="372">
        <f>IF($C14="","",AA14*VLOOKUP($C14,ATELIER!$A$2:$F$109,4,0))</f>
        <v>4.791666666666667</v>
      </c>
      <c r="AC14" s="364">
        <f>AC13*4</f>
        <v>45.833333333333336</v>
      </c>
      <c r="AD14" s="372">
        <f>IF($C14="","",AC14*VLOOKUP($C14,ATELIER!$A$2:$F$109,4,0))</f>
        <v>4.5833333333333339</v>
      </c>
      <c r="AE14" s="364">
        <f>AE13*4</f>
        <v>50</v>
      </c>
      <c r="AF14" s="372">
        <f>IF($C14="","",AE14*VLOOKUP($C14,ATELIER!$A$2:$F$109,4,0))</f>
        <v>5</v>
      </c>
      <c r="AG14" s="364">
        <f>AG13*4</f>
        <v>52.083333333333336</v>
      </c>
      <c r="AH14" s="372">
        <f>IF($C14="","",AG14*VLOOKUP($C14,ATELIER!$A$2:$F$109,4,0))</f>
        <v>5.2083333333333339</v>
      </c>
      <c r="AI14" s="364">
        <f>AI13*4</f>
        <v>54.166666666666671</v>
      </c>
      <c r="AJ14" s="372">
        <f>IF($C14="","",AI14*VLOOKUP($C14,ATELIER!$A$2:$F$109,4,0))</f>
        <v>5.4166666666666679</v>
      </c>
      <c r="AK14" s="364">
        <f>AK13*4</f>
        <v>58.333333333333336</v>
      </c>
      <c r="AL14" s="372">
        <f>IF($C14="","",AK14*VLOOKUP($C14,ATELIER!$A$2:$F$109,4,0))</f>
        <v>5.8333333333333339</v>
      </c>
      <c r="AM14" s="364">
        <f>AM13*4</f>
        <v>54.166666666666671</v>
      </c>
      <c r="AN14" s="372">
        <f>IF($C14="","",AM14*VLOOKUP($C14,ATELIER!$A$2:$F$109,4,0))</f>
        <v>5.4166666666666679</v>
      </c>
    </row>
    <row r="15" spans="1:40" ht="35.25" customHeight="1" x14ac:dyDescent="0.2">
      <c r="A15" s="1624"/>
      <c r="B15" s="375" t="s">
        <v>449</v>
      </c>
      <c r="C15" s="376" t="s">
        <v>450</v>
      </c>
      <c r="D15" s="377" t="s">
        <v>451</v>
      </c>
      <c r="E15" s="376">
        <f>F15*Simulation!$P$8</f>
        <v>134.50312499999998</v>
      </c>
      <c r="F15" s="377">
        <f>SUM(F11:F14)</f>
        <v>2.9889583333333332</v>
      </c>
      <c r="G15" s="376">
        <f>H15*Simulation!$P$8</f>
        <v>157.70625000000001</v>
      </c>
      <c r="H15" s="377">
        <f>SUM(H11:H14)</f>
        <v>3.5045833333333336</v>
      </c>
      <c r="I15" s="376">
        <f>J15*Simulation!$P$8</f>
        <v>183.48750000000001</v>
      </c>
      <c r="J15" s="377">
        <f>SUM(J11:J14)</f>
        <v>4.0775000000000006</v>
      </c>
      <c r="K15" s="376">
        <f>L15*Simulation!$P$8</f>
        <v>196.37812500000004</v>
      </c>
      <c r="L15" s="377">
        <f>SUM(L11:L14)</f>
        <v>4.3639583333333345</v>
      </c>
      <c r="M15" s="376">
        <f>N15*Simulation!$P$8</f>
        <v>209.26875000000001</v>
      </c>
      <c r="N15" s="377">
        <f>SUM(N11:N14)</f>
        <v>4.6504166666666666</v>
      </c>
      <c r="O15" s="376">
        <f>P15*Simulation!$P$8</f>
        <v>222.15937500000001</v>
      </c>
      <c r="P15" s="377">
        <f>SUM(P11:P14)</f>
        <v>4.9368750000000006</v>
      </c>
      <c r="Q15" s="376">
        <f>R15*Simulation!$P$8</f>
        <v>235.05000000000004</v>
      </c>
      <c r="R15" s="377">
        <f>SUM(R11:R14)</f>
        <v>5.2233333333333345</v>
      </c>
      <c r="S15" s="376">
        <f>T15*Simulation!$P$8</f>
        <v>247.94062500000004</v>
      </c>
      <c r="T15" s="377">
        <f>SUM(T11:T14)</f>
        <v>5.5097916666666675</v>
      </c>
      <c r="U15" s="376">
        <f>V15*Simulation!$P$8</f>
        <v>260.83125000000001</v>
      </c>
      <c r="V15" s="377">
        <f>SUM(V11:V14)</f>
        <v>5.7962500000000006</v>
      </c>
      <c r="W15" s="376">
        <f>X15*Simulation!$P$8</f>
        <v>286.61250000000001</v>
      </c>
      <c r="X15" s="377">
        <f>SUM(X11:X14)</f>
        <v>6.3691666666666666</v>
      </c>
      <c r="Y15" s="376">
        <f>Z15*Simulation!$P$8</f>
        <v>312.39375000000007</v>
      </c>
      <c r="Z15" s="377">
        <f>SUM(Z11:Z14)</f>
        <v>6.9420833333333345</v>
      </c>
      <c r="AA15" s="376">
        <f>AB15*Simulation!$P$8</f>
        <v>325.28437500000001</v>
      </c>
      <c r="AB15" s="377">
        <f>SUM(AB11:AB14)</f>
        <v>7.2285416666666666</v>
      </c>
      <c r="AC15" s="376">
        <f>AD15*Simulation!$P$8</f>
        <v>312.39375000000007</v>
      </c>
      <c r="AD15" s="377">
        <f>SUM(AD11:AD14)</f>
        <v>6.9420833333333345</v>
      </c>
      <c r="AE15" s="376">
        <f>AF15*Simulation!$P$8</f>
        <v>338.17500000000001</v>
      </c>
      <c r="AF15" s="377">
        <f>SUM(AF11:AF14)</f>
        <v>7.5150000000000006</v>
      </c>
      <c r="AG15" s="376">
        <f>AH15*Simulation!$P$8</f>
        <v>351.06562500000007</v>
      </c>
      <c r="AH15" s="377">
        <f>SUM(AH11:AH14)</f>
        <v>7.8014583333333345</v>
      </c>
      <c r="AI15" s="376">
        <f>AJ15*Simulation!$P$8</f>
        <v>363.95625000000007</v>
      </c>
      <c r="AJ15" s="377">
        <f>SUM(AJ11:AJ14)</f>
        <v>8.0879166666666684</v>
      </c>
      <c r="AK15" s="376">
        <f>AL15*Simulation!$P$8</f>
        <v>389.73750000000007</v>
      </c>
      <c r="AL15" s="377">
        <f>SUM(AL11:AL14)</f>
        <v>8.6608333333333345</v>
      </c>
      <c r="AM15" s="376">
        <f>AN15*Simulation!$P$8</f>
        <v>363.95625000000007</v>
      </c>
      <c r="AN15" s="377">
        <f>SUM(AN11:AN14)</f>
        <v>8.0879166666666684</v>
      </c>
    </row>
    <row r="16" spans="1:40" ht="15" customHeight="1" x14ac:dyDescent="0.2">
      <c r="A16" s="1626" t="s">
        <v>452</v>
      </c>
      <c r="B16" s="361" t="s">
        <v>1160</v>
      </c>
      <c r="C16" s="378" t="s">
        <v>1253</v>
      </c>
      <c r="D16" s="363" t="str">
        <f>IF(C16="","",VLOOKUP($C16,CHANTIER!$A$2:$C$83,3,0))</f>
        <v>ml</v>
      </c>
      <c r="E16" s="364">
        <f>E5</f>
        <v>12.54</v>
      </c>
      <c r="F16" s="372">
        <f>IF($C16="","",E16*VLOOKUP($C16,CHANTIER!$A$2:$D$83,4,0))</f>
        <v>1.8809999999999998</v>
      </c>
      <c r="G16" s="364">
        <f>G5</f>
        <v>15.400000000000002</v>
      </c>
      <c r="H16" s="372">
        <f>IF($C16="","",G16*VLOOKUP($C16,CHANTIER!$A$2:$D$83,4,0))</f>
        <v>2.31</v>
      </c>
      <c r="I16" s="364">
        <f>I5</f>
        <v>17.600000000000001</v>
      </c>
      <c r="J16" s="372">
        <f>IF($C16="","",I16*VLOOKUP($C16,CHANTIER!$A$2:$D$83,4,0))</f>
        <v>2.64</v>
      </c>
      <c r="K16" s="364">
        <f>K5</f>
        <v>19.8</v>
      </c>
      <c r="L16" s="372">
        <f>IF($C16="","",K16*VLOOKUP($C16,CHANTIER!$A$2:$D$83,4,0))</f>
        <v>2.97</v>
      </c>
      <c r="M16" s="364">
        <f>M5</f>
        <v>22</v>
      </c>
      <c r="N16" s="372">
        <f>IF($C16="","",M16*VLOOKUP($C16,CHANTIER!$A$2:$D$83,4,0))</f>
        <v>3.3</v>
      </c>
      <c r="O16" s="364">
        <f>O5</f>
        <v>24.200000000000003</v>
      </c>
      <c r="P16" s="372">
        <f>IF($C16="","",O16*VLOOKUP($C16,CHANTIER!$A$2:$D$83,4,0))</f>
        <v>3.6300000000000003</v>
      </c>
      <c r="Q16" s="364">
        <f>Q5</f>
        <v>26.400000000000002</v>
      </c>
      <c r="R16" s="372">
        <f>IF($C16="","",Q16*VLOOKUP($C16,CHANTIER!$A$2:$D$83,4,0))</f>
        <v>3.96</v>
      </c>
      <c r="S16" s="364">
        <f>S5</f>
        <v>27.500000000000004</v>
      </c>
      <c r="T16" s="372">
        <f>IF($C16="","",S16*VLOOKUP($C16,CHANTIER!$A$2:$D$83,4,0))</f>
        <v>4.125</v>
      </c>
      <c r="U16" s="364">
        <f>U5</f>
        <v>28.6</v>
      </c>
      <c r="V16" s="372">
        <f>IF($C16="","",U16*VLOOKUP($C16,CHANTIER!$A$2:$D$83,4,0))</f>
        <v>4.29</v>
      </c>
      <c r="W16" s="364">
        <f>W5</f>
        <v>30.800000000000004</v>
      </c>
      <c r="X16" s="372">
        <f>IF($C16="","",W16*VLOOKUP($C16,CHANTIER!$A$2:$D$83,4,0))</f>
        <v>4.62</v>
      </c>
      <c r="Y16" s="364">
        <f>Y5</f>
        <v>30.800000000000004</v>
      </c>
      <c r="Z16" s="372">
        <f>IF($C16="","",Y16*VLOOKUP($C16,CHANTIER!$A$2:$D$83,4,0))</f>
        <v>4.62</v>
      </c>
      <c r="AA16" s="364">
        <f>AA5</f>
        <v>33</v>
      </c>
      <c r="AB16" s="372">
        <f>IF($C16="","",AA16*VLOOKUP($C16,CHANTIER!$A$2:$D$83,4,0))</f>
        <v>4.95</v>
      </c>
      <c r="AC16" s="364">
        <f>AC5</f>
        <v>33</v>
      </c>
      <c r="AD16" s="372">
        <f>IF($C16="","",AC16*VLOOKUP($C16,CHANTIER!$A$2:$D$83,4,0))</f>
        <v>4.95</v>
      </c>
      <c r="AE16" s="364">
        <f>AE5</f>
        <v>35.200000000000003</v>
      </c>
      <c r="AF16" s="372">
        <f>IF($C16="","",AE16*VLOOKUP($C16,CHANTIER!$A$2:$D$83,4,0))</f>
        <v>5.28</v>
      </c>
      <c r="AG16" s="364">
        <f>AG5</f>
        <v>37.400000000000006</v>
      </c>
      <c r="AH16" s="372">
        <f>IF($C16="","",AG16*VLOOKUP($C16,CHANTIER!$A$2:$D$83,4,0))</f>
        <v>5.61</v>
      </c>
      <c r="AI16" s="364">
        <f>AI5</f>
        <v>37.400000000000006</v>
      </c>
      <c r="AJ16" s="372">
        <f>IF($C16="","",AI16*VLOOKUP($C16,CHANTIER!$A$2:$D$83,4,0))</f>
        <v>5.61</v>
      </c>
      <c r="AK16" s="364">
        <f>AK5</f>
        <v>39.6</v>
      </c>
      <c r="AL16" s="372">
        <f>IF($C16="","",AK16*VLOOKUP($C16,CHANTIER!$A$2:$D$83,4,0))</f>
        <v>5.94</v>
      </c>
      <c r="AM16" s="364">
        <f>AM5</f>
        <v>39.6</v>
      </c>
      <c r="AN16" s="372">
        <f>IF($C16="","",AM16*VLOOKUP($C16,CHANTIER!$A$2:$D$83,4,0))</f>
        <v>5.94</v>
      </c>
    </row>
    <row r="17" spans="1:40" ht="15" customHeight="1" x14ac:dyDescent="0.2">
      <c r="A17" s="1627"/>
      <c r="B17" s="361" t="s">
        <v>1160</v>
      </c>
      <c r="C17" s="378" t="s">
        <v>1248</v>
      </c>
      <c r="D17" s="363" t="str">
        <f>IF(C17="","",VLOOKUP($C17,CHANTIER!$A$2:$C$83,3,0))</f>
        <v>pc</v>
      </c>
      <c r="E17" s="364">
        <f>4</f>
        <v>4</v>
      </c>
      <c r="F17" s="372">
        <f>IF($C17="","",E17*VLOOKUP($C17,CHANTIER!$A$2:$D$83,4,0))</f>
        <v>0.6</v>
      </c>
      <c r="G17" s="364">
        <f>4</f>
        <v>4</v>
      </c>
      <c r="H17" s="372">
        <f>IF($C17="","",G17*VLOOKUP($C17,CHANTIER!$A$2:$D$83,4,0))</f>
        <v>0.6</v>
      </c>
      <c r="I17" s="364">
        <f>4</f>
        <v>4</v>
      </c>
      <c r="J17" s="372">
        <f>IF($C17="","",I17*VLOOKUP($C17,CHANTIER!$A$2:$D$83,4,0))</f>
        <v>0.6</v>
      </c>
      <c r="K17" s="364">
        <f>4</f>
        <v>4</v>
      </c>
      <c r="L17" s="372">
        <f>IF($C17="","",K17*VLOOKUP($C17,CHANTIER!$A$2:$D$83,4,0))</f>
        <v>0.6</v>
      </c>
      <c r="M17" s="364">
        <f>4</f>
        <v>4</v>
      </c>
      <c r="N17" s="372">
        <f>IF($C17="","",M17*VLOOKUP($C17,CHANTIER!$A$2:$D$83,4,0))</f>
        <v>0.6</v>
      </c>
      <c r="O17" s="364">
        <f>4</f>
        <v>4</v>
      </c>
      <c r="P17" s="372">
        <f>IF($C17="","",O17*VLOOKUP($C17,CHANTIER!$A$2:$D$83,4,0))</f>
        <v>0.6</v>
      </c>
      <c r="Q17" s="364">
        <f>4</f>
        <v>4</v>
      </c>
      <c r="R17" s="372">
        <f>IF($C17="","",Q17*VLOOKUP($C17,CHANTIER!$A$2:$D$83,4,0))</f>
        <v>0.6</v>
      </c>
      <c r="S17" s="364">
        <f>4</f>
        <v>4</v>
      </c>
      <c r="T17" s="372">
        <f>IF($C17="","",S17*VLOOKUP($C17,CHANTIER!$A$2:$D$83,4,0))</f>
        <v>0.6</v>
      </c>
      <c r="U17" s="364">
        <f>4</f>
        <v>4</v>
      </c>
      <c r="V17" s="372">
        <f>IF($C17="","",U17*VLOOKUP($C17,CHANTIER!$A$2:$D$83,4,0))</f>
        <v>0.6</v>
      </c>
      <c r="W17" s="364">
        <f>4</f>
        <v>4</v>
      </c>
      <c r="X17" s="372">
        <f>IF($C17="","",W17*VLOOKUP($C17,CHANTIER!$A$2:$D$83,4,0))</f>
        <v>0.6</v>
      </c>
      <c r="Y17" s="364">
        <f>4</f>
        <v>4</v>
      </c>
      <c r="Z17" s="372">
        <f>IF($C17="","",Y17*VLOOKUP($C17,CHANTIER!$A$2:$D$83,4,0))</f>
        <v>0.6</v>
      </c>
      <c r="AA17" s="364">
        <f>4</f>
        <v>4</v>
      </c>
      <c r="AB17" s="372">
        <f>IF($C17="","",AA17*VLOOKUP($C17,CHANTIER!$A$2:$D$83,4,0))</f>
        <v>0.6</v>
      </c>
      <c r="AC17" s="364">
        <f>4</f>
        <v>4</v>
      </c>
      <c r="AD17" s="372">
        <f>IF($C17="","",AC17*VLOOKUP($C17,CHANTIER!$A$2:$D$83,4,0))</f>
        <v>0.6</v>
      </c>
      <c r="AE17" s="364">
        <f>4</f>
        <v>4</v>
      </c>
      <c r="AF17" s="372">
        <f>IF($C17="","",AE17*VLOOKUP($C17,CHANTIER!$A$2:$D$83,4,0))</f>
        <v>0.6</v>
      </c>
      <c r="AG17" s="364">
        <f>4</f>
        <v>4</v>
      </c>
      <c r="AH17" s="372">
        <f>IF($C17="","",AG17*VLOOKUP($C17,CHANTIER!$A$2:$D$83,4,0))</f>
        <v>0.6</v>
      </c>
      <c r="AI17" s="364">
        <f>4</f>
        <v>4</v>
      </c>
      <c r="AJ17" s="372">
        <f>IF($C17="","",AI17*VLOOKUP($C17,CHANTIER!$A$2:$D$83,4,0))</f>
        <v>0.6</v>
      </c>
      <c r="AK17" s="364">
        <f>4</f>
        <v>4</v>
      </c>
      <c r="AL17" s="372">
        <f>IF($C17="","",AK17*VLOOKUP($C17,CHANTIER!$A$2:$D$83,4,0))</f>
        <v>0.6</v>
      </c>
      <c r="AM17" s="364">
        <f>4</f>
        <v>4</v>
      </c>
      <c r="AN17" s="372">
        <f>IF($C17="","",AM17*VLOOKUP($C17,CHANTIER!$A$2:$D$83,4,0))</f>
        <v>0.6</v>
      </c>
    </row>
    <row r="18" spans="1:40" ht="15" customHeight="1" x14ac:dyDescent="0.2">
      <c r="A18" s="1626"/>
      <c r="B18" s="361" t="s">
        <v>1159</v>
      </c>
      <c r="C18" s="378" t="s">
        <v>108</v>
      </c>
      <c r="D18" s="363" t="str">
        <f>IF(C18="","",VLOOKUP($C18,CHANTIER!$A$2:$C$83,3,0))</f>
        <v>ml</v>
      </c>
      <c r="E18" s="364">
        <f>E6</f>
        <v>8.5</v>
      </c>
      <c r="F18" s="372">
        <f>IF($C18="","",E18*VLOOKUP($C18,CHANTIER!$A$2:$D$83,4,0))</f>
        <v>0.42500000000000004</v>
      </c>
      <c r="G18" s="364">
        <f t="shared" ref="G18" si="0">G6</f>
        <v>10.3</v>
      </c>
      <c r="H18" s="372">
        <f>IF($C18="","",G18*VLOOKUP($C18,CHANTIER!$A$2:$D$83,4,0))</f>
        <v>0.51500000000000001</v>
      </c>
      <c r="I18" s="364">
        <f t="shared" ref="I18" si="1">I6</f>
        <v>12.3</v>
      </c>
      <c r="J18" s="372">
        <f>IF($C18="","",I18*VLOOKUP($C18,CHANTIER!$A$2:$D$83,4,0))</f>
        <v>0.6150000000000001</v>
      </c>
      <c r="K18" s="364">
        <f t="shared" ref="K18" si="2">K6</f>
        <v>13.3</v>
      </c>
      <c r="L18" s="372">
        <f>IF($C18="","",K18*VLOOKUP($C18,CHANTIER!$A$2:$D$83,4,0))</f>
        <v>0.66500000000000004</v>
      </c>
      <c r="M18" s="364">
        <f t="shared" ref="M18" si="3">M6</f>
        <v>14.3</v>
      </c>
      <c r="N18" s="372">
        <f>IF($C18="","",M18*VLOOKUP($C18,CHANTIER!$A$2:$D$83,4,0))</f>
        <v>0.71500000000000008</v>
      </c>
      <c r="O18" s="364">
        <f t="shared" ref="O18" si="4">O6</f>
        <v>15.3</v>
      </c>
      <c r="P18" s="372">
        <f>IF($C18="","",O18*VLOOKUP($C18,CHANTIER!$A$2:$D$83,4,0))</f>
        <v>0.76500000000000012</v>
      </c>
      <c r="Q18" s="364">
        <f t="shared" ref="Q18" si="5">Q6</f>
        <v>16.3</v>
      </c>
      <c r="R18" s="372">
        <f>IF($C18="","",Q18*VLOOKUP($C18,CHANTIER!$A$2:$D$83,4,0))</f>
        <v>0.81500000000000006</v>
      </c>
      <c r="S18" s="364">
        <f t="shared" ref="S18" si="6">S6</f>
        <v>17.3</v>
      </c>
      <c r="T18" s="372">
        <f>IF($C18="","",S18*VLOOKUP($C18,CHANTIER!$A$2:$D$83,4,0))</f>
        <v>0.8650000000000001</v>
      </c>
      <c r="U18" s="364">
        <f t="shared" ref="U18" si="7">U6</f>
        <v>18.3</v>
      </c>
      <c r="V18" s="372">
        <f>IF($C18="","",U18*VLOOKUP($C18,CHANTIER!$A$2:$D$83,4,0))</f>
        <v>0.91500000000000004</v>
      </c>
      <c r="W18" s="364">
        <f t="shared" ref="W18" si="8">W6</f>
        <v>20.3</v>
      </c>
      <c r="X18" s="372">
        <f>IF($C18="","",W18*VLOOKUP($C18,CHANTIER!$A$2:$D$83,4,0))</f>
        <v>1.0150000000000001</v>
      </c>
      <c r="Y18" s="364">
        <f t="shared" ref="Y18" si="9">Y6</f>
        <v>22.3</v>
      </c>
      <c r="Z18" s="372">
        <f>IF($C18="","",Y18*VLOOKUP($C18,CHANTIER!$A$2:$D$83,4,0))</f>
        <v>1.115</v>
      </c>
      <c r="AA18" s="364">
        <f t="shared" ref="AA18" si="10">AA6</f>
        <v>23.3</v>
      </c>
      <c r="AB18" s="372">
        <f>IF($C18="","",AA18*VLOOKUP($C18,CHANTIER!$A$2:$D$83,4,0))</f>
        <v>1.165</v>
      </c>
      <c r="AC18" s="364">
        <f t="shared" ref="AC18" si="11">AC6</f>
        <v>22.3</v>
      </c>
      <c r="AD18" s="372">
        <f>IF($C18="","",AC18*VLOOKUP($C18,CHANTIER!$A$2:$D$83,4,0))</f>
        <v>1.115</v>
      </c>
      <c r="AE18" s="364">
        <f t="shared" ref="AE18" si="12">AE6</f>
        <v>24.3</v>
      </c>
      <c r="AF18" s="372">
        <f>IF($C18="","",AE18*VLOOKUP($C18,CHANTIER!$A$2:$D$83,4,0))</f>
        <v>1.2150000000000001</v>
      </c>
      <c r="AG18" s="364">
        <f t="shared" ref="AG18" si="13">AG6</f>
        <v>25.3</v>
      </c>
      <c r="AH18" s="372">
        <f>IF($C18="","",AG18*VLOOKUP($C18,CHANTIER!$A$2:$D$83,4,0))</f>
        <v>1.2650000000000001</v>
      </c>
      <c r="AI18" s="364">
        <f t="shared" ref="AI18" si="14">AI6</f>
        <v>26.3</v>
      </c>
      <c r="AJ18" s="372">
        <f>IF($C18="","",AI18*VLOOKUP($C18,CHANTIER!$A$2:$D$83,4,0))</f>
        <v>1.3150000000000002</v>
      </c>
      <c r="AK18" s="364">
        <f t="shared" ref="AK18:AM18" si="15">AK6</f>
        <v>28.3</v>
      </c>
      <c r="AL18" s="372">
        <f>IF($C18="","",AK18*VLOOKUP($C18,CHANTIER!$A$2:$D$83,4,0))</f>
        <v>1.415</v>
      </c>
      <c r="AM18" s="364">
        <f t="shared" si="15"/>
        <v>26.3</v>
      </c>
      <c r="AN18" s="372">
        <f>IF($C18="","",AM18*VLOOKUP($C18,CHANTIER!$A$2:$D$83,4,0))</f>
        <v>1.3150000000000002</v>
      </c>
    </row>
    <row r="19" spans="1:40" ht="15" customHeight="1" x14ac:dyDescent="0.2">
      <c r="A19" s="1626"/>
      <c r="B19" s="361" t="s">
        <v>1160</v>
      </c>
      <c r="C19" s="378" t="s">
        <v>409</v>
      </c>
      <c r="D19" s="363" t="str">
        <f>IF(C19="","",VLOOKUP($C19,CHANTIER!$A$2:$C$83,3,0))</f>
        <v>ml</v>
      </c>
      <c r="E19" s="364">
        <f>E7</f>
        <v>8.1999999999999993</v>
      </c>
      <c r="F19" s="372">
        <f>IF($C19="","",E19*VLOOKUP($C19,CHANTIER!$A$2:$D$83,4,0))</f>
        <v>1.64</v>
      </c>
      <c r="G19" s="364">
        <f>G7</f>
        <v>10</v>
      </c>
      <c r="H19" s="372">
        <f>IF($C19="","",G19*VLOOKUP($C19,CHANTIER!$A$2:$D$83,4,0))</f>
        <v>2</v>
      </c>
      <c r="I19" s="364">
        <f>I7</f>
        <v>12</v>
      </c>
      <c r="J19" s="372">
        <f>IF($C19="","",I19*VLOOKUP($C19,CHANTIER!$A$2:$D$83,4,0))</f>
        <v>2.4000000000000004</v>
      </c>
      <c r="K19" s="364">
        <f>K7</f>
        <v>13</v>
      </c>
      <c r="L19" s="372">
        <f>IF($C19="","",K19*VLOOKUP($C19,CHANTIER!$A$2:$D$83,4,0))</f>
        <v>2.6</v>
      </c>
      <c r="M19" s="364">
        <f>M7</f>
        <v>14</v>
      </c>
      <c r="N19" s="372">
        <f>IF($C19="","",M19*VLOOKUP($C19,CHANTIER!$A$2:$D$83,4,0))</f>
        <v>2.8000000000000003</v>
      </c>
      <c r="O19" s="364">
        <f>O7</f>
        <v>15</v>
      </c>
      <c r="P19" s="372">
        <f>IF($C19="","",O19*VLOOKUP($C19,CHANTIER!$A$2:$D$83,4,0))</f>
        <v>3</v>
      </c>
      <c r="Q19" s="364">
        <f>Q7</f>
        <v>16</v>
      </c>
      <c r="R19" s="372">
        <f>IF($C19="","",Q19*VLOOKUP($C19,CHANTIER!$A$2:$D$83,4,0))</f>
        <v>3.2</v>
      </c>
      <c r="S19" s="364">
        <f>S7</f>
        <v>17</v>
      </c>
      <c r="T19" s="372">
        <f>IF($C19="","",S19*VLOOKUP($C19,CHANTIER!$A$2:$D$83,4,0))</f>
        <v>3.4000000000000004</v>
      </c>
      <c r="U19" s="364">
        <f>U7</f>
        <v>18</v>
      </c>
      <c r="V19" s="372">
        <f>IF($C19="","",U19*VLOOKUP($C19,CHANTIER!$A$2:$D$83,4,0))</f>
        <v>3.6</v>
      </c>
      <c r="W19" s="364">
        <f>W7</f>
        <v>20</v>
      </c>
      <c r="X19" s="372">
        <f>IF($C19="","",W19*VLOOKUP($C19,CHANTIER!$A$2:$D$83,4,0))</f>
        <v>4</v>
      </c>
      <c r="Y19" s="364">
        <f>Y7</f>
        <v>22</v>
      </c>
      <c r="Z19" s="372">
        <f>IF($C19="","",Y19*VLOOKUP($C19,CHANTIER!$A$2:$D$83,4,0))</f>
        <v>4.4000000000000004</v>
      </c>
      <c r="AA19" s="364">
        <f>AA7</f>
        <v>23</v>
      </c>
      <c r="AB19" s="372">
        <f>IF($C19="","",AA19*VLOOKUP($C19,CHANTIER!$A$2:$D$83,4,0))</f>
        <v>4.6000000000000005</v>
      </c>
      <c r="AC19" s="364">
        <f>AC7</f>
        <v>22</v>
      </c>
      <c r="AD19" s="372">
        <f>IF($C19="","",AC19*VLOOKUP($C19,CHANTIER!$A$2:$D$83,4,0))</f>
        <v>4.4000000000000004</v>
      </c>
      <c r="AE19" s="364">
        <f>AE7</f>
        <v>24</v>
      </c>
      <c r="AF19" s="372">
        <f>IF($C19="","",AE19*VLOOKUP($C19,CHANTIER!$A$2:$D$83,4,0))</f>
        <v>4.8000000000000007</v>
      </c>
      <c r="AG19" s="364">
        <f>AG7</f>
        <v>25</v>
      </c>
      <c r="AH19" s="372">
        <f>IF($C19="","",AG19*VLOOKUP($C19,CHANTIER!$A$2:$D$83,4,0))</f>
        <v>5</v>
      </c>
      <c r="AI19" s="364">
        <f>AI7</f>
        <v>26</v>
      </c>
      <c r="AJ19" s="372">
        <f>IF($C19="","",AI19*VLOOKUP($C19,CHANTIER!$A$2:$D$83,4,0))</f>
        <v>5.2</v>
      </c>
      <c r="AK19" s="364">
        <f>AK7</f>
        <v>28</v>
      </c>
      <c r="AL19" s="372">
        <f>IF($C19="","",AK19*VLOOKUP($C19,CHANTIER!$A$2:$D$83,4,0))</f>
        <v>5.6000000000000005</v>
      </c>
      <c r="AM19" s="364">
        <f>AM7</f>
        <v>26</v>
      </c>
      <c r="AN19" s="372">
        <f>IF($C19="","",AM19*VLOOKUP($C19,CHANTIER!$A$2:$D$83,4,0))</f>
        <v>5.2</v>
      </c>
    </row>
    <row r="20" spans="1:40" ht="30.75" customHeight="1" x14ac:dyDescent="0.2">
      <c r="A20" s="1626"/>
      <c r="B20" s="379" t="s">
        <v>453</v>
      </c>
      <c r="C20" s="380" t="s">
        <v>450</v>
      </c>
      <c r="D20" s="381" t="s">
        <v>451</v>
      </c>
      <c r="E20" s="382">
        <f>F20*Simulation!$P$9</f>
        <v>204.56999999999996</v>
      </c>
      <c r="F20" s="383">
        <f>SUM(F16:F19)</f>
        <v>4.5459999999999994</v>
      </c>
      <c r="G20" s="382">
        <f>H20*Simulation!$P$9</f>
        <v>244.12500000000003</v>
      </c>
      <c r="H20" s="383">
        <f>SUM(H16:H19)</f>
        <v>5.4250000000000007</v>
      </c>
      <c r="I20" s="382">
        <f>J20*Simulation!$P$9</f>
        <v>281.47500000000002</v>
      </c>
      <c r="J20" s="383">
        <f>SUM(J16:J19)</f>
        <v>6.2550000000000008</v>
      </c>
      <c r="K20" s="382">
        <f>L20*Simulation!$P$9</f>
        <v>307.57500000000005</v>
      </c>
      <c r="L20" s="383">
        <f>SUM(L16:L19)</f>
        <v>6.8350000000000009</v>
      </c>
      <c r="M20" s="382">
        <f>N20*Simulation!$P$9</f>
        <v>333.67500000000007</v>
      </c>
      <c r="N20" s="383">
        <f>SUM(N16:N19)</f>
        <v>7.4150000000000009</v>
      </c>
      <c r="O20" s="382">
        <f>P20*Simulation!$P$9</f>
        <v>359.77500000000003</v>
      </c>
      <c r="P20" s="383">
        <f>SUM(P16:P19)</f>
        <v>7.995000000000001</v>
      </c>
      <c r="Q20" s="382">
        <f>R20*Simulation!$P$9</f>
        <v>385.87499999999994</v>
      </c>
      <c r="R20" s="383">
        <f>SUM(R16:R19)</f>
        <v>8.5749999999999993</v>
      </c>
      <c r="S20" s="382">
        <f>T20*Simulation!$P$9</f>
        <v>404.55</v>
      </c>
      <c r="T20" s="383">
        <f>SUM(T16:T19)</f>
        <v>8.99</v>
      </c>
      <c r="U20" s="382">
        <f>V20*Simulation!$P$9</f>
        <v>423.22499999999997</v>
      </c>
      <c r="V20" s="383">
        <f>SUM(V16:V19)</f>
        <v>9.4049999999999994</v>
      </c>
      <c r="W20" s="382">
        <f>X20*Simulation!$P$9</f>
        <v>460.57499999999999</v>
      </c>
      <c r="X20" s="383">
        <f>SUM(X16:X19)</f>
        <v>10.234999999999999</v>
      </c>
      <c r="Y20" s="382">
        <f>Z20*Simulation!$P$9</f>
        <v>483.07499999999999</v>
      </c>
      <c r="Z20" s="383">
        <f>SUM(Z16:Z19)</f>
        <v>10.734999999999999</v>
      </c>
      <c r="AA20" s="382">
        <f>AB20*Simulation!$P$9</f>
        <v>509.17500000000007</v>
      </c>
      <c r="AB20" s="383">
        <f>SUM(AB16:AB19)</f>
        <v>11.315000000000001</v>
      </c>
      <c r="AC20" s="382">
        <f>AD20*Simulation!$P$9</f>
        <v>497.92500000000007</v>
      </c>
      <c r="AD20" s="383">
        <f>SUM(AD16:AD19)</f>
        <v>11.065000000000001</v>
      </c>
      <c r="AE20" s="382">
        <f>AF20*Simulation!$P$9</f>
        <v>535.27499999999998</v>
      </c>
      <c r="AF20" s="383">
        <f>SUM(AF16:AF19)</f>
        <v>11.895</v>
      </c>
      <c r="AG20" s="382">
        <f>AH20*Simulation!$P$9</f>
        <v>561.375</v>
      </c>
      <c r="AH20" s="383">
        <f>SUM(AH16:AH19)</f>
        <v>12.475</v>
      </c>
      <c r="AI20" s="382">
        <f>AJ20*Simulation!$P$9</f>
        <v>572.62500000000011</v>
      </c>
      <c r="AJ20" s="383">
        <f>SUM(AJ16:AJ19)</f>
        <v>12.725000000000001</v>
      </c>
      <c r="AK20" s="382">
        <f>AL20*Simulation!$P$9</f>
        <v>609.97500000000002</v>
      </c>
      <c r="AL20" s="383">
        <f>SUM(AL16:AL19)</f>
        <v>13.555</v>
      </c>
      <c r="AM20" s="382">
        <f>AN20*Simulation!$P$9</f>
        <v>587.47500000000002</v>
      </c>
      <c r="AN20" s="383">
        <f>SUM(AN16:AN19)</f>
        <v>13.055</v>
      </c>
    </row>
    <row r="21" spans="1:40" ht="15" customHeight="1" x14ac:dyDescent="0.2">
      <c r="A21" s="1628" t="s">
        <v>4</v>
      </c>
      <c r="B21" s="361" t="s">
        <v>1170</v>
      </c>
      <c r="C21" s="378" t="s">
        <v>405</v>
      </c>
      <c r="D21" s="363" t="str">
        <f>IF(C21="","",VLOOKUP($C21,MINIPELLE!$A$2:$C$28,3,0))</f>
        <v>ml</v>
      </c>
      <c r="E21" s="364">
        <f>E7</f>
        <v>8.1999999999999993</v>
      </c>
      <c r="F21" s="372">
        <f>IF($C21="","",E21*VLOOKUP($C21,MINIPELLE!$A$2:$D$28,4,0))</f>
        <v>0.65599999999999992</v>
      </c>
      <c r="G21" s="364">
        <f>G7</f>
        <v>10</v>
      </c>
      <c r="H21" s="372">
        <f>IF($C21="","",G21*VLOOKUP($C21,MINIPELLE!$A$2:$D$28,4,0))</f>
        <v>0.8</v>
      </c>
      <c r="I21" s="364">
        <f>I7</f>
        <v>12</v>
      </c>
      <c r="J21" s="372">
        <f>IF($C21="","",I21*VLOOKUP($C21,MINIPELLE!$A$2:$D$28,4,0))</f>
        <v>0.96</v>
      </c>
      <c r="K21" s="364">
        <f>K7</f>
        <v>13</v>
      </c>
      <c r="L21" s="372">
        <f>IF($C21="","",K21*VLOOKUP($C21,MINIPELLE!$A$2:$D$28,4,0))</f>
        <v>1.04</v>
      </c>
      <c r="M21" s="364">
        <f>M7</f>
        <v>14</v>
      </c>
      <c r="N21" s="372">
        <f>IF($C21="","",M21*VLOOKUP($C21,MINIPELLE!$A$2:$D$28,4,0))</f>
        <v>1.1200000000000001</v>
      </c>
      <c r="O21" s="364">
        <f>O7</f>
        <v>15</v>
      </c>
      <c r="P21" s="372">
        <f>IF($C21="","",O21*VLOOKUP($C21,MINIPELLE!$A$2:$D$28,4,0))</f>
        <v>1.2</v>
      </c>
      <c r="Q21" s="364">
        <f>Q7</f>
        <v>16</v>
      </c>
      <c r="R21" s="372">
        <f>IF($C21="","",Q21*VLOOKUP($C21,MINIPELLE!$A$2:$D$28,4,0))</f>
        <v>1.28</v>
      </c>
      <c r="S21" s="364">
        <f>S7</f>
        <v>17</v>
      </c>
      <c r="T21" s="372">
        <f>IF($C21="","",S21*VLOOKUP($C21,MINIPELLE!$A$2:$D$28,4,0))</f>
        <v>1.36</v>
      </c>
      <c r="U21" s="364">
        <f>U7</f>
        <v>18</v>
      </c>
      <c r="V21" s="372">
        <f>IF($C21="","",U21*VLOOKUP($C21,MINIPELLE!$A$2:$D$28,4,0))</f>
        <v>1.44</v>
      </c>
      <c r="W21" s="364">
        <f>W7</f>
        <v>20</v>
      </c>
      <c r="X21" s="372">
        <f>IF($C21="","",W21*VLOOKUP($C21,MINIPELLE!$A$2:$D$28,4,0))</f>
        <v>1.6</v>
      </c>
      <c r="Y21" s="364">
        <f>Y7</f>
        <v>22</v>
      </c>
      <c r="Z21" s="372">
        <f>IF($C21="","",Y21*VLOOKUP($C21,MINIPELLE!$A$2:$D$28,4,0))</f>
        <v>1.76</v>
      </c>
      <c r="AA21" s="364">
        <f>AA7</f>
        <v>23</v>
      </c>
      <c r="AB21" s="372">
        <f>IF($C21="","",AA21*VLOOKUP($C21,MINIPELLE!$A$2:$D$28,4,0))</f>
        <v>1.84</v>
      </c>
      <c r="AC21" s="364">
        <f>AC7</f>
        <v>22</v>
      </c>
      <c r="AD21" s="372">
        <f>IF($C21="","",AC21*VLOOKUP($C21,MINIPELLE!$A$2:$D$28,4,0))</f>
        <v>1.76</v>
      </c>
      <c r="AE21" s="364">
        <f>AE7</f>
        <v>24</v>
      </c>
      <c r="AF21" s="372">
        <f>IF($C21="","",AE21*VLOOKUP($C21,MINIPELLE!$A$2:$D$28,4,0))</f>
        <v>1.92</v>
      </c>
      <c r="AG21" s="364">
        <f>AG7</f>
        <v>25</v>
      </c>
      <c r="AH21" s="372">
        <f>IF($C21="","",AG21*VLOOKUP($C21,MINIPELLE!$A$2:$D$28,4,0))</f>
        <v>2</v>
      </c>
      <c r="AI21" s="364">
        <f>AI7</f>
        <v>26</v>
      </c>
      <c r="AJ21" s="372">
        <f>IF($C21="","",AI21*VLOOKUP($C21,MINIPELLE!$A$2:$D$28,4,0))</f>
        <v>2.08</v>
      </c>
      <c r="AK21" s="364">
        <f>AK7</f>
        <v>28</v>
      </c>
      <c r="AL21" s="372">
        <f>IF($C21="","",AK21*VLOOKUP($C21,MINIPELLE!$A$2:$D$28,4,0))</f>
        <v>2.2400000000000002</v>
      </c>
      <c r="AM21" s="364">
        <f>AM7</f>
        <v>26</v>
      </c>
      <c r="AN21" s="372">
        <f>IF($C21="","",AM21*VLOOKUP($C21,MINIPELLE!$A$2:$D$28,4,0))</f>
        <v>2.08</v>
      </c>
    </row>
    <row r="22" spans="1:40" ht="15" customHeight="1" x14ac:dyDescent="0.2">
      <c r="A22" s="1629"/>
      <c r="B22" s="361" t="s">
        <v>1172</v>
      </c>
      <c r="C22" s="378" t="s">
        <v>102</v>
      </c>
      <c r="D22" s="363" t="str">
        <f>IF(C22="","",VLOOKUP($C22,MINIPELLE!$A$2:$C$28,3,0))</f>
        <v>m3</v>
      </c>
      <c r="E22" s="364">
        <f>E2*2*0.5*1.1</f>
        <v>2.2000000000000002</v>
      </c>
      <c r="F22" s="389">
        <f>IF($C22="","",E22*VLOOKUP($C22,MINIPELLE!$A$2:$D$28,4,0))</f>
        <v>0.55000000000000004</v>
      </c>
      <c r="G22" s="364">
        <f>G2*2*0.5*1.1</f>
        <v>3.3000000000000003</v>
      </c>
      <c r="H22" s="389">
        <f>IF($C22="","",G22*VLOOKUP($C22,MINIPELLE!$A$2:$D$28,4,0))</f>
        <v>0.82500000000000007</v>
      </c>
      <c r="I22" s="364">
        <f>I2*2*0.5*1.1</f>
        <v>4.4000000000000004</v>
      </c>
      <c r="J22" s="389">
        <f>IF($C22="","",I22*VLOOKUP($C22,MINIPELLE!$A$2:$D$28,4,0))</f>
        <v>1.1000000000000001</v>
      </c>
      <c r="K22" s="364">
        <f>K2*2*0.5*1.1</f>
        <v>5.5</v>
      </c>
      <c r="L22" s="389">
        <f>IF($C22="","",K22*VLOOKUP($C22,MINIPELLE!$A$2:$D$28,4,0))</f>
        <v>1.375</v>
      </c>
      <c r="M22" s="364">
        <f>M2*2*0.5*1.1</f>
        <v>6.6000000000000005</v>
      </c>
      <c r="N22" s="389">
        <f>IF($C22="","",M22*VLOOKUP($C22,MINIPELLE!$A$2:$D$28,4,0))</f>
        <v>1.6500000000000001</v>
      </c>
      <c r="O22" s="364">
        <f>O2*2*0.5*1.1</f>
        <v>7.7000000000000011</v>
      </c>
      <c r="P22" s="389">
        <f>IF($C22="","",O22*VLOOKUP($C22,MINIPELLE!$A$2:$D$28,4,0))</f>
        <v>1.9250000000000003</v>
      </c>
      <c r="Q22" s="364">
        <f>Q2*2*0.5*1.1</f>
        <v>8.8000000000000007</v>
      </c>
      <c r="R22" s="389">
        <f>IF($C22="","",Q22*VLOOKUP($C22,MINIPELLE!$A$2:$D$28,4,0))</f>
        <v>2.2000000000000002</v>
      </c>
      <c r="S22" s="364">
        <f>S2*2*0.5*1.1</f>
        <v>9.9</v>
      </c>
      <c r="T22" s="389">
        <f>IF($C22="","",S22*VLOOKUP($C22,MINIPELLE!$A$2:$D$28,4,0))</f>
        <v>2.4750000000000001</v>
      </c>
      <c r="U22" s="364">
        <f>U2*2*0.5*1.1</f>
        <v>11</v>
      </c>
      <c r="V22" s="389">
        <f>IF($C22="","",U22*VLOOKUP($C22,MINIPELLE!$A$2:$D$28,4,0))</f>
        <v>2.75</v>
      </c>
      <c r="W22" s="364">
        <f>W2*2*0.5*1.1</f>
        <v>13.200000000000001</v>
      </c>
      <c r="X22" s="389">
        <f>IF($C22="","",W22*VLOOKUP($C22,MINIPELLE!$A$2:$D$28,4,0))</f>
        <v>3.3000000000000003</v>
      </c>
      <c r="Y22" s="364">
        <f>Y2*2*0.5*1.1</f>
        <v>13.200000000000001</v>
      </c>
      <c r="Z22" s="389">
        <f>IF($C22="","",Y22*VLOOKUP($C22,MINIPELLE!$A$2:$D$28,4,0))</f>
        <v>3.3000000000000003</v>
      </c>
      <c r="AA22" s="364">
        <f>AA2*2*0.5*1.1</f>
        <v>15.400000000000002</v>
      </c>
      <c r="AB22" s="389">
        <f>IF($C22="","",AA22*VLOOKUP($C22,MINIPELLE!$A$2:$D$28,4,0))</f>
        <v>3.8500000000000005</v>
      </c>
      <c r="AC22" s="364">
        <f>AC2*2*0.5*1.1</f>
        <v>15.400000000000002</v>
      </c>
      <c r="AD22" s="389">
        <f>IF($C22="","",AC22*VLOOKUP($C22,MINIPELLE!$A$2:$D$28,4,0))</f>
        <v>3.8500000000000005</v>
      </c>
      <c r="AE22" s="364">
        <f>AE2*2*0.5*1.1</f>
        <v>17.600000000000001</v>
      </c>
      <c r="AF22" s="389">
        <f>IF($C22="","",AE22*VLOOKUP($C22,MINIPELLE!$A$2:$D$28,4,0))</f>
        <v>4.4000000000000004</v>
      </c>
      <c r="AG22" s="364">
        <f>AG2*2*0.5*1.1</f>
        <v>19.8</v>
      </c>
      <c r="AH22" s="389">
        <f>IF($C22="","",AG22*VLOOKUP($C22,MINIPELLE!$A$2:$D$28,4,0))</f>
        <v>4.95</v>
      </c>
      <c r="AI22" s="364">
        <f>AI2*2*0.5*1.1</f>
        <v>19.8</v>
      </c>
      <c r="AJ22" s="389">
        <f>IF($C22="","",AI22*VLOOKUP($C22,MINIPELLE!$A$2:$D$28,4,0))</f>
        <v>4.95</v>
      </c>
      <c r="AK22" s="364">
        <f>AK2*2*0.5*1.1</f>
        <v>22</v>
      </c>
      <c r="AL22" s="389">
        <f>IF($C22="","",AK22*VLOOKUP($C22,MINIPELLE!$A$2:$D$28,4,0))</f>
        <v>5.5</v>
      </c>
      <c r="AM22" s="364">
        <f>AM2*2*0.5*1.1</f>
        <v>22</v>
      </c>
      <c r="AN22" s="389">
        <f>IF($C22="","",AM22*VLOOKUP($C22,MINIPELLE!$A$2:$D$28,4,0))</f>
        <v>5.5</v>
      </c>
    </row>
    <row r="23" spans="1:40" ht="29.25" customHeight="1" x14ac:dyDescent="0.2">
      <c r="A23" s="1629"/>
      <c r="B23" s="384" t="s">
        <v>454</v>
      </c>
      <c r="C23" s="385" t="s">
        <v>455</v>
      </c>
      <c r="D23" s="386" t="s">
        <v>451</v>
      </c>
      <c r="E23" s="387">
        <f>F23*Simulation!$P$10</f>
        <v>96.47999999999999</v>
      </c>
      <c r="F23" s="388">
        <f>SUM(F21:F22)</f>
        <v>1.206</v>
      </c>
      <c r="G23" s="387">
        <f>H23*Simulation!$P$10</f>
        <v>130</v>
      </c>
      <c r="H23" s="388">
        <f>SUM(H21:H22)</f>
        <v>1.625</v>
      </c>
      <c r="I23" s="387">
        <f>J23*Simulation!$P$10</f>
        <v>164.8</v>
      </c>
      <c r="J23" s="388">
        <f>SUM(J21:J22)</f>
        <v>2.06</v>
      </c>
      <c r="K23" s="387">
        <f>L23*Simulation!$P$10</f>
        <v>193.2</v>
      </c>
      <c r="L23" s="388">
        <f>SUM(L21:L22)</f>
        <v>2.415</v>
      </c>
      <c r="M23" s="387">
        <f>N23*Simulation!$P$10</f>
        <v>221.60000000000002</v>
      </c>
      <c r="N23" s="388">
        <f>SUM(N21:N22)</f>
        <v>2.7700000000000005</v>
      </c>
      <c r="O23" s="387">
        <f>P23*Simulation!$P$10</f>
        <v>250</v>
      </c>
      <c r="P23" s="388">
        <f>SUM(P21:P22)</f>
        <v>3.125</v>
      </c>
      <c r="Q23" s="387">
        <f>R23*Simulation!$P$10</f>
        <v>278.40000000000003</v>
      </c>
      <c r="R23" s="388">
        <f>SUM(R21:R22)</f>
        <v>3.4800000000000004</v>
      </c>
      <c r="S23" s="387">
        <f>T23*Simulation!$P$10</f>
        <v>306.8</v>
      </c>
      <c r="T23" s="388">
        <f>SUM(T21:T22)</f>
        <v>3.835</v>
      </c>
      <c r="U23" s="387">
        <f>V23*Simulation!$P$10</f>
        <v>335.19999999999993</v>
      </c>
      <c r="V23" s="388">
        <f>SUM(V21:V22)</f>
        <v>4.1899999999999995</v>
      </c>
      <c r="W23" s="387">
        <f>X23*Simulation!$P$10</f>
        <v>392</v>
      </c>
      <c r="X23" s="388">
        <f>SUM(X21:X22)</f>
        <v>4.9000000000000004</v>
      </c>
      <c r="Y23" s="387">
        <f>Z23*Simulation!$P$10</f>
        <v>404.80000000000007</v>
      </c>
      <c r="Z23" s="388">
        <f>SUM(Z21:Z22)</f>
        <v>5.0600000000000005</v>
      </c>
      <c r="AA23" s="387">
        <f>AB23*Simulation!$P$10</f>
        <v>455.20000000000005</v>
      </c>
      <c r="AB23" s="388">
        <f>SUM(AB21:AB22)</f>
        <v>5.69</v>
      </c>
      <c r="AC23" s="387">
        <f>AD23*Simulation!$P$10</f>
        <v>448.8</v>
      </c>
      <c r="AD23" s="388">
        <f>SUM(AD21:AD22)</f>
        <v>5.61</v>
      </c>
      <c r="AE23" s="387">
        <f>AF23*Simulation!$P$10</f>
        <v>505.6</v>
      </c>
      <c r="AF23" s="388">
        <f>SUM(AF21:AF22)</f>
        <v>6.32</v>
      </c>
      <c r="AG23" s="387">
        <f>AH23*Simulation!$P$10</f>
        <v>556</v>
      </c>
      <c r="AH23" s="388">
        <f>SUM(AH21:AH22)</f>
        <v>6.95</v>
      </c>
      <c r="AI23" s="387">
        <f>AJ23*Simulation!$P$10</f>
        <v>562.4</v>
      </c>
      <c r="AJ23" s="388">
        <f>SUM(AJ21:AJ22)</f>
        <v>7.03</v>
      </c>
      <c r="AK23" s="387">
        <f>AL23*Simulation!$P$10</f>
        <v>619.20000000000005</v>
      </c>
      <c r="AL23" s="388">
        <f>SUM(AL21:AL22)</f>
        <v>7.74</v>
      </c>
      <c r="AM23" s="387">
        <f>AN23*Simulation!$P$10</f>
        <v>606.4</v>
      </c>
      <c r="AN23" s="388">
        <f>SUM(AN21:AN22)</f>
        <v>7.58</v>
      </c>
    </row>
    <row r="24" spans="1:40" x14ac:dyDescent="0.2">
      <c r="A24" s="199"/>
      <c r="B24" s="172"/>
      <c r="C24" s="200"/>
      <c r="D24" s="201"/>
      <c r="E24" s="202"/>
      <c r="F24" s="203"/>
      <c r="G24" s="202"/>
      <c r="H24" s="203"/>
      <c r="I24" s="202"/>
      <c r="J24" s="203"/>
      <c r="K24" s="202"/>
      <c r="L24" s="203"/>
      <c r="M24" s="202"/>
      <c r="N24" s="203"/>
      <c r="O24" s="202"/>
      <c r="P24" s="203"/>
      <c r="Q24" s="202"/>
      <c r="R24" s="203"/>
      <c r="S24" s="202"/>
      <c r="T24" s="203"/>
      <c r="U24" s="202"/>
      <c r="V24" s="203"/>
      <c r="W24" s="202"/>
      <c r="X24" s="203"/>
      <c r="Y24" s="202"/>
      <c r="Z24" s="203"/>
      <c r="AA24" s="202"/>
      <c r="AB24" s="203"/>
      <c r="AC24" s="202"/>
      <c r="AD24" s="203"/>
      <c r="AE24" s="202"/>
      <c r="AF24" s="203"/>
      <c r="AG24" s="202"/>
      <c r="AH24" s="203"/>
      <c r="AI24" s="202"/>
      <c r="AJ24" s="203"/>
      <c r="AK24" s="202"/>
      <c r="AL24" s="203"/>
      <c r="AM24" s="202"/>
      <c r="AN24" s="203"/>
    </row>
    <row r="25" spans="1:40" ht="36" customHeight="1" x14ac:dyDescent="0.2">
      <c r="A25" s="204"/>
      <c r="B25" s="1561" t="s">
        <v>456</v>
      </c>
      <c r="C25" s="1564" t="s">
        <v>445</v>
      </c>
      <c r="D25" s="1564"/>
      <c r="E25" s="1547">
        <f>E23+E20+E15+E10</f>
        <v>604.81988499999989</v>
      </c>
      <c r="F25" s="1547"/>
      <c r="G25" s="1547">
        <f>G23+G20+G15+G10</f>
        <v>733.25194999999997</v>
      </c>
      <c r="H25" s="1547"/>
      <c r="I25" s="1547">
        <f>I23+I20+I15+I10</f>
        <v>864.50740000000008</v>
      </c>
      <c r="J25" s="1547"/>
      <c r="K25" s="1547">
        <f>K23+K20+K15+K10</f>
        <v>951.26282500000002</v>
      </c>
      <c r="L25" s="1547"/>
      <c r="M25" s="1547">
        <f>M23+M20+M15+M10</f>
        <v>1038.0182500000001</v>
      </c>
      <c r="N25" s="1547"/>
      <c r="O25" s="1547">
        <f>O23+O20+O15+O10</f>
        <v>1124.7736749999999</v>
      </c>
      <c r="P25" s="1547"/>
      <c r="Q25" s="1547">
        <f>Q23+Q20+Q15+Q10</f>
        <v>1211.5291000000002</v>
      </c>
      <c r="R25" s="1547"/>
      <c r="S25" s="1547">
        <f>S23+S20+S15+S10</f>
        <v>1288.156825</v>
      </c>
      <c r="T25" s="1547"/>
      <c r="U25" s="1547">
        <f>U23+U20+U15+U10</f>
        <v>1364.7845499999999</v>
      </c>
      <c r="V25" s="1547"/>
      <c r="W25" s="1547">
        <f>W23+W20+W15+W10</f>
        <v>1518.04</v>
      </c>
      <c r="X25" s="1547"/>
      <c r="Y25" s="1547">
        <f>Y23+Y20+Y15+Y10</f>
        <v>1607.0400500000003</v>
      </c>
      <c r="Z25" s="1547"/>
      <c r="AA25" s="1547">
        <f>AA23+AA20+AA15+AA10</f>
        <v>1715.7954750000004</v>
      </c>
      <c r="AB25" s="1547"/>
      <c r="AC25" s="1547">
        <f>AC23+AC20+AC15+AC10</f>
        <v>1671.2954500000001</v>
      </c>
      <c r="AD25" s="1547"/>
      <c r="AE25" s="1547">
        <f>AE23+AE20+AE15+AE10</f>
        <v>1824.5509</v>
      </c>
      <c r="AF25" s="1547"/>
      <c r="AG25" s="1547">
        <f>AG23+AG20+AG15+AG10</f>
        <v>1933.3063250000002</v>
      </c>
      <c r="AH25" s="1547"/>
      <c r="AI25" s="1547">
        <f>AI23+AI20+AI15+AI10</f>
        <v>1977.8063500000003</v>
      </c>
      <c r="AJ25" s="1547"/>
      <c r="AK25" s="1547">
        <f>AK23+AK20+AK15+AK10</f>
        <v>2131.0618000000004</v>
      </c>
      <c r="AL25" s="1547"/>
      <c r="AM25" s="1547">
        <f>AM23+AM20+AM15+AM10</f>
        <v>2042.0617500000003</v>
      </c>
      <c r="AN25" s="1547"/>
    </row>
    <row r="26" spans="1:40" ht="18" customHeight="1" x14ac:dyDescent="0.2">
      <c r="A26" s="154"/>
      <c r="B26" s="1562"/>
      <c r="C26" s="1565" t="s">
        <v>457</v>
      </c>
      <c r="D26" s="1565"/>
      <c r="E26" s="149">
        <f>E10-F10</f>
        <v>39.061560000000014</v>
      </c>
      <c r="F26" s="207">
        <f>E26/E$25</f>
        <v>6.4583789271412631E-2</v>
      </c>
      <c r="G26" s="149">
        <f>G10-H10</f>
        <v>46.481700000000018</v>
      </c>
      <c r="H26" s="207">
        <f>G26/G$25</f>
        <v>6.3391171342947014E-2</v>
      </c>
      <c r="I26" s="149">
        <f>I10-J10</f>
        <v>54.171900000000022</v>
      </c>
      <c r="J26" s="207">
        <f>I26/I$25</f>
        <v>6.2662158820155869E-2</v>
      </c>
      <c r="K26" s="149">
        <f>K10-L10</f>
        <v>58.64070000000001</v>
      </c>
      <c r="L26" s="207">
        <f>K26/K$25</f>
        <v>6.164510843782843E-2</v>
      </c>
      <c r="M26" s="149">
        <f>M10-N10</f>
        <v>63.109500000000025</v>
      </c>
      <c r="N26" s="207">
        <f>M26/M$25</f>
        <v>6.079806400320998E-2</v>
      </c>
      <c r="O26" s="149">
        <f>O10-P10</f>
        <v>67.578299999999984</v>
      </c>
      <c r="P26" s="207">
        <f>O26/O$25</f>
        <v>6.0081687100295968E-2</v>
      </c>
      <c r="Q26" s="149">
        <f>Q10-R10</f>
        <v>72.047100000000029</v>
      </c>
      <c r="R26" s="207">
        <f>Q26/Q$25</f>
        <v>5.9467907126622067E-2</v>
      </c>
      <c r="S26" s="149">
        <f>S10-T10</f>
        <v>75.892200000000003</v>
      </c>
      <c r="T26" s="207">
        <f>S26/S$25</f>
        <v>5.8915342081892863E-2</v>
      </c>
      <c r="U26" s="149">
        <f>U10-V10</f>
        <v>79.737300000000005</v>
      </c>
      <c r="V26" s="207">
        <f>U26/U$25</f>
        <v>5.8424826101672982E-2</v>
      </c>
      <c r="W26" s="149">
        <f>W10-X10</f>
        <v>87.427500000000009</v>
      </c>
      <c r="X26" s="207">
        <f>W26/W$25</f>
        <v>5.7592355932650004E-2</v>
      </c>
      <c r="Y26" s="149">
        <f>Y10-Z10</f>
        <v>93.870300000000043</v>
      </c>
      <c r="Z26" s="207">
        <f>Y26/Y$25</f>
        <v>5.8411923212492452E-2</v>
      </c>
      <c r="AA26" s="149">
        <f>AA10-AB10</f>
        <v>98.33910000000003</v>
      </c>
      <c r="AB26" s="207">
        <f>AA26/AA$25</f>
        <v>5.7313998919364215E-2</v>
      </c>
      <c r="AC26" s="149">
        <f>AC10-AD10</f>
        <v>95.117700000000013</v>
      </c>
      <c r="AD26" s="207">
        <f>AC26/AC$25</f>
        <v>5.6912558458769219E-2</v>
      </c>
      <c r="AE26" s="149">
        <f>AE10-AF10</f>
        <v>102.80790000000002</v>
      </c>
      <c r="AF26" s="207">
        <f>AE26/AE$25</f>
        <v>5.6346961874289184E-2</v>
      </c>
      <c r="AG26" s="149">
        <f>AG10-AH10</f>
        <v>107.27670000000001</v>
      </c>
      <c r="AH26" s="207">
        <f>AG26/AG$25</f>
        <v>5.5488723443761552E-2</v>
      </c>
      <c r="AI26" s="149">
        <f>AI10-AJ10</f>
        <v>110.49810000000002</v>
      </c>
      <c r="AJ26" s="207">
        <f>AI26/AI$25</f>
        <v>5.5869018723698607E-2</v>
      </c>
      <c r="AK26" s="149">
        <f>AK10-AL10</f>
        <v>118.18830000000003</v>
      </c>
      <c r="AL26" s="207">
        <f>AK26/AK$25</f>
        <v>5.5459818199547289E-2</v>
      </c>
      <c r="AM26" s="149">
        <f>AM10-AN10</f>
        <v>111.74549999999999</v>
      </c>
      <c r="AN26" s="207">
        <f>AM26/AM$25</f>
        <v>5.4721900549775236E-2</v>
      </c>
    </row>
    <row r="27" spans="1:40" ht="18" customHeight="1" x14ac:dyDescent="0.2">
      <c r="A27" s="154"/>
      <c r="B27" s="1562"/>
      <c r="C27" s="1565" t="s">
        <v>9</v>
      </c>
      <c r="D27" s="1565"/>
      <c r="E27" s="149">
        <f>E10</f>
        <v>169.26676</v>
      </c>
      <c r="F27" s="207">
        <f>E27/E$25</f>
        <v>0.27986308684278799</v>
      </c>
      <c r="G27" s="149">
        <f>G10</f>
        <v>201.42070000000001</v>
      </c>
      <c r="H27" s="207">
        <f>G27/G$25</f>
        <v>0.27469507581943697</v>
      </c>
      <c r="I27" s="149">
        <f>I10</f>
        <v>234.74490000000003</v>
      </c>
      <c r="J27" s="207">
        <f>I27/I$25</f>
        <v>0.27153602155400869</v>
      </c>
      <c r="K27" s="149">
        <f>K10</f>
        <v>254.1097</v>
      </c>
      <c r="L27" s="207">
        <f>K27/K$25</f>
        <v>0.2671288032305898</v>
      </c>
      <c r="M27" s="149">
        <f>M10</f>
        <v>273.47450000000003</v>
      </c>
      <c r="N27" s="207">
        <f>M27/M$25</f>
        <v>0.2634582773472432</v>
      </c>
      <c r="O27" s="149">
        <f>O10</f>
        <v>292.83929999999998</v>
      </c>
      <c r="P27" s="207">
        <f>O27/O$25</f>
        <v>0.26035397743461591</v>
      </c>
      <c r="Q27" s="149">
        <f>Q10</f>
        <v>312.20410000000004</v>
      </c>
      <c r="R27" s="207">
        <f>Q27/Q$25</f>
        <v>0.25769426421536223</v>
      </c>
      <c r="S27" s="149">
        <f>S10</f>
        <v>328.86619999999999</v>
      </c>
      <c r="T27" s="207">
        <f>S27/S$25</f>
        <v>0.25529981568820237</v>
      </c>
      <c r="U27" s="149">
        <f>U10</f>
        <v>345.5283</v>
      </c>
      <c r="V27" s="207">
        <f>U27/U$25</f>
        <v>0.2531742464405829</v>
      </c>
      <c r="W27" s="149">
        <f>W10</f>
        <v>378.85250000000002</v>
      </c>
      <c r="X27" s="207">
        <f>W27/W$25</f>
        <v>0.24956687570815</v>
      </c>
      <c r="Y27" s="149">
        <f>Y10</f>
        <v>406.77130000000005</v>
      </c>
      <c r="Z27" s="207">
        <f>Y27/Y$25</f>
        <v>0.25311833392080052</v>
      </c>
      <c r="AA27" s="149">
        <f>AA10</f>
        <v>426.13610000000006</v>
      </c>
      <c r="AB27" s="207">
        <f>AA27/AA$25</f>
        <v>0.24836066198391155</v>
      </c>
      <c r="AC27" s="149">
        <f>AC10</f>
        <v>412.17670000000004</v>
      </c>
      <c r="AD27" s="207">
        <f>AC27/AC$25</f>
        <v>0.24662108665466662</v>
      </c>
      <c r="AE27" s="149">
        <f>AE10</f>
        <v>445.5009</v>
      </c>
      <c r="AF27" s="207">
        <f>AE27/AE$25</f>
        <v>0.24417016812191977</v>
      </c>
      <c r="AG27" s="149">
        <f>AG10</f>
        <v>464.8657</v>
      </c>
      <c r="AH27" s="207">
        <f>AG27/AG$25</f>
        <v>0.24045113492296671</v>
      </c>
      <c r="AI27" s="149">
        <f>AI10</f>
        <v>478.82510000000002</v>
      </c>
      <c r="AJ27" s="207">
        <f>AI27/AI$25</f>
        <v>0.24209908113602727</v>
      </c>
      <c r="AK27" s="149">
        <f>AK10</f>
        <v>512.14930000000004</v>
      </c>
      <c r="AL27" s="207">
        <f>AK27/AK$25</f>
        <v>0.24032587886470488</v>
      </c>
      <c r="AM27" s="149">
        <f>AM10</f>
        <v>484.23050000000001</v>
      </c>
      <c r="AN27" s="207">
        <f>AM27/AM$25</f>
        <v>0.23712823571569269</v>
      </c>
    </row>
    <row r="28" spans="1:40" ht="18" customHeight="1" x14ac:dyDescent="0.2">
      <c r="A28" s="154"/>
      <c r="B28" s="1562"/>
      <c r="C28" s="1565" t="s">
        <v>458</v>
      </c>
      <c r="D28" s="1565"/>
      <c r="E28" s="149">
        <f>E15</f>
        <v>134.50312499999998</v>
      </c>
      <c r="F28" s="207">
        <f>E28/E$25</f>
        <v>0.22238542140525028</v>
      </c>
      <c r="G28" s="149">
        <f>G15</f>
        <v>157.70625000000001</v>
      </c>
      <c r="H28" s="207">
        <f>G28/G$25</f>
        <v>0.21507784602550326</v>
      </c>
      <c r="I28" s="149">
        <f>I15</f>
        <v>183.48750000000001</v>
      </c>
      <c r="J28" s="207">
        <f>I28/I$25</f>
        <v>0.21224514677375808</v>
      </c>
      <c r="K28" s="149">
        <f>K15</f>
        <v>196.37812500000004</v>
      </c>
      <c r="L28" s="207">
        <f>K28/K$25</f>
        <v>0.20643939807066469</v>
      </c>
      <c r="M28" s="149">
        <f>M15</f>
        <v>209.26875000000001</v>
      </c>
      <c r="N28" s="207">
        <f>M28/M$25</f>
        <v>0.20160411437852852</v>
      </c>
      <c r="O28" s="149">
        <f>O15</f>
        <v>222.15937500000001</v>
      </c>
      <c r="P28" s="207">
        <f>O28/O$25</f>
        <v>0.1975147355755815</v>
      </c>
      <c r="Q28" s="149">
        <f>Q15</f>
        <v>235.05000000000004</v>
      </c>
      <c r="R28" s="207">
        <f>Q28/Q$25</f>
        <v>0.19401102292961844</v>
      </c>
      <c r="S28" s="149">
        <f>S15</f>
        <v>247.94062500000004</v>
      </c>
      <c r="T28" s="207">
        <f>S28/S$25</f>
        <v>0.19247704952384198</v>
      </c>
      <c r="U28" s="149">
        <f>U15</f>
        <v>260.83125000000001</v>
      </c>
      <c r="V28" s="207">
        <f>U28/U$25</f>
        <v>0.19111533025487432</v>
      </c>
      <c r="W28" s="149">
        <f>W15</f>
        <v>286.61250000000001</v>
      </c>
      <c r="X28" s="207">
        <f>W28/W$25</f>
        <v>0.18880431345682591</v>
      </c>
      <c r="Y28" s="149">
        <f>Y15</f>
        <v>312.39375000000007</v>
      </c>
      <c r="Z28" s="207">
        <f>Y28/Y$25</f>
        <v>0.19439076829479141</v>
      </c>
      <c r="AA28" s="149">
        <f>AA15</f>
        <v>325.28437500000001</v>
      </c>
      <c r="AB28" s="207">
        <f>AA28/AA$25</f>
        <v>0.18958225484304878</v>
      </c>
      <c r="AC28" s="149">
        <f>AC15</f>
        <v>312.39375000000007</v>
      </c>
      <c r="AD28" s="207">
        <f>AC28/AC$25</f>
        <v>0.18691713066053045</v>
      </c>
      <c r="AE28" s="149">
        <f>AE15</f>
        <v>338.17500000000001</v>
      </c>
      <c r="AF28" s="207">
        <f>AE28/AE$25</f>
        <v>0.18534698045420384</v>
      </c>
      <c r="AG28" s="149">
        <f>AG15</f>
        <v>351.06562500000007</v>
      </c>
      <c r="AH28" s="207">
        <f>AG28/AG$25</f>
        <v>0.18158820485936186</v>
      </c>
      <c r="AI28" s="149">
        <f>AI15</f>
        <v>363.95625000000007</v>
      </c>
      <c r="AJ28" s="207">
        <f>AI28/AI$25</f>
        <v>0.18402016456262263</v>
      </c>
      <c r="AK28" s="149">
        <f>AK15</f>
        <v>389.73750000000007</v>
      </c>
      <c r="AL28" s="207">
        <f>AK28/AK$25</f>
        <v>0.18288418477587087</v>
      </c>
      <c r="AM28" s="149">
        <f>AM15</f>
        <v>363.95625000000007</v>
      </c>
      <c r="AN28" s="207">
        <f>AM28/AM$25</f>
        <v>0.17822979643000511</v>
      </c>
    </row>
    <row r="29" spans="1:40" ht="18" customHeight="1" x14ac:dyDescent="0.2">
      <c r="A29" s="154"/>
      <c r="B29" s="1562"/>
      <c r="C29" s="1565" t="s">
        <v>459</v>
      </c>
      <c r="D29" s="1565"/>
      <c r="E29" s="149">
        <f>E20</f>
        <v>204.56999999999996</v>
      </c>
      <c r="F29" s="207">
        <f>E29/E$25</f>
        <v>0.33823292698122848</v>
      </c>
      <c r="G29" s="149">
        <f>G20</f>
        <v>244.12500000000003</v>
      </c>
      <c r="H29" s="207">
        <f>G29/G$25</f>
        <v>0.33293467545500566</v>
      </c>
      <c r="I29" s="149">
        <f>I20</f>
        <v>281.47500000000002</v>
      </c>
      <c r="J29" s="207">
        <f>I29/I$25</f>
        <v>0.32559004121884905</v>
      </c>
      <c r="K29" s="149">
        <f>K20</f>
        <v>307.57500000000005</v>
      </c>
      <c r="L29" s="207">
        <f>K29/K$25</f>
        <v>0.32333335427041421</v>
      </c>
      <c r="M29" s="149">
        <f>M20</f>
        <v>333.67500000000007</v>
      </c>
      <c r="N29" s="207">
        <f>M29/M$25</f>
        <v>0.32145388580595768</v>
      </c>
      <c r="O29" s="149">
        <f>O20</f>
        <v>359.77500000000003</v>
      </c>
      <c r="P29" s="207">
        <f>O29/O$25</f>
        <v>0.31986434959904275</v>
      </c>
      <c r="Q29" s="149">
        <f>Q20</f>
        <v>385.87499999999994</v>
      </c>
      <c r="R29" s="207">
        <f>Q29/Q$25</f>
        <v>0.31850246106346092</v>
      </c>
      <c r="S29" s="149">
        <f>S20</f>
        <v>404.55</v>
      </c>
      <c r="T29" s="207">
        <f>S29/S$25</f>
        <v>0.31405337622614388</v>
      </c>
      <c r="U29" s="149">
        <f>U20</f>
        <v>423.22499999999997</v>
      </c>
      <c r="V29" s="207">
        <f>U29/U$25</f>
        <v>0.31010389148968603</v>
      </c>
      <c r="W29" s="149">
        <f>W20</f>
        <v>460.57499999999999</v>
      </c>
      <c r="X29" s="207">
        <f>W29/W$25</f>
        <v>0.30340109615029909</v>
      </c>
      <c r="Y29" s="149">
        <f>Y20</f>
        <v>483.07499999999999</v>
      </c>
      <c r="Z29" s="207">
        <f>Y29/Y$25</f>
        <v>0.30059922899867986</v>
      </c>
      <c r="AA29" s="149">
        <f>AA20</f>
        <v>509.17500000000007</v>
      </c>
      <c r="AB29" s="207">
        <f>AA29/AA$25</f>
        <v>0.29675739761465447</v>
      </c>
      <c r="AC29" s="149">
        <f>AC20</f>
        <v>497.92500000000007</v>
      </c>
      <c r="AD29" s="207">
        <f>AC29/AC$25</f>
        <v>0.29792757468465558</v>
      </c>
      <c r="AE29" s="149">
        <f>AE20</f>
        <v>535.27499999999998</v>
      </c>
      <c r="AF29" s="207">
        <f>AE29/AE$25</f>
        <v>0.29337356387262203</v>
      </c>
      <c r="AG29" s="149">
        <f>AG20</f>
        <v>561.375</v>
      </c>
      <c r="AH29" s="207">
        <f>AG29/AG$25</f>
        <v>0.29037043573526816</v>
      </c>
      <c r="AI29" s="149">
        <f>AI20</f>
        <v>572.62500000000011</v>
      </c>
      <c r="AJ29" s="207">
        <f>AI29/AI$25</f>
        <v>0.2895253117171962</v>
      </c>
      <c r="AK29" s="149">
        <f>AK20</f>
        <v>609.97500000000002</v>
      </c>
      <c r="AL29" s="207">
        <f>AK29/AK$25</f>
        <v>0.28623055417726501</v>
      </c>
      <c r="AM29" s="149">
        <f>AM20</f>
        <v>587.47500000000002</v>
      </c>
      <c r="AN29" s="207">
        <f>AM29/AM$25</f>
        <v>0.28768718673664001</v>
      </c>
    </row>
    <row r="30" spans="1:40" ht="18" customHeight="1" x14ac:dyDescent="0.2">
      <c r="A30" s="154"/>
      <c r="B30" s="1563"/>
      <c r="C30" s="1565" t="s">
        <v>5</v>
      </c>
      <c r="D30" s="1565"/>
      <c r="E30" s="149">
        <f>E23</f>
        <v>96.47999999999999</v>
      </c>
      <c r="F30" s="207">
        <f>E30/E$25</f>
        <v>0.15951856477073337</v>
      </c>
      <c r="G30" s="149">
        <f>G23</f>
        <v>130</v>
      </c>
      <c r="H30" s="207">
        <f>G30/G$25</f>
        <v>0.1772924027000542</v>
      </c>
      <c r="I30" s="149">
        <f>I23</f>
        <v>164.8</v>
      </c>
      <c r="J30" s="207">
        <f>I30/I$25</f>
        <v>0.19062879045338421</v>
      </c>
      <c r="K30" s="149">
        <f>K23</f>
        <v>193.2</v>
      </c>
      <c r="L30" s="207">
        <f>K30/K$25</f>
        <v>0.20309844442833133</v>
      </c>
      <c r="M30" s="149">
        <f>M23</f>
        <v>221.60000000000002</v>
      </c>
      <c r="N30" s="207">
        <f>M30/M$25</f>
        <v>0.21348372246827069</v>
      </c>
      <c r="O30" s="149">
        <f>O23</f>
        <v>250</v>
      </c>
      <c r="P30" s="207">
        <f>O30/O$25</f>
        <v>0.22226693739075998</v>
      </c>
      <c r="Q30" s="149">
        <f>Q23</f>
        <v>278.40000000000003</v>
      </c>
      <c r="R30" s="207">
        <f>Q30/Q$25</f>
        <v>0.22979225179155827</v>
      </c>
      <c r="S30" s="149">
        <f>S23</f>
        <v>306.8</v>
      </c>
      <c r="T30" s="207">
        <f>S30/S$25</f>
        <v>0.23816975856181177</v>
      </c>
      <c r="U30" s="149">
        <f>U23</f>
        <v>335.19999999999993</v>
      </c>
      <c r="V30" s="207">
        <f>U30/U$25</f>
        <v>0.24560653181485675</v>
      </c>
      <c r="W30" s="149">
        <f>W23</f>
        <v>392</v>
      </c>
      <c r="X30" s="207">
        <f>W30/W$25</f>
        <v>0.25822771468472505</v>
      </c>
      <c r="Y30" s="149">
        <f>Y23</f>
        <v>404.80000000000007</v>
      </c>
      <c r="Z30" s="207">
        <f>Y30/Y$25</f>
        <v>0.25189166878572816</v>
      </c>
      <c r="AA30" s="149">
        <f>AA23</f>
        <v>455.20000000000005</v>
      </c>
      <c r="AB30" s="207">
        <f>AA30/AA$25</f>
        <v>0.26529968555838507</v>
      </c>
      <c r="AC30" s="149">
        <f>AC23</f>
        <v>448.8</v>
      </c>
      <c r="AD30" s="207">
        <f>AC30/AC$25</f>
        <v>0.26853420800014743</v>
      </c>
      <c r="AE30" s="149">
        <f>AE23</f>
        <v>505.6</v>
      </c>
      <c r="AF30" s="207">
        <f>AE30/AE$25</f>
        <v>0.27710928755125441</v>
      </c>
      <c r="AG30" s="149">
        <f>AG23</f>
        <v>556</v>
      </c>
      <c r="AH30" s="207">
        <f>AG30/AG$25</f>
        <v>0.28759022448240318</v>
      </c>
      <c r="AI30" s="149">
        <f>AI23</f>
        <v>562.4</v>
      </c>
      <c r="AJ30" s="207">
        <f>AI30/AI$25</f>
        <v>0.28435544258415385</v>
      </c>
      <c r="AK30" s="149">
        <f>AK23</f>
        <v>619.20000000000005</v>
      </c>
      <c r="AL30" s="207">
        <f>AK30/AK$25</f>
        <v>0.2905593821821591</v>
      </c>
      <c r="AM30" s="149">
        <f>AM23</f>
        <v>606.4</v>
      </c>
      <c r="AN30" s="207">
        <f>AM30/AM$25</f>
        <v>0.29695478111766205</v>
      </c>
    </row>
    <row r="31" spans="1:40" x14ac:dyDescent="0.2">
      <c r="A31" s="154"/>
      <c r="B31" s="172"/>
      <c r="C31" s="154"/>
      <c r="D31" s="227"/>
      <c r="E31" s="154"/>
      <c r="F31" s="154"/>
      <c r="G31" s="154"/>
      <c r="H31" s="154"/>
      <c r="I31" s="154"/>
      <c r="J31" s="154"/>
      <c r="K31" s="154"/>
      <c r="L31" s="154"/>
      <c r="M31" s="154"/>
      <c r="N31" s="154"/>
      <c r="O31" s="154"/>
      <c r="P31" s="154"/>
      <c r="Q31" s="228"/>
      <c r="R31" s="229"/>
      <c r="S31" s="154"/>
      <c r="T31" s="230"/>
      <c r="U31" s="154"/>
      <c r="V31" s="154"/>
      <c r="W31" s="154"/>
      <c r="X31" s="154"/>
      <c r="Y31" s="154"/>
      <c r="Z31" s="154"/>
      <c r="AA31" s="154"/>
      <c r="AB31" s="154"/>
      <c r="AC31" s="154"/>
      <c r="AD31" s="154"/>
      <c r="AE31" s="154"/>
      <c r="AF31" s="154"/>
      <c r="AG31" s="154"/>
      <c r="AH31" s="154"/>
      <c r="AI31" s="154"/>
      <c r="AJ31" s="154"/>
      <c r="AK31" s="154"/>
      <c r="AL31" s="154"/>
      <c r="AM31" s="154"/>
      <c r="AN31" s="154"/>
    </row>
    <row r="32" spans="1:40" x14ac:dyDescent="0.2">
      <c r="A32" s="154"/>
      <c r="B32" s="172"/>
      <c r="C32" s="154"/>
      <c r="D32" s="227"/>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54"/>
      <c r="AJ32" s="154"/>
      <c r="AK32" s="154"/>
      <c r="AL32" s="154"/>
      <c r="AM32" s="154"/>
      <c r="AN32" s="154"/>
    </row>
    <row r="33" spans="1:40" ht="36" x14ac:dyDescent="0.2">
      <c r="A33" s="154"/>
      <c r="B33" s="1375" t="s">
        <v>1462</v>
      </c>
      <c r="C33" s="1568" t="s">
        <v>1463</v>
      </c>
      <c r="D33" s="1569"/>
      <c r="E33" s="149">
        <f>(VLOOKUP("Prix HT",$C$1:$N$33,E$1,0))-(VLOOKUP("Non margé",$D$1:$N$33,E$1,0))</f>
        <v>474.61468499999989</v>
      </c>
      <c r="F33" s="207">
        <f>E33/VLOOKUP("Prix HT",$C$1:$N$33,E$1,0)</f>
        <v>0.78472070242862468</v>
      </c>
      <c r="G33" s="149">
        <f>(VLOOKUP("Prix HT",$C$1:$N$33,G$1,0))-(VLOOKUP("Non margé",$D$1:$N$33,G$1,0))</f>
        <v>578.31295</v>
      </c>
      <c r="H33" s="207">
        <f>G33/VLOOKUP("Prix HT",$C$1:$N$33,G$1,0)</f>
        <v>0.78869609552351005</v>
      </c>
      <c r="I33" s="149">
        <f>(VLOOKUP("Prix HT",$C$1:$N$33,I$1,0))-(VLOOKUP("Non margé",$D$1:$N$33,I$1,0))</f>
        <v>683.9344000000001</v>
      </c>
      <c r="J33" s="207">
        <f>I33/VLOOKUP("Prix HT",$C$1:$N$33,I$1,0)</f>
        <v>0.79112613726614722</v>
      </c>
      <c r="K33" s="149">
        <f>(VLOOKUP("Prix HT",$C$1:$N$33,K$1,0))-(VLOOKUP("Non margé",$D$1:$N$33,K$1,0))</f>
        <v>755.79382499999997</v>
      </c>
      <c r="L33" s="207">
        <f>K33/VLOOKUP("Prix HT",$C$1:$N$33,K$1,0)</f>
        <v>0.79451630520723859</v>
      </c>
      <c r="M33" s="149">
        <f>(VLOOKUP("Prix HT",$C$1:$N$33,M$1,0))-(VLOOKUP("Non margé",$D$1:$N$33,M$1,0))</f>
        <v>827.65325000000007</v>
      </c>
      <c r="N33" s="207">
        <f>M33/VLOOKUP("Prix HT",$C$1:$N$33,M$1,0)</f>
        <v>0.79733978665596683</v>
      </c>
      <c r="O33" s="149">
        <f>(VLOOKUP("Prix HT",$C$1:$AM$33,O$1,0))-(VLOOKUP("Non margé",$D$1:$AM$33,O$1,0))</f>
        <v>899.51267499999994</v>
      </c>
      <c r="P33" s="207">
        <f>O33/VLOOKUP("Prix HT",$C$1:$AM$33,O$1,0)</f>
        <v>0.79972770966568008</v>
      </c>
      <c r="Q33" s="149">
        <f>(VLOOKUP("Prix HT",$C$1:$AM$33,Q$1,0))-(VLOOKUP("Non margé",$D$1:$AM$33,Q$1,0))</f>
        <v>971.37210000000016</v>
      </c>
      <c r="R33" s="207">
        <f>Q33/VLOOKUP("Prix HT",$C$1:$AM$33,Q$1,0)</f>
        <v>0.80177364291125985</v>
      </c>
      <c r="S33" s="149">
        <f>(VLOOKUP("Prix HT",$C$1:$AM$33,S$1,0))-(VLOOKUP("Non margé",$D$1:$AM$33,S$1,0))</f>
        <v>1035.1828250000001</v>
      </c>
      <c r="T33" s="207">
        <f>S33/VLOOKUP("Prix HT",$C$1:$AM$33,S$1,0)</f>
        <v>0.80361552639369049</v>
      </c>
      <c r="U33" s="149">
        <f>(VLOOKUP("Prix HT",$C$1:$AM$33,U$1,0))-(VLOOKUP("Non margé",$D$1:$AM$33,U$1,0))</f>
        <v>1098.9935499999999</v>
      </c>
      <c r="V33" s="207">
        <f>U33/VLOOKUP("Prix HT",$C$1:$AM$33,U$1,0)</f>
        <v>0.80525057966109015</v>
      </c>
      <c r="W33" s="149">
        <f>(VLOOKUP("Prix HT",$C$1:$AM$33,W$1,0))-(VLOOKUP("Non margé",$D$1:$AM$33,W$1,0))</f>
        <v>1226.615</v>
      </c>
      <c r="X33" s="207">
        <f>W33/VLOOKUP("Prix HT",$C$1:$AM$33,W$1,0)</f>
        <v>0.80802548022450005</v>
      </c>
      <c r="Y33" s="149">
        <f>(VLOOKUP("Prix HT",$C$1:$AM$33,Y$1,0))-(VLOOKUP("Non margé",$D$1:$AM$33,Y$1,0))</f>
        <v>1294.1390500000002</v>
      </c>
      <c r="Z33" s="207">
        <f>Y33/VLOOKUP("Prix HT",$C$1:$AM$33,Y$1,0)</f>
        <v>0.80529358929169192</v>
      </c>
      <c r="AA33" s="149">
        <f>(VLOOKUP("Prix HT",$C$1:$AM$33,AA$1,0))-(VLOOKUP("Non margé",$D$1:$AM$33,AA$1,0))</f>
        <v>1387.9984750000003</v>
      </c>
      <c r="AB33" s="207">
        <f>AA33/VLOOKUP("Prix HT",$C$1:$AM$33,AA$1,0)</f>
        <v>0.80895333693545268</v>
      </c>
      <c r="AC33" s="149">
        <f>(VLOOKUP("Prix HT",$C$1:$AM$33,AC$1,0))-(VLOOKUP("Non margé",$D$1:$AM$33,AC$1,0))</f>
        <v>1354.2364500000001</v>
      </c>
      <c r="AD33" s="207">
        <f>AC33/VLOOKUP("Prix HT",$C$1:$AM$33,AC$1,0)</f>
        <v>0.81029147180410266</v>
      </c>
      <c r="AE33" s="149">
        <f>(VLOOKUP("Prix HT",$C$1:$AM$33,AE$1,0))-(VLOOKUP("Non margé",$D$1:$AM$33,AE$1,0))</f>
        <v>1481.8579</v>
      </c>
      <c r="AF33" s="207">
        <f>AE33/VLOOKUP("Prix HT",$C$1:$AM$33,AE$1,0)</f>
        <v>0.8121767937523694</v>
      </c>
      <c r="AG33" s="149">
        <f>(VLOOKUP("Prix HT",$C$1:$AM$33,AG$1,0))-(VLOOKUP("Non margé",$D$1:$AM$33,AG$1,0))</f>
        <v>1575.7173250000003</v>
      </c>
      <c r="AH33" s="207">
        <f>AG33/VLOOKUP("Prix HT",$C$1:$AM$33,AG$1,0)</f>
        <v>0.81503758852079489</v>
      </c>
      <c r="AI33" s="149">
        <f>(VLOOKUP("Prix HT",$C$1:$AM$33,AI$1,0))-(VLOOKUP("Non margé",$D$1:$AM$33,AI$1,0))</f>
        <v>1609.4793500000003</v>
      </c>
      <c r="AJ33" s="207">
        <f>AI33/VLOOKUP("Prix HT",$C$1:$AM$33,AI$1,0)</f>
        <v>0.81376993758767135</v>
      </c>
      <c r="AK33" s="149">
        <f>(VLOOKUP("Prix HT",$C$1:$AM$33,AK$1,0))-(VLOOKUP("Non margé",$D$1:$AM$33,AK$1,0))</f>
        <v>1737.1008000000004</v>
      </c>
      <c r="AL33" s="207">
        <f>AK33/VLOOKUP("Prix HT",$C$1:$AM$33,AK$1,0)</f>
        <v>0.81513393933484246</v>
      </c>
      <c r="AM33" s="149" t="e">
        <f>(VLOOKUP("Prix HT",$C$1:$AM$33,AM$1,0))-(VLOOKUP("Non margé",$D$1:$AM$33,AM$1,0))</f>
        <v>#REF!</v>
      </c>
      <c r="AN33" s="207" t="e">
        <f>AM33/VLOOKUP("Prix HT",$C$1:$AM$33,AM$1,0)</f>
        <v>#REF!</v>
      </c>
    </row>
    <row r="34" spans="1:40" x14ac:dyDescent="0.2">
      <c r="AN34" s="135"/>
    </row>
    <row r="36" spans="1:40" x14ac:dyDescent="0.2">
      <c r="AN36" s="135"/>
    </row>
    <row r="37" spans="1:40" x14ac:dyDescent="0.2">
      <c r="AN37" s="135"/>
    </row>
    <row r="38" spans="1:40" x14ac:dyDescent="0.2">
      <c r="AN38" s="135"/>
    </row>
    <row r="39" spans="1:40" x14ac:dyDescent="0.2">
      <c r="AN39" s="135"/>
    </row>
    <row r="40" spans="1:40" x14ac:dyDescent="0.2">
      <c r="AN40" s="135"/>
    </row>
  </sheetData>
  <mergeCells count="43">
    <mergeCell ref="C33:D33"/>
    <mergeCell ref="AE2:AF2"/>
    <mergeCell ref="B2:B3"/>
    <mergeCell ref="C2:C3"/>
    <mergeCell ref="E2:F2"/>
    <mergeCell ref="G2:H2"/>
    <mergeCell ref="I2:J2"/>
    <mergeCell ref="K2:L2"/>
    <mergeCell ref="M2:N2"/>
    <mergeCell ref="O2:P2"/>
    <mergeCell ref="Q2:R2"/>
    <mergeCell ref="S2:T2"/>
    <mergeCell ref="U2:V2"/>
    <mergeCell ref="C28:D28"/>
    <mergeCell ref="C29:D29"/>
    <mergeCell ref="A4:A9"/>
    <mergeCell ref="A11:A15"/>
    <mergeCell ref="A16:A20"/>
    <mergeCell ref="A21:A23"/>
    <mergeCell ref="B25:B30"/>
    <mergeCell ref="AK25:AL25"/>
    <mergeCell ref="Q25:R25"/>
    <mergeCell ref="S25:T25"/>
    <mergeCell ref="U25:V25"/>
    <mergeCell ref="W25:X25"/>
    <mergeCell ref="Y25:Z25"/>
    <mergeCell ref="AA25:AB25"/>
    <mergeCell ref="AM25:AN25"/>
    <mergeCell ref="AM2:AN2"/>
    <mergeCell ref="C30:D30"/>
    <mergeCell ref="AC25:AD25"/>
    <mergeCell ref="AE25:AF25"/>
    <mergeCell ref="AG25:AH25"/>
    <mergeCell ref="AI25:AJ25"/>
    <mergeCell ref="E25:F25"/>
    <mergeCell ref="G25:H25"/>
    <mergeCell ref="I25:J25"/>
    <mergeCell ref="K25:L25"/>
    <mergeCell ref="M25:N25"/>
    <mergeCell ref="O25:P25"/>
    <mergeCell ref="C25:D25"/>
    <mergeCell ref="C26:D26"/>
    <mergeCell ref="C27:D27"/>
  </mergeCells>
  <dataValidations count="9">
    <dataValidation type="list" allowBlank="1" showInputMessage="1" showErrorMessage="1" promptTitle="MINIPELLE" prompt="choisir catégorie" sqref="B21:B22" xr:uid="{00000000-0002-0000-1700-000000000000}">
      <formula1>CATEGORIE_MP</formula1>
    </dataValidation>
    <dataValidation type="list" allowBlank="1" showInputMessage="1" showErrorMessage="1" promptTitle="MO ATELIER" prompt="choisir catégorie" sqref="B11:B14" xr:uid="{00000000-0002-0000-1700-000001000000}">
      <formula1>CATEGORIE_MOA</formula1>
    </dataValidation>
    <dataValidation type="list" allowBlank="1" showInputMessage="1" showErrorMessage="1" promptTitle="MATIERES" prompt="choisir catégorie" sqref="B4:B5 B7:B9" xr:uid="{00000000-0002-0000-1700-000002000000}">
      <formula1>MOA_ALIM</formula1>
    </dataValidation>
    <dataValidation type="list" allowBlank="1" showInputMessage="1" promptTitle="MINIPELLE" prompt="choisir la prestation" sqref="C21:C22" xr:uid="{00000000-0002-0000-1700-000003000000}">
      <formula1>INDIRECT(B21)</formula1>
    </dataValidation>
    <dataValidation type="list" allowBlank="1" showInputMessage="1" showErrorMessage="1" promptTitle="Catégorie MOC" prompt="choisir" sqref="B16:B19" xr:uid="{00000000-0002-0000-1700-000004000000}">
      <formula1>CATEGORIE_MOC</formula1>
    </dataValidation>
    <dataValidation type="list" allowBlank="1" showInputMessage="1" showErrorMessage="1" promptTitle="MATIERES" prompt="choisir le produit" sqref="C4:C9" xr:uid="{00000000-0002-0000-1700-000005000000}">
      <formula1>INDIRECT(B4)</formula1>
    </dataValidation>
    <dataValidation type="list" allowBlank="1" showInputMessage="1" showErrorMessage="1" promptTitle="Main d'oeuvre ATELIER" prompt="choisir la prestation" sqref="C11:C14" xr:uid="{00000000-0002-0000-1700-000006000000}">
      <formula1>INDIRECT(B11)</formula1>
    </dataValidation>
    <dataValidation type="list" allowBlank="1" showInputMessage="1" promptTitle="Main d'oeuvre CHANTIER" prompt="choisir la prestation" sqref="C16:C19" xr:uid="{00000000-0002-0000-1700-000007000000}">
      <formula1>INDIRECT(B16)</formula1>
    </dataValidation>
    <dataValidation type="list" allowBlank="1" showInputMessage="1" showErrorMessage="1" promptTitle="MATIERES" prompt="choisir catégorie" sqref="B6" xr:uid="{3099CEDC-6087-4009-82A2-15094F4A2051}">
      <formula1>MA_CATEGORIE</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published="0" codeName="Feuil25"/>
  <dimension ref="A1:AN42"/>
  <sheetViews>
    <sheetView zoomScaleNormal="100" workbookViewId="0">
      <pane xSplit="4" ySplit="3" topLeftCell="I8" activePane="bottomRight" state="frozen"/>
      <selection pane="topRight" activeCell="E1" sqref="E1"/>
      <selection pane="bottomLeft" activeCell="A4" sqref="A4"/>
      <selection pane="bottomRight" activeCell="K26" sqref="K26:L26"/>
    </sheetView>
  </sheetViews>
  <sheetFormatPr baseColWidth="10" defaultColWidth="11.125" defaultRowHeight="18" x14ac:dyDescent="0.2"/>
  <cols>
    <col min="1" max="1" width="18.125" style="210" customWidth="1"/>
    <col min="2" max="2" width="22.5" style="464"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807" width="11.5" customWidth="1"/>
  </cols>
  <sheetData>
    <row r="1" spans="1:40"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t="s">
        <v>467</v>
      </c>
    </row>
    <row r="2" spans="1:40" ht="35.1" customHeight="1" x14ac:dyDescent="0.2">
      <c r="A2" s="174"/>
      <c r="B2" s="1572" t="s">
        <v>1785</v>
      </c>
      <c r="C2" s="1574" t="s">
        <v>468</v>
      </c>
      <c r="D2" s="115" t="s">
        <v>203</v>
      </c>
      <c r="E2" s="1571">
        <v>2</v>
      </c>
      <c r="F2" s="1571"/>
      <c r="G2" s="1571">
        <v>3</v>
      </c>
      <c r="H2" s="1571"/>
      <c r="I2" s="1571">
        <v>4</v>
      </c>
      <c r="J2" s="1571"/>
      <c r="K2" s="1571">
        <v>5</v>
      </c>
      <c r="L2" s="1571"/>
      <c r="M2" s="1571">
        <v>6</v>
      </c>
      <c r="N2" s="1571"/>
      <c r="O2" s="1571">
        <v>7</v>
      </c>
      <c r="P2" s="1571"/>
      <c r="Q2" s="1571">
        <v>8</v>
      </c>
      <c r="R2" s="1571"/>
      <c r="S2" s="1571">
        <v>9</v>
      </c>
      <c r="T2" s="1571"/>
      <c r="U2" s="1571">
        <v>10</v>
      </c>
      <c r="V2" s="1571"/>
      <c r="W2" s="218">
        <v>12</v>
      </c>
      <c r="X2" s="463" t="s">
        <v>469</v>
      </c>
      <c r="Y2" s="463">
        <v>12</v>
      </c>
      <c r="Z2" s="465" t="s">
        <v>470</v>
      </c>
      <c r="AA2" s="218">
        <v>14</v>
      </c>
      <c r="AB2" s="463" t="s">
        <v>471</v>
      </c>
      <c r="AC2" s="218">
        <v>14</v>
      </c>
      <c r="AD2" s="463" t="s">
        <v>472</v>
      </c>
      <c r="AE2" s="1571">
        <v>16</v>
      </c>
      <c r="AF2" s="1571"/>
      <c r="AG2" s="218">
        <v>18</v>
      </c>
      <c r="AH2" s="463" t="s">
        <v>473</v>
      </c>
      <c r="AI2" s="218">
        <v>18</v>
      </c>
      <c r="AJ2" s="463" t="s">
        <v>474</v>
      </c>
      <c r="AK2" s="218">
        <v>20</v>
      </c>
      <c r="AL2" s="463" t="s">
        <v>475</v>
      </c>
      <c r="AM2" s="1619">
        <v>20</v>
      </c>
      <c r="AN2" s="1620"/>
    </row>
    <row r="3" spans="1:40" ht="35.1" customHeight="1" x14ac:dyDescent="0.2">
      <c r="A3" s="174"/>
      <c r="B3" s="1573"/>
      <c r="C3" s="1574"/>
      <c r="D3" s="176" t="s">
        <v>222</v>
      </c>
      <c r="E3" s="236" t="s">
        <v>444</v>
      </c>
      <c r="F3" s="466" t="s">
        <v>477</v>
      </c>
      <c r="G3" s="236" t="s">
        <v>444</v>
      </c>
      <c r="H3" s="466" t="s">
        <v>477</v>
      </c>
      <c r="I3" s="236" t="s">
        <v>444</v>
      </c>
      <c r="J3" s="466" t="s">
        <v>477</v>
      </c>
      <c r="K3" s="236" t="s">
        <v>444</v>
      </c>
      <c r="L3" s="466" t="s">
        <v>477</v>
      </c>
      <c r="M3" s="236" t="s">
        <v>444</v>
      </c>
      <c r="N3" s="466" t="s">
        <v>477</v>
      </c>
      <c r="O3" s="236" t="s">
        <v>444</v>
      </c>
      <c r="P3" s="466" t="s">
        <v>477</v>
      </c>
      <c r="Q3" s="220" t="s">
        <v>444</v>
      </c>
      <c r="R3" s="467" t="s">
        <v>477</v>
      </c>
      <c r="S3" s="236" t="s">
        <v>444</v>
      </c>
      <c r="T3" s="466" t="s">
        <v>477</v>
      </c>
      <c r="U3" s="236" t="s">
        <v>444</v>
      </c>
      <c r="V3" s="466" t="s">
        <v>477</v>
      </c>
      <c r="W3" s="236" t="s">
        <v>444</v>
      </c>
      <c r="X3" s="466" t="s">
        <v>477</v>
      </c>
      <c r="Y3" s="236" t="s">
        <v>444</v>
      </c>
      <c r="Z3" s="466" t="s">
        <v>477</v>
      </c>
      <c r="AA3" s="236" t="s">
        <v>444</v>
      </c>
      <c r="AB3" s="466" t="s">
        <v>477</v>
      </c>
      <c r="AC3" s="236" t="s">
        <v>444</v>
      </c>
      <c r="AD3" s="466" t="s">
        <v>477</v>
      </c>
      <c r="AE3" s="236" t="s">
        <v>444</v>
      </c>
      <c r="AF3" s="466" t="s">
        <v>477</v>
      </c>
      <c r="AG3" s="236" t="s">
        <v>444</v>
      </c>
      <c r="AH3" s="466" t="s">
        <v>477</v>
      </c>
      <c r="AI3" s="236" t="s">
        <v>444</v>
      </c>
      <c r="AJ3" s="466" t="s">
        <v>477</v>
      </c>
      <c r="AK3" s="236" t="s">
        <v>444</v>
      </c>
      <c r="AL3" s="466" t="s">
        <v>477</v>
      </c>
      <c r="AM3" s="236" t="s">
        <v>444</v>
      </c>
      <c r="AN3" s="1380" t="s">
        <v>477</v>
      </c>
    </row>
    <row r="4" spans="1:40" ht="15" customHeight="1" x14ac:dyDescent="0.2">
      <c r="A4" s="1631"/>
      <c r="B4" s="361" t="s">
        <v>1838</v>
      </c>
      <c r="C4" s="362" t="s">
        <v>1839</v>
      </c>
      <c r="D4" s="363" t="str">
        <f>IF($C4="","",VLOOKUP($C4,MATIERES!$A$2:$F$527,5,0))</f>
        <v>ml</v>
      </c>
      <c r="E4" s="364">
        <f>'Outils de calculs'!E26*1.1</f>
        <v>9.02</v>
      </c>
      <c r="F4" s="365">
        <f>IF($C4="","",E4*VLOOKUP($C4,MATIERES!$A$2:$F$549,4,0))</f>
        <v>45.099999999999994</v>
      </c>
      <c r="G4" s="364">
        <f>'Outils de calculs'!G26*1.1</f>
        <v>11</v>
      </c>
      <c r="H4" s="365">
        <f>IF($C4="","",G4*VLOOKUP($C4,MATIERES!$A$2:$F$549,4,0))</f>
        <v>55</v>
      </c>
      <c r="I4" s="364">
        <f>'Outils de calculs'!I26*1.1</f>
        <v>13.200000000000001</v>
      </c>
      <c r="J4" s="365">
        <f>IF($C4="","",I4*VLOOKUP($C4,MATIERES!$A$2:$F$549,4,0))</f>
        <v>66</v>
      </c>
      <c r="K4" s="364">
        <f>'Outils de calculs'!K26*1.1</f>
        <v>14.3</v>
      </c>
      <c r="L4" s="365">
        <f>IF($C4="","",K4*VLOOKUP($C4,MATIERES!$A$2:$F$549,4,0))</f>
        <v>71.5</v>
      </c>
      <c r="M4" s="364">
        <f>'Outils de calculs'!M26*1.1</f>
        <v>15.400000000000002</v>
      </c>
      <c r="N4" s="365">
        <f>IF($C4="","",M4*VLOOKUP($C4,MATIERES!$A$2:$F$549,4,0))</f>
        <v>77.000000000000014</v>
      </c>
      <c r="O4" s="364">
        <f>'Outils de calculs'!O26*1.1</f>
        <v>16.5</v>
      </c>
      <c r="P4" s="365">
        <f>IF($C4="","",O4*VLOOKUP($C4,MATIERES!$A$2:$F$549,4,0))</f>
        <v>82.5</v>
      </c>
      <c r="Q4" s="364">
        <f>'Outils de calculs'!Q26*1.1</f>
        <v>17.600000000000001</v>
      </c>
      <c r="R4" s="365">
        <f>IF($C4="","",Q4*VLOOKUP($C4,MATIERES!$A$2:$F$549,4,0))</f>
        <v>88</v>
      </c>
      <c r="S4" s="364">
        <f>'Outils de calculs'!S26*1.1</f>
        <v>18.700000000000003</v>
      </c>
      <c r="T4" s="365">
        <f>IF($C4="","",S4*VLOOKUP($C4,MATIERES!$A$2:$F$549,4,0))</f>
        <v>93.500000000000014</v>
      </c>
      <c r="U4" s="364">
        <f>'Outils de calculs'!U26*1.1</f>
        <v>19.8</v>
      </c>
      <c r="V4" s="365">
        <f>IF($C4="","",U4*VLOOKUP($C4,MATIERES!$A$2:$F$549,4,0))</f>
        <v>99</v>
      </c>
      <c r="W4" s="364">
        <f>'Outils de calculs'!W26*1.1</f>
        <v>22</v>
      </c>
      <c r="X4" s="365">
        <f>IF($C4="","",W4*VLOOKUP($C4,MATIERES!$A$2:$F$549,4,0))</f>
        <v>110</v>
      </c>
      <c r="Y4" s="364">
        <f>'Outils de calculs'!Y26*1.1</f>
        <v>24.200000000000003</v>
      </c>
      <c r="Z4" s="365">
        <f>IF($C4="","",Y4*VLOOKUP($C4,MATIERES!$A$2:$F$549,4,0))</f>
        <v>121.00000000000001</v>
      </c>
      <c r="AA4" s="364">
        <f>'Outils de calculs'!AA26*1.1</f>
        <v>25.3</v>
      </c>
      <c r="AB4" s="365">
        <f>IF($C4="","",AA4*VLOOKUP($C4,MATIERES!$A$2:$F$549,4,0))</f>
        <v>126.5</v>
      </c>
      <c r="AC4" s="364">
        <f>'Outils de calculs'!AC26*1.1</f>
        <v>24.200000000000003</v>
      </c>
      <c r="AD4" s="365">
        <f>IF($C4="","",AC4*VLOOKUP($C4,MATIERES!$A$2:$F$549,4,0))</f>
        <v>121.00000000000001</v>
      </c>
      <c r="AE4" s="364">
        <f>'Outils de calculs'!AE26*1.1</f>
        <v>26.400000000000002</v>
      </c>
      <c r="AF4" s="365">
        <f>IF($C4="","",AE4*VLOOKUP($C4,MATIERES!$A$2:$F$549,4,0))</f>
        <v>132</v>
      </c>
      <c r="AG4" s="364">
        <f>'Outils de calculs'!AG26*1.1</f>
        <v>27.500000000000004</v>
      </c>
      <c r="AH4" s="365">
        <f>IF($C4="","",AG4*VLOOKUP($C4,MATIERES!$A$2:$F$549,4,0))</f>
        <v>137.50000000000003</v>
      </c>
      <c r="AI4" s="364">
        <f>'Outils de calculs'!AI26*1.1</f>
        <v>28.6</v>
      </c>
      <c r="AJ4" s="365">
        <f>IF($C4="","",AI4*VLOOKUP($C4,MATIERES!$A$2:$F$549,4,0))</f>
        <v>143</v>
      </c>
      <c r="AK4" s="364">
        <f>'Outils de calculs'!AK26*1.1</f>
        <v>30.800000000000004</v>
      </c>
      <c r="AL4" s="365">
        <f>IF($C4="","",AK4*VLOOKUP($C4,MATIERES!$A$2:$F$549,4,0))</f>
        <v>154.00000000000003</v>
      </c>
      <c r="AM4" s="364">
        <f>'Outils de calculs'!AM26*1.1</f>
        <v>28.6</v>
      </c>
      <c r="AN4" s="365">
        <f>IF($C4="","",AM4*VLOOKUP($C4,MATIERES!$A$2:$F$549,4,0))</f>
        <v>143</v>
      </c>
    </row>
    <row r="5" spans="1:40" ht="15" customHeight="1" x14ac:dyDescent="0.2">
      <c r="A5" s="1631"/>
      <c r="B5" s="361" t="s">
        <v>1838</v>
      </c>
      <c r="C5" s="362" t="s">
        <v>1840</v>
      </c>
      <c r="D5" s="363" t="str">
        <f>IF($C5="","",VLOOKUP($C5,MATIERES!$A$2:$F$527,5,0))</f>
        <v>ml</v>
      </c>
      <c r="E5" s="364">
        <f>'Outils de calculs'!E26*1.1</f>
        <v>9.02</v>
      </c>
      <c r="F5" s="365">
        <f>IF($C5="","",E5*VLOOKUP($C5,MATIERES!$A$2:$F$549,4,0))</f>
        <v>153.34</v>
      </c>
      <c r="G5" s="364">
        <f>'Outils de calculs'!G26*1.1</f>
        <v>11</v>
      </c>
      <c r="H5" s="365">
        <f>IF($C5="","",G5*VLOOKUP($C5,MATIERES!$A$2:$F$549,4,0))</f>
        <v>187</v>
      </c>
      <c r="I5" s="364">
        <f>'Outils de calculs'!I26*1.1</f>
        <v>13.200000000000001</v>
      </c>
      <c r="J5" s="365">
        <f>IF($C5="","",I5*VLOOKUP($C5,MATIERES!$A$2:$F$549,4,0))</f>
        <v>224.4</v>
      </c>
      <c r="K5" s="364">
        <f>'Outils de calculs'!K26*1.1</f>
        <v>14.3</v>
      </c>
      <c r="L5" s="365">
        <f>IF($C5="","",K5*VLOOKUP($C5,MATIERES!$A$2:$F$549,4,0))</f>
        <v>243.10000000000002</v>
      </c>
      <c r="M5" s="364">
        <f>'Outils de calculs'!M26*1.1</f>
        <v>15.400000000000002</v>
      </c>
      <c r="N5" s="365">
        <f>IF($C5="","",M5*VLOOKUP($C5,MATIERES!$A$2:$F$549,4,0))</f>
        <v>261.8</v>
      </c>
      <c r="O5" s="364">
        <f>'Outils de calculs'!O26*1.1</f>
        <v>16.5</v>
      </c>
      <c r="P5" s="365">
        <f>IF($C5="","",O5*VLOOKUP($C5,MATIERES!$A$2:$F$549,4,0))</f>
        <v>280.5</v>
      </c>
      <c r="Q5" s="364">
        <f>'Outils de calculs'!Q26*1.1</f>
        <v>17.600000000000001</v>
      </c>
      <c r="R5" s="365">
        <f>IF($C5="","",Q5*VLOOKUP($C5,MATIERES!$A$2:$F$549,4,0))</f>
        <v>299.20000000000005</v>
      </c>
      <c r="S5" s="364">
        <f>'Outils de calculs'!S26*1.1</f>
        <v>18.700000000000003</v>
      </c>
      <c r="T5" s="365">
        <f>IF($C5="","",S5*VLOOKUP($C5,MATIERES!$A$2:$F$549,4,0))</f>
        <v>317.90000000000003</v>
      </c>
      <c r="U5" s="364">
        <f>'Outils de calculs'!U26*1.1</f>
        <v>19.8</v>
      </c>
      <c r="V5" s="365">
        <f>IF($C5="","",U5*VLOOKUP($C5,MATIERES!$A$2:$F$549,4,0))</f>
        <v>336.6</v>
      </c>
      <c r="W5" s="364">
        <f>'Outils de calculs'!W26*1.1</f>
        <v>22</v>
      </c>
      <c r="X5" s="365">
        <f>IF($C5="","",W5*VLOOKUP($C5,MATIERES!$A$2:$F$549,4,0))</f>
        <v>374</v>
      </c>
      <c r="Y5" s="364">
        <f>'Outils de calculs'!Y26*1.1</f>
        <v>24.200000000000003</v>
      </c>
      <c r="Z5" s="365">
        <f>IF($C5="","",Y5*VLOOKUP($C5,MATIERES!$A$2:$F$549,4,0))</f>
        <v>411.40000000000003</v>
      </c>
      <c r="AA5" s="364">
        <f>'Outils de calculs'!AA26*1.1</f>
        <v>25.3</v>
      </c>
      <c r="AB5" s="365">
        <f>IF($C5="","",AA5*VLOOKUP($C5,MATIERES!$A$2:$F$549,4,0))</f>
        <v>430.1</v>
      </c>
      <c r="AC5" s="364">
        <f>'Outils de calculs'!AC26*1.1</f>
        <v>24.200000000000003</v>
      </c>
      <c r="AD5" s="365">
        <f>IF($C5="","",AC5*VLOOKUP($C5,MATIERES!$A$2:$F$549,4,0))</f>
        <v>411.40000000000003</v>
      </c>
      <c r="AE5" s="364">
        <f>'Outils de calculs'!AE26*1.1</f>
        <v>26.400000000000002</v>
      </c>
      <c r="AF5" s="365">
        <f>IF($C5="","",AE5*VLOOKUP($C5,MATIERES!$A$2:$F$549,4,0))</f>
        <v>448.8</v>
      </c>
      <c r="AG5" s="364">
        <f>'Outils de calculs'!AG26*1.1</f>
        <v>27.500000000000004</v>
      </c>
      <c r="AH5" s="365">
        <f>IF($C5="","",AG5*VLOOKUP($C5,MATIERES!$A$2:$F$549,4,0))</f>
        <v>467.50000000000006</v>
      </c>
      <c r="AI5" s="364">
        <f>'Outils de calculs'!AI26*1.1</f>
        <v>28.6</v>
      </c>
      <c r="AJ5" s="365">
        <f>IF($C5="","",AI5*VLOOKUP($C5,MATIERES!$A$2:$F$549,4,0))</f>
        <v>486.20000000000005</v>
      </c>
      <c r="AK5" s="364">
        <f>'Outils de calculs'!AK26*1.1</f>
        <v>30.800000000000004</v>
      </c>
      <c r="AL5" s="365">
        <f>IF($C5="","",AK5*VLOOKUP($C5,MATIERES!$A$2:$F$549,4,0))</f>
        <v>523.6</v>
      </c>
      <c r="AM5" s="364">
        <f>'Outils de calculs'!AM26*1.1</f>
        <v>28.6</v>
      </c>
      <c r="AN5" s="365">
        <f>IF($C5="","",AM5*VLOOKUP($C5,MATIERES!$A$2:$F$549,4,0))</f>
        <v>486.20000000000005</v>
      </c>
    </row>
    <row r="6" spans="1:40" ht="15" customHeight="1" x14ac:dyDescent="0.2">
      <c r="A6" s="1631"/>
      <c r="B6" s="361" t="s">
        <v>1838</v>
      </c>
      <c r="C6" s="362" t="s">
        <v>1841</v>
      </c>
      <c r="D6" s="363" t="str">
        <f>IF($C6="","",VLOOKUP($C6,MATIERES!$A$2:$F$527,5,0))</f>
        <v>ml</v>
      </c>
      <c r="E6" s="364">
        <f>'Outils de calculs'!E26*1.1</f>
        <v>9.02</v>
      </c>
      <c r="F6" s="365">
        <f>IF($C6="","",E6*VLOOKUP($C6,MATIERES!$A$2:$F$549,4,0))</f>
        <v>45.099999999999994</v>
      </c>
      <c r="G6" s="364">
        <f>'Outils de calculs'!G26*1.1</f>
        <v>11</v>
      </c>
      <c r="H6" s="365">
        <f>IF($C6="","",G6*VLOOKUP($C6,MATIERES!$A$2:$F$549,4,0))</f>
        <v>55</v>
      </c>
      <c r="I6" s="364">
        <f>'Outils de calculs'!I26*1.1</f>
        <v>13.200000000000001</v>
      </c>
      <c r="J6" s="365">
        <f>IF($C6="","",I6*VLOOKUP($C6,MATIERES!$A$2:$F$549,4,0))</f>
        <v>66</v>
      </c>
      <c r="K6" s="364">
        <f>'Outils de calculs'!K26*1.1</f>
        <v>14.3</v>
      </c>
      <c r="L6" s="365">
        <f>IF($C6="","",K6*VLOOKUP($C6,MATIERES!$A$2:$F$549,4,0))</f>
        <v>71.5</v>
      </c>
      <c r="M6" s="364">
        <f>'Outils de calculs'!M26*1.1</f>
        <v>15.400000000000002</v>
      </c>
      <c r="N6" s="365">
        <f>IF($C6="","",M6*VLOOKUP($C6,MATIERES!$A$2:$F$549,4,0))</f>
        <v>77.000000000000014</v>
      </c>
      <c r="O6" s="364">
        <f>'Outils de calculs'!O26*1.1</f>
        <v>16.5</v>
      </c>
      <c r="P6" s="365">
        <f>IF($C6="","",O6*VLOOKUP($C6,MATIERES!$A$2:$F$549,4,0))</f>
        <v>82.5</v>
      </c>
      <c r="Q6" s="364">
        <f>'Outils de calculs'!Q26*1.1</f>
        <v>17.600000000000001</v>
      </c>
      <c r="R6" s="365">
        <f>IF($C6="","",Q6*VLOOKUP($C6,MATIERES!$A$2:$F$549,4,0))</f>
        <v>88</v>
      </c>
      <c r="S6" s="364">
        <f>'Outils de calculs'!S26*1.1</f>
        <v>18.700000000000003</v>
      </c>
      <c r="T6" s="365">
        <f>IF($C6="","",S6*VLOOKUP($C6,MATIERES!$A$2:$F$549,4,0))</f>
        <v>93.500000000000014</v>
      </c>
      <c r="U6" s="364">
        <f>'Outils de calculs'!U26*1.1</f>
        <v>19.8</v>
      </c>
      <c r="V6" s="365">
        <f>IF($C6="","",U6*VLOOKUP($C6,MATIERES!$A$2:$F$549,4,0))</f>
        <v>99</v>
      </c>
      <c r="W6" s="364">
        <f>'Outils de calculs'!W26*1.1</f>
        <v>22</v>
      </c>
      <c r="X6" s="365">
        <f>IF($C6="","",W6*VLOOKUP($C6,MATIERES!$A$2:$F$549,4,0))</f>
        <v>110</v>
      </c>
      <c r="Y6" s="364">
        <f>'Outils de calculs'!Y26*1.1</f>
        <v>24.200000000000003</v>
      </c>
      <c r="Z6" s="365">
        <f>IF($C6="","",Y6*VLOOKUP($C6,MATIERES!$A$2:$F$549,4,0))</f>
        <v>121.00000000000001</v>
      </c>
      <c r="AA6" s="364">
        <f>'Outils de calculs'!AA26*1.1</f>
        <v>25.3</v>
      </c>
      <c r="AB6" s="365">
        <f>IF($C6="","",AA6*VLOOKUP($C6,MATIERES!$A$2:$F$549,4,0))</f>
        <v>126.5</v>
      </c>
      <c r="AC6" s="364">
        <f>'Outils de calculs'!AC26*1.1</f>
        <v>24.200000000000003</v>
      </c>
      <c r="AD6" s="365">
        <f>IF($C6="","",AC6*VLOOKUP($C6,MATIERES!$A$2:$F$549,4,0))</f>
        <v>121.00000000000001</v>
      </c>
      <c r="AE6" s="364">
        <f>'Outils de calculs'!AE26*1.1</f>
        <v>26.400000000000002</v>
      </c>
      <c r="AF6" s="365">
        <f>IF($C6="","",AE6*VLOOKUP($C6,MATIERES!$A$2:$F$549,4,0))</f>
        <v>132</v>
      </c>
      <c r="AG6" s="364">
        <f>'Outils de calculs'!AG26*1.1</f>
        <v>27.500000000000004</v>
      </c>
      <c r="AH6" s="365">
        <f>IF($C6="","",AG6*VLOOKUP($C6,MATIERES!$A$2:$F$549,4,0))</f>
        <v>137.50000000000003</v>
      </c>
      <c r="AI6" s="364">
        <f>'Outils de calculs'!AI26*1.1</f>
        <v>28.6</v>
      </c>
      <c r="AJ6" s="365">
        <f>IF($C6="","",AI6*VLOOKUP($C6,MATIERES!$A$2:$F$549,4,0))</f>
        <v>143</v>
      </c>
      <c r="AK6" s="364">
        <f>'Outils de calculs'!AK26*1.1</f>
        <v>30.800000000000004</v>
      </c>
      <c r="AL6" s="365">
        <f>IF($C6="","",AK6*VLOOKUP($C6,MATIERES!$A$2:$F$549,4,0))</f>
        <v>154.00000000000003</v>
      </c>
      <c r="AM6" s="364">
        <f>'Outils de calculs'!AM26*1.1</f>
        <v>28.6</v>
      </c>
      <c r="AN6" s="365">
        <f>IF($C6="","",AM6*VLOOKUP($C6,MATIERES!$A$2:$F$549,4,0))</f>
        <v>143</v>
      </c>
    </row>
    <row r="7" spans="1:40" s="345" customFormat="1" ht="15" customHeight="1" x14ac:dyDescent="0.2">
      <c r="A7" s="1631"/>
      <c r="B7" s="361" t="s">
        <v>1075</v>
      </c>
      <c r="C7" s="362" t="s">
        <v>1219</v>
      </c>
      <c r="D7" s="363" t="s">
        <v>52</v>
      </c>
      <c r="E7" s="364">
        <f>'Outils de calculs'!E39</f>
        <v>0</v>
      </c>
      <c r="F7" s="365">
        <f>IF($C7="","",E7*VLOOKUP($C7,MATIERES!$A$2:$F$549,4,0))</f>
        <v>0</v>
      </c>
      <c r="G7" s="364">
        <f>'Outils de calculs'!G39</f>
        <v>3.06</v>
      </c>
      <c r="H7" s="365">
        <f>IF($C7="","",G7*VLOOKUP($C7,MATIERES!$A$2:$F$549,4,0))</f>
        <v>45.9</v>
      </c>
      <c r="I7" s="364">
        <f>'Outils de calculs'!I39</f>
        <v>4.0599999999999996</v>
      </c>
      <c r="J7" s="365">
        <f>IF($C7="","",I7*VLOOKUP($C7,MATIERES!$A$2:$F$549,4,0))</f>
        <v>60.899999999999991</v>
      </c>
      <c r="K7" s="364">
        <f>'Outils de calculs'!K39</f>
        <v>4.0599999999999996</v>
      </c>
      <c r="L7" s="365">
        <f>IF($C7="","",K7*VLOOKUP($C7,MATIERES!$A$2:$F$549,4,0))</f>
        <v>60.899999999999991</v>
      </c>
      <c r="M7" s="364">
        <f>'Outils de calculs'!M39</f>
        <v>3.06</v>
      </c>
      <c r="N7" s="365">
        <f>IF($C7="","",M7*VLOOKUP($C7,MATIERES!$A$2:$F$549,4,0))</f>
        <v>45.9</v>
      </c>
      <c r="O7" s="364">
        <f>'Outils de calculs'!O39</f>
        <v>4.0599999999999996</v>
      </c>
      <c r="P7" s="365">
        <f>IF($C7="","",O7*VLOOKUP($C7,MATIERES!$A$2:$F$549,4,0))</f>
        <v>60.899999999999991</v>
      </c>
      <c r="Q7" s="364">
        <f>'Outils de calculs'!Q39</f>
        <v>4.0599999999999996</v>
      </c>
      <c r="R7" s="365">
        <f>IF($C7="","",Q7*VLOOKUP($C7,MATIERES!$A$2:$F$549,4,0))</f>
        <v>60.899999999999991</v>
      </c>
      <c r="S7" s="364">
        <f>'Outils de calculs'!S39</f>
        <v>4.0599999999999996</v>
      </c>
      <c r="T7" s="365">
        <f>IF($C7="","",S7*VLOOKUP($C7,MATIERES!$A$2:$F$549,4,0))</f>
        <v>60.899999999999991</v>
      </c>
      <c r="U7" s="364">
        <f>'Outils de calculs'!U39</f>
        <v>4.0599999999999996</v>
      </c>
      <c r="V7" s="365">
        <f>IF($C7="","",U7*VLOOKUP($C7,MATIERES!$A$2:$F$549,4,0))</f>
        <v>60.899999999999991</v>
      </c>
      <c r="W7" s="364">
        <f>'Outils de calculs'!W39</f>
        <v>3.03</v>
      </c>
      <c r="X7" s="365">
        <f>IF($C7="","",W7*VLOOKUP($C7,MATIERES!$A$2:$F$549,4,0))</f>
        <v>45.449999999999996</v>
      </c>
      <c r="Y7" s="364">
        <f>'Outils de calculs'!Y39</f>
        <v>0</v>
      </c>
      <c r="Z7" s="365">
        <f>IF($C7="","",Y7*VLOOKUP($C7,MATIERES!$A$2:$F$549,4,0))</f>
        <v>0</v>
      </c>
      <c r="AA7" s="364">
        <f>'Outils de calculs'!AA39</f>
        <v>4.03</v>
      </c>
      <c r="AB7" s="365">
        <f>IF($C7="","",AA7*VLOOKUP($C7,MATIERES!$A$2:$F$549,4,0))</f>
        <v>60.45</v>
      </c>
      <c r="AC7" s="364">
        <f>'Outils de calculs'!AC39</f>
        <v>3.53</v>
      </c>
      <c r="AD7" s="365">
        <f>IF($C7="","",AC7*VLOOKUP($C7,MATIERES!$A$2:$F$549,4,0))</f>
        <v>52.949999999999996</v>
      </c>
      <c r="AE7" s="364">
        <f>'Outils de calculs'!AE39</f>
        <v>4.03</v>
      </c>
      <c r="AF7" s="365">
        <f>IF($C7="","",AE7*VLOOKUP($C7,MATIERES!$A$2:$F$549,4,0))</f>
        <v>60.45</v>
      </c>
      <c r="AG7" s="364">
        <f>'Outils de calculs'!AG39</f>
        <v>4.03</v>
      </c>
      <c r="AH7" s="365">
        <f>IF($C7="","",AG7*VLOOKUP($C7,MATIERES!$A$2:$F$549,4,0))</f>
        <v>60.45</v>
      </c>
      <c r="AI7" s="364">
        <f>'Outils de calculs'!AI39</f>
        <v>4.03</v>
      </c>
      <c r="AJ7" s="365">
        <f>IF($C7="","",AI7*VLOOKUP($C7,MATIERES!$A$2:$F$549,4,0))</f>
        <v>60.45</v>
      </c>
      <c r="AK7" s="364">
        <f>'Outils de calculs'!AK39</f>
        <v>4.03</v>
      </c>
      <c r="AL7" s="365">
        <f>IF($C7="","",AK7*VLOOKUP($C7,MATIERES!$A$2:$F$549,4,0))</f>
        <v>60.45</v>
      </c>
      <c r="AM7" s="364">
        <f>'Outils de calculs'!AM39</f>
        <v>4.03</v>
      </c>
      <c r="AN7" s="365">
        <f>IF($C7="","",AM7*VLOOKUP($C7,MATIERES!$A$2:$F$549,4,0))</f>
        <v>60.45</v>
      </c>
    </row>
    <row r="8" spans="1:40" ht="15" customHeight="1" x14ac:dyDescent="0.2">
      <c r="A8" s="1631"/>
      <c r="B8" s="361" t="s">
        <v>764</v>
      </c>
      <c r="C8" s="362" t="s">
        <v>1247</v>
      </c>
      <c r="D8" s="363" t="str">
        <f>IF($C8="","",VLOOKUP($C8,MATIERES!$A$2:$F$527,5,0))</f>
        <v>pc</v>
      </c>
      <c r="E8" s="364">
        <f>'Outils de calculs'!E26*1.3</f>
        <v>10.66</v>
      </c>
      <c r="F8" s="365">
        <f>IF($C8="","",E8*VLOOKUP($C8,MATIERES!$A$2:$F$549,4,0))</f>
        <v>6.3959999999999999</v>
      </c>
      <c r="G8" s="364">
        <f>'Outils de calculs'!G26*1.3</f>
        <v>13</v>
      </c>
      <c r="H8" s="365">
        <f>IF($C8="","",G8*VLOOKUP($C8,MATIERES!$A$2:$F$549,4,0))</f>
        <v>7.8</v>
      </c>
      <c r="I8" s="364">
        <f>'Outils de calculs'!I26*1.3</f>
        <v>15.600000000000001</v>
      </c>
      <c r="J8" s="365">
        <f>IF($C8="","",I8*VLOOKUP($C8,MATIERES!$A$2:$F$549,4,0))</f>
        <v>9.3600000000000012</v>
      </c>
      <c r="K8" s="364">
        <f>'Outils de calculs'!K26*1.3</f>
        <v>16.900000000000002</v>
      </c>
      <c r="L8" s="365">
        <f>IF($C8="","",K8*VLOOKUP($C8,MATIERES!$A$2:$F$549,4,0))</f>
        <v>10.14</v>
      </c>
      <c r="M8" s="364">
        <f>'Outils de calculs'!M26*1.3</f>
        <v>18.2</v>
      </c>
      <c r="N8" s="365">
        <f>IF($C8="","",M8*VLOOKUP($C8,MATIERES!$A$2:$F$549,4,0))</f>
        <v>10.92</v>
      </c>
      <c r="O8" s="364">
        <f>'Outils de calculs'!O26*1.3</f>
        <v>19.5</v>
      </c>
      <c r="P8" s="365">
        <f>IF($C8="","",O8*VLOOKUP($C8,MATIERES!$A$2:$F$549,4,0))</f>
        <v>11.7</v>
      </c>
      <c r="Q8" s="364">
        <f>'Outils de calculs'!Q26*1.3</f>
        <v>20.8</v>
      </c>
      <c r="R8" s="365">
        <f>IF($C8="","",Q8*VLOOKUP($C8,MATIERES!$A$2:$F$549,4,0))</f>
        <v>12.48</v>
      </c>
      <c r="S8" s="364">
        <f>'Outils de calculs'!S26*1.3</f>
        <v>22.1</v>
      </c>
      <c r="T8" s="365">
        <f>IF($C8="","",S8*VLOOKUP($C8,MATIERES!$A$2:$F$549,4,0))</f>
        <v>13.26</v>
      </c>
      <c r="U8" s="364">
        <f>'Outils de calculs'!U26*1.3</f>
        <v>23.400000000000002</v>
      </c>
      <c r="V8" s="365">
        <f>IF($C8="","",U8*VLOOKUP($C8,MATIERES!$A$2:$F$549,4,0))</f>
        <v>14.040000000000001</v>
      </c>
      <c r="W8" s="364">
        <f>'Outils de calculs'!W26*1.3</f>
        <v>26</v>
      </c>
      <c r="X8" s="365">
        <f>IF($C8="","",W8*VLOOKUP($C8,MATIERES!$A$2:$F$549,4,0))</f>
        <v>15.6</v>
      </c>
      <c r="Y8" s="364">
        <f>'Outils de calculs'!Y26*1.3</f>
        <v>28.6</v>
      </c>
      <c r="Z8" s="365">
        <f>IF($C8="","",Y8*VLOOKUP($C8,MATIERES!$A$2:$F$549,4,0))</f>
        <v>17.16</v>
      </c>
      <c r="AA8" s="364">
        <f>'Outils de calculs'!AA26*1.3</f>
        <v>29.900000000000002</v>
      </c>
      <c r="AB8" s="365">
        <f>IF($C8="","",AA8*VLOOKUP($C8,MATIERES!$A$2:$F$549,4,0))</f>
        <v>17.940000000000001</v>
      </c>
      <c r="AC8" s="364">
        <f>'Outils de calculs'!AC26*1.3</f>
        <v>28.6</v>
      </c>
      <c r="AD8" s="365">
        <f>IF($C8="","",AC8*VLOOKUP($C8,MATIERES!$A$2:$F$549,4,0))</f>
        <v>17.16</v>
      </c>
      <c r="AE8" s="364">
        <f>'Outils de calculs'!AE26*1.3</f>
        <v>31.200000000000003</v>
      </c>
      <c r="AF8" s="365">
        <f>IF($C8="","",AE8*VLOOKUP($C8,MATIERES!$A$2:$F$549,4,0))</f>
        <v>18.720000000000002</v>
      </c>
      <c r="AG8" s="364">
        <f>'Outils de calculs'!AG26*1.3</f>
        <v>32.5</v>
      </c>
      <c r="AH8" s="365">
        <f>IF($C8="","",AG8*VLOOKUP($C8,MATIERES!$A$2:$F$549,4,0))</f>
        <v>19.5</v>
      </c>
      <c r="AI8" s="364">
        <f>'Outils de calculs'!AI26*1.3</f>
        <v>33.800000000000004</v>
      </c>
      <c r="AJ8" s="365">
        <f>IF($C8="","",AI8*VLOOKUP($C8,MATIERES!$A$2:$F$549,4,0))</f>
        <v>20.28</v>
      </c>
      <c r="AK8" s="364">
        <f>'Outils de calculs'!AK26*1.3</f>
        <v>36.4</v>
      </c>
      <c r="AL8" s="365">
        <f>IF($C8="","",AK8*VLOOKUP($C8,MATIERES!$A$2:$F$549,4,0))</f>
        <v>21.84</v>
      </c>
      <c r="AM8" s="364">
        <f>'Outils de calculs'!AM26*1.3</f>
        <v>33.800000000000004</v>
      </c>
      <c r="AN8" s="365">
        <f>IF($C8="","",AM8*VLOOKUP($C8,MATIERES!$A$2:$F$549,4,0))</f>
        <v>20.28</v>
      </c>
    </row>
    <row r="9" spans="1:40" s="345" customFormat="1" ht="15" customHeight="1" x14ac:dyDescent="0.2">
      <c r="A9" s="1631"/>
      <c r="B9" s="361" t="s">
        <v>764</v>
      </c>
      <c r="C9" s="362" t="s">
        <v>768</v>
      </c>
      <c r="D9" s="363"/>
      <c r="E9" s="364"/>
      <c r="F9" s="365"/>
      <c r="G9" s="364">
        <f>'Outils de calculs'!G26*1.3</f>
        <v>13</v>
      </c>
      <c r="H9" s="365">
        <f>IF($C9="","",G9*VLOOKUP($C9,MATIERES!$A$2:$F$549,4,0))</f>
        <v>5.132833333333334</v>
      </c>
      <c r="I9" s="364">
        <f>'Outils de calculs'!I26*1.3</f>
        <v>15.600000000000001</v>
      </c>
      <c r="J9" s="365">
        <f>IF($C9="","",I9*VLOOKUP($C9,MATIERES!$A$2:$F$549,4,0))</f>
        <v>6.1594000000000015</v>
      </c>
      <c r="K9" s="364">
        <f>'Outils de calculs'!K26*1.3</f>
        <v>16.900000000000002</v>
      </c>
      <c r="L9" s="365">
        <f>IF($C9="","",K9*VLOOKUP($C9,MATIERES!$A$2:$F$549,4,0))</f>
        <v>6.6726833333333344</v>
      </c>
      <c r="M9" s="364">
        <f>'Outils de calculs'!M26*1.3</f>
        <v>18.2</v>
      </c>
      <c r="N9" s="365">
        <f>IF($C9="","",M9*VLOOKUP($C9,MATIERES!$A$2:$F$549,4,0))</f>
        <v>7.1859666666666673</v>
      </c>
      <c r="O9" s="364">
        <f>'Outils de calculs'!O26*1.3</f>
        <v>19.5</v>
      </c>
      <c r="P9" s="365">
        <f>IF($C9="","",O9*VLOOKUP($C9,MATIERES!$A$2:$F$549,4,0))</f>
        <v>7.699250000000001</v>
      </c>
      <c r="Q9" s="364">
        <f>'Outils de calculs'!Q26*1.3</f>
        <v>20.8</v>
      </c>
      <c r="R9" s="365">
        <f>IF($C9="","",Q9*VLOOKUP($C9,MATIERES!$A$2:$F$549,4,0))</f>
        <v>8.2125333333333348</v>
      </c>
      <c r="S9" s="364">
        <f>'Outils de calculs'!S26*1.3</f>
        <v>22.1</v>
      </c>
      <c r="T9" s="365">
        <f>IF($C9="","",S9*VLOOKUP($C9,MATIERES!$A$2:$F$549,4,0))</f>
        <v>8.7258166666666686</v>
      </c>
      <c r="U9" s="364">
        <f>'Outils de calculs'!U26*1.3</f>
        <v>23.400000000000002</v>
      </c>
      <c r="V9" s="365">
        <f>IF($C9="","",U9*VLOOKUP($C9,MATIERES!$A$2:$F$549,4,0))</f>
        <v>9.2391000000000023</v>
      </c>
      <c r="W9" s="364">
        <f>'Outils de calculs'!W26*1.3</f>
        <v>26</v>
      </c>
      <c r="X9" s="365">
        <f>IF($C9="","",W9*VLOOKUP($C9,MATIERES!$A$2:$F$549,4,0))</f>
        <v>10.265666666666668</v>
      </c>
      <c r="Y9" s="364">
        <f>'Outils de calculs'!Y26*1.3</f>
        <v>28.6</v>
      </c>
      <c r="Z9" s="365">
        <f>IF($C9="","",Y9*VLOOKUP($C9,MATIERES!$A$2:$F$549,4,0))</f>
        <v>11.292233333333336</v>
      </c>
      <c r="AA9" s="364">
        <f>'Outils de calculs'!AA26*1.3</f>
        <v>29.900000000000002</v>
      </c>
      <c r="AB9" s="365">
        <f>IF($C9="","",AA9*VLOOKUP($C9,MATIERES!$A$2:$F$549,4,0))</f>
        <v>11.805516666666669</v>
      </c>
      <c r="AC9" s="364">
        <f>'Outils de calculs'!AC26*1.3</f>
        <v>28.6</v>
      </c>
      <c r="AD9" s="365">
        <f>IF($C9="","",AC9*VLOOKUP($C9,MATIERES!$A$2:$F$549,4,0))</f>
        <v>11.292233333333336</v>
      </c>
      <c r="AE9" s="364">
        <f>'Outils de calculs'!AE26*1.3</f>
        <v>31.200000000000003</v>
      </c>
      <c r="AF9" s="365">
        <f>IF($C9="","",AE9*VLOOKUP($C9,MATIERES!$A$2:$F$549,4,0))</f>
        <v>12.318800000000003</v>
      </c>
      <c r="AG9" s="364">
        <f>'Outils de calculs'!AG26*1.3</f>
        <v>32.5</v>
      </c>
      <c r="AH9" s="365">
        <f>IF($C9="","",AG9*VLOOKUP($C9,MATIERES!$A$2:$F$549,4,0))</f>
        <v>12.832083333333335</v>
      </c>
      <c r="AI9" s="364">
        <f>'Outils de calculs'!AI26*1.3</f>
        <v>33.800000000000004</v>
      </c>
      <c r="AJ9" s="365">
        <f>IF($C9="","",AI9*VLOOKUP($C9,MATIERES!$A$2:$F$549,4,0))</f>
        <v>13.345366666666669</v>
      </c>
      <c r="AK9" s="364">
        <f>'Outils de calculs'!AK26*1.3</f>
        <v>36.4</v>
      </c>
      <c r="AL9" s="365">
        <f>IF($C9="","",AK9*VLOOKUP($C9,MATIERES!$A$2:$F$549,4,0))</f>
        <v>14.371933333333335</v>
      </c>
      <c r="AM9" s="364">
        <f>'Outils de calculs'!AM26*1.3</f>
        <v>33.800000000000004</v>
      </c>
      <c r="AN9" s="365">
        <f>IF($C9="","",AM9*VLOOKUP($C9,MATIERES!$A$2:$F$549,4,0))</f>
        <v>13.345366666666669</v>
      </c>
    </row>
    <row r="10" spans="1:40" ht="15" customHeight="1" x14ac:dyDescent="0.2">
      <c r="A10" s="1631"/>
      <c r="B10" s="361" t="s">
        <v>764</v>
      </c>
      <c r="C10" s="362" t="s">
        <v>113</v>
      </c>
      <c r="D10" s="363" t="str">
        <f>IF($C10="","",VLOOKUP($C10,MATIERES!$A$2:$F$527,5,0))</f>
        <v>pc</v>
      </c>
      <c r="E10" s="364">
        <f>'Outils de calculs'!E26*1.3</f>
        <v>10.66</v>
      </c>
      <c r="F10" s="365">
        <f>IF($C10="","",E10*VLOOKUP($C10,MATIERES!$A$2:$F$549,4,0))</f>
        <v>3.9569919999999996</v>
      </c>
      <c r="G10" s="364">
        <f>'Outils de calculs'!G26*1.3</f>
        <v>13</v>
      </c>
      <c r="H10" s="365">
        <f>IF($C10="","",G10*VLOOKUP($C10,MATIERES!$A$2:$F$549,4,0))</f>
        <v>4.8255999999999997</v>
      </c>
      <c r="I10" s="364">
        <f>'Outils de calculs'!I26*1.3</f>
        <v>15.600000000000001</v>
      </c>
      <c r="J10" s="365">
        <f>IF($C10="","",I10*VLOOKUP($C10,MATIERES!$A$2:$F$549,4,0))</f>
        <v>5.7907200000000003</v>
      </c>
      <c r="K10" s="364">
        <f>'Outils de calculs'!K26*1.3</f>
        <v>16.900000000000002</v>
      </c>
      <c r="L10" s="365">
        <f>IF($C10="","",K10*VLOOKUP($C10,MATIERES!$A$2:$F$549,4,0))</f>
        <v>6.2732800000000006</v>
      </c>
      <c r="M10" s="364">
        <f>'Outils de calculs'!M26*1.3</f>
        <v>18.2</v>
      </c>
      <c r="N10" s="365">
        <f>IF($C10="","",M10*VLOOKUP($C10,MATIERES!$A$2:$F$549,4,0))</f>
        <v>6.7558399999999992</v>
      </c>
      <c r="O10" s="364">
        <f>'Outils de calculs'!O26*1.3</f>
        <v>19.5</v>
      </c>
      <c r="P10" s="365">
        <f>IF($C10="","",O10*VLOOKUP($C10,MATIERES!$A$2:$F$549,4,0))</f>
        <v>7.2383999999999995</v>
      </c>
      <c r="Q10" s="364">
        <f>'Outils de calculs'!Q26*1.3</f>
        <v>20.8</v>
      </c>
      <c r="R10" s="365">
        <f>IF($C10="","",Q10*VLOOKUP($C10,MATIERES!$A$2:$F$549,4,0))</f>
        <v>7.7209599999999998</v>
      </c>
      <c r="S10" s="364">
        <f>'Outils de calculs'!S26*1.3</f>
        <v>22.1</v>
      </c>
      <c r="T10" s="365">
        <f>IF($C10="","",S10*VLOOKUP($C10,MATIERES!$A$2:$F$549,4,0))</f>
        <v>8.2035199999999993</v>
      </c>
      <c r="U10" s="364">
        <f>'Outils de calculs'!U26*1.3</f>
        <v>23.400000000000002</v>
      </c>
      <c r="V10" s="365">
        <f>IF($C10="","",U10*VLOOKUP($C10,MATIERES!$A$2:$F$549,4,0))</f>
        <v>8.6860800000000005</v>
      </c>
      <c r="W10" s="364">
        <f>'Outils de calculs'!W26*1.3</f>
        <v>26</v>
      </c>
      <c r="X10" s="365">
        <f>IF($C10="","",W10*VLOOKUP($C10,MATIERES!$A$2:$F$549,4,0))</f>
        <v>9.6511999999999993</v>
      </c>
      <c r="Y10" s="364">
        <f>'Outils de calculs'!Y26*1.3</f>
        <v>28.6</v>
      </c>
      <c r="Z10" s="365">
        <f>IF($C10="","",Y10*VLOOKUP($C10,MATIERES!$A$2:$F$549,4,0))</f>
        <v>10.61632</v>
      </c>
      <c r="AA10" s="364">
        <f>'Outils de calculs'!AA26*1.3</f>
        <v>29.900000000000002</v>
      </c>
      <c r="AB10" s="365">
        <f>IF($C10="","",AA10*VLOOKUP($C10,MATIERES!$A$2:$F$549,4,0))</f>
        <v>11.098879999999999</v>
      </c>
      <c r="AC10" s="364">
        <f>'Outils de calculs'!AC26*1.3</f>
        <v>28.6</v>
      </c>
      <c r="AD10" s="365">
        <f>IF($C10="","",AC10*VLOOKUP($C10,MATIERES!$A$2:$F$549,4,0))</f>
        <v>10.61632</v>
      </c>
      <c r="AE10" s="364">
        <f>'Outils de calculs'!AE26*1.3</f>
        <v>31.200000000000003</v>
      </c>
      <c r="AF10" s="365">
        <f>IF($C10="","",AE10*VLOOKUP($C10,MATIERES!$A$2:$F$549,4,0))</f>
        <v>11.581440000000001</v>
      </c>
      <c r="AG10" s="364">
        <f>'Outils de calculs'!AG26*1.3</f>
        <v>32.5</v>
      </c>
      <c r="AH10" s="365">
        <f>IF($C10="","",AG10*VLOOKUP($C10,MATIERES!$A$2:$F$549,4,0))</f>
        <v>12.064</v>
      </c>
      <c r="AI10" s="364">
        <f>'Outils de calculs'!AI26*1.3</f>
        <v>33.800000000000004</v>
      </c>
      <c r="AJ10" s="365">
        <f>IF($C10="","",AI10*VLOOKUP($C10,MATIERES!$A$2:$F$549,4,0))</f>
        <v>12.546560000000001</v>
      </c>
      <c r="AK10" s="364">
        <f>'Outils de calculs'!AK26*1.3</f>
        <v>36.4</v>
      </c>
      <c r="AL10" s="365">
        <f>IF($C10="","",AK10*VLOOKUP($C10,MATIERES!$A$2:$F$549,4,0))</f>
        <v>13.511679999999998</v>
      </c>
      <c r="AM10" s="364">
        <f>'Outils de calculs'!AM26*1.3</f>
        <v>33.800000000000004</v>
      </c>
      <c r="AN10" s="365">
        <f>IF($C10="","",AM10*VLOOKUP($C10,MATIERES!$A$2:$F$549,4,0))</f>
        <v>12.546560000000001</v>
      </c>
    </row>
    <row r="11" spans="1:40" ht="30" customHeight="1" x14ac:dyDescent="0.2">
      <c r="A11" s="449"/>
      <c r="B11" s="367" t="s">
        <v>683</v>
      </c>
      <c r="C11" s="368" t="s">
        <v>446</v>
      </c>
      <c r="D11" s="369" t="s">
        <v>447</v>
      </c>
      <c r="E11" s="370">
        <f>F11*(1+Simulation!$P$11)</f>
        <v>330.0608896</v>
      </c>
      <c r="F11" s="371">
        <f>SUM(F4:F10)</f>
        <v>253.89299199999999</v>
      </c>
      <c r="G11" s="370">
        <f>H11*(1+Simulation!$P$11)</f>
        <v>468.85596333333336</v>
      </c>
      <c r="H11" s="371">
        <f>SUM(H4:H10)</f>
        <v>360.65843333333333</v>
      </c>
      <c r="I11" s="370">
        <f>J11*(1+Simulation!$P$11)</f>
        <v>570.19315600000004</v>
      </c>
      <c r="J11" s="371">
        <f>SUM(J4:J10)</f>
        <v>438.61011999999999</v>
      </c>
      <c r="K11" s="370">
        <f>L11*(1+Simulation!$P$11)</f>
        <v>611.11175233333336</v>
      </c>
      <c r="L11" s="371">
        <f>SUM(L4:L10)</f>
        <v>470.08596333333332</v>
      </c>
      <c r="M11" s="370">
        <f>N11*(1+Simulation!$P$11)</f>
        <v>632.53034866666667</v>
      </c>
      <c r="N11" s="371">
        <f>SUM(N4:N10)</f>
        <v>486.56180666666666</v>
      </c>
      <c r="O11" s="370">
        <f>P11*(1+Simulation!$P$11)</f>
        <v>692.94894499999998</v>
      </c>
      <c r="P11" s="371">
        <f>SUM(P4:P10)</f>
        <v>533.03764999999999</v>
      </c>
      <c r="Q11" s="370">
        <f>R11*(1+Simulation!$P$11)</f>
        <v>733.86754133333341</v>
      </c>
      <c r="R11" s="371">
        <f>SUM(R4:R10)</f>
        <v>564.51349333333337</v>
      </c>
      <c r="S11" s="370">
        <f>T11*(1+Simulation!$P$11)</f>
        <v>774.78613766666683</v>
      </c>
      <c r="T11" s="371">
        <f>SUM(T4:T10)</f>
        <v>595.98933666666676</v>
      </c>
      <c r="U11" s="370">
        <f>V11*(1+Simulation!$P$11)</f>
        <v>815.70473399999992</v>
      </c>
      <c r="V11" s="371">
        <f>SUM(V4:V10)</f>
        <v>627.46517999999992</v>
      </c>
      <c r="W11" s="370">
        <f>X11*(1+Simulation!$P$11)</f>
        <v>877.45692666666685</v>
      </c>
      <c r="X11" s="371">
        <f>SUM(X4:X10)</f>
        <v>674.96686666666676</v>
      </c>
      <c r="Y11" s="370">
        <f>Z11*(1+Simulation!$P$11)</f>
        <v>900.20911933333343</v>
      </c>
      <c r="Z11" s="371">
        <f>SUM(Z4:Z10)</f>
        <v>692.46855333333338</v>
      </c>
      <c r="AA11" s="370">
        <f>AB11*(1+Simulation!$P$11)</f>
        <v>1019.7127156666669</v>
      </c>
      <c r="AB11" s="371">
        <f>SUM(AB4:AB10)</f>
        <v>784.39439666666681</v>
      </c>
      <c r="AC11" s="370">
        <f>AD11*(1+Simulation!$P$11)</f>
        <v>969.04411933333347</v>
      </c>
      <c r="AD11" s="371">
        <f>SUM(AD4:AD10)</f>
        <v>745.41855333333342</v>
      </c>
      <c r="AE11" s="370">
        <f>AF11*(1+Simulation!$P$11)</f>
        <v>1060.6313120000002</v>
      </c>
      <c r="AF11" s="371">
        <f>SUM(AF4:AF10)</f>
        <v>815.87024000000008</v>
      </c>
      <c r="AG11" s="370">
        <f>AH11*(1+Simulation!$P$11)</f>
        <v>1101.5499083333336</v>
      </c>
      <c r="AH11" s="371">
        <f>SUM(AH4:AH10)</f>
        <v>847.34608333333347</v>
      </c>
      <c r="AI11" s="370">
        <f>AJ11*(1+Simulation!$P$11)</f>
        <v>1142.4685046666668</v>
      </c>
      <c r="AJ11" s="371">
        <f>SUM(AJ4:AJ10)</f>
        <v>878.82192666666674</v>
      </c>
      <c r="AK11" s="370">
        <f>AL11*(1+Simulation!$P$11)</f>
        <v>1224.3056973333335</v>
      </c>
      <c r="AL11" s="371">
        <f>SUM(AL4:AL10)</f>
        <v>941.7736133333334</v>
      </c>
      <c r="AM11" s="370">
        <f>AN11*(1+Simulation!$P$11)</f>
        <v>1142.4685046666668</v>
      </c>
      <c r="AN11" s="371">
        <f>SUM(AN4:AN10)</f>
        <v>878.82192666666674</v>
      </c>
    </row>
    <row r="12" spans="1:40" ht="15" customHeight="1" x14ac:dyDescent="0.2">
      <c r="A12" s="1624" t="s">
        <v>448</v>
      </c>
      <c r="B12" s="361" t="s">
        <v>1157</v>
      </c>
      <c r="C12" s="362" t="s">
        <v>425</v>
      </c>
      <c r="D12" s="363" t="str">
        <f>IF($C12="","",VLOOKUP($C12,ATELIER!$A$2:$E$109,3,0))</f>
        <v>pc</v>
      </c>
      <c r="E12" s="364">
        <v>5</v>
      </c>
      <c r="F12" s="372">
        <f>IF($C12="","",E12*VLOOKUP($C12,ATELIER!$A$2:$F$109,4,0))</f>
        <v>0.4</v>
      </c>
      <c r="G12" s="364">
        <v>5</v>
      </c>
      <c r="H12" s="372">
        <f>IF($C12="","",G12*VLOOKUP($C12,ATELIER!$A$2:$F$109,4,0))</f>
        <v>0.4</v>
      </c>
      <c r="I12" s="364">
        <v>5</v>
      </c>
      <c r="J12" s="372">
        <f>IF($C12="","",I12*VLOOKUP($C12,ATELIER!$A$2:$F$109,4,0))</f>
        <v>0.4</v>
      </c>
      <c r="K12" s="364">
        <v>5</v>
      </c>
      <c r="L12" s="372">
        <f>IF($C12="","",K12*VLOOKUP($C12,ATELIER!$A$2:$F$109,4,0))</f>
        <v>0.4</v>
      </c>
      <c r="M12" s="364">
        <v>5</v>
      </c>
      <c r="N12" s="372">
        <f>IF($C12="","",M12*VLOOKUP($C12,ATELIER!$A$2:$F$109,4,0))</f>
        <v>0.4</v>
      </c>
      <c r="O12" s="364">
        <v>5</v>
      </c>
      <c r="P12" s="372">
        <f>IF($C12="","",O12*VLOOKUP($C12,ATELIER!$A$2:$F$109,4,0))</f>
        <v>0.4</v>
      </c>
      <c r="Q12" s="364">
        <v>5</v>
      </c>
      <c r="R12" s="372">
        <f>IF($C12="","",Q12*VLOOKUP($C12,ATELIER!$A$2:$F$109,4,0))</f>
        <v>0.4</v>
      </c>
      <c r="S12" s="364">
        <v>5</v>
      </c>
      <c r="T12" s="372">
        <f>IF($C12="","",S12*VLOOKUP($C12,ATELIER!$A$2:$F$109,4,0))</f>
        <v>0.4</v>
      </c>
      <c r="U12" s="364">
        <v>5</v>
      </c>
      <c r="V12" s="372">
        <f>IF($C12="","",U12*VLOOKUP($C12,ATELIER!$A$2:$F$109,4,0))</f>
        <v>0.4</v>
      </c>
      <c r="W12" s="364">
        <v>5</v>
      </c>
      <c r="X12" s="372">
        <f>IF($C12="","",W12*VLOOKUP($C12,ATELIER!$A$2:$F$109,4,0))</f>
        <v>0.4</v>
      </c>
      <c r="Y12" s="364">
        <v>5</v>
      </c>
      <c r="Z12" s="372">
        <f>IF($C12="","",Y12*VLOOKUP($C12,ATELIER!$A$2:$F$109,4,0))</f>
        <v>0.4</v>
      </c>
      <c r="AA12" s="364">
        <v>5</v>
      </c>
      <c r="AB12" s="372">
        <f>IF($C12="","",AA12*VLOOKUP($C12,ATELIER!$A$2:$F$109,4,0))</f>
        <v>0.4</v>
      </c>
      <c r="AC12" s="364">
        <v>5</v>
      </c>
      <c r="AD12" s="372">
        <f>IF($C12="","",AC12*VLOOKUP($C12,ATELIER!$A$2:$F$109,4,0))</f>
        <v>0.4</v>
      </c>
      <c r="AE12" s="364">
        <v>5</v>
      </c>
      <c r="AF12" s="372">
        <f>IF($C12="","",AE12*VLOOKUP($C12,ATELIER!$A$2:$F$109,4,0))</f>
        <v>0.4</v>
      </c>
      <c r="AG12" s="364">
        <v>5</v>
      </c>
      <c r="AH12" s="372">
        <f>IF($C12="","",AG12*VLOOKUP($C12,ATELIER!$A$2:$F$109,4,0))</f>
        <v>0.4</v>
      </c>
      <c r="AI12" s="364">
        <v>5</v>
      </c>
      <c r="AJ12" s="372">
        <f>IF($C12="","",AI12*VLOOKUP($C12,ATELIER!$A$2:$F$109,4,0))</f>
        <v>0.4</v>
      </c>
      <c r="AK12" s="364">
        <v>5</v>
      </c>
      <c r="AL12" s="372">
        <f>IF($C12="","",AK12*VLOOKUP($C12,ATELIER!$A$2:$F$109,4,0))</f>
        <v>0.4</v>
      </c>
      <c r="AM12" s="364">
        <v>5</v>
      </c>
      <c r="AN12" s="372">
        <f>IF($C12="","",AM12*VLOOKUP($C12,ATELIER!$A$2:$F$109,4,0))</f>
        <v>0.4</v>
      </c>
    </row>
    <row r="13" spans="1:40" ht="15" customHeight="1" x14ac:dyDescent="0.2">
      <c r="A13" s="1625"/>
      <c r="B13" s="361" t="s">
        <v>1154</v>
      </c>
      <c r="C13" s="362" t="s">
        <v>428</v>
      </c>
      <c r="D13" s="363" t="str">
        <f>IF($C13="","",VLOOKUP($C13,ATELIER!$A$2:$E$109,3,0))</f>
        <v>pc</v>
      </c>
      <c r="E13" s="364">
        <v>2</v>
      </c>
      <c r="F13" s="372">
        <f>IF($C13="","",E13*VLOOKUP($C13,ATELIER!$A$2:$F$109,4,0))</f>
        <v>0.3</v>
      </c>
      <c r="G13" s="364">
        <v>2</v>
      </c>
      <c r="H13" s="372">
        <f>IF($C13="","",G13*VLOOKUP($C13,ATELIER!$A$2:$F$109,4,0))</f>
        <v>0.3</v>
      </c>
      <c r="I13" s="364">
        <v>2</v>
      </c>
      <c r="J13" s="372">
        <f>IF($C13="","",I13*VLOOKUP($C13,ATELIER!$A$2:$F$109,4,0))</f>
        <v>0.3</v>
      </c>
      <c r="K13" s="364">
        <v>2</v>
      </c>
      <c r="L13" s="372">
        <f>IF($C13="","",K13*VLOOKUP($C13,ATELIER!$A$2:$F$109,4,0))</f>
        <v>0.3</v>
      </c>
      <c r="M13" s="364">
        <v>2</v>
      </c>
      <c r="N13" s="372">
        <f>IF($C13="","",M13*VLOOKUP($C13,ATELIER!$A$2:$F$109,4,0))</f>
        <v>0.3</v>
      </c>
      <c r="O13" s="364">
        <v>2</v>
      </c>
      <c r="P13" s="372">
        <f>IF($C13="","",O13*VLOOKUP($C13,ATELIER!$A$2:$F$109,4,0))</f>
        <v>0.3</v>
      </c>
      <c r="Q13" s="364">
        <v>2</v>
      </c>
      <c r="R13" s="372">
        <f>IF($C13="","",Q13*VLOOKUP($C13,ATELIER!$A$2:$F$109,4,0))</f>
        <v>0.3</v>
      </c>
      <c r="S13" s="364">
        <v>2</v>
      </c>
      <c r="T13" s="372">
        <f>IF($C13="","",S13*VLOOKUP($C13,ATELIER!$A$2:$F$109,4,0))</f>
        <v>0.3</v>
      </c>
      <c r="U13" s="364">
        <v>2</v>
      </c>
      <c r="V13" s="372">
        <f>IF($C13="","",U13*VLOOKUP($C13,ATELIER!$A$2:$F$109,4,0))</f>
        <v>0.3</v>
      </c>
      <c r="W13" s="364">
        <v>2</v>
      </c>
      <c r="X13" s="372">
        <f>IF($C13="","",W13*VLOOKUP($C13,ATELIER!$A$2:$F$109,4,0))</f>
        <v>0.3</v>
      </c>
      <c r="Y13" s="364">
        <v>2</v>
      </c>
      <c r="Z13" s="372">
        <f>IF($C13="","",Y13*VLOOKUP($C13,ATELIER!$A$2:$F$109,4,0))</f>
        <v>0.3</v>
      </c>
      <c r="AA13" s="364">
        <v>2</v>
      </c>
      <c r="AB13" s="372">
        <f>IF($C13="","",AA13*VLOOKUP($C13,ATELIER!$A$2:$F$109,4,0))</f>
        <v>0.3</v>
      </c>
      <c r="AC13" s="364">
        <v>2</v>
      </c>
      <c r="AD13" s="372">
        <f>IF($C13="","",AC13*VLOOKUP($C13,ATELIER!$A$2:$F$109,4,0))</f>
        <v>0.3</v>
      </c>
      <c r="AE13" s="364">
        <v>2</v>
      </c>
      <c r="AF13" s="372">
        <f>IF($C13="","",AE13*VLOOKUP($C13,ATELIER!$A$2:$F$109,4,0))</f>
        <v>0.3</v>
      </c>
      <c r="AG13" s="364">
        <v>2</v>
      </c>
      <c r="AH13" s="372">
        <f>IF($C13="","",AG13*VLOOKUP($C13,ATELIER!$A$2:$F$109,4,0))</f>
        <v>0.3</v>
      </c>
      <c r="AI13" s="364">
        <v>2</v>
      </c>
      <c r="AJ13" s="372">
        <f>IF($C13="","",AI13*VLOOKUP($C13,ATELIER!$A$2:$F$109,4,0))</f>
        <v>0.3</v>
      </c>
      <c r="AK13" s="364">
        <v>2</v>
      </c>
      <c r="AL13" s="372">
        <f>IF($C13="","",AK13*VLOOKUP($C13,ATELIER!$A$2:$F$109,4,0))</f>
        <v>0.3</v>
      </c>
      <c r="AM13" s="364">
        <v>2</v>
      </c>
      <c r="AN13" s="372">
        <f>IF($C13="","",AM13*VLOOKUP($C13,ATELIER!$A$2:$F$109,4,0))</f>
        <v>0.3</v>
      </c>
    </row>
    <row r="14" spans="1:40" ht="15" customHeight="1" x14ac:dyDescent="0.2">
      <c r="A14" s="1624"/>
      <c r="B14" s="361" t="s">
        <v>1154</v>
      </c>
      <c r="C14" s="362" t="s">
        <v>431</v>
      </c>
      <c r="D14" s="363" t="str">
        <f>IF($C14="","",VLOOKUP($C14,ATELIER!$A$2:$E$109,3,0))</f>
        <v>pc</v>
      </c>
      <c r="E14" s="364">
        <f>E5*3</f>
        <v>27.06</v>
      </c>
      <c r="F14" s="372">
        <f>IF($C14="","",E14*VLOOKUP($C14,ATELIER!$A$2:$F$109,4,0))</f>
        <v>2.706</v>
      </c>
      <c r="G14" s="364">
        <f>G5*3</f>
        <v>33</v>
      </c>
      <c r="H14" s="372">
        <f>IF($C14="","",G14*VLOOKUP($C14,ATELIER!$A$2:$F$109,4,0))</f>
        <v>3.3000000000000003</v>
      </c>
      <c r="I14" s="364">
        <f>I5*3</f>
        <v>39.6</v>
      </c>
      <c r="J14" s="372">
        <f>IF($C14="","",I14*VLOOKUP($C14,ATELIER!$A$2:$F$109,4,0))</f>
        <v>3.9600000000000004</v>
      </c>
      <c r="K14" s="364">
        <f>K5*3</f>
        <v>42.900000000000006</v>
      </c>
      <c r="L14" s="372">
        <f>IF($C14="","",K14*VLOOKUP($C14,ATELIER!$A$2:$F$109,4,0))</f>
        <v>4.2900000000000009</v>
      </c>
      <c r="M14" s="364">
        <f>M5*3</f>
        <v>46.2</v>
      </c>
      <c r="N14" s="372">
        <f>IF($C14="","",M14*VLOOKUP($C14,ATELIER!$A$2:$F$109,4,0))</f>
        <v>4.62</v>
      </c>
      <c r="O14" s="364">
        <f>O5*3</f>
        <v>49.5</v>
      </c>
      <c r="P14" s="372">
        <f>IF($C14="","",O14*VLOOKUP($C14,ATELIER!$A$2:$F$109,4,0))</f>
        <v>4.95</v>
      </c>
      <c r="Q14" s="364">
        <f>Q5*3</f>
        <v>52.800000000000004</v>
      </c>
      <c r="R14" s="372">
        <f>IF($C14="","",Q14*VLOOKUP($C14,ATELIER!$A$2:$F$109,4,0))</f>
        <v>5.2800000000000011</v>
      </c>
      <c r="S14" s="364">
        <f>S5*3</f>
        <v>56.100000000000009</v>
      </c>
      <c r="T14" s="372">
        <f>IF($C14="","",S14*VLOOKUP($C14,ATELIER!$A$2:$F$109,4,0))</f>
        <v>5.6100000000000012</v>
      </c>
      <c r="U14" s="364">
        <f>U5*3</f>
        <v>59.400000000000006</v>
      </c>
      <c r="V14" s="372">
        <f>IF($C14="","",U14*VLOOKUP($C14,ATELIER!$A$2:$F$109,4,0))</f>
        <v>5.9400000000000013</v>
      </c>
      <c r="W14" s="364">
        <f>W5*3</f>
        <v>66</v>
      </c>
      <c r="X14" s="372">
        <f>IF($C14="","",W14*VLOOKUP($C14,ATELIER!$A$2:$F$109,4,0))</f>
        <v>6.6000000000000005</v>
      </c>
      <c r="Y14" s="364">
        <f>Y5*3</f>
        <v>72.600000000000009</v>
      </c>
      <c r="Z14" s="372">
        <f>IF($C14="","",Y14*VLOOKUP($C14,ATELIER!$A$2:$F$109,4,0))</f>
        <v>7.2600000000000016</v>
      </c>
      <c r="AA14" s="364">
        <f>AA5*3</f>
        <v>75.900000000000006</v>
      </c>
      <c r="AB14" s="372">
        <f>IF($C14="","",AA14*VLOOKUP($C14,ATELIER!$A$2:$F$109,4,0))</f>
        <v>7.5900000000000007</v>
      </c>
      <c r="AC14" s="364">
        <f>AC5*3</f>
        <v>72.600000000000009</v>
      </c>
      <c r="AD14" s="372">
        <f>IF($C14="","",AC14*VLOOKUP($C14,ATELIER!$A$2:$F$109,4,0))</f>
        <v>7.2600000000000016</v>
      </c>
      <c r="AE14" s="364">
        <f>AE5*3</f>
        <v>79.2</v>
      </c>
      <c r="AF14" s="372">
        <f>IF($C14="","",AE14*VLOOKUP($C14,ATELIER!$A$2:$F$109,4,0))</f>
        <v>7.9200000000000008</v>
      </c>
      <c r="AG14" s="364">
        <f>AG5*3</f>
        <v>82.500000000000014</v>
      </c>
      <c r="AH14" s="372">
        <f>IF($C14="","",AG14*VLOOKUP($C14,ATELIER!$A$2:$F$109,4,0))</f>
        <v>8.2500000000000018</v>
      </c>
      <c r="AI14" s="364">
        <f>AI5*3</f>
        <v>85.800000000000011</v>
      </c>
      <c r="AJ14" s="372">
        <f>IF($C14="","",AI14*VLOOKUP($C14,ATELIER!$A$2:$F$109,4,0))</f>
        <v>8.5800000000000018</v>
      </c>
      <c r="AK14" s="364">
        <f>AK5*3</f>
        <v>92.4</v>
      </c>
      <c r="AL14" s="372">
        <f>IF($C14="","",AK14*VLOOKUP($C14,ATELIER!$A$2:$F$109,4,0))</f>
        <v>9.24</v>
      </c>
      <c r="AM14" s="364">
        <f>AM5*3</f>
        <v>85.800000000000011</v>
      </c>
      <c r="AN14" s="372">
        <f>IF($C14="","",AM14*VLOOKUP($C14,ATELIER!$A$2:$F$109,4,0))</f>
        <v>8.5800000000000018</v>
      </c>
    </row>
    <row r="15" spans="1:40" ht="15" customHeight="1" x14ac:dyDescent="0.2">
      <c r="A15" s="1624"/>
      <c r="B15" s="361"/>
      <c r="C15" s="362"/>
      <c r="D15" s="363" t="str">
        <f>IF($C15="","",VLOOKUP($C15,ATELIER!$A$2:$E$109,3,0))</f>
        <v/>
      </c>
      <c r="E15" s="364"/>
      <c r="F15" s="372" t="str">
        <f>IF($C15="","",E15*VLOOKUP($C15,ATELIER!$A$2:$F$109,4,0))</f>
        <v/>
      </c>
      <c r="G15" s="364"/>
      <c r="H15" s="372" t="str">
        <f>IF($C15="","",G15*VLOOKUP($C15,ATELIER!$A$2:$F$109,4,0))</f>
        <v/>
      </c>
      <c r="I15" s="364"/>
      <c r="J15" s="372" t="str">
        <f>IF($C15="","",I15*VLOOKUP($C15,ATELIER!$A$2:$F$109,4,0))</f>
        <v/>
      </c>
      <c r="K15" s="364"/>
      <c r="L15" s="372" t="str">
        <f>IF($C15="","",K15*VLOOKUP($C15,ATELIER!$A$2:$F$109,4,0))</f>
        <v/>
      </c>
      <c r="M15" s="364"/>
      <c r="N15" s="372" t="str">
        <f>IF($C15="","",M15*VLOOKUP($C15,ATELIER!$A$2:$F$109,4,0))</f>
        <v/>
      </c>
      <c r="O15" s="364"/>
      <c r="P15" s="372" t="str">
        <f>IF($C15="","",O15*VLOOKUP($C15,ATELIER!$A$2:$F$109,4,0))</f>
        <v/>
      </c>
      <c r="Q15" s="364"/>
      <c r="R15" s="372" t="str">
        <f>IF($C15="","",Q15*VLOOKUP($C15,ATELIER!$A$2:$F$109,4,0))</f>
        <v/>
      </c>
      <c r="S15" s="364"/>
      <c r="T15" s="372" t="str">
        <f>IF($C15="","",S15*VLOOKUP($C15,ATELIER!$A$2:$F$109,4,0))</f>
        <v/>
      </c>
      <c r="U15" s="364"/>
      <c r="V15" s="372" t="str">
        <f>IF($C15="","",U15*VLOOKUP($C15,ATELIER!$A$2:$F$109,4,0))</f>
        <v/>
      </c>
      <c r="W15" s="364"/>
      <c r="X15" s="372" t="str">
        <f>IF($C15="","",W15*VLOOKUP($C15,ATELIER!$A$2:$F$109,4,0))</f>
        <v/>
      </c>
      <c r="Y15" s="364"/>
      <c r="Z15" s="372" t="str">
        <f>IF($C15="","",Y15*VLOOKUP($C15,ATELIER!$A$2:$F$109,4,0))</f>
        <v/>
      </c>
      <c r="AA15" s="364"/>
      <c r="AB15" s="372" t="str">
        <f>IF($C15="","",AA15*VLOOKUP($C15,ATELIER!$A$2:$F$109,4,0))</f>
        <v/>
      </c>
      <c r="AC15" s="364"/>
      <c r="AD15" s="372" t="str">
        <f>IF($C15="","",AC15*VLOOKUP($C15,ATELIER!$A$2:$F$109,4,0))</f>
        <v/>
      </c>
      <c r="AE15" s="364"/>
      <c r="AF15" s="372" t="str">
        <f>IF($C15="","",AE15*VLOOKUP($C15,ATELIER!$A$2:$F$109,4,0))</f>
        <v/>
      </c>
      <c r="AG15" s="364"/>
      <c r="AH15" s="372" t="str">
        <f>IF($C15="","",AG15*VLOOKUP($C15,ATELIER!$A$2:$F$109,4,0))</f>
        <v/>
      </c>
      <c r="AI15" s="364"/>
      <c r="AJ15" s="372" t="str">
        <f>IF($C15="","",AI15*VLOOKUP($C15,ATELIER!$A$2:$F$109,4,0))</f>
        <v/>
      </c>
      <c r="AK15" s="364"/>
      <c r="AL15" s="372" t="str">
        <f>IF($C15="","",AK15*VLOOKUP($C15,ATELIER!$A$2:$F$109,4,0))</f>
        <v/>
      </c>
      <c r="AM15" s="364"/>
      <c r="AN15" s="372" t="str">
        <f>IF($C15="","",AM15*VLOOKUP($C15,ATELIER!$A$2:$F$109,4,0))</f>
        <v/>
      </c>
    </row>
    <row r="16" spans="1:40" ht="35.25" customHeight="1" x14ac:dyDescent="0.2">
      <c r="A16" s="1624"/>
      <c r="B16" s="375" t="s">
        <v>449</v>
      </c>
      <c r="C16" s="376" t="s">
        <v>450</v>
      </c>
      <c r="D16" s="377" t="s">
        <v>451</v>
      </c>
      <c r="E16" s="376">
        <f>F16*Simulation!$P$8</f>
        <v>153.26999999999998</v>
      </c>
      <c r="F16" s="377">
        <f>SUM(F12:F15)</f>
        <v>3.4059999999999997</v>
      </c>
      <c r="G16" s="376">
        <f>H16*Simulation!$P$8</f>
        <v>180</v>
      </c>
      <c r="H16" s="377">
        <f>SUM(H12:H15)</f>
        <v>4</v>
      </c>
      <c r="I16" s="376">
        <f>J16*Simulation!$P$8</f>
        <v>209.70000000000002</v>
      </c>
      <c r="J16" s="377">
        <f>SUM(J12:J15)</f>
        <v>4.66</v>
      </c>
      <c r="K16" s="376">
        <f>L16*Simulation!$P$8</f>
        <v>224.55000000000004</v>
      </c>
      <c r="L16" s="377">
        <f>SUM(L12:L15)</f>
        <v>4.9900000000000011</v>
      </c>
      <c r="M16" s="376">
        <f>N16*Simulation!$P$8</f>
        <v>239.4</v>
      </c>
      <c r="N16" s="377">
        <f>SUM(N12:N15)</f>
        <v>5.32</v>
      </c>
      <c r="O16" s="376">
        <f>P16*Simulation!$P$8</f>
        <v>254.25000000000003</v>
      </c>
      <c r="P16" s="377">
        <f>SUM(P12:P15)</f>
        <v>5.65</v>
      </c>
      <c r="Q16" s="376">
        <f>R16*Simulation!$P$8</f>
        <v>269.10000000000008</v>
      </c>
      <c r="R16" s="377">
        <f>SUM(R12:R15)</f>
        <v>5.9800000000000013</v>
      </c>
      <c r="S16" s="376">
        <f>T16*Simulation!$P$8</f>
        <v>283.95000000000005</v>
      </c>
      <c r="T16" s="377">
        <f>SUM(T12:T15)</f>
        <v>6.3100000000000014</v>
      </c>
      <c r="U16" s="376">
        <f>V16*Simulation!$P$8</f>
        <v>298.80000000000007</v>
      </c>
      <c r="V16" s="377">
        <f>SUM(V12:V15)</f>
        <v>6.6400000000000015</v>
      </c>
      <c r="W16" s="376">
        <f>X16*Simulation!$P$8</f>
        <v>328.50000000000006</v>
      </c>
      <c r="X16" s="377">
        <f>SUM(X12:X15)</f>
        <v>7.3000000000000007</v>
      </c>
      <c r="Y16" s="376">
        <f>Z16*Simulation!$P$8</f>
        <v>358.2000000000001</v>
      </c>
      <c r="Z16" s="377">
        <f>SUM(Z12:Z15)</f>
        <v>7.9600000000000017</v>
      </c>
      <c r="AA16" s="376">
        <f>AB16*Simulation!$P$8</f>
        <v>373.05000000000007</v>
      </c>
      <c r="AB16" s="377">
        <f>SUM(AB12:AB15)</f>
        <v>8.2900000000000009</v>
      </c>
      <c r="AC16" s="376">
        <f>AD16*Simulation!$P$8</f>
        <v>358.2000000000001</v>
      </c>
      <c r="AD16" s="377">
        <f>SUM(AD12:AD15)</f>
        <v>7.9600000000000017</v>
      </c>
      <c r="AE16" s="376">
        <f>AF16*Simulation!$P$8</f>
        <v>387.90000000000003</v>
      </c>
      <c r="AF16" s="377">
        <f>SUM(AF12:AF15)</f>
        <v>8.620000000000001</v>
      </c>
      <c r="AG16" s="376">
        <f>AH16*Simulation!$P$8</f>
        <v>402.75000000000006</v>
      </c>
      <c r="AH16" s="377">
        <f>SUM(AH12:AH15)</f>
        <v>8.9500000000000011</v>
      </c>
      <c r="AI16" s="376">
        <f>AJ16*Simulation!$P$8</f>
        <v>417.6</v>
      </c>
      <c r="AJ16" s="377">
        <f>SUM(AJ12:AJ15)</f>
        <v>9.2800000000000011</v>
      </c>
      <c r="AK16" s="376">
        <f>AL16*Simulation!$P$8</f>
        <v>447.29999999999995</v>
      </c>
      <c r="AL16" s="377">
        <f>SUM(AL12:AL15)</f>
        <v>9.94</v>
      </c>
      <c r="AM16" s="376">
        <f>AN16*Simulation!$P$8</f>
        <v>417.6</v>
      </c>
      <c r="AN16" s="377">
        <f>SUM(AN12:AN15)</f>
        <v>9.2800000000000011</v>
      </c>
    </row>
    <row r="17" spans="1:40" ht="15" customHeight="1" x14ac:dyDescent="0.2">
      <c r="A17" s="1626" t="s">
        <v>452</v>
      </c>
      <c r="B17" s="361" t="s">
        <v>1160</v>
      </c>
      <c r="C17" s="378" t="s">
        <v>1842</v>
      </c>
      <c r="D17" s="363" t="str">
        <f>IF(C17="","",VLOOKUP($C17,CHANTIER!$A$2:$C$83,3,0))</f>
        <v>ml</v>
      </c>
      <c r="E17" s="364">
        <f>E5*2</f>
        <v>18.04</v>
      </c>
      <c r="F17" s="372">
        <f>IF($C17="","",E17*VLOOKUP($C17,CHANTIER!$A$2:$D$83,4,0))</f>
        <v>1.804</v>
      </c>
      <c r="G17" s="364">
        <f>G5*2</f>
        <v>22</v>
      </c>
      <c r="H17" s="372">
        <f>IF($C17="","",G17*VLOOKUP($C17,CHANTIER!$A$2:$D$83,4,0))</f>
        <v>2.2000000000000002</v>
      </c>
      <c r="I17" s="364">
        <f>I5*2</f>
        <v>26.400000000000002</v>
      </c>
      <c r="J17" s="372">
        <f>IF($C17="","",I17*VLOOKUP($C17,CHANTIER!$A$2:$D$83,4,0))</f>
        <v>2.6400000000000006</v>
      </c>
      <c r="K17" s="364">
        <f>K5*2</f>
        <v>28.6</v>
      </c>
      <c r="L17" s="372">
        <f>IF($C17="","",K17*VLOOKUP($C17,CHANTIER!$A$2:$D$83,4,0))</f>
        <v>2.8600000000000003</v>
      </c>
      <c r="M17" s="364">
        <f>M5*2</f>
        <v>30.800000000000004</v>
      </c>
      <c r="N17" s="372">
        <f>IF($C17="","",M17*VLOOKUP($C17,CHANTIER!$A$2:$D$83,4,0))</f>
        <v>3.0800000000000005</v>
      </c>
      <c r="O17" s="364">
        <f>O5*2</f>
        <v>33</v>
      </c>
      <c r="P17" s="372">
        <f>IF($C17="","",O17*VLOOKUP($C17,CHANTIER!$A$2:$D$83,4,0))</f>
        <v>3.3000000000000003</v>
      </c>
      <c r="Q17" s="364">
        <f>Q5*2</f>
        <v>35.200000000000003</v>
      </c>
      <c r="R17" s="372">
        <f>IF($C17="","",Q17*VLOOKUP($C17,CHANTIER!$A$2:$D$83,4,0))</f>
        <v>3.5200000000000005</v>
      </c>
      <c r="S17" s="364">
        <f>S5*2</f>
        <v>37.400000000000006</v>
      </c>
      <c r="T17" s="372">
        <f>IF($C17="","",S17*VLOOKUP($C17,CHANTIER!$A$2:$D$83,4,0))</f>
        <v>3.7400000000000007</v>
      </c>
      <c r="U17" s="364">
        <f>U5*2</f>
        <v>39.6</v>
      </c>
      <c r="V17" s="372">
        <f>IF($C17="","",U17*VLOOKUP($C17,CHANTIER!$A$2:$D$83,4,0))</f>
        <v>3.9600000000000004</v>
      </c>
      <c r="W17" s="364">
        <f>W5*2</f>
        <v>44</v>
      </c>
      <c r="X17" s="372">
        <f>IF($C17="","",W17*VLOOKUP($C17,CHANTIER!$A$2:$D$83,4,0))</f>
        <v>4.4000000000000004</v>
      </c>
      <c r="Y17" s="364">
        <f>Y5*2</f>
        <v>48.400000000000006</v>
      </c>
      <c r="Z17" s="372">
        <f>IF($C17="","",Y17*VLOOKUP($C17,CHANTIER!$A$2:$D$83,4,0))</f>
        <v>4.8400000000000007</v>
      </c>
      <c r="AA17" s="364">
        <f>AA5*2</f>
        <v>50.6</v>
      </c>
      <c r="AB17" s="372">
        <f>IF($C17="","",AA17*VLOOKUP($C17,CHANTIER!$A$2:$D$83,4,0))</f>
        <v>5.0600000000000005</v>
      </c>
      <c r="AC17" s="364">
        <f>AC5*2</f>
        <v>48.400000000000006</v>
      </c>
      <c r="AD17" s="372">
        <f>IF($C17="","",AC17*VLOOKUP($C17,CHANTIER!$A$2:$D$83,4,0))</f>
        <v>4.8400000000000007</v>
      </c>
      <c r="AE17" s="364">
        <f>AE5*2</f>
        <v>52.800000000000004</v>
      </c>
      <c r="AF17" s="372">
        <f>IF($C17="","",AE17*VLOOKUP($C17,CHANTIER!$A$2:$D$83,4,0))</f>
        <v>5.2800000000000011</v>
      </c>
      <c r="AG17" s="364">
        <f>AG5*2</f>
        <v>55.000000000000007</v>
      </c>
      <c r="AH17" s="372">
        <f>IF($C17="","",AG17*VLOOKUP($C17,CHANTIER!$A$2:$D$83,4,0))</f>
        <v>5.5000000000000009</v>
      </c>
      <c r="AI17" s="364">
        <f>AI5*2</f>
        <v>57.2</v>
      </c>
      <c r="AJ17" s="372">
        <f>IF($C17="","",AI17*VLOOKUP($C17,CHANTIER!$A$2:$D$83,4,0))</f>
        <v>5.7200000000000006</v>
      </c>
      <c r="AK17" s="364">
        <f>AK5*2</f>
        <v>61.600000000000009</v>
      </c>
      <c r="AL17" s="372">
        <f>IF($C17="","",AK17*VLOOKUP($C17,CHANTIER!$A$2:$D$83,4,0))</f>
        <v>6.160000000000001</v>
      </c>
      <c r="AM17" s="364">
        <f>AM5*2</f>
        <v>57.2</v>
      </c>
      <c r="AN17" s="372">
        <f>IF($C17="","",AM17*VLOOKUP($C17,CHANTIER!$A$2:$D$83,4,0))</f>
        <v>5.7200000000000006</v>
      </c>
    </row>
    <row r="18" spans="1:40" ht="15" customHeight="1" x14ac:dyDescent="0.2">
      <c r="A18" s="1626"/>
      <c r="B18" s="361" t="s">
        <v>1160</v>
      </c>
      <c r="C18" s="378" t="s">
        <v>1843</v>
      </c>
      <c r="D18" s="363" t="str">
        <f>IF(C18="","",VLOOKUP($C18,CHANTIER!$A$2:$C$83,3,0))</f>
        <v>ml</v>
      </c>
      <c r="E18" s="364">
        <f>1</f>
        <v>1</v>
      </c>
      <c r="F18" s="372">
        <f>IF($C18="","",E18*VLOOKUP($C18,CHANTIER!$A$2:$D$83,4,0))</f>
        <v>0.1</v>
      </c>
      <c r="G18" s="364">
        <f>1</f>
        <v>1</v>
      </c>
      <c r="H18" s="372">
        <f>IF($C18="","",G18*VLOOKUP($C18,CHANTIER!$A$2:$D$83,4,0))</f>
        <v>0.1</v>
      </c>
      <c r="I18" s="364">
        <f>1</f>
        <v>1</v>
      </c>
      <c r="J18" s="372">
        <f>IF($C18="","",I18*VLOOKUP($C18,CHANTIER!$A$2:$D$83,4,0))</f>
        <v>0.1</v>
      </c>
      <c r="K18" s="364">
        <f>1</f>
        <v>1</v>
      </c>
      <c r="L18" s="372">
        <f>IF($C18="","",K18*VLOOKUP($C18,CHANTIER!$A$2:$D$83,4,0))</f>
        <v>0.1</v>
      </c>
      <c r="M18" s="364">
        <f>1</f>
        <v>1</v>
      </c>
      <c r="N18" s="372">
        <f>IF($C18="","",M18*VLOOKUP($C18,CHANTIER!$A$2:$D$83,4,0))</f>
        <v>0.1</v>
      </c>
      <c r="O18" s="364">
        <f>1</f>
        <v>1</v>
      </c>
      <c r="P18" s="372">
        <f>IF($C18="","",O18*VLOOKUP($C18,CHANTIER!$A$2:$D$83,4,0))</f>
        <v>0.1</v>
      </c>
      <c r="Q18" s="364">
        <f>1</f>
        <v>1</v>
      </c>
      <c r="R18" s="372">
        <f>IF($C18="","",Q18*VLOOKUP($C18,CHANTIER!$A$2:$D$83,4,0))</f>
        <v>0.1</v>
      </c>
      <c r="S18" s="364">
        <f>1</f>
        <v>1</v>
      </c>
      <c r="T18" s="372">
        <f>IF($C18="","",S18*VLOOKUP($C18,CHANTIER!$A$2:$D$83,4,0))</f>
        <v>0.1</v>
      </c>
      <c r="U18" s="364">
        <f>1</f>
        <v>1</v>
      </c>
      <c r="V18" s="372">
        <f>IF($C18="","",U18*VLOOKUP($C18,CHANTIER!$A$2:$D$83,4,0))</f>
        <v>0.1</v>
      </c>
      <c r="W18" s="364">
        <f>1</f>
        <v>1</v>
      </c>
      <c r="X18" s="372">
        <f>IF($C18="","",W18*VLOOKUP($C18,CHANTIER!$A$2:$D$83,4,0))</f>
        <v>0.1</v>
      </c>
      <c r="Y18" s="364">
        <f>1</f>
        <v>1</v>
      </c>
      <c r="Z18" s="372">
        <f>IF($C18="","",Y18*VLOOKUP($C18,CHANTIER!$A$2:$D$83,4,0))</f>
        <v>0.1</v>
      </c>
      <c r="AA18" s="364">
        <f>1</f>
        <v>1</v>
      </c>
      <c r="AB18" s="372">
        <f>IF($C18="","",AA18*VLOOKUP($C18,CHANTIER!$A$2:$D$83,4,0))</f>
        <v>0.1</v>
      </c>
      <c r="AC18" s="364">
        <f>1</f>
        <v>1</v>
      </c>
      <c r="AD18" s="372">
        <f>IF($C18="","",AC18*VLOOKUP($C18,CHANTIER!$A$2:$D$83,4,0))</f>
        <v>0.1</v>
      </c>
      <c r="AE18" s="364">
        <f>1</f>
        <v>1</v>
      </c>
      <c r="AF18" s="372">
        <f>IF($C18="","",AE18*VLOOKUP($C18,CHANTIER!$A$2:$D$83,4,0))</f>
        <v>0.1</v>
      </c>
      <c r="AG18" s="364">
        <f>1</f>
        <v>1</v>
      </c>
      <c r="AH18" s="372">
        <f>IF($C18="","",AG18*VLOOKUP($C18,CHANTIER!$A$2:$D$83,4,0))</f>
        <v>0.1</v>
      </c>
      <c r="AI18" s="364">
        <f>1</f>
        <v>1</v>
      </c>
      <c r="AJ18" s="372">
        <f>IF($C18="","",AI18*VLOOKUP($C18,CHANTIER!$A$2:$D$83,4,0))</f>
        <v>0.1</v>
      </c>
      <c r="AK18" s="364">
        <f>1</f>
        <v>1</v>
      </c>
      <c r="AL18" s="372">
        <f>IF($C18="","",AK18*VLOOKUP($C18,CHANTIER!$A$2:$D$83,4,0))</f>
        <v>0.1</v>
      </c>
      <c r="AM18" s="364">
        <f>1</f>
        <v>1</v>
      </c>
      <c r="AN18" s="372">
        <f>IF($C18="","",AM18*VLOOKUP($C18,CHANTIER!$A$2:$D$83,4,0))</f>
        <v>0.1</v>
      </c>
    </row>
    <row r="19" spans="1:40" ht="15" customHeight="1" x14ac:dyDescent="0.2">
      <c r="A19" s="1626"/>
      <c r="B19" s="361" t="s">
        <v>1160</v>
      </c>
      <c r="C19" s="378" t="s">
        <v>1844</v>
      </c>
      <c r="D19" s="363" t="str">
        <f>IF(C19="","",VLOOKUP($C19,CHANTIER!$A$2:$C$83,3,0))</f>
        <v>ml</v>
      </c>
      <c r="E19" s="364">
        <f>E5</f>
        <v>9.02</v>
      </c>
      <c r="F19" s="372">
        <f>IF($C19="","",E19*VLOOKUP($C19,CHANTIER!$A$2:$D$83,4,0))</f>
        <v>0.90200000000000002</v>
      </c>
      <c r="G19" s="364">
        <f>G5</f>
        <v>11</v>
      </c>
      <c r="H19" s="372">
        <f>IF($C19="","",G19*VLOOKUP($C19,CHANTIER!$A$2:$D$83,4,0))</f>
        <v>1.1000000000000001</v>
      </c>
      <c r="I19" s="364">
        <f>I5</f>
        <v>13.200000000000001</v>
      </c>
      <c r="J19" s="372">
        <f>IF($C19="","",I19*VLOOKUP($C19,CHANTIER!$A$2:$D$83,4,0))</f>
        <v>1.3200000000000003</v>
      </c>
      <c r="K19" s="364">
        <f>K5</f>
        <v>14.3</v>
      </c>
      <c r="L19" s="372">
        <f>IF($C19="","",K19*VLOOKUP($C19,CHANTIER!$A$2:$D$83,4,0))</f>
        <v>1.4300000000000002</v>
      </c>
      <c r="M19" s="364">
        <f>M5</f>
        <v>15.400000000000002</v>
      </c>
      <c r="N19" s="372">
        <f>IF($C19="","",M19*VLOOKUP($C19,CHANTIER!$A$2:$D$83,4,0))</f>
        <v>1.5400000000000003</v>
      </c>
      <c r="O19" s="364">
        <f>O5</f>
        <v>16.5</v>
      </c>
      <c r="P19" s="372">
        <f>IF($C19="","",O19*VLOOKUP($C19,CHANTIER!$A$2:$D$83,4,0))</f>
        <v>1.6500000000000001</v>
      </c>
      <c r="Q19" s="364">
        <f>Q5</f>
        <v>17.600000000000001</v>
      </c>
      <c r="R19" s="372">
        <f>IF($C19="","",Q19*VLOOKUP($C19,CHANTIER!$A$2:$D$83,4,0))</f>
        <v>1.7600000000000002</v>
      </c>
      <c r="S19" s="364">
        <f>S5</f>
        <v>18.700000000000003</v>
      </c>
      <c r="T19" s="372">
        <f>IF($C19="","",S19*VLOOKUP($C19,CHANTIER!$A$2:$D$83,4,0))</f>
        <v>1.8700000000000003</v>
      </c>
      <c r="U19" s="364">
        <f>U5</f>
        <v>19.8</v>
      </c>
      <c r="V19" s="372">
        <f>IF($C19="","",U19*VLOOKUP($C19,CHANTIER!$A$2:$D$83,4,0))</f>
        <v>1.9800000000000002</v>
      </c>
      <c r="W19" s="364">
        <f>W5</f>
        <v>22</v>
      </c>
      <c r="X19" s="372">
        <f>IF($C19="","",W19*VLOOKUP($C19,CHANTIER!$A$2:$D$83,4,0))</f>
        <v>2.2000000000000002</v>
      </c>
      <c r="Y19" s="364">
        <f>Y5</f>
        <v>24.200000000000003</v>
      </c>
      <c r="Z19" s="372">
        <f>IF($C19="","",Y19*VLOOKUP($C19,CHANTIER!$A$2:$D$83,4,0))</f>
        <v>2.4200000000000004</v>
      </c>
      <c r="AA19" s="364">
        <f>AA5</f>
        <v>25.3</v>
      </c>
      <c r="AB19" s="372">
        <f>IF($C19="","",AA19*VLOOKUP($C19,CHANTIER!$A$2:$D$83,4,0))</f>
        <v>2.5300000000000002</v>
      </c>
      <c r="AC19" s="364">
        <f>AC5</f>
        <v>24.200000000000003</v>
      </c>
      <c r="AD19" s="372">
        <f>IF($C19="","",AC19*VLOOKUP($C19,CHANTIER!$A$2:$D$83,4,0))</f>
        <v>2.4200000000000004</v>
      </c>
      <c r="AE19" s="364">
        <f>AE5</f>
        <v>26.400000000000002</v>
      </c>
      <c r="AF19" s="372">
        <f>IF($C19="","",AE19*VLOOKUP($C19,CHANTIER!$A$2:$D$83,4,0))</f>
        <v>2.6400000000000006</v>
      </c>
      <c r="AG19" s="364">
        <f>AG5</f>
        <v>27.500000000000004</v>
      </c>
      <c r="AH19" s="372">
        <f>IF($C19="","",AG19*VLOOKUP($C19,CHANTIER!$A$2:$D$83,4,0))</f>
        <v>2.7500000000000004</v>
      </c>
      <c r="AI19" s="364">
        <f>AI5</f>
        <v>28.6</v>
      </c>
      <c r="AJ19" s="372">
        <f>IF($C19="","",AI19*VLOOKUP($C19,CHANTIER!$A$2:$D$83,4,0))</f>
        <v>2.8600000000000003</v>
      </c>
      <c r="AK19" s="364">
        <f>AK5</f>
        <v>30.800000000000004</v>
      </c>
      <c r="AL19" s="372">
        <f>IF($C19="","",AK19*VLOOKUP($C19,CHANTIER!$A$2:$D$83,4,0))</f>
        <v>3.0800000000000005</v>
      </c>
      <c r="AM19" s="364">
        <f>AM5</f>
        <v>28.6</v>
      </c>
      <c r="AN19" s="372">
        <f>IF($C19="","",AM19*VLOOKUP($C19,CHANTIER!$A$2:$D$83,4,0))</f>
        <v>2.8600000000000003</v>
      </c>
    </row>
    <row r="20" spans="1:40" ht="15" customHeight="1" x14ac:dyDescent="0.2">
      <c r="A20" s="1626"/>
      <c r="B20" s="361" t="s">
        <v>1159</v>
      </c>
      <c r="C20" s="378"/>
      <c r="D20" s="363" t="str">
        <f>IF(C20="","",VLOOKUP($C20,CHANTIER!$A$2:$C$83,3,0))</f>
        <v/>
      </c>
      <c r="E20" s="364">
        <f>E10</f>
        <v>10.66</v>
      </c>
      <c r="F20" s="372" t="str">
        <f>IF($C20="","",E20*VLOOKUP($C20,CHANTIER!$A$2:$D$83,4,0))</f>
        <v/>
      </c>
      <c r="G20" s="364">
        <f t="shared" ref="G20" si="0">G10</f>
        <v>13</v>
      </c>
      <c r="H20" s="372" t="str">
        <f>IF($C20="","",G20*VLOOKUP($C20,CHANTIER!$A$2:$D$83,4,0))</f>
        <v/>
      </c>
      <c r="I20" s="364">
        <v>0</v>
      </c>
      <c r="J20" s="372" t="str">
        <f>IF($C20="","",I20*VLOOKUP($C20,CHANTIER!$A$2:$D$83,4,0))</f>
        <v/>
      </c>
      <c r="K20" s="364">
        <f t="shared" ref="K20" si="1">K10</f>
        <v>16.900000000000002</v>
      </c>
      <c r="L20" s="372" t="str">
        <f>IF($C20="","",K20*VLOOKUP($C20,CHANTIER!$A$2:$D$83,4,0))</f>
        <v/>
      </c>
      <c r="M20" s="364">
        <f t="shared" ref="M20" si="2">M10</f>
        <v>18.2</v>
      </c>
      <c r="N20" s="372" t="str">
        <f>IF($C20="","",M20*VLOOKUP($C20,CHANTIER!$A$2:$D$83,4,0))</f>
        <v/>
      </c>
      <c r="O20" s="364">
        <f t="shared" ref="O20" si="3">O10</f>
        <v>19.5</v>
      </c>
      <c r="P20" s="372" t="str">
        <f>IF($C20="","",O20*VLOOKUP($C20,CHANTIER!$A$2:$D$83,4,0))</f>
        <v/>
      </c>
      <c r="Q20" s="364">
        <f t="shared" ref="Q20" si="4">Q10</f>
        <v>20.8</v>
      </c>
      <c r="R20" s="372" t="str">
        <f>IF($C20="","",Q20*VLOOKUP($C20,CHANTIER!$A$2:$D$83,4,0))</f>
        <v/>
      </c>
      <c r="S20" s="364">
        <f t="shared" ref="S20" si="5">S10</f>
        <v>22.1</v>
      </c>
      <c r="T20" s="372" t="str">
        <f>IF($C20="","",S20*VLOOKUP($C20,CHANTIER!$A$2:$D$83,4,0))</f>
        <v/>
      </c>
      <c r="U20" s="364">
        <f t="shared" ref="U20" si="6">U10</f>
        <v>23.400000000000002</v>
      </c>
      <c r="V20" s="372" t="str">
        <f>IF($C20="","",U20*VLOOKUP($C20,CHANTIER!$A$2:$D$83,4,0))</f>
        <v/>
      </c>
      <c r="W20" s="364">
        <f t="shared" ref="W20" si="7">W10</f>
        <v>26</v>
      </c>
      <c r="X20" s="372" t="str">
        <f>IF($C20="","",W20*VLOOKUP($C20,CHANTIER!$A$2:$D$83,4,0))</f>
        <v/>
      </c>
      <c r="Y20" s="364">
        <f t="shared" ref="Y20" si="8">Y10</f>
        <v>28.6</v>
      </c>
      <c r="Z20" s="372" t="str">
        <f>IF($C20="","",Y20*VLOOKUP($C20,CHANTIER!$A$2:$D$83,4,0))</f>
        <v/>
      </c>
      <c r="AA20" s="364">
        <f t="shared" ref="AA20" si="9">AA10</f>
        <v>29.900000000000002</v>
      </c>
      <c r="AB20" s="372" t="str">
        <f>IF($C20="","",AA20*VLOOKUP($C20,CHANTIER!$A$2:$D$83,4,0))</f>
        <v/>
      </c>
      <c r="AC20" s="364">
        <f t="shared" ref="AC20" si="10">AC10</f>
        <v>28.6</v>
      </c>
      <c r="AD20" s="372" t="str">
        <f>IF($C20="","",AC20*VLOOKUP($C20,CHANTIER!$A$2:$D$83,4,0))</f>
        <v/>
      </c>
      <c r="AE20" s="364">
        <f t="shared" ref="AE20" si="11">AE10</f>
        <v>31.200000000000003</v>
      </c>
      <c r="AF20" s="372" t="str">
        <f>IF($C20="","",AE20*VLOOKUP($C20,CHANTIER!$A$2:$D$83,4,0))</f>
        <v/>
      </c>
      <c r="AG20" s="364">
        <f t="shared" ref="AG20" si="12">AG10</f>
        <v>32.5</v>
      </c>
      <c r="AH20" s="372" t="str">
        <f>IF($C20="","",AG20*VLOOKUP($C20,CHANTIER!$A$2:$D$83,4,0))</f>
        <v/>
      </c>
      <c r="AI20" s="364">
        <f t="shared" ref="AI20" si="13">AI10</f>
        <v>33.800000000000004</v>
      </c>
      <c r="AJ20" s="372" t="str">
        <f>IF($C20="","",AI20*VLOOKUP($C20,CHANTIER!$A$2:$D$83,4,0))</f>
        <v/>
      </c>
      <c r="AK20" s="364">
        <f t="shared" ref="AK20:AM20" si="14">AK10</f>
        <v>36.4</v>
      </c>
      <c r="AL20" s="372" t="str">
        <f>IF($C20="","",AK20*VLOOKUP($C20,CHANTIER!$A$2:$D$83,4,0))</f>
        <v/>
      </c>
      <c r="AM20" s="364">
        <f t="shared" si="14"/>
        <v>33.800000000000004</v>
      </c>
      <c r="AN20" s="372" t="str">
        <f>IF($C20="","",AM20*VLOOKUP($C20,CHANTIER!$A$2:$D$83,4,0))</f>
        <v/>
      </c>
    </row>
    <row r="21" spans="1:40" ht="30.75" customHeight="1" x14ac:dyDescent="0.2">
      <c r="A21" s="1626"/>
      <c r="B21" s="379" t="s">
        <v>453</v>
      </c>
      <c r="C21" s="380" t="s">
        <v>450</v>
      </c>
      <c r="D21" s="381" t="s">
        <v>451</v>
      </c>
      <c r="E21" s="382">
        <f>F21*Simulation!$P$9</f>
        <v>126.27</v>
      </c>
      <c r="F21" s="383">
        <f>SUM(F17:F20)</f>
        <v>2.806</v>
      </c>
      <c r="G21" s="382">
        <f>H21*Simulation!$P$9</f>
        <v>153.00000000000003</v>
      </c>
      <c r="H21" s="383">
        <f>SUM(H17:H20)</f>
        <v>3.4000000000000004</v>
      </c>
      <c r="I21" s="382">
        <f>J21*Simulation!$P$9</f>
        <v>182.70000000000002</v>
      </c>
      <c r="J21" s="383">
        <f>SUM(J17:J20)</f>
        <v>4.0600000000000005</v>
      </c>
      <c r="K21" s="382">
        <f>L21*Simulation!$P$9</f>
        <v>197.55</v>
      </c>
      <c r="L21" s="383">
        <f>SUM(L17:L20)</f>
        <v>4.3900000000000006</v>
      </c>
      <c r="M21" s="382">
        <f>N21*Simulation!$P$9</f>
        <v>212.40000000000003</v>
      </c>
      <c r="N21" s="383">
        <f>SUM(N17:N20)</f>
        <v>4.7200000000000006</v>
      </c>
      <c r="O21" s="382">
        <f>P21*Simulation!$P$9</f>
        <v>227.25000000000003</v>
      </c>
      <c r="P21" s="383">
        <f>SUM(P17:P20)</f>
        <v>5.0500000000000007</v>
      </c>
      <c r="Q21" s="382">
        <f>R21*Simulation!$P$9</f>
        <v>242.10000000000002</v>
      </c>
      <c r="R21" s="383">
        <f>SUM(R17:R20)</f>
        <v>5.3800000000000008</v>
      </c>
      <c r="S21" s="382">
        <f>T21*Simulation!$P$9</f>
        <v>256.95000000000005</v>
      </c>
      <c r="T21" s="383">
        <f>SUM(T17:T20)</f>
        <v>5.7100000000000009</v>
      </c>
      <c r="U21" s="382">
        <f>V21*Simulation!$P$9</f>
        <v>271.80000000000007</v>
      </c>
      <c r="V21" s="383">
        <f>SUM(V17:V20)</f>
        <v>6.0400000000000009</v>
      </c>
      <c r="W21" s="382">
        <f>X21*Simulation!$P$9</f>
        <v>301.5</v>
      </c>
      <c r="X21" s="383">
        <f>SUM(X17:X20)</f>
        <v>6.7</v>
      </c>
      <c r="Y21" s="382">
        <f>Z21*Simulation!$P$9</f>
        <v>331.20000000000005</v>
      </c>
      <c r="Z21" s="383">
        <f>SUM(Z17:Z20)</f>
        <v>7.3600000000000012</v>
      </c>
      <c r="AA21" s="382">
        <f>AB21*Simulation!$P$9</f>
        <v>346.05</v>
      </c>
      <c r="AB21" s="383">
        <f>SUM(AB17:AB20)</f>
        <v>7.69</v>
      </c>
      <c r="AC21" s="382">
        <f>AD21*Simulation!$P$9</f>
        <v>331.20000000000005</v>
      </c>
      <c r="AD21" s="383">
        <f>SUM(AD17:AD20)</f>
        <v>7.3600000000000012</v>
      </c>
      <c r="AE21" s="382">
        <f>AF21*Simulation!$P$9</f>
        <v>360.90000000000003</v>
      </c>
      <c r="AF21" s="383">
        <f>SUM(AF17:AF20)</f>
        <v>8.0200000000000014</v>
      </c>
      <c r="AG21" s="382">
        <f>AH21*Simulation!$P$9</f>
        <v>375.75000000000006</v>
      </c>
      <c r="AH21" s="383">
        <f>SUM(AH17:AH20)</f>
        <v>8.3500000000000014</v>
      </c>
      <c r="AI21" s="382">
        <f>AJ21*Simulation!$P$9</f>
        <v>390.59999999999997</v>
      </c>
      <c r="AJ21" s="383">
        <f>SUM(AJ17:AJ20)</f>
        <v>8.68</v>
      </c>
      <c r="AK21" s="382">
        <f>AL21*Simulation!$P$9</f>
        <v>420.30000000000007</v>
      </c>
      <c r="AL21" s="383">
        <f>SUM(AL17:AL20)</f>
        <v>9.3400000000000016</v>
      </c>
      <c r="AM21" s="382">
        <f>AN21*Simulation!$P$9</f>
        <v>390.59999999999997</v>
      </c>
      <c r="AN21" s="383">
        <f>SUM(AN17:AN20)</f>
        <v>8.68</v>
      </c>
    </row>
    <row r="22" spans="1:40" ht="15" customHeight="1" x14ac:dyDescent="0.2">
      <c r="A22" s="1628" t="s">
        <v>4</v>
      </c>
      <c r="B22" s="361" t="s">
        <v>1170</v>
      </c>
      <c r="C22" s="378"/>
      <c r="D22" s="363" t="str">
        <f>IF(C22="","",VLOOKUP($C22,MINIPELLE!$A$2:$C$28,3,0))</f>
        <v/>
      </c>
      <c r="E22" s="364">
        <f>E5</f>
        <v>9.02</v>
      </c>
      <c r="F22" s="372" t="str">
        <f>IF($C22="","",E22*VLOOKUP($C22,MINIPELLE!$A$2:$D$28,4,0))</f>
        <v/>
      </c>
      <c r="G22" s="364">
        <f>G5</f>
        <v>11</v>
      </c>
      <c r="H22" s="372" t="str">
        <f>IF($C22="","",G22*VLOOKUP($C22,MINIPELLE!$A$2:$D$28,4,0))</f>
        <v/>
      </c>
      <c r="I22" s="364">
        <f>I5</f>
        <v>13.200000000000001</v>
      </c>
      <c r="J22" s="372" t="str">
        <f>IF($C22="","",I22*VLOOKUP($C22,MINIPELLE!$A$2:$D$28,4,0))</f>
        <v/>
      </c>
      <c r="K22" s="364">
        <f>K5</f>
        <v>14.3</v>
      </c>
      <c r="L22" s="372" t="str">
        <f>IF($C22="","",K22*VLOOKUP($C22,MINIPELLE!$A$2:$D$28,4,0))</f>
        <v/>
      </c>
      <c r="M22" s="364">
        <f>M5</f>
        <v>15.400000000000002</v>
      </c>
      <c r="N22" s="372" t="str">
        <f>IF($C22="","",M22*VLOOKUP($C22,MINIPELLE!$A$2:$D$28,4,0))</f>
        <v/>
      </c>
      <c r="O22" s="364">
        <f>O5</f>
        <v>16.5</v>
      </c>
      <c r="P22" s="372" t="str">
        <f>IF($C22="","",O22*VLOOKUP($C22,MINIPELLE!$A$2:$D$28,4,0))</f>
        <v/>
      </c>
      <c r="Q22" s="364">
        <f>Q5</f>
        <v>17.600000000000001</v>
      </c>
      <c r="R22" s="372" t="str">
        <f>IF($C22="","",Q22*VLOOKUP($C22,MINIPELLE!$A$2:$D$28,4,0))</f>
        <v/>
      </c>
      <c r="S22" s="364">
        <f>S5</f>
        <v>18.700000000000003</v>
      </c>
      <c r="T22" s="372" t="str">
        <f>IF($C22="","",S22*VLOOKUP($C22,MINIPELLE!$A$2:$D$28,4,0))</f>
        <v/>
      </c>
      <c r="U22" s="364">
        <f>U5</f>
        <v>19.8</v>
      </c>
      <c r="V22" s="372" t="str">
        <f>IF($C22="","",U22*VLOOKUP($C22,MINIPELLE!$A$2:$D$28,4,0))</f>
        <v/>
      </c>
      <c r="W22" s="364">
        <f>W5</f>
        <v>22</v>
      </c>
      <c r="X22" s="372" t="str">
        <f>IF($C22="","",W22*VLOOKUP($C22,MINIPELLE!$A$2:$D$28,4,0))</f>
        <v/>
      </c>
      <c r="Y22" s="364">
        <f>Y5</f>
        <v>24.200000000000003</v>
      </c>
      <c r="Z22" s="372" t="str">
        <f>IF($C22="","",Y22*VLOOKUP($C22,MINIPELLE!$A$2:$D$28,4,0))</f>
        <v/>
      </c>
      <c r="AA22" s="364">
        <f>AA5</f>
        <v>25.3</v>
      </c>
      <c r="AB22" s="372" t="str">
        <f>IF($C22="","",AA22*VLOOKUP($C22,MINIPELLE!$A$2:$D$28,4,0))</f>
        <v/>
      </c>
      <c r="AC22" s="364">
        <f>AC5</f>
        <v>24.200000000000003</v>
      </c>
      <c r="AD22" s="372" t="str">
        <f>IF($C22="","",AC22*VLOOKUP($C22,MINIPELLE!$A$2:$D$28,4,0))</f>
        <v/>
      </c>
      <c r="AE22" s="364">
        <f>AE5</f>
        <v>26.400000000000002</v>
      </c>
      <c r="AF22" s="372" t="str">
        <f>IF($C22="","",AE22*VLOOKUP($C22,MINIPELLE!$A$2:$D$28,4,0))</f>
        <v/>
      </c>
      <c r="AG22" s="364">
        <f>AG5</f>
        <v>27.500000000000004</v>
      </c>
      <c r="AH22" s="372" t="str">
        <f>IF($C22="","",AG22*VLOOKUP($C22,MINIPELLE!$A$2:$D$28,4,0))</f>
        <v/>
      </c>
      <c r="AI22" s="364">
        <f>AI5</f>
        <v>28.6</v>
      </c>
      <c r="AJ22" s="372" t="str">
        <f>IF($C22="","",AI22*VLOOKUP($C22,MINIPELLE!$A$2:$D$28,4,0))</f>
        <v/>
      </c>
      <c r="AK22" s="364">
        <f>AK5</f>
        <v>30.800000000000004</v>
      </c>
      <c r="AL22" s="372" t="str">
        <f>IF($C22="","",AK22*VLOOKUP($C22,MINIPELLE!$A$2:$D$28,4,0))</f>
        <v/>
      </c>
      <c r="AM22" s="364">
        <f>AM5</f>
        <v>28.6</v>
      </c>
      <c r="AN22" s="372" t="str">
        <f>IF($C22="","",AM22*VLOOKUP($C22,MINIPELLE!$A$2:$D$28,4,0))</f>
        <v/>
      </c>
    </row>
    <row r="23" spans="1:40" ht="15" customHeight="1" x14ac:dyDescent="0.2">
      <c r="A23" s="1629"/>
      <c r="B23" s="361" t="s">
        <v>1172</v>
      </c>
      <c r="C23" s="378" t="s">
        <v>102</v>
      </c>
      <c r="D23" s="363" t="str">
        <f>IF(C23="","",VLOOKUP($C23,MINIPELLE!$A$2:$C$28,3,0))</f>
        <v>m3</v>
      </c>
      <c r="E23" s="364">
        <f>E2*2*1.1</f>
        <v>4.4000000000000004</v>
      </c>
      <c r="F23" s="389">
        <f>IF($C23="","",E23*VLOOKUP($C23,MINIPELLE!$A$2:$D$28,4,0))</f>
        <v>1.1000000000000001</v>
      </c>
      <c r="G23" s="364">
        <f>G2*2*1.1</f>
        <v>6.6000000000000005</v>
      </c>
      <c r="H23" s="389">
        <f>IF($C23="","",G23*VLOOKUP($C23,MINIPELLE!$A$2:$D$28,4,0))</f>
        <v>1.6500000000000001</v>
      </c>
      <c r="I23" s="364">
        <f>I2*2*1.1</f>
        <v>8.8000000000000007</v>
      </c>
      <c r="J23" s="389">
        <f>IF($C23="","",I23*VLOOKUP($C23,MINIPELLE!$A$2:$D$28,4,0))</f>
        <v>2.2000000000000002</v>
      </c>
      <c r="K23" s="364">
        <f>K2*2*1.1</f>
        <v>11</v>
      </c>
      <c r="L23" s="389">
        <f>IF($C23="","",K23*VLOOKUP($C23,MINIPELLE!$A$2:$D$28,4,0))</f>
        <v>2.75</v>
      </c>
      <c r="M23" s="364">
        <f>M2*2*1.1</f>
        <v>13.200000000000001</v>
      </c>
      <c r="N23" s="389">
        <f>IF($C23="","",M23*VLOOKUP($C23,MINIPELLE!$A$2:$D$28,4,0))</f>
        <v>3.3000000000000003</v>
      </c>
      <c r="O23" s="364">
        <f>O2*2*1.1</f>
        <v>15.400000000000002</v>
      </c>
      <c r="P23" s="389">
        <f>IF($C23="","",O23*VLOOKUP($C23,MINIPELLE!$A$2:$D$28,4,0))</f>
        <v>3.8500000000000005</v>
      </c>
      <c r="Q23" s="364">
        <f>Q2*2*1.1</f>
        <v>17.600000000000001</v>
      </c>
      <c r="R23" s="389">
        <f>IF($C23="","",Q23*VLOOKUP($C23,MINIPELLE!$A$2:$D$28,4,0))</f>
        <v>4.4000000000000004</v>
      </c>
      <c r="S23" s="364">
        <f>S2*2*1.1</f>
        <v>19.8</v>
      </c>
      <c r="T23" s="389">
        <f>IF($C23="","",S23*VLOOKUP($C23,MINIPELLE!$A$2:$D$28,4,0))</f>
        <v>4.95</v>
      </c>
      <c r="U23" s="364">
        <f>U2*2*1.1</f>
        <v>22</v>
      </c>
      <c r="V23" s="389">
        <f>IF($C23="","",U23*VLOOKUP($C23,MINIPELLE!$A$2:$D$28,4,0))</f>
        <v>5.5</v>
      </c>
      <c r="W23" s="364">
        <f>W2*2*1.1</f>
        <v>26.400000000000002</v>
      </c>
      <c r="X23" s="389">
        <f>IF($C23="","",W23*VLOOKUP($C23,MINIPELLE!$A$2:$D$28,4,0))</f>
        <v>6.6000000000000005</v>
      </c>
      <c r="Y23" s="364">
        <f>Y2*2*1.1</f>
        <v>26.400000000000002</v>
      </c>
      <c r="Z23" s="389">
        <f>IF($C23="","",Y23*VLOOKUP($C23,MINIPELLE!$A$2:$D$28,4,0))</f>
        <v>6.6000000000000005</v>
      </c>
      <c r="AA23" s="364">
        <f>AA2*2*1.1</f>
        <v>30.800000000000004</v>
      </c>
      <c r="AB23" s="389">
        <f>IF($C23="","",AA23*VLOOKUP($C23,MINIPELLE!$A$2:$D$28,4,0))</f>
        <v>7.7000000000000011</v>
      </c>
      <c r="AC23" s="364">
        <f>AC2*2*1.1</f>
        <v>30.800000000000004</v>
      </c>
      <c r="AD23" s="389">
        <f>IF($C23="","",AC23*VLOOKUP($C23,MINIPELLE!$A$2:$D$28,4,0))</f>
        <v>7.7000000000000011</v>
      </c>
      <c r="AE23" s="364">
        <f>AE2*2*1.1</f>
        <v>35.200000000000003</v>
      </c>
      <c r="AF23" s="389">
        <f>IF($C23="","",AE23*VLOOKUP($C23,MINIPELLE!$A$2:$D$28,4,0))</f>
        <v>8.8000000000000007</v>
      </c>
      <c r="AG23" s="364">
        <f>AG2*2*1.1</f>
        <v>39.6</v>
      </c>
      <c r="AH23" s="389">
        <f>IF($C23="","",AG23*VLOOKUP($C23,MINIPELLE!$A$2:$D$28,4,0))</f>
        <v>9.9</v>
      </c>
      <c r="AI23" s="364">
        <f>AI2*2*1.1</f>
        <v>39.6</v>
      </c>
      <c r="AJ23" s="389">
        <f>IF($C23="","",AI23*VLOOKUP($C23,MINIPELLE!$A$2:$D$28,4,0))</f>
        <v>9.9</v>
      </c>
      <c r="AK23" s="364">
        <f>AK2*2*1.1</f>
        <v>44</v>
      </c>
      <c r="AL23" s="389">
        <f>IF($C23="","",AK23*VLOOKUP($C23,MINIPELLE!$A$2:$D$28,4,0))</f>
        <v>11</v>
      </c>
      <c r="AM23" s="364">
        <f>AM2*2*1.1</f>
        <v>44</v>
      </c>
      <c r="AN23" s="389">
        <f>IF($C23="","",AM23*VLOOKUP($C23,MINIPELLE!$A$2:$D$28,4,0))</f>
        <v>11</v>
      </c>
    </row>
    <row r="24" spans="1:40" ht="29.25" customHeight="1" x14ac:dyDescent="0.2">
      <c r="A24" s="1629"/>
      <c r="B24" s="384" t="s">
        <v>454</v>
      </c>
      <c r="C24" s="385" t="s">
        <v>455</v>
      </c>
      <c r="D24" s="386" t="s">
        <v>451</v>
      </c>
      <c r="E24" s="387">
        <f>F24*Simulation!$P$10</f>
        <v>88</v>
      </c>
      <c r="F24" s="388">
        <f>SUM(F22:F23)</f>
        <v>1.1000000000000001</v>
      </c>
      <c r="G24" s="387">
        <f>H24*Simulation!$P$10</f>
        <v>132</v>
      </c>
      <c r="H24" s="388">
        <f>SUM(H22:H23)</f>
        <v>1.6500000000000001</v>
      </c>
      <c r="I24" s="387">
        <f>J24*Simulation!$P$10</f>
        <v>176</v>
      </c>
      <c r="J24" s="388">
        <f>SUM(J22:J23)</f>
        <v>2.2000000000000002</v>
      </c>
      <c r="K24" s="387">
        <f>L24*Simulation!$P$10</f>
        <v>220</v>
      </c>
      <c r="L24" s="388">
        <f>SUM(L22:L23)</f>
        <v>2.75</v>
      </c>
      <c r="M24" s="387">
        <f>N24*Simulation!$P$10</f>
        <v>264</v>
      </c>
      <c r="N24" s="388">
        <f>SUM(N22:N23)</f>
        <v>3.3000000000000003</v>
      </c>
      <c r="O24" s="387">
        <f>P24*Simulation!$P$10</f>
        <v>308.00000000000006</v>
      </c>
      <c r="P24" s="388">
        <f>SUM(P22:P23)</f>
        <v>3.8500000000000005</v>
      </c>
      <c r="Q24" s="387">
        <f>R24*Simulation!$P$10</f>
        <v>352</v>
      </c>
      <c r="R24" s="388">
        <f>SUM(R22:R23)</f>
        <v>4.4000000000000004</v>
      </c>
      <c r="S24" s="387">
        <f>T24*Simulation!$P$10</f>
        <v>396</v>
      </c>
      <c r="T24" s="388">
        <f>SUM(T22:T23)</f>
        <v>4.95</v>
      </c>
      <c r="U24" s="387">
        <f>V24*Simulation!$P$10</f>
        <v>440</v>
      </c>
      <c r="V24" s="388">
        <f>SUM(V22:V23)</f>
        <v>5.5</v>
      </c>
      <c r="W24" s="387">
        <f>X24*Simulation!$P$10</f>
        <v>528</v>
      </c>
      <c r="X24" s="388">
        <f>SUM(X22:X23)</f>
        <v>6.6000000000000005</v>
      </c>
      <c r="Y24" s="387">
        <f>Z24*Simulation!$P$10</f>
        <v>528</v>
      </c>
      <c r="Z24" s="388">
        <f>SUM(Z22:Z23)</f>
        <v>6.6000000000000005</v>
      </c>
      <c r="AA24" s="387">
        <f>AB24*Simulation!$P$10</f>
        <v>616.00000000000011</v>
      </c>
      <c r="AB24" s="388">
        <f>SUM(AB22:AB23)</f>
        <v>7.7000000000000011</v>
      </c>
      <c r="AC24" s="387">
        <f>AD24*Simulation!$P$10</f>
        <v>616.00000000000011</v>
      </c>
      <c r="AD24" s="388">
        <f>SUM(AD22:AD23)</f>
        <v>7.7000000000000011</v>
      </c>
      <c r="AE24" s="387">
        <f>AF24*Simulation!$P$10</f>
        <v>704</v>
      </c>
      <c r="AF24" s="388">
        <f>SUM(AF22:AF23)</f>
        <v>8.8000000000000007</v>
      </c>
      <c r="AG24" s="387">
        <f>AH24*Simulation!$P$10</f>
        <v>792</v>
      </c>
      <c r="AH24" s="388">
        <f>SUM(AH22:AH23)</f>
        <v>9.9</v>
      </c>
      <c r="AI24" s="387">
        <f>AJ24*Simulation!$P$10</f>
        <v>792</v>
      </c>
      <c r="AJ24" s="388">
        <f>SUM(AJ22:AJ23)</f>
        <v>9.9</v>
      </c>
      <c r="AK24" s="387">
        <f>AL24*Simulation!$P$10</f>
        <v>880</v>
      </c>
      <c r="AL24" s="388">
        <f>SUM(AL22:AL23)</f>
        <v>11</v>
      </c>
      <c r="AM24" s="387">
        <f>AN24*Simulation!$P$10</f>
        <v>880</v>
      </c>
      <c r="AN24" s="388">
        <f>SUM(AN22:AN23)</f>
        <v>11</v>
      </c>
    </row>
    <row r="25" spans="1:40" x14ac:dyDescent="0.2">
      <c r="A25" s="199"/>
      <c r="B25" s="172"/>
      <c r="C25" s="200"/>
      <c r="D25" s="201"/>
      <c r="E25" s="202"/>
      <c r="F25" s="203"/>
      <c r="G25" s="202"/>
      <c r="H25" s="203"/>
      <c r="I25" s="202"/>
      <c r="J25" s="203"/>
      <c r="K25" s="202"/>
      <c r="L25" s="203"/>
      <c r="M25" s="202"/>
      <c r="N25" s="203"/>
      <c r="O25" s="202"/>
      <c r="P25" s="203"/>
      <c r="Q25" s="202"/>
      <c r="R25" s="203"/>
      <c r="S25" s="202"/>
      <c r="T25" s="203"/>
      <c r="U25" s="202"/>
      <c r="V25" s="203"/>
      <c r="W25" s="202"/>
      <c r="X25" s="203"/>
      <c r="Y25" s="202"/>
      <c r="Z25" s="203"/>
      <c r="AA25" s="202"/>
      <c r="AB25" s="203"/>
      <c r="AC25" s="202"/>
      <c r="AD25" s="203"/>
      <c r="AE25" s="202"/>
      <c r="AF25" s="203"/>
      <c r="AG25" s="202"/>
      <c r="AH25" s="203"/>
      <c r="AI25" s="202"/>
      <c r="AJ25" s="203"/>
      <c r="AK25" s="202"/>
      <c r="AL25" s="203"/>
      <c r="AM25" s="202"/>
      <c r="AN25" s="203"/>
    </row>
    <row r="26" spans="1:40" ht="36" customHeight="1" x14ac:dyDescent="0.2">
      <c r="A26" s="204"/>
      <c r="B26" s="1561" t="s">
        <v>456</v>
      </c>
      <c r="C26" s="1564" t="s">
        <v>445</v>
      </c>
      <c r="D26" s="1564"/>
      <c r="E26" s="1547">
        <f>E24+E21+E16+E11</f>
        <v>697.60088959999996</v>
      </c>
      <c r="F26" s="1547"/>
      <c r="G26" s="1547">
        <f>G24+G21+G16+G11</f>
        <v>933.85596333333342</v>
      </c>
      <c r="H26" s="1547"/>
      <c r="I26" s="1547">
        <f>I24+I21+I16+I11</f>
        <v>1138.5931560000001</v>
      </c>
      <c r="J26" s="1547"/>
      <c r="K26" s="1547">
        <f>K24+K21+K16+K11</f>
        <v>1253.2117523333334</v>
      </c>
      <c r="L26" s="1547"/>
      <c r="M26" s="1547">
        <f>M24+M21+M16+M11</f>
        <v>1348.3303486666669</v>
      </c>
      <c r="N26" s="1547"/>
      <c r="O26" s="1547">
        <f>O24+O21+O16+O11</f>
        <v>1482.4489450000001</v>
      </c>
      <c r="P26" s="1547"/>
      <c r="Q26" s="1547">
        <f>Q24+Q21+Q16+Q11</f>
        <v>1597.0675413333333</v>
      </c>
      <c r="R26" s="1547"/>
      <c r="S26" s="1547">
        <f>S24+S21+S16+S11</f>
        <v>1711.686137666667</v>
      </c>
      <c r="T26" s="1547"/>
      <c r="U26" s="1547">
        <f>U24+U21+U16+U11</f>
        <v>1826.3047340000001</v>
      </c>
      <c r="V26" s="1547"/>
      <c r="W26" s="1547">
        <f>W24+W21+W16+W11</f>
        <v>2035.4569266666667</v>
      </c>
      <c r="X26" s="1547"/>
      <c r="Y26" s="1547">
        <f>Y24+Y21+Y16+Y11</f>
        <v>2117.6091193333336</v>
      </c>
      <c r="Z26" s="1547"/>
      <c r="AA26" s="1547">
        <f>AA24+AA21+AA16+AA11</f>
        <v>2354.8127156666674</v>
      </c>
      <c r="AB26" s="1547"/>
      <c r="AC26" s="1547">
        <f>AC24+AC21+AC16+AC11</f>
        <v>2274.4441193333337</v>
      </c>
      <c r="AD26" s="1547"/>
      <c r="AE26" s="1547">
        <f>AE24+AE21+AE16+AE11</f>
        <v>2513.4313120000006</v>
      </c>
      <c r="AF26" s="1547"/>
      <c r="AG26" s="1547">
        <f>AG24+AG21+AG16+AG11</f>
        <v>2672.0499083333334</v>
      </c>
      <c r="AH26" s="1547"/>
      <c r="AI26" s="1547">
        <f>AI24+AI21+AI16+AI11</f>
        <v>2742.6685046666666</v>
      </c>
      <c r="AJ26" s="1547"/>
      <c r="AK26" s="1547">
        <f>AK24+AK21+AK16+AK11</f>
        <v>2971.9056973333336</v>
      </c>
      <c r="AL26" s="1547"/>
      <c r="AM26" s="1547">
        <f>AM24+AM21+AM16+AM11</f>
        <v>2830.6685046666666</v>
      </c>
      <c r="AN26" s="1547"/>
    </row>
    <row r="27" spans="1:40" ht="18" customHeight="1" x14ac:dyDescent="0.2">
      <c r="A27" s="154"/>
      <c r="B27" s="1562"/>
      <c r="C27" s="1565" t="s">
        <v>457</v>
      </c>
      <c r="D27" s="1565"/>
      <c r="E27" s="149">
        <f>E11-F11</f>
        <v>76.167897600000003</v>
      </c>
      <c r="F27" s="207">
        <f>E27/E$26</f>
        <v>0.10918549379097582</v>
      </c>
      <c r="G27" s="149">
        <f>G11-H11</f>
        <v>108.19753000000003</v>
      </c>
      <c r="H27" s="207">
        <f>G27/G$26</f>
        <v>0.11586104736515954</v>
      </c>
      <c r="I27" s="149">
        <f>I11-J11</f>
        <v>131.58303600000005</v>
      </c>
      <c r="J27" s="207">
        <f>I27/I$26</f>
        <v>0.11556633316000718</v>
      </c>
      <c r="K27" s="149">
        <f>K11-L11</f>
        <v>141.02578900000003</v>
      </c>
      <c r="L27" s="207">
        <f>K27/K$26</f>
        <v>0.11253149257292436</v>
      </c>
      <c r="M27" s="149">
        <f>M11-N11</f>
        <v>145.96854200000001</v>
      </c>
      <c r="N27" s="207">
        <f>M27/M$26</f>
        <v>0.10825873803429922</v>
      </c>
      <c r="O27" s="149">
        <f>O11-P11</f>
        <v>159.911295</v>
      </c>
      <c r="P27" s="207">
        <f>O27/O$26</f>
        <v>0.10786968113765293</v>
      </c>
      <c r="Q27" s="149">
        <f>Q11-R11</f>
        <v>169.35404800000003</v>
      </c>
      <c r="R27" s="207">
        <f>Q27/Q$26</f>
        <v>0.10604062985251865</v>
      </c>
      <c r="S27" s="149">
        <f>S11-T11</f>
        <v>178.79680100000007</v>
      </c>
      <c r="T27" s="207">
        <f>S27/S$26</f>
        <v>0.10445653386182817</v>
      </c>
      <c r="U27" s="149">
        <f>U11-V11</f>
        <v>188.239554</v>
      </c>
      <c r="V27" s="207">
        <f>U27/U$26</f>
        <v>0.10307127309893946</v>
      </c>
      <c r="W27" s="149">
        <f>W11-X11</f>
        <v>202.49006000000008</v>
      </c>
      <c r="X27" s="207">
        <f>W27/W$26</f>
        <v>9.9481378037119497E-2</v>
      </c>
      <c r="Y27" s="149">
        <f>Y11-Z11</f>
        <v>207.74056600000006</v>
      </c>
      <c r="Z27" s="207">
        <f>Y27/Y$26</f>
        <v>9.8101469295429275E-2</v>
      </c>
      <c r="AA27" s="149">
        <f>AA11-AB11</f>
        <v>235.31831900000009</v>
      </c>
      <c r="AB27" s="207">
        <f>AA27/AA$26</f>
        <v>9.9930800200974571E-2</v>
      </c>
      <c r="AC27" s="149">
        <f>AC11-AD11</f>
        <v>223.62556600000005</v>
      </c>
      <c r="AD27" s="207">
        <f>AC27/AC$26</f>
        <v>9.8320976144952429E-2</v>
      </c>
      <c r="AE27" s="149">
        <f>AE11-AF11</f>
        <v>244.76107200000013</v>
      </c>
      <c r="AF27" s="207">
        <f>AE27/AE$26</f>
        <v>9.7381245642729569E-2</v>
      </c>
      <c r="AG27" s="149">
        <f>AG11-AH11</f>
        <v>254.20382500000017</v>
      </c>
      <c r="AH27" s="207">
        <f>AG27/AG$26</f>
        <v>9.5134385105313191E-2</v>
      </c>
      <c r="AI27" s="149">
        <f>AI11-AJ11</f>
        <v>263.64657800000009</v>
      </c>
      <c r="AJ27" s="207">
        <f>AI27/AI$26</f>
        <v>9.6127759352398548E-2</v>
      </c>
      <c r="AK27" s="149">
        <f>AK11-AL11</f>
        <v>282.53208400000005</v>
      </c>
      <c r="AL27" s="207">
        <f>AK27/AK$26</f>
        <v>9.5067647756627599E-2</v>
      </c>
      <c r="AM27" s="149">
        <f>AM11-AN11</f>
        <v>263.64657800000009</v>
      </c>
      <c r="AN27" s="207">
        <f>AM27/AM$26</f>
        <v>9.3139333540946195E-2</v>
      </c>
    </row>
    <row r="28" spans="1:40" ht="18" customHeight="1" x14ac:dyDescent="0.2">
      <c r="A28" s="154"/>
      <c r="B28" s="1562"/>
      <c r="C28" s="1565" t="s">
        <v>9</v>
      </c>
      <c r="D28" s="1565"/>
      <c r="E28" s="149">
        <f>E11</f>
        <v>330.0608896</v>
      </c>
      <c r="F28" s="207">
        <f>E28/E$26</f>
        <v>0.47313713976089516</v>
      </c>
      <c r="G28" s="149">
        <f>G11</f>
        <v>468.85596333333336</v>
      </c>
      <c r="H28" s="207">
        <f>G28/G$26</f>
        <v>0.50206453858235789</v>
      </c>
      <c r="I28" s="149">
        <f>I11</f>
        <v>570.19315600000004</v>
      </c>
      <c r="J28" s="207">
        <f>I28/I$26</f>
        <v>0.50078744369336436</v>
      </c>
      <c r="K28" s="149">
        <f>K11</f>
        <v>611.11175233333336</v>
      </c>
      <c r="L28" s="207">
        <f>K28/K$26</f>
        <v>0.4876364678160055</v>
      </c>
      <c r="M28" s="149">
        <f>M11</f>
        <v>632.53034866666667</v>
      </c>
      <c r="N28" s="207">
        <f>M28/M$26</f>
        <v>0.4691211981486299</v>
      </c>
      <c r="O28" s="149">
        <f>O11</f>
        <v>692.94894499999998</v>
      </c>
      <c r="P28" s="207">
        <f>O28/O$26</f>
        <v>0.46743528492982939</v>
      </c>
      <c r="Q28" s="149">
        <f>Q11</f>
        <v>733.86754133333341</v>
      </c>
      <c r="R28" s="207">
        <f>Q28/Q$26</f>
        <v>0.45950939602758079</v>
      </c>
      <c r="S28" s="149">
        <f>S11</f>
        <v>774.78613766666683</v>
      </c>
      <c r="T28" s="207">
        <f>S28/S$26</f>
        <v>0.45264498006792198</v>
      </c>
      <c r="U28" s="149">
        <f>U11</f>
        <v>815.70473399999992</v>
      </c>
      <c r="V28" s="207">
        <f>U28/U$26</f>
        <v>0.44664218342873763</v>
      </c>
      <c r="W28" s="149">
        <f>W11</f>
        <v>877.45692666666685</v>
      </c>
      <c r="X28" s="207">
        <f>W28/W$26</f>
        <v>0.43108597149418437</v>
      </c>
      <c r="Y28" s="149">
        <f>Y11</f>
        <v>900.20911933333343</v>
      </c>
      <c r="Z28" s="207">
        <f>Y28/Y$26</f>
        <v>0.4251063669468601</v>
      </c>
      <c r="AA28" s="149">
        <f>AA11</f>
        <v>1019.7127156666669</v>
      </c>
      <c r="AB28" s="207">
        <f>AA28/AA$26</f>
        <v>0.43303346753755645</v>
      </c>
      <c r="AC28" s="149">
        <f>AC11</f>
        <v>969.04411933333347</v>
      </c>
      <c r="AD28" s="207">
        <f>AC28/AC$26</f>
        <v>0.42605756329479383</v>
      </c>
      <c r="AE28" s="149">
        <f>AE11</f>
        <v>1060.6313120000002</v>
      </c>
      <c r="AF28" s="207">
        <f>AE28/AE$26</f>
        <v>0.42198539778516131</v>
      </c>
      <c r="AG28" s="149">
        <f>AG11</f>
        <v>1101.5499083333336</v>
      </c>
      <c r="AH28" s="207">
        <f>AG28/AG$26</f>
        <v>0.41224900212302368</v>
      </c>
      <c r="AI28" s="149">
        <f>AI11</f>
        <v>1142.4685046666668</v>
      </c>
      <c r="AJ28" s="207">
        <f>AI28/AI$26</f>
        <v>0.41655362386039357</v>
      </c>
      <c r="AK28" s="149">
        <f>AK11</f>
        <v>1224.3056973333335</v>
      </c>
      <c r="AL28" s="207">
        <f>AK28/AK$26</f>
        <v>0.4119598069453862</v>
      </c>
      <c r="AM28" s="149">
        <f>AM11</f>
        <v>1142.4685046666668</v>
      </c>
      <c r="AN28" s="207">
        <f>AM28/AM$26</f>
        <v>0.40360377867743347</v>
      </c>
    </row>
    <row r="29" spans="1:40" ht="18" customHeight="1" x14ac:dyDescent="0.2">
      <c r="A29" s="154"/>
      <c r="B29" s="1562"/>
      <c r="C29" s="1565" t="s">
        <v>458</v>
      </c>
      <c r="D29" s="1565"/>
      <c r="E29" s="149">
        <f>E16</f>
        <v>153.26999999999998</v>
      </c>
      <c r="F29" s="207">
        <f>E29/E$26</f>
        <v>0.21971015559897589</v>
      </c>
      <c r="G29" s="149">
        <f>G16</f>
        <v>180</v>
      </c>
      <c r="H29" s="207">
        <f>G29/G$26</f>
        <v>0.19274921087134531</v>
      </c>
      <c r="I29" s="149">
        <f>I16</f>
        <v>209.70000000000002</v>
      </c>
      <c r="J29" s="207">
        <f>I29/I$26</f>
        <v>0.18417465351425316</v>
      </c>
      <c r="K29" s="149">
        <f>K16</f>
        <v>224.55000000000004</v>
      </c>
      <c r="L29" s="207">
        <f>K29/K$26</f>
        <v>0.17917961556130818</v>
      </c>
      <c r="M29" s="149">
        <f>M16</f>
        <v>239.4</v>
      </c>
      <c r="N29" s="207">
        <f>M29/M$26</f>
        <v>0.17755292702321593</v>
      </c>
      <c r="O29" s="149">
        <f>O16</f>
        <v>254.25000000000003</v>
      </c>
      <c r="P29" s="207">
        <f>O29/O$26</f>
        <v>0.17150674959669523</v>
      </c>
      <c r="Q29" s="149">
        <f>Q16</f>
        <v>269.10000000000008</v>
      </c>
      <c r="R29" s="207">
        <f>Q29/Q$26</f>
        <v>0.16849631780465485</v>
      </c>
      <c r="S29" s="149">
        <f>S16</f>
        <v>283.95000000000005</v>
      </c>
      <c r="T29" s="207">
        <f>S29/S$26</f>
        <v>0.1658890574337854</v>
      </c>
      <c r="U29" s="149">
        <f>U16</f>
        <v>298.80000000000007</v>
      </c>
      <c r="V29" s="207">
        <f>U29/U$26</f>
        <v>0.16360905956015556</v>
      </c>
      <c r="W29" s="149">
        <f>W16</f>
        <v>328.50000000000006</v>
      </c>
      <c r="X29" s="207">
        <f>W29/W$26</f>
        <v>0.16138882414867053</v>
      </c>
      <c r="Y29" s="149">
        <f>Y16</f>
        <v>358.2000000000001</v>
      </c>
      <c r="Z29" s="207">
        <f>Y29/Y$26</f>
        <v>0.16915303052376765</v>
      </c>
      <c r="AA29" s="149">
        <f>AA16</f>
        <v>373.05000000000007</v>
      </c>
      <c r="AB29" s="207">
        <f>AA29/AA$26</f>
        <v>0.15842024188084378</v>
      </c>
      <c r="AC29" s="149">
        <f>AC16</f>
        <v>358.2000000000001</v>
      </c>
      <c r="AD29" s="207">
        <f>AC29/AC$26</f>
        <v>0.15748903081645846</v>
      </c>
      <c r="AE29" s="149">
        <f>AE16</f>
        <v>387.90000000000003</v>
      </c>
      <c r="AF29" s="207">
        <f>AE29/AE$26</f>
        <v>0.15433085366129948</v>
      </c>
      <c r="AG29" s="149">
        <f>AG16</f>
        <v>402.75000000000006</v>
      </c>
      <c r="AH29" s="207">
        <f>AG29/AG$26</f>
        <v>0.15072697510025615</v>
      </c>
      <c r="AI29" s="149">
        <f>AI16</f>
        <v>417.6</v>
      </c>
      <c r="AJ29" s="207">
        <f>AI29/AI$26</f>
        <v>0.1522604716134856</v>
      </c>
      <c r="AK29" s="149">
        <f>AK16</f>
        <v>447.29999999999995</v>
      </c>
      <c r="AL29" s="207">
        <f>AK29/AK$26</f>
        <v>0.15050948635461703</v>
      </c>
      <c r="AM29" s="149">
        <f>AM16</f>
        <v>417.6</v>
      </c>
      <c r="AN29" s="207">
        <f>AM29/AM$26</f>
        <v>0.14752698852286686</v>
      </c>
    </row>
    <row r="30" spans="1:40" ht="18" customHeight="1" x14ac:dyDescent="0.2">
      <c r="A30" s="154"/>
      <c r="B30" s="1562"/>
      <c r="C30" s="1565" t="s">
        <v>459</v>
      </c>
      <c r="D30" s="1565"/>
      <c r="E30" s="149">
        <f>E21</f>
        <v>126.27</v>
      </c>
      <c r="F30" s="207">
        <f>E30/E$26</f>
        <v>0.18100607651518683</v>
      </c>
      <c r="G30" s="149">
        <f>G21</f>
        <v>153.00000000000003</v>
      </c>
      <c r="H30" s="207">
        <f>G30/G$26</f>
        <v>0.16383682924064355</v>
      </c>
      <c r="I30" s="149">
        <f>I21</f>
        <v>182.70000000000002</v>
      </c>
      <c r="J30" s="207">
        <f>I30/I$26</f>
        <v>0.16046117881284716</v>
      </c>
      <c r="K30" s="149">
        <f>K21</f>
        <v>197.55</v>
      </c>
      <c r="L30" s="207">
        <f>K30/K$26</f>
        <v>0.15763497240764385</v>
      </c>
      <c r="M30" s="149">
        <f>M21</f>
        <v>212.40000000000003</v>
      </c>
      <c r="N30" s="207">
        <f>M30/M$26</f>
        <v>0.15752816081759011</v>
      </c>
      <c r="O30" s="149">
        <f>O21</f>
        <v>227.25000000000003</v>
      </c>
      <c r="P30" s="207">
        <f>O30/O$26</f>
        <v>0.15329364344483379</v>
      </c>
      <c r="Q30" s="149">
        <f>Q21</f>
        <v>242.10000000000002</v>
      </c>
      <c r="R30" s="207">
        <f>Q30/Q$26</f>
        <v>0.15159033274064262</v>
      </c>
      <c r="S30" s="149">
        <f>S21</f>
        <v>256.95000000000005</v>
      </c>
      <c r="T30" s="207">
        <f>S30/S$26</f>
        <v>0.1501151375510166</v>
      </c>
      <c r="U30" s="149">
        <f>U21</f>
        <v>271.80000000000007</v>
      </c>
      <c r="V30" s="207">
        <f>U30/U$26</f>
        <v>0.14882510839508126</v>
      </c>
      <c r="W30" s="149">
        <f>W21</f>
        <v>301.5</v>
      </c>
      <c r="X30" s="207">
        <f>W30/W$26</f>
        <v>0.14812398928713594</v>
      </c>
      <c r="Y30" s="149">
        <f>Y21</f>
        <v>331.20000000000005</v>
      </c>
      <c r="Z30" s="207">
        <f>Y30/Y$26</f>
        <v>0.15640280209232785</v>
      </c>
      <c r="AA30" s="149">
        <f>AA21</f>
        <v>346.05</v>
      </c>
      <c r="AB30" s="207">
        <f>AA30/AA$26</f>
        <v>0.14695436188946787</v>
      </c>
      <c r="AC30" s="149">
        <f>AC21</f>
        <v>331.20000000000005</v>
      </c>
      <c r="AD30" s="207">
        <f>AC30/AC$26</f>
        <v>0.14561799834285605</v>
      </c>
      <c r="AE30" s="149">
        <f>AE21</f>
        <v>360.90000000000003</v>
      </c>
      <c r="AF30" s="207">
        <f>AE30/AE$26</f>
        <v>0.14358856686352922</v>
      </c>
      <c r="AG30" s="149">
        <f>AG21</f>
        <v>375.75000000000006</v>
      </c>
      <c r="AH30" s="207">
        <f>AG30/AG$26</f>
        <v>0.1406223734175574</v>
      </c>
      <c r="AI30" s="149">
        <f>AI21</f>
        <v>390.59999999999997</v>
      </c>
      <c r="AJ30" s="207">
        <f>AI30/AI$26</f>
        <v>0.14241604456951024</v>
      </c>
      <c r="AK30" s="149">
        <f>AK21</f>
        <v>420.30000000000007</v>
      </c>
      <c r="AL30" s="207">
        <f>AK30/AK$26</f>
        <v>0.14142440669538464</v>
      </c>
      <c r="AM30" s="149">
        <f>AM21</f>
        <v>390.59999999999997</v>
      </c>
      <c r="AN30" s="207">
        <f>AM30/AM$26</f>
        <v>0.13798860564423321</v>
      </c>
    </row>
    <row r="31" spans="1:40" ht="18" customHeight="1" x14ac:dyDescent="0.2">
      <c r="A31" s="154"/>
      <c r="B31" s="1563"/>
      <c r="C31" s="1565" t="s">
        <v>5</v>
      </c>
      <c r="D31" s="1565"/>
      <c r="E31" s="149">
        <f>E24</f>
        <v>88</v>
      </c>
      <c r="F31" s="207">
        <f>E31/E$26</f>
        <v>0.12614662812494212</v>
      </c>
      <c r="G31" s="149">
        <f>G24</f>
        <v>132</v>
      </c>
      <c r="H31" s="207">
        <f>G31/G$26</f>
        <v>0.14134942130565323</v>
      </c>
      <c r="I31" s="149">
        <f>I24</f>
        <v>176</v>
      </c>
      <c r="J31" s="207">
        <f>I31/I$26</f>
        <v>0.15457672397953531</v>
      </c>
      <c r="K31" s="149">
        <f>K24</f>
        <v>220</v>
      </c>
      <c r="L31" s="207">
        <f>K31/K$26</f>
        <v>0.1755489442150425</v>
      </c>
      <c r="M31" s="149">
        <f>M24</f>
        <v>264</v>
      </c>
      <c r="N31" s="207">
        <f>M31/M$26</f>
        <v>0.19579771401056395</v>
      </c>
      <c r="O31" s="149">
        <f>O24</f>
        <v>308.00000000000006</v>
      </c>
      <c r="P31" s="207">
        <f>O31/O$26</f>
        <v>0.20776432202864162</v>
      </c>
      <c r="Q31" s="149">
        <f>Q24</f>
        <v>352</v>
      </c>
      <c r="R31" s="207">
        <f>Q31/Q$26</f>
        <v>0.22040395342712185</v>
      </c>
      <c r="S31" s="149">
        <f>S24</f>
        <v>396</v>
      </c>
      <c r="T31" s="207">
        <f>S31/S$26</f>
        <v>0.23135082494727596</v>
      </c>
      <c r="U31" s="149">
        <f>U24</f>
        <v>440</v>
      </c>
      <c r="V31" s="207">
        <f>U31/U$26</f>
        <v>0.24092364861602553</v>
      </c>
      <c r="W31" s="149">
        <f>W24</f>
        <v>528</v>
      </c>
      <c r="X31" s="207">
        <f>W31/W$26</f>
        <v>0.25940121507000924</v>
      </c>
      <c r="Y31" s="149">
        <f>Y24</f>
        <v>528</v>
      </c>
      <c r="Z31" s="207">
        <f>Y31/Y$26</f>
        <v>0.24933780043704437</v>
      </c>
      <c r="AA31" s="149">
        <f>AA24</f>
        <v>616.00000000000011</v>
      </c>
      <c r="AB31" s="207">
        <f>AA31/AA$26</f>
        <v>0.26159192869213183</v>
      </c>
      <c r="AC31" s="149">
        <f>AC24</f>
        <v>616.00000000000011</v>
      </c>
      <c r="AD31" s="207">
        <f>AC31/AC$26</f>
        <v>0.27083540754589169</v>
      </c>
      <c r="AE31" s="149">
        <f>AE24</f>
        <v>704</v>
      </c>
      <c r="AF31" s="207">
        <f>AE31/AE$26</f>
        <v>0.28009518169000985</v>
      </c>
      <c r="AG31" s="149">
        <f>AG24</f>
        <v>792</v>
      </c>
      <c r="AH31" s="207">
        <f>AG31/AG$26</f>
        <v>0.29640164935916286</v>
      </c>
      <c r="AI31" s="149">
        <f>AI24</f>
        <v>792</v>
      </c>
      <c r="AJ31" s="207">
        <f>AI31/AI$26</f>
        <v>0.28876985995661064</v>
      </c>
      <c r="AK31" s="149">
        <f>AK24</f>
        <v>880</v>
      </c>
      <c r="AL31" s="207">
        <f>AK31/AK$26</f>
        <v>0.29610630000461208</v>
      </c>
      <c r="AM31" s="149">
        <f>AM24</f>
        <v>880</v>
      </c>
      <c r="AN31" s="207">
        <f>AM31/AM$26</f>
        <v>0.31088062715546655</v>
      </c>
    </row>
    <row r="32" spans="1:40" x14ac:dyDescent="0.2">
      <c r="A32" s="154"/>
      <c r="B32" s="172"/>
      <c r="C32" s="154"/>
      <c r="D32" s="227"/>
      <c r="E32" s="154"/>
      <c r="F32" s="154"/>
      <c r="G32" s="154"/>
      <c r="H32" s="154"/>
      <c r="I32" s="154"/>
      <c r="J32" s="154"/>
      <c r="K32" s="154"/>
      <c r="L32" s="154"/>
      <c r="M32" s="154"/>
      <c r="N32" s="154"/>
      <c r="O32" s="154"/>
      <c r="P32" s="154"/>
      <c r="Q32" s="228"/>
      <c r="R32" s="229"/>
      <c r="S32" s="154"/>
      <c r="T32" s="230"/>
      <c r="U32" s="154"/>
      <c r="V32" s="154"/>
      <c r="W32" s="154"/>
      <c r="X32" s="154"/>
      <c r="Y32" s="154"/>
      <c r="Z32" s="154"/>
      <c r="AA32" s="154"/>
      <c r="AB32" s="154"/>
      <c r="AC32" s="154"/>
      <c r="AD32" s="154"/>
      <c r="AE32" s="154"/>
      <c r="AF32" s="154"/>
      <c r="AG32" s="154"/>
      <c r="AH32" s="154"/>
      <c r="AI32" s="154"/>
      <c r="AJ32" s="154"/>
      <c r="AK32" s="154"/>
      <c r="AL32" s="154"/>
      <c r="AM32" s="154"/>
      <c r="AN32" s="154"/>
    </row>
    <row r="33" spans="1:40" x14ac:dyDescent="0.2">
      <c r="A33" s="154"/>
      <c r="B33" s="172"/>
      <c r="C33" s="154"/>
      <c r="D33" s="227"/>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4"/>
      <c r="AC33" s="154"/>
      <c r="AD33" s="154"/>
      <c r="AE33" s="154"/>
      <c r="AF33" s="154"/>
      <c r="AG33" s="154"/>
      <c r="AH33" s="154"/>
      <c r="AI33" s="154"/>
      <c r="AJ33" s="154"/>
      <c r="AK33" s="154"/>
      <c r="AL33" s="154"/>
      <c r="AM33" s="154"/>
      <c r="AN33" s="154"/>
    </row>
    <row r="34" spans="1:40" ht="36" x14ac:dyDescent="0.2">
      <c r="A34" s="154"/>
      <c r="B34" s="1375" t="s">
        <v>1462</v>
      </c>
      <c r="C34" s="1568" t="s">
        <v>1463</v>
      </c>
      <c r="D34" s="1569"/>
      <c r="E34" s="149">
        <f>(VLOOKUP("Prix HT",$C$1:$N$34,E$1,0))-(VLOOKUP("Non margé",$D$1:$N$34,E$1,0))</f>
        <v>443.70789759999997</v>
      </c>
      <c r="F34" s="207">
        <f>E34/VLOOKUP("Prix HT",$C$1:$N$34,E$1,0)</f>
        <v>0.63604835403008064</v>
      </c>
      <c r="G34" s="149">
        <f>(VLOOKUP("Prix HT",$C$1:$N$34,G$1,0))-(VLOOKUP("Non margé",$D$1:$N$34,G$1,0))</f>
        <v>573.19753000000014</v>
      </c>
      <c r="H34" s="207">
        <f>G34/VLOOKUP("Prix HT",$C$1:$N$34,G$1,0)</f>
        <v>0.61379650878280168</v>
      </c>
      <c r="I34" s="149">
        <f>(VLOOKUP("Prix HT",$C$1:$N$34,I$1,0))-(VLOOKUP("Non margé",$D$1:$N$34,I$1,0))</f>
        <v>699.98303600000008</v>
      </c>
      <c r="J34" s="207">
        <f>I34/VLOOKUP("Prix HT",$C$1:$N$34,I$1,0)</f>
        <v>0.61477888946664283</v>
      </c>
      <c r="K34" s="149">
        <f>(VLOOKUP("Prix HT",$C$1:$N$34,K$1,0))-(VLOOKUP("Non margé",$D$1:$N$34,K$1,0))</f>
        <v>783.12578900000005</v>
      </c>
      <c r="L34" s="207">
        <f>K34/VLOOKUP("Prix HT",$C$1:$N$34,K$1,0)</f>
        <v>0.62489502475691883</v>
      </c>
      <c r="M34" s="149">
        <f>(VLOOKUP("Prix HT",$C$1:$N$34,M$1,0))-(VLOOKUP("Non margé",$D$1:$N$34,M$1,0))</f>
        <v>861.76854200000025</v>
      </c>
      <c r="N34" s="207">
        <f>M34/VLOOKUP("Prix HT",$C$1:$N$34,M$1,0)</f>
        <v>0.63913753988566935</v>
      </c>
      <c r="O34" s="149">
        <f>(VLOOKUP("Prix HT",$C$1:$AM$34,O$1,0))-(VLOOKUP("Non margé",$D$1:$AM$34,O$1,0))</f>
        <v>949.41129500000011</v>
      </c>
      <c r="P34" s="207">
        <f>O34/VLOOKUP("Prix HT",$C$1:$AM$34,O$1,0)</f>
        <v>0.64043439620782361</v>
      </c>
      <c r="Q34" s="149">
        <f>(VLOOKUP("Prix HT",$C$1:$AM$34,Q$1,0))-(VLOOKUP("Non margé",$D$1:$AM$34,Q$1,0))</f>
        <v>1032.554048</v>
      </c>
      <c r="R34" s="207">
        <f>Q34/VLOOKUP("Prix HT",$C$1:$AM$34,Q$1,0)</f>
        <v>0.64653123382493782</v>
      </c>
      <c r="S34" s="149">
        <f>(VLOOKUP("Prix HT",$C$1:$AM$34,S$1,0))-(VLOOKUP("Non margé",$D$1:$AM$34,S$1,0))</f>
        <v>1115.6968010000003</v>
      </c>
      <c r="T34" s="207">
        <f>S34/VLOOKUP("Prix HT",$C$1:$AM$34,S$1,0)</f>
        <v>0.65181155379390621</v>
      </c>
      <c r="U34" s="149">
        <f>(VLOOKUP("Prix HT",$C$1:$AM$34,U$1,0))-(VLOOKUP("Non margé",$D$1:$AM$34,U$1,0))</f>
        <v>1198.8395540000001</v>
      </c>
      <c r="V34" s="207">
        <f>U34/VLOOKUP("Prix HT",$C$1:$AM$34,U$1,0)</f>
        <v>0.65642908967020186</v>
      </c>
      <c r="W34" s="149">
        <f>(VLOOKUP("Prix HT",$C$1:$AM$34,W$1,0))-(VLOOKUP("Non margé",$D$1:$AM$34,W$1,0))</f>
        <v>1360.4900600000001</v>
      </c>
      <c r="X34" s="207">
        <f>W34/VLOOKUP("Prix HT",$C$1:$AM$34,W$1,0)</f>
        <v>0.66839540654293517</v>
      </c>
      <c r="Y34" s="149">
        <f>(VLOOKUP("Prix HT",$C$1:$AM$34,Y$1,0))-(VLOOKUP("Non margé",$D$1:$AM$34,Y$1,0))</f>
        <v>1425.1405660000003</v>
      </c>
      <c r="Z34" s="207">
        <f>Y34/VLOOKUP("Prix HT",$C$1:$AM$34,Y$1,0)</f>
        <v>0.67299510234856919</v>
      </c>
      <c r="AA34" s="149">
        <f>(VLOOKUP("Prix HT",$C$1:$AM$34,AA$1,0))-(VLOOKUP("Non margé",$D$1:$AM$34,AA$1,0))</f>
        <v>1570.4183190000006</v>
      </c>
      <c r="AB34" s="207">
        <f>AA34/VLOOKUP("Prix HT",$C$1:$AM$34,AA$1,0)</f>
        <v>0.66689733266341811</v>
      </c>
      <c r="AC34" s="149">
        <f>(VLOOKUP("Prix HT",$C$1:$AM$34,AC$1,0))-(VLOOKUP("Non margé",$D$1:$AM$34,AC$1,0))</f>
        <v>1529.0255660000003</v>
      </c>
      <c r="AD34" s="207">
        <f>AC34/VLOOKUP("Prix HT",$C$1:$AM$34,AC$1,0)</f>
        <v>0.67226341285015856</v>
      </c>
      <c r="AE34" s="149">
        <f>(VLOOKUP("Prix HT",$C$1:$AM$34,AE$1,0))-(VLOOKUP("Non margé",$D$1:$AM$34,AE$1,0))</f>
        <v>1697.5610720000004</v>
      </c>
      <c r="AF34" s="207">
        <f>AE34/VLOOKUP("Prix HT",$C$1:$AM$34,AE$1,0)</f>
        <v>0.67539584785756823</v>
      </c>
      <c r="AG34" s="149">
        <f>(VLOOKUP("Prix HT",$C$1:$AM$34,AG$1,0))-(VLOOKUP("Non margé",$D$1:$AM$34,AG$1,0))</f>
        <v>1824.7038250000001</v>
      </c>
      <c r="AH34" s="207">
        <f>AG34/VLOOKUP("Prix HT",$C$1:$AM$34,AG$1,0)</f>
        <v>0.68288538298228951</v>
      </c>
      <c r="AI34" s="149">
        <f>(VLOOKUP("Prix HT",$C$1:$AM$34,AI$1,0))-(VLOOKUP("Non margé",$D$1:$AM$34,AI$1,0))</f>
        <v>1863.8465779999999</v>
      </c>
      <c r="AJ34" s="207">
        <f>AI34/VLOOKUP("Prix HT",$C$1:$AM$34,AI$1,0)</f>
        <v>0.67957413549200496</v>
      </c>
      <c r="AK34" s="149">
        <f>(VLOOKUP("Prix HT",$C$1:$AM$34,AK$1,0))-(VLOOKUP("Non margé",$D$1:$AM$34,AK$1,0))</f>
        <v>2030.1320840000003</v>
      </c>
      <c r="AL34" s="207">
        <f>AK34/VLOOKUP("Prix HT",$C$1:$AM$34,AK$1,0)</f>
        <v>0.68310784081124143</v>
      </c>
      <c r="AM34" s="149" t="e">
        <f>(VLOOKUP("Prix HT",$C$1:$AM$34,AM$1,0))-(VLOOKUP("Non margé",$D$1:$AM$34,AM$1,0))</f>
        <v>#REF!</v>
      </c>
      <c r="AN34" s="207" t="e">
        <f>AM34/VLOOKUP("Prix HT",$C$1:$AM$34,AM$1,0)</f>
        <v>#REF!</v>
      </c>
    </row>
    <row r="35" spans="1:40" x14ac:dyDescent="0.2">
      <c r="AN35" s="135"/>
    </row>
    <row r="36" spans="1:40" x14ac:dyDescent="0.2">
      <c r="AN36" s="135"/>
    </row>
    <row r="38" spans="1:40" x14ac:dyDescent="0.2">
      <c r="AN38" s="135"/>
    </row>
    <row r="39" spans="1:40" x14ac:dyDescent="0.2">
      <c r="AN39" s="135"/>
    </row>
    <row r="40" spans="1:40" x14ac:dyDescent="0.2">
      <c r="AN40" s="135"/>
    </row>
    <row r="41" spans="1:40" x14ac:dyDescent="0.2">
      <c r="AN41" s="135"/>
    </row>
    <row r="42" spans="1:40" x14ac:dyDescent="0.2">
      <c r="AN42" s="135"/>
    </row>
  </sheetData>
  <mergeCells count="43">
    <mergeCell ref="C34:D34"/>
    <mergeCell ref="AE2:AF2"/>
    <mergeCell ref="B2:B3"/>
    <mergeCell ref="C2:C3"/>
    <mergeCell ref="E2:F2"/>
    <mergeCell ref="G2:H2"/>
    <mergeCell ref="I2:J2"/>
    <mergeCell ref="K2:L2"/>
    <mergeCell ref="M2:N2"/>
    <mergeCell ref="O2:P2"/>
    <mergeCell ref="Q2:R2"/>
    <mergeCell ref="S2:T2"/>
    <mergeCell ref="U2:V2"/>
    <mergeCell ref="C29:D29"/>
    <mergeCell ref="C30:D30"/>
    <mergeCell ref="A4:A10"/>
    <mergeCell ref="A12:A16"/>
    <mergeCell ref="A17:A21"/>
    <mergeCell ref="A22:A24"/>
    <mergeCell ref="B26:B31"/>
    <mergeCell ref="AK26:AL26"/>
    <mergeCell ref="Q26:R26"/>
    <mergeCell ref="S26:T26"/>
    <mergeCell ref="U26:V26"/>
    <mergeCell ref="W26:X26"/>
    <mergeCell ref="Y26:Z26"/>
    <mergeCell ref="AA26:AB26"/>
    <mergeCell ref="AM26:AN26"/>
    <mergeCell ref="AM2:AN2"/>
    <mergeCell ref="C31:D31"/>
    <mergeCell ref="AC26:AD26"/>
    <mergeCell ref="AE26:AF26"/>
    <mergeCell ref="AG26:AH26"/>
    <mergeCell ref="AI26:AJ26"/>
    <mergeCell ref="E26:F26"/>
    <mergeCell ref="G26:H26"/>
    <mergeCell ref="I26:J26"/>
    <mergeCell ref="K26:L26"/>
    <mergeCell ref="M26:N26"/>
    <mergeCell ref="O26:P26"/>
    <mergeCell ref="C26:D26"/>
    <mergeCell ref="C27:D27"/>
    <mergeCell ref="C28:D28"/>
  </mergeCells>
  <dataValidations count="8">
    <dataValidation type="list" allowBlank="1" showInputMessage="1" showErrorMessage="1" promptTitle="Catégorie MOC" prompt="choisir" sqref="B17:B20" xr:uid="{00000000-0002-0000-1800-000000000000}">
      <formula1>CATEGORIE_MOC</formula1>
    </dataValidation>
    <dataValidation type="list" allowBlank="1" showInputMessage="1" promptTitle="Main d'oeuvre CHANTIER" prompt="choisir la prestation" sqref="C17:C20" xr:uid="{00000000-0002-0000-1800-000001000000}">
      <formula1>INDIRECT(B17)</formula1>
    </dataValidation>
    <dataValidation type="list" allowBlank="1" showInputMessage="1" showErrorMessage="1" promptTitle="MO ATELIER" prompt="choisir catégorie" sqref="B12:B15" xr:uid="{00000000-0002-0000-1800-000002000000}">
      <formula1>CATEGORIE_MOA</formula1>
    </dataValidation>
    <dataValidation type="list" allowBlank="1" showInputMessage="1" showErrorMessage="1" promptTitle="Main d'oeuvre ATELIER" prompt="choisir la prestation" sqref="C12:C15" xr:uid="{00000000-0002-0000-1800-000003000000}">
      <formula1>INDIRECT(B12)</formula1>
    </dataValidation>
    <dataValidation type="list" allowBlank="1" showInputMessage="1" showErrorMessage="1" promptTitle="MATIERES" prompt="choisir le produit" sqref="C4:C10" xr:uid="{00000000-0002-0000-1800-000005000000}">
      <formula1>INDIRECT(B4)</formula1>
    </dataValidation>
    <dataValidation type="list" allowBlank="1" showInputMessage="1" showErrorMessage="1" promptTitle="MINIPELLE" prompt="choisir catégorie" sqref="B22:B23" xr:uid="{00000000-0002-0000-1800-000006000000}">
      <formula1>CATEGORIE_MP</formula1>
    </dataValidation>
    <dataValidation type="list" allowBlank="1" showInputMessage="1" promptTitle="MINIPELLE" prompt="choisir la prestation" sqref="C22:C23" xr:uid="{00000000-0002-0000-1800-000007000000}">
      <formula1>INDIRECT(B22)</formula1>
    </dataValidation>
    <dataValidation type="list" allowBlank="1" showInputMessage="1" showErrorMessage="1" promptTitle="MATIERES" prompt="choisir catégorie" sqref="B4:B10" xr:uid="{150644C7-573C-4ED4-8AE8-0008CD0EDF06}">
      <formula1>MA_CATEGORIE</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published="0" codeName="Feuil26"/>
  <dimension ref="A1:AP71"/>
  <sheetViews>
    <sheetView topLeftCell="AE1" workbookViewId="0">
      <selection activeCell="AM2" sqref="AM2:AN2"/>
    </sheetView>
  </sheetViews>
  <sheetFormatPr baseColWidth="10" defaultRowHeight="18" x14ac:dyDescent="0.2"/>
  <cols>
    <col min="1" max="1" width="18.125" style="210" customWidth="1"/>
    <col min="2" max="2" width="22.5" style="233"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40" width="10" style="135" customWidth="1"/>
    <col min="41" max="42" width="11.5" style="135" customWidth="1"/>
    <col min="43" max="810" width="11.5" customWidth="1"/>
  </cols>
  <sheetData>
    <row r="1" spans="1:42"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s="535" t="s">
        <v>467</v>
      </c>
      <c r="AO1" s="535"/>
      <c r="AP1" s="535"/>
    </row>
    <row r="2" spans="1:42" ht="35.1" customHeight="1" x14ac:dyDescent="0.2">
      <c r="A2" s="174"/>
      <c r="B2" s="1572" t="s">
        <v>965</v>
      </c>
      <c r="C2" s="1574" t="s">
        <v>468</v>
      </c>
      <c r="D2" s="115" t="s">
        <v>203</v>
      </c>
      <c r="E2" s="1571">
        <v>2</v>
      </c>
      <c r="F2" s="1571"/>
      <c r="G2" s="1571">
        <v>3</v>
      </c>
      <c r="H2" s="1571"/>
      <c r="I2" s="1571">
        <v>4</v>
      </c>
      <c r="J2" s="1571"/>
      <c r="K2" s="1571">
        <v>5</v>
      </c>
      <c r="L2" s="1571"/>
      <c r="M2" s="1571">
        <v>6</v>
      </c>
      <c r="N2" s="1571"/>
      <c r="O2" s="1571">
        <v>7</v>
      </c>
      <c r="P2" s="1571"/>
      <c r="Q2" s="1571">
        <v>8</v>
      </c>
      <c r="R2" s="1571"/>
      <c r="S2" s="1571">
        <v>9</v>
      </c>
      <c r="T2" s="1571"/>
      <c r="U2" s="1571">
        <v>10</v>
      </c>
      <c r="V2" s="1571"/>
      <c r="W2" s="218">
        <v>12</v>
      </c>
      <c r="X2" s="213" t="s">
        <v>469</v>
      </c>
      <c r="Y2" s="213">
        <v>12</v>
      </c>
      <c r="Z2" s="214" t="s">
        <v>470</v>
      </c>
      <c r="AA2" s="218">
        <v>14</v>
      </c>
      <c r="AB2" s="213" t="s">
        <v>471</v>
      </c>
      <c r="AC2" s="218">
        <v>14</v>
      </c>
      <c r="AD2" s="213" t="s">
        <v>472</v>
      </c>
      <c r="AE2" s="1571">
        <v>16</v>
      </c>
      <c r="AF2" s="1571"/>
      <c r="AG2" s="218">
        <v>18</v>
      </c>
      <c r="AH2" s="213" t="s">
        <v>473</v>
      </c>
      <c r="AI2" s="218">
        <v>18</v>
      </c>
      <c r="AJ2" s="213" t="s">
        <v>474</v>
      </c>
      <c r="AK2" s="218">
        <v>20</v>
      </c>
      <c r="AL2" s="213" t="s">
        <v>475</v>
      </c>
      <c r="AM2" s="218">
        <v>20</v>
      </c>
      <c r="AN2" s="1376" t="s">
        <v>476</v>
      </c>
      <c r="AO2" s="178"/>
      <c r="AP2" s="178"/>
    </row>
    <row r="3" spans="1:42" ht="35.1" customHeight="1" x14ac:dyDescent="0.2">
      <c r="A3" s="174"/>
      <c r="B3" s="1573"/>
      <c r="C3" s="1574"/>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1380" t="s">
        <v>477</v>
      </c>
      <c r="AO3" s="178"/>
      <c r="AP3" s="178"/>
    </row>
    <row r="4" spans="1:42" ht="15" customHeight="1" x14ac:dyDescent="0.2">
      <c r="A4" s="1549" t="s">
        <v>1078</v>
      </c>
      <c r="B4" s="361" t="s">
        <v>1065</v>
      </c>
      <c r="C4" s="362" t="s">
        <v>857</v>
      </c>
      <c r="D4" s="363" t="str">
        <f>IF($C4="","",VLOOKUP($C4,MATIERES!$A$2:$F$227,5,0))</f>
        <v>pc</v>
      </c>
      <c r="E4" s="364">
        <v>1</v>
      </c>
      <c r="F4" s="365">
        <f>IF($C4="","",E4*VLOOKUP($C4,MATIERES!$A$2:$F$349,4,0))</f>
        <v>2.8</v>
      </c>
      <c r="G4" s="364">
        <v>2</v>
      </c>
      <c r="H4" s="365">
        <f>IF($C4="","",G4*VLOOKUP($C4,MATIERES!$A$2:$F$349,4,0))</f>
        <v>5.6</v>
      </c>
      <c r="I4" s="364">
        <v>3</v>
      </c>
      <c r="J4" s="365">
        <f>IF($C4="","",I4*VLOOKUP($C4,MATIERES!$A$2:$F$349,4,0))</f>
        <v>8.3999999999999986</v>
      </c>
      <c r="K4" s="364">
        <v>4</v>
      </c>
      <c r="L4" s="365">
        <f>IF($C4="","",K4*VLOOKUP($C4,MATIERES!$A$2:$F$349,4,0))</f>
        <v>11.2</v>
      </c>
      <c r="M4" s="364">
        <v>5</v>
      </c>
      <c r="N4" s="365">
        <f>IF($C4="","",M4*VLOOKUP($C4,MATIERES!$A$2:$F$349,4,0))</f>
        <v>14</v>
      </c>
      <c r="O4" s="364">
        <v>6</v>
      </c>
      <c r="P4" s="365">
        <f>IF($C4="","",O4*VLOOKUP($C4,MATIERES!$A$2:$F$349,4,0))</f>
        <v>16.799999999999997</v>
      </c>
      <c r="Q4" s="364">
        <v>7</v>
      </c>
      <c r="R4" s="365">
        <f>IF($C4="","",Q4*VLOOKUP($C4,MATIERES!$A$2:$F$349,4,0))</f>
        <v>19.599999999999998</v>
      </c>
      <c r="S4" s="364">
        <v>8</v>
      </c>
      <c r="T4" s="365">
        <f>IF($C4="","",S4*VLOOKUP($C4,MATIERES!$A$2:$F$349,4,0))</f>
        <v>22.4</v>
      </c>
      <c r="U4" s="364">
        <v>9</v>
      </c>
      <c r="V4" s="365">
        <f>IF($C4="","",U4*VLOOKUP($C4,MATIERES!$A$2:$F$349,4,0))</f>
        <v>25.2</v>
      </c>
      <c r="W4" s="364">
        <v>10</v>
      </c>
      <c r="X4" s="365">
        <f>IF($C4="","",W4*VLOOKUP($C4,MATIERES!$A$2:$F$349,4,0))</f>
        <v>28</v>
      </c>
      <c r="Y4" s="364">
        <v>11</v>
      </c>
      <c r="Z4" s="365">
        <f>IF($C4="","",Y4*VLOOKUP($C4,MATIERES!$A$2:$F$349,4,0))</f>
        <v>30.799999999999997</v>
      </c>
      <c r="AA4" s="364">
        <v>12</v>
      </c>
      <c r="AB4" s="365">
        <f>IF($C4="","",AA4*VLOOKUP($C4,MATIERES!$A$2:$F$349,4,0))</f>
        <v>33.599999999999994</v>
      </c>
      <c r="AC4" s="364">
        <v>13</v>
      </c>
      <c r="AD4" s="365">
        <f>IF($C4="","",AC4*VLOOKUP($C4,MATIERES!$A$2:$F$349,4,0))</f>
        <v>36.4</v>
      </c>
      <c r="AE4" s="364">
        <v>14</v>
      </c>
      <c r="AF4" s="365">
        <f>IF($C4="","",AE4*VLOOKUP($C4,MATIERES!$A$2:$F$349,4,0))</f>
        <v>39.199999999999996</v>
      </c>
      <c r="AG4" s="364">
        <v>15</v>
      </c>
      <c r="AH4" s="365">
        <f>IF($C4="","",AG4*VLOOKUP($C4,MATIERES!$A$2:$F$349,4,0))</f>
        <v>42</v>
      </c>
      <c r="AI4" s="364">
        <v>16</v>
      </c>
      <c r="AJ4" s="365">
        <f>IF($C4="","",AI4*VLOOKUP($C4,MATIERES!$A$2:$F$349,4,0))</f>
        <v>44.8</v>
      </c>
      <c r="AK4" s="364">
        <v>17</v>
      </c>
      <c r="AL4" s="365">
        <f>IF($C4="","",AK4*VLOOKUP($C4,MATIERES!$A$2:$F$349,4,0))</f>
        <v>47.599999999999994</v>
      </c>
      <c r="AM4" s="364">
        <v>17</v>
      </c>
      <c r="AN4" s="365">
        <f>IF($C4="","",AM4*VLOOKUP($C4,MATIERES!$A$2:$F$349,4,0))</f>
        <v>47.599999999999994</v>
      </c>
    </row>
    <row r="5" spans="1:42" ht="15" customHeight="1" x14ac:dyDescent="0.2">
      <c r="A5" s="1550"/>
      <c r="B5" s="361"/>
      <c r="C5" s="362"/>
      <c r="D5" s="363" t="str">
        <f>IF($C5="","",VLOOKUP($C5,MATIERES!$A$2:$F$227,5,0))</f>
        <v/>
      </c>
      <c r="E5" s="364">
        <v>2</v>
      </c>
      <c r="F5" s="365" t="str">
        <f>IF($C5="","",E5*VLOOKUP($C5,MATIERES!$A$2:$F$349,4,0))</f>
        <v/>
      </c>
      <c r="G5" s="364">
        <v>3</v>
      </c>
      <c r="H5" s="365" t="str">
        <f>IF($C5="","",G5*VLOOKUP($C5,MATIERES!$A$2:$F$349,4,0))</f>
        <v/>
      </c>
      <c r="I5" s="364">
        <v>4</v>
      </c>
      <c r="J5" s="365" t="str">
        <f>IF($C5="","",I5*VLOOKUP($C5,MATIERES!$A$2:$F$349,4,0))</f>
        <v/>
      </c>
      <c r="K5" s="364">
        <v>5</v>
      </c>
      <c r="L5" s="365" t="str">
        <f>IF($C5="","",K5*VLOOKUP($C5,MATIERES!$A$2:$F$349,4,0))</f>
        <v/>
      </c>
      <c r="M5" s="364">
        <v>6</v>
      </c>
      <c r="N5" s="365" t="str">
        <f>IF($C5="","",M5*VLOOKUP($C5,MATIERES!$A$2:$F$349,4,0))</f>
        <v/>
      </c>
      <c r="O5" s="364">
        <v>7</v>
      </c>
      <c r="P5" s="365" t="str">
        <f>IF($C5="","",O5*VLOOKUP($C5,MATIERES!$A$2:$F$349,4,0))</f>
        <v/>
      </c>
      <c r="Q5" s="364">
        <v>8</v>
      </c>
      <c r="R5" s="365" t="str">
        <f>IF($C5="","",Q5*VLOOKUP($C5,MATIERES!$A$2:$F$349,4,0))</f>
        <v/>
      </c>
      <c r="S5" s="364">
        <v>9</v>
      </c>
      <c r="T5" s="365" t="str">
        <f>IF($C5="","",S5*VLOOKUP($C5,MATIERES!$A$2:$F$349,4,0))</f>
        <v/>
      </c>
      <c r="U5" s="364">
        <v>10</v>
      </c>
      <c r="V5" s="365" t="str">
        <f>IF($C5="","",U5*VLOOKUP($C5,MATIERES!$A$2:$F$349,4,0))</f>
        <v/>
      </c>
      <c r="W5" s="364">
        <v>11</v>
      </c>
      <c r="X5" s="365" t="str">
        <f>IF($C5="","",W5*VLOOKUP($C5,MATIERES!$A$2:$F$349,4,0))</f>
        <v/>
      </c>
      <c r="Y5" s="364">
        <v>12</v>
      </c>
      <c r="Z5" s="365" t="str">
        <f>IF($C5="","",Y5*VLOOKUP($C5,MATIERES!$A$2:$F$349,4,0))</f>
        <v/>
      </c>
      <c r="AA5" s="364">
        <v>13</v>
      </c>
      <c r="AB5" s="365" t="str">
        <f>IF($C5="","",AA5*VLOOKUP($C5,MATIERES!$A$2:$F$349,4,0))</f>
        <v/>
      </c>
      <c r="AC5" s="364">
        <v>14</v>
      </c>
      <c r="AD5" s="365" t="str">
        <f>IF($C5="","",AC5*VLOOKUP($C5,MATIERES!$A$2:$F$349,4,0))</f>
        <v/>
      </c>
      <c r="AE5" s="364">
        <v>15</v>
      </c>
      <c r="AF5" s="365" t="str">
        <f>IF($C5="","",AE5*VLOOKUP($C5,MATIERES!$A$2:$F$349,4,0))</f>
        <v/>
      </c>
      <c r="AG5" s="364">
        <v>16</v>
      </c>
      <c r="AH5" s="365" t="str">
        <f>IF($C5="","",AG5*VLOOKUP($C5,MATIERES!$A$2:$F$349,4,0))</f>
        <v/>
      </c>
      <c r="AI5" s="364">
        <v>17</v>
      </c>
      <c r="AJ5" s="365" t="str">
        <f>IF($C5="","",AI5*VLOOKUP($C5,MATIERES!$A$2:$F$349,4,0))</f>
        <v/>
      </c>
      <c r="AK5" s="364">
        <v>18</v>
      </c>
      <c r="AL5" s="365" t="str">
        <f>IF($C5="","",AK5*VLOOKUP($C5,MATIERES!$A$2:$F$349,4,0))</f>
        <v/>
      </c>
      <c r="AM5" s="364">
        <v>18</v>
      </c>
      <c r="AN5" s="365" t="str">
        <f>IF($C5="","",AM5*VLOOKUP($C5,MATIERES!$A$2:$F$349,4,0))</f>
        <v/>
      </c>
    </row>
    <row r="6" spans="1:42" ht="15" customHeight="1" x14ac:dyDescent="0.2">
      <c r="A6" s="1550"/>
      <c r="B6" s="361"/>
      <c r="C6" s="362"/>
      <c r="D6" s="363" t="str">
        <f>IF($C6="","",VLOOKUP($C6,MATIERES!$A$2:$F$227,5,0))</f>
        <v/>
      </c>
      <c r="E6" s="364">
        <v>3</v>
      </c>
      <c r="F6" s="365" t="str">
        <f>IF($C6="","",E6*VLOOKUP($C6,MATIERES!$A$2:$F$349,4,0))</f>
        <v/>
      </c>
      <c r="G6" s="364">
        <v>4</v>
      </c>
      <c r="H6" s="365" t="str">
        <f>IF($C6="","",G6*VLOOKUP($C6,MATIERES!$A$2:$F$349,4,0))</f>
        <v/>
      </c>
      <c r="I6" s="364">
        <v>5</v>
      </c>
      <c r="J6" s="365" t="str">
        <f>IF($C6="","",I6*VLOOKUP($C6,MATIERES!$A$2:$F$349,4,0))</f>
        <v/>
      </c>
      <c r="K6" s="364">
        <v>6</v>
      </c>
      <c r="L6" s="365" t="str">
        <f>IF($C6="","",K6*VLOOKUP($C6,MATIERES!$A$2:$F$349,4,0))</f>
        <v/>
      </c>
      <c r="M6" s="364">
        <v>7</v>
      </c>
      <c r="N6" s="365" t="str">
        <f>IF($C6="","",M6*VLOOKUP($C6,MATIERES!$A$2:$F$349,4,0))</f>
        <v/>
      </c>
      <c r="O6" s="364">
        <v>8</v>
      </c>
      <c r="P6" s="365" t="str">
        <f>IF($C6="","",O6*VLOOKUP($C6,MATIERES!$A$2:$F$349,4,0))</f>
        <v/>
      </c>
      <c r="Q6" s="364">
        <v>9</v>
      </c>
      <c r="R6" s="365" t="str">
        <f>IF($C6="","",Q6*VLOOKUP($C6,MATIERES!$A$2:$F$349,4,0))</f>
        <v/>
      </c>
      <c r="S6" s="364">
        <v>10</v>
      </c>
      <c r="T6" s="365" t="str">
        <f>IF($C6="","",S6*VLOOKUP($C6,MATIERES!$A$2:$F$349,4,0))</f>
        <v/>
      </c>
      <c r="U6" s="364">
        <v>11</v>
      </c>
      <c r="V6" s="365" t="str">
        <f>IF($C6="","",U6*VLOOKUP($C6,MATIERES!$A$2:$F$349,4,0))</f>
        <v/>
      </c>
      <c r="W6" s="364">
        <v>12</v>
      </c>
      <c r="X6" s="365" t="str">
        <f>IF($C6="","",W6*VLOOKUP($C6,MATIERES!$A$2:$F$349,4,0))</f>
        <v/>
      </c>
      <c r="Y6" s="364">
        <v>13</v>
      </c>
      <c r="Z6" s="365" t="str">
        <f>IF($C6="","",Y6*VLOOKUP($C6,MATIERES!$A$2:$F$349,4,0))</f>
        <v/>
      </c>
      <c r="AA6" s="364">
        <v>14</v>
      </c>
      <c r="AB6" s="365" t="str">
        <f>IF($C6="","",AA6*VLOOKUP($C6,MATIERES!$A$2:$F$349,4,0))</f>
        <v/>
      </c>
      <c r="AC6" s="364">
        <v>15</v>
      </c>
      <c r="AD6" s="365" t="str">
        <f>IF($C6="","",AC6*VLOOKUP($C6,MATIERES!$A$2:$F$349,4,0))</f>
        <v/>
      </c>
      <c r="AE6" s="364">
        <v>16</v>
      </c>
      <c r="AF6" s="365" t="str">
        <f>IF($C6="","",AE6*VLOOKUP($C6,MATIERES!$A$2:$F$349,4,0))</f>
        <v/>
      </c>
      <c r="AG6" s="364">
        <v>17</v>
      </c>
      <c r="AH6" s="365" t="str">
        <f>IF($C6="","",AG6*VLOOKUP($C6,MATIERES!$A$2:$F$349,4,0))</f>
        <v/>
      </c>
      <c r="AI6" s="364">
        <v>18</v>
      </c>
      <c r="AJ6" s="365" t="str">
        <f>IF($C6="","",AI6*VLOOKUP($C6,MATIERES!$A$2:$F$349,4,0))</f>
        <v/>
      </c>
      <c r="AK6" s="364">
        <v>19</v>
      </c>
      <c r="AL6" s="365" t="str">
        <f>IF($C6="","",AK6*VLOOKUP($C6,MATIERES!$A$2:$F$349,4,0))</f>
        <v/>
      </c>
      <c r="AM6" s="364">
        <v>19</v>
      </c>
      <c r="AN6" s="365" t="str">
        <f>IF($C6="","",AM6*VLOOKUP($C6,MATIERES!$A$2:$F$349,4,0))</f>
        <v/>
      </c>
    </row>
    <row r="7" spans="1:42" ht="15" customHeight="1" x14ac:dyDescent="0.2">
      <c r="A7" s="1550"/>
      <c r="B7" s="361"/>
      <c r="C7" s="362"/>
      <c r="D7" s="363" t="str">
        <f>IF($C7="","",VLOOKUP($C7,MATIERES!$A$2:$F$227,5,0))</f>
        <v/>
      </c>
      <c r="E7" s="364">
        <v>4</v>
      </c>
      <c r="F7" s="365" t="str">
        <f>IF($C7="","",E7*VLOOKUP($C7,MATIERES!$A$2:$F$349,4,0))</f>
        <v/>
      </c>
      <c r="G7" s="364">
        <v>5</v>
      </c>
      <c r="H7" s="365" t="str">
        <f>IF($C7="","",G7*VLOOKUP($C7,MATIERES!$A$2:$F$349,4,0))</f>
        <v/>
      </c>
      <c r="I7" s="364">
        <v>6</v>
      </c>
      <c r="J7" s="365" t="str">
        <f>IF($C7="","",I7*VLOOKUP($C7,MATIERES!$A$2:$F$349,4,0))</f>
        <v/>
      </c>
      <c r="K7" s="364">
        <v>7</v>
      </c>
      <c r="L7" s="365" t="str">
        <f>IF($C7="","",K7*VLOOKUP($C7,MATIERES!$A$2:$F$349,4,0))</f>
        <v/>
      </c>
      <c r="M7" s="364">
        <v>8</v>
      </c>
      <c r="N7" s="365" t="str">
        <f>IF($C7="","",M7*VLOOKUP($C7,MATIERES!$A$2:$F$349,4,0))</f>
        <v/>
      </c>
      <c r="O7" s="364">
        <v>9</v>
      </c>
      <c r="P7" s="365" t="str">
        <f>IF($C7="","",O7*VLOOKUP($C7,MATIERES!$A$2:$F$349,4,0))</f>
        <v/>
      </c>
      <c r="Q7" s="364">
        <v>10</v>
      </c>
      <c r="R7" s="365" t="str">
        <f>IF($C7="","",Q7*VLOOKUP($C7,MATIERES!$A$2:$F$349,4,0))</f>
        <v/>
      </c>
      <c r="S7" s="364">
        <v>11</v>
      </c>
      <c r="T7" s="365" t="str">
        <f>IF($C7="","",S7*VLOOKUP($C7,MATIERES!$A$2:$F$349,4,0))</f>
        <v/>
      </c>
      <c r="U7" s="364">
        <v>12</v>
      </c>
      <c r="V7" s="365" t="str">
        <f>IF($C7="","",U7*VLOOKUP($C7,MATIERES!$A$2:$F$349,4,0))</f>
        <v/>
      </c>
      <c r="W7" s="364">
        <v>13</v>
      </c>
      <c r="X7" s="365" t="str">
        <f>IF($C7="","",W7*VLOOKUP($C7,MATIERES!$A$2:$F$349,4,0))</f>
        <v/>
      </c>
      <c r="Y7" s="364">
        <v>14</v>
      </c>
      <c r="Z7" s="365" t="str">
        <f>IF($C7="","",Y7*VLOOKUP($C7,MATIERES!$A$2:$F$349,4,0))</f>
        <v/>
      </c>
      <c r="AA7" s="364">
        <v>15</v>
      </c>
      <c r="AB7" s="365" t="str">
        <f>IF($C7="","",AA7*VLOOKUP($C7,MATIERES!$A$2:$F$349,4,0))</f>
        <v/>
      </c>
      <c r="AC7" s="364">
        <v>16</v>
      </c>
      <c r="AD7" s="365" t="str">
        <f>IF($C7="","",AC7*VLOOKUP($C7,MATIERES!$A$2:$F$349,4,0))</f>
        <v/>
      </c>
      <c r="AE7" s="364">
        <v>17</v>
      </c>
      <c r="AF7" s="365" t="str">
        <f>IF($C7="","",AE7*VLOOKUP($C7,MATIERES!$A$2:$F$349,4,0))</f>
        <v/>
      </c>
      <c r="AG7" s="364">
        <v>18</v>
      </c>
      <c r="AH7" s="365" t="str">
        <f>IF($C7="","",AG7*VLOOKUP($C7,MATIERES!$A$2:$F$349,4,0))</f>
        <v/>
      </c>
      <c r="AI7" s="364">
        <v>19</v>
      </c>
      <c r="AJ7" s="365" t="str">
        <f>IF($C7="","",AI7*VLOOKUP($C7,MATIERES!$A$2:$F$349,4,0))</f>
        <v/>
      </c>
      <c r="AK7" s="364">
        <v>20</v>
      </c>
      <c r="AL7" s="365" t="str">
        <f>IF($C7="","",AK7*VLOOKUP($C7,MATIERES!$A$2:$F$349,4,0))</f>
        <v/>
      </c>
      <c r="AM7" s="364">
        <v>20</v>
      </c>
      <c r="AN7" s="365" t="str">
        <f>IF($C7="","",AM7*VLOOKUP($C7,MATIERES!$A$2:$F$349,4,0))</f>
        <v/>
      </c>
    </row>
    <row r="8" spans="1:42" ht="15" customHeight="1" x14ac:dyDescent="0.2">
      <c r="A8" s="1550"/>
      <c r="B8" s="361"/>
      <c r="C8" s="362"/>
      <c r="D8" s="363" t="str">
        <f>IF($C8="","",VLOOKUP($C8,MATIERES!$A$2:$F$227,5,0))</f>
        <v/>
      </c>
      <c r="E8" s="364">
        <v>5</v>
      </c>
      <c r="F8" s="365" t="str">
        <f>IF($C8="","",E8*VLOOKUP($C8,MATIERES!$A$2:$F$349,4,0))</f>
        <v/>
      </c>
      <c r="G8" s="364">
        <v>6</v>
      </c>
      <c r="H8" s="365" t="str">
        <f>IF($C8="","",G8*VLOOKUP($C8,MATIERES!$A$2:$F$349,4,0))</f>
        <v/>
      </c>
      <c r="I8" s="364">
        <v>7</v>
      </c>
      <c r="J8" s="365" t="str">
        <f>IF($C8="","",I8*VLOOKUP($C8,MATIERES!$A$2:$F$349,4,0))</f>
        <v/>
      </c>
      <c r="K8" s="364">
        <v>8</v>
      </c>
      <c r="L8" s="365" t="str">
        <f>IF($C8="","",K8*VLOOKUP($C8,MATIERES!$A$2:$F$349,4,0))</f>
        <v/>
      </c>
      <c r="M8" s="364">
        <v>9</v>
      </c>
      <c r="N8" s="365" t="str">
        <f>IF($C8="","",M8*VLOOKUP($C8,MATIERES!$A$2:$F$349,4,0))</f>
        <v/>
      </c>
      <c r="O8" s="364">
        <v>10</v>
      </c>
      <c r="P8" s="365" t="str">
        <f>IF($C8="","",O8*VLOOKUP($C8,MATIERES!$A$2:$F$349,4,0))</f>
        <v/>
      </c>
      <c r="Q8" s="364">
        <v>11</v>
      </c>
      <c r="R8" s="365" t="str">
        <f>IF($C8="","",Q8*VLOOKUP($C8,MATIERES!$A$2:$F$349,4,0))</f>
        <v/>
      </c>
      <c r="S8" s="364">
        <v>12</v>
      </c>
      <c r="T8" s="365" t="str">
        <f>IF($C8="","",S8*VLOOKUP($C8,MATIERES!$A$2:$F$349,4,0))</f>
        <v/>
      </c>
      <c r="U8" s="364">
        <v>13</v>
      </c>
      <c r="V8" s="365" t="str">
        <f>IF($C8="","",U8*VLOOKUP($C8,MATIERES!$A$2:$F$349,4,0))</f>
        <v/>
      </c>
      <c r="W8" s="364">
        <v>14</v>
      </c>
      <c r="X8" s="365" t="str">
        <f>IF($C8="","",W8*VLOOKUP($C8,MATIERES!$A$2:$F$349,4,0))</f>
        <v/>
      </c>
      <c r="Y8" s="364">
        <v>15</v>
      </c>
      <c r="Z8" s="365" t="str">
        <f>IF($C8="","",Y8*VLOOKUP($C8,MATIERES!$A$2:$F$349,4,0))</f>
        <v/>
      </c>
      <c r="AA8" s="364">
        <v>16</v>
      </c>
      <c r="AB8" s="365" t="str">
        <f>IF($C8="","",AA8*VLOOKUP($C8,MATIERES!$A$2:$F$349,4,0))</f>
        <v/>
      </c>
      <c r="AC8" s="364">
        <v>17</v>
      </c>
      <c r="AD8" s="365" t="str">
        <f>IF($C8="","",AC8*VLOOKUP($C8,MATIERES!$A$2:$F$349,4,0))</f>
        <v/>
      </c>
      <c r="AE8" s="364">
        <v>18</v>
      </c>
      <c r="AF8" s="365" t="str">
        <f>IF($C8="","",AE8*VLOOKUP($C8,MATIERES!$A$2:$F$349,4,0))</f>
        <v/>
      </c>
      <c r="AG8" s="364">
        <v>19</v>
      </c>
      <c r="AH8" s="365" t="str">
        <f>IF($C8="","",AG8*VLOOKUP($C8,MATIERES!$A$2:$F$349,4,0))</f>
        <v/>
      </c>
      <c r="AI8" s="364">
        <v>20</v>
      </c>
      <c r="AJ8" s="365" t="str">
        <f>IF($C8="","",AI8*VLOOKUP($C8,MATIERES!$A$2:$F$349,4,0))</f>
        <v/>
      </c>
      <c r="AK8" s="364">
        <v>21</v>
      </c>
      <c r="AL8" s="365" t="str">
        <f>IF($C8="","",AK8*VLOOKUP($C8,MATIERES!$A$2:$F$349,4,0))</f>
        <v/>
      </c>
      <c r="AM8" s="364">
        <v>21</v>
      </c>
      <c r="AN8" s="365" t="str">
        <f>IF($C8="","",AM8*VLOOKUP($C8,MATIERES!$A$2:$F$349,4,0))</f>
        <v/>
      </c>
    </row>
    <row r="9" spans="1:42" ht="15" customHeight="1" x14ac:dyDescent="0.2">
      <c r="A9" s="1550"/>
      <c r="B9" s="361"/>
      <c r="C9" s="362"/>
      <c r="D9" s="363" t="str">
        <f>IF($C9="","",VLOOKUP($C9,MATIERES!$A$2:$F$227,5,0))</f>
        <v/>
      </c>
      <c r="E9" s="364">
        <v>6</v>
      </c>
      <c r="F9" s="365" t="str">
        <f>IF($C9="","",E9*VLOOKUP($C9,MATIERES!$A$2:$F$349,4,0))</f>
        <v/>
      </c>
      <c r="G9" s="364">
        <v>7</v>
      </c>
      <c r="H9" s="365" t="str">
        <f>IF($C9="","",G9*VLOOKUP($C9,MATIERES!$A$2:$F$349,4,0))</f>
        <v/>
      </c>
      <c r="I9" s="364">
        <v>8</v>
      </c>
      <c r="J9" s="365" t="str">
        <f>IF($C9="","",I9*VLOOKUP($C9,MATIERES!$A$2:$F$349,4,0))</f>
        <v/>
      </c>
      <c r="K9" s="364">
        <v>9</v>
      </c>
      <c r="L9" s="365" t="str">
        <f>IF($C9="","",K9*VLOOKUP($C9,MATIERES!$A$2:$F$349,4,0))</f>
        <v/>
      </c>
      <c r="M9" s="364">
        <v>10</v>
      </c>
      <c r="N9" s="365" t="str">
        <f>IF($C9="","",M9*VLOOKUP($C9,MATIERES!$A$2:$F$349,4,0))</f>
        <v/>
      </c>
      <c r="O9" s="364">
        <v>11</v>
      </c>
      <c r="P9" s="365" t="str">
        <f>IF($C9="","",O9*VLOOKUP($C9,MATIERES!$A$2:$F$349,4,0))</f>
        <v/>
      </c>
      <c r="Q9" s="364">
        <v>12</v>
      </c>
      <c r="R9" s="365" t="str">
        <f>IF($C9="","",Q9*VLOOKUP($C9,MATIERES!$A$2:$F$349,4,0))</f>
        <v/>
      </c>
      <c r="S9" s="364">
        <v>13</v>
      </c>
      <c r="T9" s="365" t="str">
        <f>IF($C9="","",S9*VLOOKUP($C9,MATIERES!$A$2:$F$349,4,0))</f>
        <v/>
      </c>
      <c r="U9" s="364">
        <v>14</v>
      </c>
      <c r="V9" s="365" t="str">
        <f>IF($C9="","",U9*VLOOKUP($C9,MATIERES!$A$2:$F$349,4,0))</f>
        <v/>
      </c>
      <c r="W9" s="364">
        <v>15</v>
      </c>
      <c r="X9" s="365" t="str">
        <f>IF($C9="","",W9*VLOOKUP($C9,MATIERES!$A$2:$F$349,4,0))</f>
        <v/>
      </c>
      <c r="Y9" s="364">
        <v>16</v>
      </c>
      <c r="Z9" s="365" t="str">
        <f>IF($C9="","",Y9*VLOOKUP($C9,MATIERES!$A$2:$F$349,4,0))</f>
        <v/>
      </c>
      <c r="AA9" s="364">
        <v>17</v>
      </c>
      <c r="AB9" s="365" t="str">
        <f>IF($C9="","",AA9*VLOOKUP($C9,MATIERES!$A$2:$F$349,4,0))</f>
        <v/>
      </c>
      <c r="AC9" s="364">
        <v>18</v>
      </c>
      <c r="AD9" s="365" t="str">
        <f>IF($C9="","",AC9*VLOOKUP($C9,MATIERES!$A$2:$F$349,4,0))</f>
        <v/>
      </c>
      <c r="AE9" s="364">
        <v>19</v>
      </c>
      <c r="AF9" s="365" t="str">
        <f>IF($C9="","",AE9*VLOOKUP($C9,MATIERES!$A$2:$F$349,4,0))</f>
        <v/>
      </c>
      <c r="AG9" s="364">
        <v>20</v>
      </c>
      <c r="AH9" s="365" t="str">
        <f>IF($C9="","",AG9*VLOOKUP($C9,MATIERES!$A$2:$F$349,4,0))</f>
        <v/>
      </c>
      <c r="AI9" s="364">
        <v>21</v>
      </c>
      <c r="AJ9" s="365" t="str">
        <f>IF($C9="","",AI9*VLOOKUP($C9,MATIERES!$A$2:$F$349,4,0))</f>
        <v/>
      </c>
      <c r="AK9" s="364">
        <v>22</v>
      </c>
      <c r="AL9" s="365" t="str">
        <f>IF($C9="","",AK9*VLOOKUP($C9,MATIERES!$A$2:$F$349,4,0))</f>
        <v/>
      </c>
      <c r="AM9" s="364">
        <v>22</v>
      </c>
      <c r="AN9" s="365" t="str">
        <f>IF($C9="","",AM9*VLOOKUP($C9,MATIERES!$A$2:$F$349,4,0))</f>
        <v/>
      </c>
    </row>
    <row r="10" spans="1:42" ht="15" customHeight="1" x14ac:dyDescent="0.2">
      <c r="A10" s="1550"/>
      <c r="B10" s="361"/>
      <c r="C10" s="362"/>
      <c r="D10" s="363" t="str">
        <f>IF($C10="","",VLOOKUP($C10,MATIERES!$A$2:$F$227,5,0))</f>
        <v/>
      </c>
      <c r="E10" s="364">
        <v>7</v>
      </c>
      <c r="F10" s="365" t="str">
        <f>IF($C10="","",E10*VLOOKUP($C10,MATIERES!$A$2:$F$349,4,0))</f>
        <v/>
      </c>
      <c r="G10" s="364">
        <v>8</v>
      </c>
      <c r="H10" s="365" t="str">
        <f>IF($C10="","",G10*VLOOKUP($C10,MATIERES!$A$2:$F$349,4,0))</f>
        <v/>
      </c>
      <c r="I10" s="364">
        <v>9</v>
      </c>
      <c r="J10" s="365" t="str">
        <f>IF($C10="","",I10*VLOOKUP($C10,MATIERES!$A$2:$F$349,4,0))</f>
        <v/>
      </c>
      <c r="K10" s="364">
        <v>10</v>
      </c>
      <c r="L10" s="365" t="str">
        <f>IF($C10="","",K10*VLOOKUP($C10,MATIERES!$A$2:$F$349,4,0))</f>
        <v/>
      </c>
      <c r="M10" s="364">
        <v>11</v>
      </c>
      <c r="N10" s="365" t="str">
        <f>IF($C10="","",M10*VLOOKUP($C10,MATIERES!$A$2:$F$349,4,0))</f>
        <v/>
      </c>
      <c r="O10" s="364">
        <v>12</v>
      </c>
      <c r="P10" s="365" t="str">
        <f>IF($C10="","",O10*VLOOKUP($C10,MATIERES!$A$2:$F$349,4,0))</f>
        <v/>
      </c>
      <c r="Q10" s="364">
        <v>13</v>
      </c>
      <c r="R10" s="365" t="str">
        <f>IF($C10="","",Q10*VLOOKUP($C10,MATIERES!$A$2:$F$349,4,0))</f>
        <v/>
      </c>
      <c r="S10" s="364">
        <v>14</v>
      </c>
      <c r="T10" s="365" t="str">
        <f>IF($C10="","",S10*VLOOKUP($C10,MATIERES!$A$2:$F$349,4,0))</f>
        <v/>
      </c>
      <c r="U10" s="364">
        <v>15</v>
      </c>
      <c r="V10" s="365" t="str">
        <f>IF($C10="","",U10*VLOOKUP($C10,MATIERES!$A$2:$F$349,4,0))</f>
        <v/>
      </c>
      <c r="W10" s="364">
        <v>16</v>
      </c>
      <c r="X10" s="365" t="str">
        <f>IF($C10="","",W10*VLOOKUP($C10,MATIERES!$A$2:$F$349,4,0))</f>
        <v/>
      </c>
      <c r="Y10" s="364">
        <v>17</v>
      </c>
      <c r="Z10" s="365" t="str">
        <f>IF($C10="","",Y10*VLOOKUP($C10,MATIERES!$A$2:$F$349,4,0))</f>
        <v/>
      </c>
      <c r="AA10" s="364">
        <v>18</v>
      </c>
      <c r="AB10" s="365" t="str">
        <f>IF($C10="","",AA10*VLOOKUP($C10,MATIERES!$A$2:$F$349,4,0))</f>
        <v/>
      </c>
      <c r="AC10" s="364">
        <v>19</v>
      </c>
      <c r="AD10" s="365" t="str">
        <f>IF($C10="","",AC10*VLOOKUP($C10,MATIERES!$A$2:$F$349,4,0))</f>
        <v/>
      </c>
      <c r="AE10" s="364">
        <v>20</v>
      </c>
      <c r="AF10" s="365" t="str">
        <f>IF($C10="","",AE10*VLOOKUP($C10,MATIERES!$A$2:$F$349,4,0))</f>
        <v/>
      </c>
      <c r="AG10" s="364">
        <v>21</v>
      </c>
      <c r="AH10" s="365" t="str">
        <f>IF($C10="","",AG10*VLOOKUP($C10,MATIERES!$A$2:$F$349,4,0))</f>
        <v/>
      </c>
      <c r="AI10" s="364">
        <v>22</v>
      </c>
      <c r="AJ10" s="365" t="str">
        <f>IF($C10="","",AI10*VLOOKUP($C10,MATIERES!$A$2:$F$349,4,0))</f>
        <v/>
      </c>
      <c r="AK10" s="364">
        <v>23</v>
      </c>
      <c r="AL10" s="365" t="str">
        <f>IF($C10="","",AK10*VLOOKUP($C10,MATIERES!$A$2:$F$349,4,0))</f>
        <v/>
      </c>
      <c r="AM10" s="364">
        <v>23</v>
      </c>
      <c r="AN10" s="365" t="str">
        <f>IF($C10="","",AM10*VLOOKUP($C10,MATIERES!$A$2:$F$349,4,0))</f>
        <v/>
      </c>
    </row>
    <row r="11" spans="1:42" ht="15" customHeight="1" x14ac:dyDescent="0.2">
      <c r="A11" s="1550"/>
      <c r="B11" s="361"/>
      <c r="C11" s="362"/>
      <c r="D11" s="363" t="str">
        <f>IF($C11="","",VLOOKUP($C11,MATIERES!$A$2:$F$227,5,0))</f>
        <v/>
      </c>
      <c r="E11" s="364">
        <v>8</v>
      </c>
      <c r="F11" s="365" t="str">
        <f>IF($C11="","",E11*VLOOKUP($C11,MATIERES!$A$2:$F$349,4,0))</f>
        <v/>
      </c>
      <c r="G11" s="364">
        <v>9</v>
      </c>
      <c r="H11" s="365" t="str">
        <f>IF($C11="","",G11*VLOOKUP($C11,MATIERES!$A$2:$F$349,4,0))</f>
        <v/>
      </c>
      <c r="I11" s="364">
        <v>10</v>
      </c>
      <c r="J11" s="365" t="str">
        <f>IF($C11="","",I11*VLOOKUP($C11,MATIERES!$A$2:$F$349,4,0))</f>
        <v/>
      </c>
      <c r="K11" s="364">
        <v>11</v>
      </c>
      <c r="L11" s="365" t="str">
        <f>IF($C11="","",K11*VLOOKUP($C11,MATIERES!$A$2:$F$349,4,0))</f>
        <v/>
      </c>
      <c r="M11" s="364">
        <v>12</v>
      </c>
      <c r="N11" s="365" t="str">
        <f>IF($C11="","",M11*VLOOKUP($C11,MATIERES!$A$2:$F$349,4,0))</f>
        <v/>
      </c>
      <c r="O11" s="364">
        <v>13</v>
      </c>
      <c r="P11" s="365" t="str">
        <f>IF($C11="","",O11*VLOOKUP($C11,MATIERES!$A$2:$F$349,4,0))</f>
        <v/>
      </c>
      <c r="Q11" s="364">
        <v>14</v>
      </c>
      <c r="R11" s="365" t="str">
        <f>IF($C11="","",Q11*VLOOKUP($C11,MATIERES!$A$2:$F$349,4,0))</f>
        <v/>
      </c>
      <c r="S11" s="364">
        <v>15</v>
      </c>
      <c r="T11" s="365" t="str">
        <f>IF($C11="","",S11*VLOOKUP($C11,MATIERES!$A$2:$F$349,4,0))</f>
        <v/>
      </c>
      <c r="U11" s="364">
        <v>16</v>
      </c>
      <c r="V11" s="365" t="str">
        <f>IF($C11="","",U11*VLOOKUP($C11,MATIERES!$A$2:$F$349,4,0))</f>
        <v/>
      </c>
      <c r="W11" s="364">
        <v>17</v>
      </c>
      <c r="X11" s="365" t="str">
        <f>IF($C11="","",W11*VLOOKUP($C11,MATIERES!$A$2:$F$349,4,0))</f>
        <v/>
      </c>
      <c r="Y11" s="364">
        <v>18</v>
      </c>
      <c r="Z11" s="365" t="str">
        <f>IF($C11="","",Y11*VLOOKUP($C11,MATIERES!$A$2:$F$349,4,0))</f>
        <v/>
      </c>
      <c r="AA11" s="364">
        <v>19</v>
      </c>
      <c r="AB11" s="365" t="str">
        <f>IF($C11="","",AA11*VLOOKUP($C11,MATIERES!$A$2:$F$349,4,0))</f>
        <v/>
      </c>
      <c r="AC11" s="364">
        <v>20</v>
      </c>
      <c r="AD11" s="365" t="str">
        <f>IF($C11="","",AC11*VLOOKUP($C11,MATIERES!$A$2:$F$349,4,0))</f>
        <v/>
      </c>
      <c r="AE11" s="364">
        <v>21</v>
      </c>
      <c r="AF11" s="365" t="str">
        <f>IF($C11="","",AE11*VLOOKUP($C11,MATIERES!$A$2:$F$349,4,0))</f>
        <v/>
      </c>
      <c r="AG11" s="364">
        <v>22</v>
      </c>
      <c r="AH11" s="365" t="str">
        <f>IF($C11="","",AG11*VLOOKUP($C11,MATIERES!$A$2:$F$349,4,0))</f>
        <v/>
      </c>
      <c r="AI11" s="364">
        <v>23</v>
      </c>
      <c r="AJ11" s="365" t="str">
        <f>IF($C11="","",AI11*VLOOKUP($C11,MATIERES!$A$2:$F$349,4,0))</f>
        <v/>
      </c>
      <c r="AK11" s="364">
        <v>24</v>
      </c>
      <c r="AL11" s="365" t="str">
        <f>IF($C11="","",AK11*VLOOKUP($C11,MATIERES!$A$2:$F$349,4,0))</f>
        <v/>
      </c>
      <c r="AM11" s="364">
        <v>24</v>
      </c>
      <c r="AN11" s="365" t="str">
        <f>IF($C11="","",AM11*VLOOKUP($C11,MATIERES!$A$2:$F$349,4,0))</f>
        <v/>
      </c>
    </row>
    <row r="12" spans="1:42" ht="15" customHeight="1" x14ac:dyDescent="0.2">
      <c r="A12" s="1550"/>
      <c r="B12" s="361"/>
      <c r="C12" s="362"/>
      <c r="D12" s="363" t="str">
        <f>IF($C12="","",VLOOKUP($C12,MATIERES!$A$2:$F$227,5,0))</f>
        <v/>
      </c>
      <c r="E12" s="364">
        <v>9</v>
      </c>
      <c r="F12" s="365" t="str">
        <f>IF($C12="","",E12*VLOOKUP($C12,MATIERES!$A$2:$F$349,4,0))</f>
        <v/>
      </c>
      <c r="G12" s="364">
        <v>10</v>
      </c>
      <c r="H12" s="365" t="str">
        <f>IF($C12="","",G12*VLOOKUP($C12,MATIERES!$A$2:$F$349,4,0))</f>
        <v/>
      </c>
      <c r="I12" s="364">
        <v>11</v>
      </c>
      <c r="J12" s="365" t="str">
        <f>IF($C12="","",I12*VLOOKUP($C12,MATIERES!$A$2:$F$349,4,0))</f>
        <v/>
      </c>
      <c r="K12" s="364">
        <v>12</v>
      </c>
      <c r="L12" s="365" t="str">
        <f>IF($C12="","",K12*VLOOKUP($C12,MATIERES!$A$2:$F$349,4,0))</f>
        <v/>
      </c>
      <c r="M12" s="364">
        <v>13</v>
      </c>
      <c r="N12" s="365" t="str">
        <f>IF($C12="","",M12*VLOOKUP($C12,MATIERES!$A$2:$F$349,4,0))</f>
        <v/>
      </c>
      <c r="O12" s="364">
        <v>14</v>
      </c>
      <c r="P12" s="365" t="str">
        <f>IF($C12="","",O12*VLOOKUP($C12,MATIERES!$A$2:$F$349,4,0))</f>
        <v/>
      </c>
      <c r="Q12" s="364">
        <v>15</v>
      </c>
      <c r="R12" s="365" t="str">
        <f>IF($C12="","",Q12*VLOOKUP($C12,MATIERES!$A$2:$F$349,4,0))</f>
        <v/>
      </c>
      <c r="S12" s="364">
        <v>16</v>
      </c>
      <c r="T12" s="365" t="str">
        <f>IF($C12="","",S12*VLOOKUP($C12,MATIERES!$A$2:$F$349,4,0))</f>
        <v/>
      </c>
      <c r="U12" s="364">
        <v>17</v>
      </c>
      <c r="V12" s="365" t="str">
        <f>IF($C12="","",U12*VLOOKUP($C12,MATIERES!$A$2:$F$349,4,0))</f>
        <v/>
      </c>
      <c r="W12" s="364">
        <v>18</v>
      </c>
      <c r="X12" s="365" t="str">
        <f>IF($C12="","",W12*VLOOKUP($C12,MATIERES!$A$2:$F$349,4,0))</f>
        <v/>
      </c>
      <c r="Y12" s="364">
        <v>19</v>
      </c>
      <c r="Z12" s="365" t="str">
        <f>IF($C12="","",Y12*VLOOKUP($C12,MATIERES!$A$2:$F$349,4,0))</f>
        <v/>
      </c>
      <c r="AA12" s="364">
        <v>20</v>
      </c>
      <c r="AB12" s="365" t="str">
        <f>IF($C12="","",AA12*VLOOKUP($C12,MATIERES!$A$2:$F$349,4,0))</f>
        <v/>
      </c>
      <c r="AC12" s="364">
        <v>21</v>
      </c>
      <c r="AD12" s="365" t="str">
        <f>IF($C12="","",AC12*VLOOKUP($C12,MATIERES!$A$2:$F$349,4,0))</f>
        <v/>
      </c>
      <c r="AE12" s="364">
        <v>22</v>
      </c>
      <c r="AF12" s="365" t="str">
        <f>IF($C12="","",AE12*VLOOKUP($C12,MATIERES!$A$2:$F$349,4,0))</f>
        <v/>
      </c>
      <c r="AG12" s="364">
        <v>23</v>
      </c>
      <c r="AH12" s="365" t="str">
        <f>IF($C12="","",AG12*VLOOKUP($C12,MATIERES!$A$2:$F$349,4,0))</f>
        <v/>
      </c>
      <c r="AI12" s="364">
        <v>24</v>
      </c>
      <c r="AJ12" s="365" t="str">
        <f>IF($C12="","",AI12*VLOOKUP($C12,MATIERES!$A$2:$F$349,4,0))</f>
        <v/>
      </c>
      <c r="AK12" s="364">
        <v>25</v>
      </c>
      <c r="AL12" s="365" t="str">
        <f>IF($C12="","",AK12*VLOOKUP($C12,MATIERES!$A$2:$F$349,4,0))</f>
        <v/>
      </c>
      <c r="AM12" s="364">
        <v>25</v>
      </c>
      <c r="AN12" s="365" t="str">
        <f>IF($C12="","",AM12*VLOOKUP($C12,MATIERES!$A$2:$F$349,4,0))</f>
        <v/>
      </c>
    </row>
    <row r="13" spans="1:42" ht="15" customHeight="1" x14ac:dyDescent="0.2">
      <c r="A13" s="1550"/>
      <c r="B13" s="361"/>
      <c r="C13" s="362"/>
      <c r="D13" s="363" t="str">
        <f>IF($C13="","",VLOOKUP($C13,MATIERES!$A$2:$F$227,5,0))</f>
        <v/>
      </c>
      <c r="E13" s="364">
        <v>10</v>
      </c>
      <c r="F13" s="365" t="str">
        <f>IF($C13="","",E13*VLOOKUP($C13,MATIERES!$A$2:$F$349,4,0))</f>
        <v/>
      </c>
      <c r="G13" s="364">
        <v>11</v>
      </c>
      <c r="H13" s="365" t="str">
        <f>IF($C13="","",G13*VLOOKUP($C13,MATIERES!$A$2:$F$349,4,0))</f>
        <v/>
      </c>
      <c r="I13" s="364">
        <v>12</v>
      </c>
      <c r="J13" s="365" t="str">
        <f>IF($C13="","",I13*VLOOKUP($C13,MATIERES!$A$2:$F$349,4,0))</f>
        <v/>
      </c>
      <c r="K13" s="364">
        <v>13</v>
      </c>
      <c r="L13" s="365" t="str">
        <f>IF($C13="","",K13*VLOOKUP($C13,MATIERES!$A$2:$F$349,4,0))</f>
        <v/>
      </c>
      <c r="M13" s="364">
        <v>14</v>
      </c>
      <c r="N13" s="365" t="str">
        <f>IF($C13="","",M13*VLOOKUP($C13,MATIERES!$A$2:$F$349,4,0))</f>
        <v/>
      </c>
      <c r="O13" s="364">
        <v>15</v>
      </c>
      <c r="P13" s="365" t="str">
        <f>IF($C13="","",O13*VLOOKUP($C13,MATIERES!$A$2:$F$349,4,0))</f>
        <v/>
      </c>
      <c r="Q13" s="364">
        <v>16</v>
      </c>
      <c r="R13" s="365" t="str">
        <f>IF($C13="","",Q13*VLOOKUP($C13,MATIERES!$A$2:$F$349,4,0))</f>
        <v/>
      </c>
      <c r="S13" s="364">
        <v>17</v>
      </c>
      <c r="T13" s="365" t="str">
        <f>IF($C13="","",S13*VLOOKUP($C13,MATIERES!$A$2:$F$349,4,0))</f>
        <v/>
      </c>
      <c r="U13" s="364">
        <v>18</v>
      </c>
      <c r="V13" s="365" t="str">
        <f>IF($C13="","",U13*VLOOKUP($C13,MATIERES!$A$2:$F$349,4,0))</f>
        <v/>
      </c>
      <c r="W13" s="364">
        <v>19</v>
      </c>
      <c r="X13" s="365" t="str">
        <f>IF($C13="","",W13*VLOOKUP($C13,MATIERES!$A$2:$F$349,4,0))</f>
        <v/>
      </c>
      <c r="Y13" s="364">
        <v>20</v>
      </c>
      <c r="Z13" s="365" t="str">
        <f>IF($C13="","",Y13*VLOOKUP($C13,MATIERES!$A$2:$F$349,4,0))</f>
        <v/>
      </c>
      <c r="AA13" s="364">
        <v>21</v>
      </c>
      <c r="AB13" s="365" t="str">
        <f>IF($C13="","",AA13*VLOOKUP($C13,MATIERES!$A$2:$F$349,4,0))</f>
        <v/>
      </c>
      <c r="AC13" s="364">
        <v>22</v>
      </c>
      <c r="AD13" s="365" t="str">
        <f>IF($C13="","",AC13*VLOOKUP($C13,MATIERES!$A$2:$F$349,4,0))</f>
        <v/>
      </c>
      <c r="AE13" s="364">
        <v>23</v>
      </c>
      <c r="AF13" s="365" t="str">
        <f>IF($C13="","",AE13*VLOOKUP($C13,MATIERES!$A$2:$F$349,4,0))</f>
        <v/>
      </c>
      <c r="AG13" s="364">
        <v>24</v>
      </c>
      <c r="AH13" s="365" t="str">
        <f>IF($C13="","",AG13*VLOOKUP($C13,MATIERES!$A$2:$F$349,4,0))</f>
        <v/>
      </c>
      <c r="AI13" s="364">
        <v>25</v>
      </c>
      <c r="AJ13" s="365" t="str">
        <f>IF($C13="","",AI13*VLOOKUP($C13,MATIERES!$A$2:$F$349,4,0))</f>
        <v/>
      </c>
      <c r="AK13" s="364">
        <v>26</v>
      </c>
      <c r="AL13" s="365" t="str">
        <f>IF($C13="","",AK13*VLOOKUP($C13,MATIERES!$A$2:$F$349,4,0))</f>
        <v/>
      </c>
      <c r="AM13" s="364">
        <v>26</v>
      </c>
      <c r="AN13" s="365" t="str">
        <f>IF($C13="","",AM13*VLOOKUP($C13,MATIERES!$A$2:$F$349,4,0))</f>
        <v/>
      </c>
      <c r="AO13" s="186"/>
    </row>
    <row r="14" spans="1:42" ht="15" customHeight="1" x14ac:dyDescent="0.2">
      <c r="A14" s="1550"/>
      <c r="B14" s="361"/>
      <c r="C14" s="362"/>
      <c r="D14" s="363" t="str">
        <f>IF($C14="","",VLOOKUP($C14,MATIERES!$A$2:$F$227,5,0))</f>
        <v/>
      </c>
      <c r="E14" s="364">
        <v>11</v>
      </c>
      <c r="F14" s="365" t="str">
        <f>IF($C14="","",E14*VLOOKUP($C14,MATIERES!$A$2:$F$349,4,0))</f>
        <v/>
      </c>
      <c r="G14" s="364">
        <v>12</v>
      </c>
      <c r="H14" s="365" t="str">
        <f>IF($C14="","",G14*VLOOKUP($C14,MATIERES!$A$2:$F$349,4,0))</f>
        <v/>
      </c>
      <c r="I14" s="364">
        <v>13</v>
      </c>
      <c r="J14" s="365" t="str">
        <f>IF($C14="","",I14*VLOOKUP($C14,MATIERES!$A$2:$F$349,4,0))</f>
        <v/>
      </c>
      <c r="K14" s="364">
        <v>14</v>
      </c>
      <c r="L14" s="365" t="str">
        <f>IF($C14="","",K14*VLOOKUP($C14,MATIERES!$A$2:$F$349,4,0))</f>
        <v/>
      </c>
      <c r="M14" s="364">
        <v>15</v>
      </c>
      <c r="N14" s="365" t="str">
        <f>IF($C14="","",M14*VLOOKUP($C14,MATIERES!$A$2:$F$349,4,0))</f>
        <v/>
      </c>
      <c r="O14" s="364">
        <v>16</v>
      </c>
      <c r="P14" s="365" t="str">
        <f>IF($C14="","",O14*VLOOKUP($C14,MATIERES!$A$2:$F$349,4,0))</f>
        <v/>
      </c>
      <c r="Q14" s="364">
        <v>17</v>
      </c>
      <c r="R14" s="365" t="str">
        <f>IF($C14="","",Q14*VLOOKUP($C14,MATIERES!$A$2:$F$349,4,0))</f>
        <v/>
      </c>
      <c r="S14" s="364">
        <v>18</v>
      </c>
      <c r="T14" s="365" t="str">
        <f>IF($C14="","",S14*VLOOKUP($C14,MATIERES!$A$2:$F$349,4,0))</f>
        <v/>
      </c>
      <c r="U14" s="364">
        <v>19</v>
      </c>
      <c r="V14" s="365" t="str">
        <f>IF($C14="","",U14*VLOOKUP($C14,MATIERES!$A$2:$F$349,4,0))</f>
        <v/>
      </c>
      <c r="W14" s="364">
        <v>20</v>
      </c>
      <c r="X14" s="365" t="str">
        <f>IF($C14="","",W14*VLOOKUP($C14,MATIERES!$A$2:$F$349,4,0))</f>
        <v/>
      </c>
      <c r="Y14" s="364">
        <v>21</v>
      </c>
      <c r="Z14" s="365" t="str">
        <f>IF($C14="","",Y14*VLOOKUP($C14,MATIERES!$A$2:$F$349,4,0))</f>
        <v/>
      </c>
      <c r="AA14" s="364">
        <v>22</v>
      </c>
      <c r="AB14" s="365" t="str">
        <f>IF($C14="","",AA14*VLOOKUP($C14,MATIERES!$A$2:$F$349,4,0))</f>
        <v/>
      </c>
      <c r="AC14" s="364">
        <v>23</v>
      </c>
      <c r="AD14" s="365" t="str">
        <f>IF($C14="","",AC14*VLOOKUP($C14,MATIERES!$A$2:$F$349,4,0))</f>
        <v/>
      </c>
      <c r="AE14" s="364">
        <v>24</v>
      </c>
      <c r="AF14" s="365" t="str">
        <f>IF($C14="","",AE14*VLOOKUP($C14,MATIERES!$A$2:$F$349,4,0))</f>
        <v/>
      </c>
      <c r="AG14" s="364">
        <v>25</v>
      </c>
      <c r="AH14" s="365" t="str">
        <f>IF($C14="","",AG14*VLOOKUP($C14,MATIERES!$A$2:$F$349,4,0))</f>
        <v/>
      </c>
      <c r="AI14" s="364">
        <v>26</v>
      </c>
      <c r="AJ14" s="365" t="str">
        <f>IF($C14="","",AI14*VLOOKUP($C14,MATIERES!$A$2:$F$349,4,0))</f>
        <v/>
      </c>
      <c r="AK14" s="364">
        <v>27</v>
      </c>
      <c r="AL14" s="365" t="str">
        <f>IF($C14="","",AK14*VLOOKUP($C14,MATIERES!$A$2:$F$349,4,0))</f>
        <v/>
      </c>
      <c r="AM14" s="364">
        <v>27</v>
      </c>
      <c r="AN14" s="365" t="str">
        <f>IF($C14="","",AM14*VLOOKUP($C14,MATIERES!$A$2:$F$349,4,0))</f>
        <v/>
      </c>
    </row>
    <row r="15" spans="1:42" ht="15" customHeight="1" x14ac:dyDescent="0.2">
      <c r="A15" s="1550"/>
      <c r="B15" s="361"/>
      <c r="C15" s="362"/>
      <c r="D15" s="363" t="str">
        <f>IF($C15="","",VLOOKUP($C15,MATIERES!$A$2:$F$227,5,0))</f>
        <v/>
      </c>
      <c r="E15" s="364">
        <v>12</v>
      </c>
      <c r="F15" s="365" t="str">
        <f>IF($C15="","",E15*VLOOKUP($C15,MATIERES!$A$2:$F$349,4,0))</f>
        <v/>
      </c>
      <c r="G15" s="364">
        <v>13</v>
      </c>
      <c r="H15" s="365" t="str">
        <f>IF($C15="","",G15*VLOOKUP($C15,MATIERES!$A$2:$F$349,4,0))</f>
        <v/>
      </c>
      <c r="I15" s="364">
        <v>14</v>
      </c>
      <c r="J15" s="365" t="str">
        <f>IF($C15="","",I15*VLOOKUP($C15,MATIERES!$A$2:$F$349,4,0))</f>
        <v/>
      </c>
      <c r="K15" s="364">
        <v>15</v>
      </c>
      <c r="L15" s="365" t="str">
        <f>IF($C15="","",K15*VLOOKUP($C15,MATIERES!$A$2:$F$349,4,0))</f>
        <v/>
      </c>
      <c r="M15" s="364">
        <v>16</v>
      </c>
      <c r="N15" s="365" t="str">
        <f>IF($C15="","",M15*VLOOKUP($C15,MATIERES!$A$2:$F$349,4,0))</f>
        <v/>
      </c>
      <c r="O15" s="364">
        <v>17</v>
      </c>
      <c r="P15" s="365" t="str">
        <f>IF($C15="","",O15*VLOOKUP($C15,MATIERES!$A$2:$F$349,4,0))</f>
        <v/>
      </c>
      <c r="Q15" s="364">
        <v>18</v>
      </c>
      <c r="R15" s="365" t="str">
        <f>IF($C15="","",Q15*VLOOKUP($C15,MATIERES!$A$2:$F$349,4,0))</f>
        <v/>
      </c>
      <c r="S15" s="364">
        <v>19</v>
      </c>
      <c r="T15" s="365" t="str">
        <f>IF($C15="","",S15*VLOOKUP($C15,MATIERES!$A$2:$F$349,4,0))</f>
        <v/>
      </c>
      <c r="U15" s="364">
        <v>20</v>
      </c>
      <c r="V15" s="365" t="str">
        <f>IF($C15="","",U15*VLOOKUP($C15,MATIERES!$A$2:$F$349,4,0))</f>
        <v/>
      </c>
      <c r="W15" s="364">
        <v>21</v>
      </c>
      <c r="X15" s="365" t="str">
        <f>IF($C15="","",W15*VLOOKUP($C15,MATIERES!$A$2:$F$349,4,0))</f>
        <v/>
      </c>
      <c r="Y15" s="364">
        <v>22</v>
      </c>
      <c r="Z15" s="365" t="str">
        <f>IF($C15="","",Y15*VLOOKUP($C15,MATIERES!$A$2:$F$349,4,0))</f>
        <v/>
      </c>
      <c r="AA15" s="364">
        <v>23</v>
      </c>
      <c r="AB15" s="365" t="str">
        <f>IF($C15="","",AA15*VLOOKUP($C15,MATIERES!$A$2:$F$349,4,0))</f>
        <v/>
      </c>
      <c r="AC15" s="364">
        <v>24</v>
      </c>
      <c r="AD15" s="365" t="str">
        <f>IF($C15="","",AC15*VLOOKUP($C15,MATIERES!$A$2:$F$349,4,0))</f>
        <v/>
      </c>
      <c r="AE15" s="364">
        <v>25</v>
      </c>
      <c r="AF15" s="365" t="str">
        <f>IF($C15="","",AE15*VLOOKUP($C15,MATIERES!$A$2:$F$349,4,0))</f>
        <v/>
      </c>
      <c r="AG15" s="364">
        <v>26</v>
      </c>
      <c r="AH15" s="365" t="str">
        <f>IF($C15="","",AG15*VLOOKUP($C15,MATIERES!$A$2:$F$349,4,0))</f>
        <v/>
      </c>
      <c r="AI15" s="364">
        <v>27</v>
      </c>
      <c r="AJ15" s="365" t="str">
        <f>IF($C15="","",AI15*VLOOKUP($C15,MATIERES!$A$2:$F$349,4,0))</f>
        <v/>
      </c>
      <c r="AK15" s="364">
        <v>28</v>
      </c>
      <c r="AL15" s="365" t="str">
        <f>IF($C15="","",AK15*VLOOKUP($C15,MATIERES!$A$2:$F$349,4,0))</f>
        <v/>
      </c>
      <c r="AM15" s="364">
        <v>28</v>
      </c>
      <c r="AN15" s="365" t="str">
        <f>IF($C15="","",AM15*VLOOKUP($C15,MATIERES!$A$2:$F$349,4,0))</f>
        <v/>
      </c>
    </row>
    <row r="16" spans="1:42" ht="15" customHeight="1" x14ac:dyDescent="0.2">
      <c r="A16" s="1550"/>
      <c r="B16" s="361"/>
      <c r="C16" s="362"/>
      <c r="D16" s="363" t="str">
        <f>IF($C16="","",VLOOKUP($C16,MATIERES!$A$2:$F$227,5,0))</f>
        <v/>
      </c>
      <c r="E16" s="364">
        <v>13</v>
      </c>
      <c r="F16" s="365" t="str">
        <f>IF($C16="","",E16*VLOOKUP($C16,MATIERES!$A$2:$F$349,4,0))</f>
        <v/>
      </c>
      <c r="G16" s="364">
        <v>14</v>
      </c>
      <c r="H16" s="365" t="str">
        <f>IF($C16="","",G16*VLOOKUP($C16,MATIERES!$A$2:$F$349,4,0))</f>
        <v/>
      </c>
      <c r="I16" s="364">
        <v>15</v>
      </c>
      <c r="J16" s="365" t="str">
        <f>IF($C16="","",I16*VLOOKUP($C16,MATIERES!$A$2:$F$349,4,0))</f>
        <v/>
      </c>
      <c r="K16" s="364">
        <v>16</v>
      </c>
      <c r="L16" s="365" t="str">
        <f>IF($C16="","",K16*VLOOKUP($C16,MATIERES!$A$2:$F$349,4,0))</f>
        <v/>
      </c>
      <c r="M16" s="364">
        <v>17</v>
      </c>
      <c r="N16" s="365" t="str">
        <f>IF($C16="","",M16*VLOOKUP($C16,MATIERES!$A$2:$F$349,4,0))</f>
        <v/>
      </c>
      <c r="O16" s="364">
        <v>18</v>
      </c>
      <c r="P16" s="365" t="str">
        <f>IF($C16="","",O16*VLOOKUP($C16,MATIERES!$A$2:$F$349,4,0))</f>
        <v/>
      </c>
      <c r="Q16" s="364">
        <v>19</v>
      </c>
      <c r="R16" s="365" t="str">
        <f>IF($C16="","",Q16*VLOOKUP($C16,MATIERES!$A$2:$F$349,4,0))</f>
        <v/>
      </c>
      <c r="S16" s="364">
        <v>20</v>
      </c>
      <c r="T16" s="365" t="str">
        <f>IF($C16="","",S16*VLOOKUP($C16,MATIERES!$A$2:$F$349,4,0))</f>
        <v/>
      </c>
      <c r="U16" s="364">
        <v>21</v>
      </c>
      <c r="V16" s="365" t="str">
        <f>IF($C16="","",U16*VLOOKUP($C16,MATIERES!$A$2:$F$349,4,0))</f>
        <v/>
      </c>
      <c r="W16" s="364">
        <v>22</v>
      </c>
      <c r="X16" s="365" t="str">
        <f>IF($C16="","",W16*VLOOKUP($C16,MATIERES!$A$2:$F$349,4,0))</f>
        <v/>
      </c>
      <c r="Y16" s="364">
        <v>23</v>
      </c>
      <c r="Z16" s="365" t="str">
        <f>IF($C16="","",Y16*VLOOKUP($C16,MATIERES!$A$2:$F$349,4,0))</f>
        <v/>
      </c>
      <c r="AA16" s="364">
        <v>24</v>
      </c>
      <c r="AB16" s="365" t="str">
        <f>IF($C16="","",AA16*VLOOKUP($C16,MATIERES!$A$2:$F$349,4,0))</f>
        <v/>
      </c>
      <c r="AC16" s="364">
        <v>25</v>
      </c>
      <c r="AD16" s="365" t="str">
        <f>IF($C16="","",AC16*VLOOKUP($C16,MATIERES!$A$2:$F$349,4,0))</f>
        <v/>
      </c>
      <c r="AE16" s="364">
        <v>26</v>
      </c>
      <c r="AF16" s="365" t="str">
        <f>IF($C16="","",AE16*VLOOKUP($C16,MATIERES!$A$2:$F$349,4,0))</f>
        <v/>
      </c>
      <c r="AG16" s="364">
        <v>27</v>
      </c>
      <c r="AH16" s="365" t="str">
        <f>IF($C16="","",AG16*VLOOKUP($C16,MATIERES!$A$2:$F$349,4,0))</f>
        <v/>
      </c>
      <c r="AI16" s="364">
        <v>28</v>
      </c>
      <c r="AJ16" s="365" t="str">
        <f>IF($C16="","",AI16*VLOOKUP($C16,MATIERES!$A$2:$F$349,4,0))</f>
        <v/>
      </c>
      <c r="AK16" s="364">
        <v>29</v>
      </c>
      <c r="AL16" s="365" t="str">
        <f>IF($C16="","",AK16*VLOOKUP($C16,MATIERES!$A$2:$F$349,4,0))</f>
        <v/>
      </c>
      <c r="AM16" s="364">
        <v>29</v>
      </c>
      <c r="AN16" s="365" t="str">
        <f>IF($C16="","",AM16*VLOOKUP($C16,MATIERES!$A$2:$F$349,4,0))</f>
        <v/>
      </c>
    </row>
    <row r="17" spans="1:40" ht="15" customHeight="1" x14ac:dyDescent="0.2">
      <c r="A17" s="1551"/>
      <c r="B17" s="361"/>
      <c r="C17" s="362"/>
      <c r="D17" s="363" t="str">
        <f>IF($C17="","",VLOOKUP($C17,MATIERES!$A$2:$F$227,5,0))</f>
        <v/>
      </c>
      <c r="E17" s="364">
        <v>14</v>
      </c>
      <c r="F17" s="365" t="str">
        <f>IF($C17="","",E17*VLOOKUP($C17,MATIERES!$A$2:$F$349,4,0))</f>
        <v/>
      </c>
      <c r="G17" s="364">
        <v>15</v>
      </c>
      <c r="H17" s="365" t="str">
        <f>IF($C17="","",G17*VLOOKUP($C17,MATIERES!$A$2:$F$349,4,0))</f>
        <v/>
      </c>
      <c r="I17" s="364">
        <v>16</v>
      </c>
      <c r="J17" s="365" t="str">
        <f>IF($C17="","",I17*VLOOKUP($C17,MATIERES!$A$2:$F$349,4,0))</f>
        <v/>
      </c>
      <c r="K17" s="364">
        <v>17</v>
      </c>
      <c r="L17" s="365" t="str">
        <f>IF($C17="","",K17*VLOOKUP($C17,MATIERES!$A$2:$F$349,4,0))</f>
        <v/>
      </c>
      <c r="M17" s="364">
        <v>18</v>
      </c>
      <c r="N17" s="365" t="str">
        <f>IF($C17="","",M17*VLOOKUP($C17,MATIERES!$A$2:$F$349,4,0))</f>
        <v/>
      </c>
      <c r="O17" s="364">
        <v>19</v>
      </c>
      <c r="P17" s="365" t="str">
        <f>IF($C17="","",O17*VLOOKUP($C17,MATIERES!$A$2:$F$349,4,0))</f>
        <v/>
      </c>
      <c r="Q17" s="364">
        <v>20</v>
      </c>
      <c r="R17" s="365" t="str">
        <f>IF($C17="","",Q17*VLOOKUP($C17,MATIERES!$A$2:$F$349,4,0))</f>
        <v/>
      </c>
      <c r="S17" s="364">
        <v>21</v>
      </c>
      <c r="T17" s="365" t="str">
        <f>IF($C17="","",S17*VLOOKUP($C17,MATIERES!$A$2:$F$349,4,0))</f>
        <v/>
      </c>
      <c r="U17" s="364">
        <v>22</v>
      </c>
      <c r="V17" s="365" t="str">
        <f>IF($C17="","",U17*VLOOKUP($C17,MATIERES!$A$2:$F$349,4,0))</f>
        <v/>
      </c>
      <c r="W17" s="364">
        <v>23</v>
      </c>
      <c r="X17" s="365" t="str">
        <f>IF($C17="","",W17*VLOOKUP($C17,MATIERES!$A$2:$F$349,4,0))</f>
        <v/>
      </c>
      <c r="Y17" s="364">
        <v>24</v>
      </c>
      <c r="Z17" s="365" t="str">
        <f>IF($C17="","",Y17*VLOOKUP($C17,MATIERES!$A$2:$F$349,4,0))</f>
        <v/>
      </c>
      <c r="AA17" s="364">
        <v>25</v>
      </c>
      <c r="AB17" s="365" t="str">
        <f>IF($C17="","",AA17*VLOOKUP($C17,MATIERES!$A$2:$F$349,4,0))</f>
        <v/>
      </c>
      <c r="AC17" s="364">
        <v>26</v>
      </c>
      <c r="AD17" s="365" t="str">
        <f>IF($C17="","",AC17*VLOOKUP($C17,MATIERES!$A$2:$F$349,4,0))</f>
        <v/>
      </c>
      <c r="AE17" s="364">
        <v>27</v>
      </c>
      <c r="AF17" s="365" t="str">
        <f>IF($C17="","",AE17*VLOOKUP($C17,MATIERES!$A$2:$F$349,4,0))</f>
        <v/>
      </c>
      <c r="AG17" s="364">
        <v>28</v>
      </c>
      <c r="AH17" s="365" t="str">
        <f>IF($C17="","",AG17*VLOOKUP($C17,MATIERES!$A$2:$F$349,4,0))</f>
        <v/>
      </c>
      <c r="AI17" s="364">
        <v>29</v>
      </c>
      <c r="AJ17" s="365" t="str">
        <f>IF($C17="","",AI17*VLOOKUP($C17,MATIERES!$A$2:$F$349,4,0))</f>
        <v/>
      </c>
      <c r="AK17" s="364">
        <v>30</v>
      </c>
      <c r="AL17" s="365" t="str">
        <f>IF($C17="","",AK17*VLOOKUP($C17,MATIERES!$A$2:$F$349,4,0))</f>
        <v/>
      </c>
      <c r="AM17" s="364">
        <v>30</v>
      </c>
      <c r="AN17" s="365" t="str">
        <f>IF($C17="","",AM17*VLOOKUP($C17,MATIERES!$A$2:$F$349,4,0))</f>
        <v/>
      </c>
    </row>
    <row r="18" spans="1:40" ht="15" customHeight="1" x14ac:dyDescent="0.2">
      <c r="A18" s="1550"/>
      <c r="B18" s="361"/>
      <c r="C18" s="362"/>
      <c r="D18" s="363" t="str">
        <f>IF($C18="","",VLOOKUP($C18,MATIERES!$A$2:$F$227,5,0))</f>
        <v/>
      </c>
      <c r="E18" s="364">
        <v>15</v>
      </c>
      <c r="F18" s="365" t="str">
        <f>IF($C18="","",E18*VLOOKUP($C18,MATIERES!$A$2:$F$349,4,0))</f>
        <v/>
      </c>
      <c r="G18" s="364">
        <v>16</v>
      </c>
      <c r="H18" s="365" t="str">
        <f>IF($C18="","",G18*VLOOKUP($C18,MATIERES!$A$2:$F$349,4,0))</f>
        <v/>
      </c>
      <c r="I18" s="364">
        <v>17</v>
      </c>
      <c r="J18" s="365" t="str">
        <f>IF($C18="","",I18*VLOOKUP($C18,MATIERES!$A$2:$F$349,4,0))</f>
        <v/>
      </c>
      <c r="K18" s="364">
        <v>18</v>
      </c>
      <c r="L18" s="365" t="str">
        <f>IF($C18="","",K18*VLOOKUP($C18,MATIERES!$A$2:$F$349,4,0))</f>
        <v/>
      </c>
      <c r="M18" s="364">
        <v>19</v>
      </c>
      <c r="N18" s="365" t="str">
        <f>IF($C18="","",M18*VLOOKUP($C18,MATIERES!$A$2:$F$349,4,0))</f>
        <v/>
      </c>
      <c r="O18" s="364">
        <v>20</v>
      </c>
      <c r="P18" s="365" t="str">
        <f>IF($C18="","",O18*VLOOKUP($C18,MATIERES!$A$2:$F$349,4,0))</f>
        <v/>
      </c>
      <c r="Q18" s="364">
        <v>21</v>
      </c>
      <c r="R18" s="365" t="str">
        <f>IF($C18="","",Q18*VLOOKUP($C18,MATIERES!$A$2:$F$349,4,0))</f>
        <v/>
      </c>
      <c r="S18" s="364">
        <v>22</v>
      </c>
      <c r="T18" s="365" t="str">
        <f>IF($C18="","",S18*VLOOKUP($C18,MATIERES!$A$2:$F$349,4,0))</f>
        <v/>
      </c>
      <c r="U18" s="364">
        <v>23</v>
      </c>
      <c r="V18" s="365" t="str">
        <f>IF($C18="","",U18*VLOOKUP($C18,MATIERES!$A$2:$F$349,4,0))</f>
        <v/>
      </c>
      <c r="W18" s="364">
        <v>24</v>
      </c>
      <c r="X18" s="365" t="str">
        <f>IF($C18="","",W18*VLOOKUP($C18,MATIERES!$A$2:$F$349,4,0))</f>
        <v/>
      </c>
      <c r="Y18" s="364">
        <v>25</v>
      </c>
      <c r="Z18" s="365" t="str">
        <f>IF($C18="","",Y18*VLOOKUP($C18,MATIERES!$A$2:$F$349,4,0))</f>
        <v/>
      </c>
      <c r="AA18" s="364">
        <v>26</v>
      </c>
      <c r="AB18" s="365" t="str">
        <f>IF($C18="","",AA18*VLOOKUP($C18,MATIERES!$A$2:$F$349,4,0))</f>
        <v/>
      </c>
      <c r="AC18" s="364">
        <v>27</v>
      </c>
      <c r="AD18" s="365" t="str">
        <f>IF($C18="","",AC18*VLOOKUP($C18,MATIERES!$A$2:$F$349,4,0))</f>
        <v/>
      </c>
      <c r="AE18" s="364">
        <v>28</v>
      </c>
      <c r="AF18" s="365" t="str">
        <f>IF($C18="","",AE18*VLOOKUP($C18,MATIERES!$A$2:$F$349,4,0))</f>
        <v/>
      </c>
      <c r="AG18" s="364">
        <v>29</v>
      </c>
      <c r="AH18" s="365" t="str">
        <f>IF($C18="","",AG18*VLOOKUP($C18,MATIERES!$A$2:$F$349,4,0))</f>
        <v/>
      </c>
      <c r="AI18" s="364">
        <v>30</v>
      </c>
      <c r="AJ18" s="365" t="str">
        <f>IF($C18="","",AI18*VLOOKUP($C18,MATIERES!$A$2:$F$349,4,0))</f>
        <v/>
      </c>
      <c r="AK18" s="364">
        <v>31</v>
      </c>
      <c r="AL18" s="365" t="str">
        <f>IF($C18="","",AK18*VLOOKUP($C18,MATIERES!$A$2:$F$349,4,0))</f>
        <v/>
      </c>
      <c r="AM18" s="364">
        <v>31</v>
      </c>
      <c r="AN18" s="365" t="str">
        <f>IF($C18="","",AM18*VLOOKUP($C18,MATIERES!$A$2:$F$349,4,0))</f>
        <v/>
      </c>
    </row>
    <row r="19" spans="1:40" ht="15" customHeight="1" x14ac:dyDescent="0.2">
      <c r="A19" s="1550"/>
      <c r="B19" s="361"/>
      <c r="C19" s="362"/>
      <c r="D19" s="363" t="str">
        <f>IF($C19="","",VLOOKUP($C19,MATIERES!$A$2:$F$227,5,0))</f>
        <v/>
      </c>
      <c r="E19" s="364">
        <v>16</v>
      </c>
      <c r="F19" s="365" t="str">
        <f>IF($C19="","",E19*VLOOKUP($C19,MATIERES!$A$2:$F$349,4,0))</f>
        <v/>
      </c>
      <c r="G19" s="364">
        <v>17</v>
      </c>
      <c r="H19" s="365" t="str">
        <f>IF($C19="","",G19*VLOOKUP($C19,MATIERES!$A$2:$F$349,4,0))</f>
        <v/>
      </c>
      <c r="I19" s="364">
        <v>18</v>
      </c>
      <c r="J19" s="365" t="str">
        <f>IF($C19="","",I19*VLOOKUP($C19,MATIERES!$A$2:$F$349,4,0))</f>
        <v/>
      </c>
      <c r="K19" s="364">
        <v>19</v>
      </c>
      <c r="L19" s="365" t="str">
        <f>IF($C19="","",K19*VLOOKUP($C19,MATIERES!$A$2:$F$349,4,0))</f>
        <v/>
      </c>
      <c r="M19" s="364">
        <v>20</v>
      </c>
      <c r="N19" s="365" t="str">
        <f>IF($C19="","",M19*VLOOKUP($C19,MATIERES!$A$2:$F$349,4,0))</f>
        <v/>
      </c>
      <c r="O19" s="364">
        <v>21</v>
      </c>
      <c r="P19" s="365" t="str">
        <f>IF($C19="","",O19*VLOOKUP($C19,MATIERES!$A$2:$F$349,4,0))</f>
        <v/>
      </c>
      <c r="Q19" s="364">
        <v>22</v>
      </c>
      <c r="R19" s="365" t="str">
        <f>IF($C19="","",Q19*VLOOKUP($C19,MATIERES!$A$2:$F$349,4,0))</f>
        <v/>
      </c>
      <c r="S19" s="364">
        <v>23</v>
      </c>
      <c r="T19" s="365" t="str">
        <f>IF($C19="","",S19*VLOOKUP($C19,MATIERES!$A$2:$F$349,4,0))</f>
        <v/>
      </c>
      <c r="U19" s="364">
        <v>24</v>
      </c>
      <c r="V19" s="365" t="str">
        <f>IF($C19="","",U19*VLOOKUP($C19,MATIERES!$A$2:$F$349,4,0))</f>
        <v/>
      </c>
      <c r="W19" s="364">
        <v>25</v>
      </c>
      <c r="X19" s="365" t="str">
        <f>IF($C19="","",W19*VLOOKUP($C19,MATIERES!$A$2:$F$349,4,0))</f>
        <v/>
      </c>
      <c r="Y19" s="364">
        <v>26</v>
      </c>
      <c r="Z19" s="365" t="str">
        <f>IF($C19="","",Y19*VLOOKUP($C19,MATIERES!$A$2:$F$349,4,0))</f>
        <v/>
      </c>
      <c r="AA19" s="364">
        <v>27</v>
      </c>
      <c r="AB19" s="365" t="str">
        <f>IF($C19="","",AA19*VLOOKUP($C19,MATIERES!$A$2:$F$349,4,0))</f>
        <v/>
      </c>
      <c r="AC19" s="364">
        <v>28</v>
      </c>
      <c r="AD19" s="365" t="str">
        <f>IF($C19="","",AC19*VLOOKUP($C19,MATIERES!$A$2:$F$349,4,0))</f>
        <v/>
      </c>
      <c r="AE19" s="364">
        <v>29</v>
      </c>
      <c r="AF19" s="365" t="str">
        <f>IF($C19="","",AE19*VLOOKUP($C19,MATIERES!$A$2:$F$349,4,0))</f>
        <v/>
      </c>
      <c r="AG19" s="364">
        <v>30</v>
      </c>
      <c r="AH19" s="365" t="str">
        <f>IF($C19="","",AG19*VLOOKUP($C19,MATIERES!$A$2:$F$349,4,0))</f>
        <v/>
      </c>
      <c r="AI19" s="364">
        <v>31</v>
      </c>
      <c r="AJ19" s="365" t="str">
        <f>IF($C19="","",AI19*VLOOKUP($C19,MATIERES!$A$2:$F$349,4,0))</f>
        <v/>
      </c>
      <c r="AK19" s="364">
        <v>32</v>
      </c>
      <c r="AL19" s="365" t="str">
        <f>IF($C19="","",AK19*VLOOKUP($C19,MATIERES!$A$2:$F$349,4,0))</f>
        <v/>
      </c>
      <c r="AM19" s="364">
        <v>32</v>
      </c>
      <c r="AN19" s="365" t="str">
        <f>IF($C19="","",AM19*VLOOKUP($C19,MATIERES!$A$2:$F$349,4,0))</f>
        <v/>
      </c>
    </row>
    <row r="20" spans="1:40" ht="15" customHeight="1" x14ac:dyDescent="0.2">
      <c r="A20" s="1550"/>
      <c r="B20" s="361"/>
      <c r="C20" s="362"/>
      <c r="D20" s="363" t="str">
        <f>IF($C20="","",VLOOKUP($C20,MATIERES!$A$2:$F$227,5,0))</f>
        <v/>
      </c>
      <c r="E20" s="364">
        <v>17</v>
      </c>
      <c r="F20" s="365" t="str">
        <f>IF($C20="","",E20*VLOOKUP($C20,MATIERES!$A$2:$F$349,4,0))</f>
        <v/>
      </c>
      <c r="G20" s="364">
        <v>18</v>
      </c>
      <c r="H20" s="365" t="str">
        <f>IF($C20="","",G20*VLOOKUP($C20,MATIERES!$A$2:$F$349,4,0))</f>
        <v/>
      </c>
      <c r="I20" s="364">
        <v>19</v>
      </c>
      <c r="J20" s="365" t="str">
        <f>IF($C20="","",I20*VLOOKUP($C20,MATIERES!$A$2:$F$349,4,0))</f>
        <v/>
      </c>
      <c r="K20" s="364">
        <v>20</v>
      </c>
      <c r="L20" s="365" t="str">
        <f>IF($C20="","",K20*VLOOKUP($C20,MATIERES!$A$2:$F$349,4,0))</f>
        <v/>
      </c>
      <c r="M20" s="364">
        <v>21</v>
      </c>
      <c r="N20" s="365" t="str">
        <f>IF($C20="","",M20*VLOOKUP($C20,MATIERES!$A$2:$F$349,4,0))</f>
        <v/>
      </c>
      <c r="O20" s="364">
        <v>22</v>
      </c>
      <c r="P20" s="365" t="str">
        <f>IF($C20="","",O20*VLOOKUP($C20,MATIERES!$A$2:$F$349,4,0))</f>
        <v/>
      </c>
      <c r="Q20" s="364">
        <v>23</v>
      </c>
      <c r="R20" s="365" t="str">
        <f>IF($C20="","",Q20*VLOOKUP($C20,MATIERES!$A$2:$F$349,4,0))</f>
        <v/>
      </c>
      <c r="S20" s="364">
        <v>24</v>
      </c>
      <c r="T20" s="365" t="str">
        <f>IF($C20="","",S20*VLOOKUP($C20,MATIERES!$A$2:$F$349,4,0))</f>
        <v/>
      </c>
      <c r="U20" s="364">
        <v>25</v>
      </c>
      <c r="V20" s="365" t="str">
        <f>IF($C20="","",U20*VLOOKUP($C20,MATIERES!$A$2:$F$349,4,0))</f>
        <v/>
      </c>
      <c r="W20" s="364">
        <v>26</v>
      </c>
      <c r="X20" s="365" t="str">
        <f>IF($C20="","",W20*VLOOKUP($C20,MATIERES!$A$2:$F$349,4,0))</f>
        <v/>
      </c>
      <c r="Y20" s="364">
        <v>27</v>
      </c>
      <c r="Z20" s="365" t="str">
        <f>IF($C20="","",Y20*VLOOKUP($C20,MATIERES!$A$2:$F$349,4,0))</f>
        <v/>
      </c>
      <c r="AA20" s="364">
        <v>28</v>
      </c>
      <c r="AB20" s="365" t="str">
        <f>IF($C20="","",AA20*VLOOKUP($C20,MATIERES!$A$2:$F$349,4,0))</f>
        <v/>
      </c>
      <c r="AC20" s="364">
        <v>29</v>
      </c>
      <c r="AD20" s="365" t="str">
        <f>IF($C20="","",AC20*VLOOKUP($C20,MATIERES!$A$2:$F$349,4,0))</f>
        <v/>
      </c>
      <c r="AE20" s="364">
        <v>30</v>
      </c>
      <c r="AF20" s="365" t="str">
        <f>IF($C20="","",AE20*VLOOKUP($C20,MATIERES!$A$2:$F$349,4,0))</f>
        <v/>
      </c>
      <c r="AG20" s="364">
        <v>31</v>
      </c>
      <c r="AH20" s="365" t="str">
        <f>IF($C20="","",AG20*VLOOKUP($C20,MATIERES!$A$2:$F$349,4,0))</f>
        <v/>
      </c>
      <c r="AI20" s="364">
        <v>32</v>
      </c>
      <c r="AJ20" s="365" t="str">
        <f>IF($C20="","",AI20*VLOOKUP($C20,MATIERES!$A$2:$F$349,4,0))</f>
        <v/>
      </c>
      <c r="AK20" s="364">
        <v>33</v>
      </c>
      <c r="AL20" s="365" t="str">
        <f>IF($C20="","",AK20*VLOOKUP($C20,MATIERES!$A$2:$F$349,4,0))</f>
        <v/>
      </c>
      <c r="AM20" s="364">
        <v>33</v>
      </c>
      <c r="AN20" s="365" t="str">
        <f>IF($C20="","",AM20*VLOOKUP($C20,MATIERES!$A$2:$F$349,4,0))</f>
        <v/>
      </c>
    </row>
    <row r="21" spans="1:40" ht="15" customHeight="1" x14ac:dyDescent="0.2">
      <c r="A21" s="1550"/>
      <c r="B21" s="361"/>
      <c r="C21" s="362"/>
      <c r="D21" s="363" t="str">
        <f>IF($C21="","",VLOOKUP($C21,MATIERES!$A$2:$F$227,5,0))</f>
        <v/>
      </c>
      <c r="E21" s="364">
        <v>18</v>
      </c>
      <c r="F21" s="365" t="str">
        <f>IF($C21="","",E21*VLOOKUP($C21,MATIERES!$A$2:$F$349,4,0))</f>
        <v/>
      </c>
      <c r="G21" s="364">
        <v>19</v>
      </c>
      <c r="H21" s="365" t="str">
        <f>IF($C21="","",G21*VLOOKUP($C21,MATIERES!$A$2:$F$349,4,0))</f>
        <v/>
      </c>
      <c r="I21" s="364">
        <v>20</v>
      </c>
      <c r="J21" s="365" t="str">
        <f>IF($C21="","",I21*VLOOKUP($C21,MATIERES!$A$2:$F$349,4,0))</f>
        <v/>
      </c>
      <c r="K21" s="364">
        <v>21</v>
      </c>
      <c r="L21" s="365" t="str">
        <f>IF($C21="","",K21*VLOOKUP($C21,MATIERES!$A$2:$F$349,4,0))</f>
        <v/>
      </c>
      <c r="M21" s="364">
        <v>22</v>
      </c>
      <c r="N21" s="365" t="str">
        <f>IF($C21="","",M21*VLOOKUP($C21,MATIERES!$A$2:$F$349,4,0))</f>
        <v/>
      </c>
      <c r="O21" s="364">
        <v>23</v>
      </c>
      <c r="P21" s="365" t="str">
        <f>IF($C21="","",O21*VLOOKUP($C21,MATIERES!$A$2:$F$349,4,0))</f>
        <v/>
      </c>
      <c r="Q21" s="364">
        <v>24</v>
      </c>
      <c r="R21" s="365" t="str">
        <f>IF($C21="","",Q21*VLOOKUP($C21,MATIERES!$A$2:$F$349,4,0))</f>
        <v/>
      </c>
      <c r="S21" s="364">
        <v>25</v>
      </c>
      <c r="T21" s="365" t="str">
        <f>IF($C21="","",S21*VLOOKUP($C21,MATIERES!$A$2:$F$349,4,0))</f>
        <v/>
      </c>
      <c r="U21" s="364">
        <v>26</v>
      </c>
      <c r="V21" s="365" t="str">
        <f>IF($C21="","",U21*VLOOKUP($C21,MATIERES!$A$2:$F$349,4,0))</f>
        <v/>
      </c>
      <c r="W21" s="364">
        <v>27</v>
      </c>
      <c r="X21" s="365" t="str">
        <f>IF($C21="","",W21*VLOOKUP($C21,MATIERES!$A$2:$F$349,4,0))</f>
        <v/>
      </c>
      <c r="Y21" s="364">
        <v>28</v>
      </c>
      <c r="Z21" s="365" t="str">
        <f>IF($C21="","",Y21*VLOOKUP($C21,MATIERES!$A$2:$F$349,4,0))</f>
        <v/>
      </c>
      <c r="AA21" s="364">
        <v>29</v>
      </c>
      <c r="AB21" s="365" t="str">
        <f>IF($C21="","",AA21*VLOOKUP($C21,MATIERES!$A$2:$F$349,4,0))</f>
        <v/>
      </c>
      <c r="AC21" s="364">
        <v>30</v>
      </c>
      <c r="AD21" s="365" t="str">
        <f>IF($C21="","",AC21*VLOOKUP($C21,MATIERES!$A$2:$F$349,4,0))</f>
        <v/>
      </c>
      <c r="AE21" s="364">
        <v>31</v>
      </c>
      <c r="AF21" s="365" t="str">
        <f>IF($C21="","",AE21*VLOOKUP($C21,MATIERES!$A$2:$F$349,4,0))</f>
        <v/>
      </c>
      <c r="AG21" s="364">
        <v>32</v>
      </c>
      <c r="AH21" s="365" t="str">
        <f>IF($C21="","",AG21*VLOOKUP($C21,MATIERES!$A$2:$F$349,4,0))</f>
        <v/>
      </c>
      <c r="AI21" s="364">
        <v>33</v>
      </c>
      <c r="AJ21" s="365" t="str">
        <f>IF($C21="","",AI21*VLOOKUP($C21,MATIERES!$A$2:$F$349,4,0))</f>
        <v/>
      </c>
      <c r="AK21" s="364">
        <v>34</v>
      </c>
      <c r="AL21" s="365" t="str">
        <f>IF($C21="","",AK21*VLOOKUP($C21,MATIERES!$A$2:$F$349,4,0))</f>
        <v/>
      </c>
      <c r="AM21" s="364">
        <v>34</v>
      </c>
      <c r="AN21" s="365" t="str">
        <f>IF($C21="","",AM21*VLOOKUP($C21,MATIERES!$A$2:$F$349,4,0))</f>
        <v/>
      </c>
    </row>
    <row r="22" spans="1:40" ht="15" customHeight="1" x14ac:dyDescent="0.2">
      <c r="A22" s="1550"/>
      <c r="B22" s="361"/>
      <c r="C22" s="362"/>
      <c r="D22" s="363" t="str">
        <f>IF($C22="","",VLOOKUP($C22,MATIERES!$A$2:$F$227,5,0))</f>
        <v/>
      </c>
      <c r="E22" s="364">
        <v>19</v>
      </c>
      <c r="F22" s="365" t="str">
        <f>IF($C22="","",E22*VLOOKUP($C22,MATIERES!$A$2:$F$349,4,0))</f>
        <v/>
      </c>
      <c r="G22" s="364">
        <v>20</v>
      </c>
      <c r="H22" s="365" t="str">
        <f>IF($C22="","",G22*VLOOKUP($C22,MATIERES!$A$2:$F$349,4,0))</f>
        <v/>
      </c>
      <c r="I22" s="364">
        <v>21</v>
      </c>
      <c r="J22" s="365" t="str">
        <f>IF($C22="","",I22*VLOOKUP($C22,MATIERES!$A$2:$F$349,4,0))</f>
        <v/>
      </c>
      <c r="K22" s="364">
        <v>22</v>
      </c>
      <c r="L22" s="365" t="str">
        <f>IF($C22="","",K22*VLOOKUP($C22,MATIERES!$A$2:$F$349,4,0))</f>
        <v/>
      </c>
      <c r="M22" s="364">
        <v>23</v>
      </c>
      <c r="N22" s="365" t="str">
        <f>IF($C22="","",M22*VLOOKUP($C22,MATIERES!$A$2:$F$349,4,0))</f>
        <v/>
      </c>
      <c r="O22" s="364">
        <v>24</v>
      </c>
      <c r="P22" s="365" t="str">
        <f>IF($C22="","",O22*VLOOKUP($C22,MATIERES!$A$2:$F$349,4,0))</f>
        <v/>
      </c>
      <c r="Q22" s="364">
        <v>25</v>
      </c>
      <c r="R22" s="365" t="str">
        <f>IF($C22="","",Q22*VLOOKUP($C22,MATIERES!$A$2:$F$349,4,0))</f>
        <v/>
      </c>
      <c r="S22" s="364">
        <v>26</v>
      </c>
      <c r="T22" s="365" t="str">
        <f>IF($C22="","",S22*VLOOKUP($C22,MATIERES!$A$2:$F$349,4,0))</f>
        <v/>
      </c>
      <c r="U22" s="364">
        <v>27</v>
      </c>
      <c r="V22" s="365" t="str">
        <f>IF($C22="","",U22*VLOOKUP($C22,MATIERES!$A$2:$F$349,4,0))</f>
        <v/>
      </c>
      <c r="W22" s="364">
        <v>28</v>
      </c>
      <c r="X22" s="365" t="str">
        <f>IF($C22="","",W22*VLOOKUP($C22,MATIERES!$A$2:$F$349,4,0))</f>
        <v/>
      </c>
      <c r="Y22" s="364">
        <v>29</v>
      </c>
      <c r="Z22" s="365" t="str">
        <f>IF($C22="","",Y22*VLOOKUP($C22,MATIERES!$A$2:$F$349,4,0))</f>
        <v/>
      </c>
      <c r="AA22" s="364">
        <v>30</v>
      </c>
      <c r="AB22" s="365" t="str">
        <f>IF($C22="","",AA22*VLOOKUP($C22,MATIERES!$A$2:$F$349,4,0))</f>
        <v/>
      </c>
      <c r="AC22" s="364">
        <v>31</v>
      </c>
      <c r="AD22" s="365" t="str">
        <f>IF($C22="","",AC22*VLOOKUP($C22,MATIERES!$A$2:$F$349,4,0))</f>
        <v/>
      </c>
      <c r="AE22" s="364">
        <v>32</v>
      </c>
      <c r="AF22" s="365" t="str">
        <f>IF($C22="","",AE22*VLOOKUP($C22,MATIERES!$A$2:$F$349,4,0))</f>
        <v/>
      </c>
      <c r="AG22" s="364">
        <v>33</v>
      </c>
      <c r="AH22" s="365" t="str">
        <f>IF($C22="","",AG22*VLOOKUP($C22,MATIERES!$A$2:$F$349,4,0))</f>
        <v/>
      </c>
      <c r="AI22" s="364">
        <v>34</v>
      </c>
      <c r="AJ22" s="365" t="str">
        <f>IF($C22="","",AI22*VLOOKUP($C22,MATIERES!$A$2:$F$349,4,0))</f>
        <v/>
      </c>
      <c r="AK22" s="364">
        <v>35</v>
      </c>
      <c r="AL22" s="365" t="str">
        <f>IF($C22="","",AK22*VLOOKUP($C22,MATIERES!$A$2:$F$349,4,0))</f>
        <v/>
      </c>
      <c r="AM22" s="364">
        <v>35</v>
      </c>
      <c r="AN22" s="365" t="str">
        <f>IF($C22="","",AM22*VLOOKUP($C22,MATIERES!$A$2:$F$349,4,0))</f>
        <v/>
      </c>
    </row>
    <row r="23" spans="1:40" ht="15" customHeight="1" x14ac:dyDescent="0.2">
      <c r="A23" s="1550"/>
      <c r="B23" s="361"/>
      <c r="C23" s="362"/>
      <c r="D23" s="363" t="str">
        <f>IF($C23="","",VLOOKUP($C23,MATIERES!$A$2:$F$227,5,0))</f>
        <v/>
      </c>
      <c r="E23" s="364">
        <v>20</v>
      </c>
      <c r="F23" s="365" t="str">
        <f>IF($C23="","",E23*VLOOKUP($C23,MATIERES!$A$2:$F$349,4,0))</f>
        <v/>
      </c>
      <c r="G23" s="364">
        <v>21</v>
      </c>
      <c r="H23" s="365" t="str">
        <f>IF($C23="","",G23*VLOOKUP($C23,MATIERES!$A$2:$F$349,4,0))</f>
        <v/>
      </c>
      <c r="I23" s="364">
        <v>22</v>
      </c>
      <c r="J23" s="365" t="str">
        <f>IF($C23="","",I23*VLOOKUP($C23,MATIERES!$A$2:$F$349,4,0))</f>
        <v/>
      </c>
      <c r="K23" s="364">
        <v>23</v>
      </c>
      <c r="L23" s="365" t="str">
        <f>IF($C23="","",K23*VLOOKUP($C23,MATIERES!$A$2:$F$349,4,0))</f>
        <v/>
      </c>
      <c r="M23" s="364">
        <v>24</v>
      </c>
      <c r="N23" s="365" t="str">
        <f>IF($C23="","",M23*VLOOKUP($C23,MATIERES!$A$2:$F$349,4,0))</f>
        <v/>
      </c>
      <c r="O23" s="364">
        <v>25</v>
      </c>
      <c r="P23" s="365" t="str">
        <f>IF($C23="","",O23*VLOOKUP($C23,MATIERES!$A$2:$F$349,4,0))</f>
        <v/>
      </c>
      <c r="Q23" s="364">
        <v>26</v>
      </c>
      <c r="R23" s="365" t="str">
        <f>IF($C23="","",Q23*VLOOKUP($C23,MATIERES!$A$2:$F$349,4,0))</f>
        <v/>
      </c>
      <c r="S23" s="364">
        <v>27</v>
      </c>
      <c r="T23" s="365" t="str">
        <f>IF($C23="","",S23*VLOOKUP($C23,MATIERES!$A$2:$F$349,4,0))</f>
        <v/>
      </c>
      <c r="U23" s="364">
        <v>28</v>
      </c>
      <c r="V23" s="365" t="str">
        <f>IF($C23="","",U23*VLOOKUP($C23,MATIERES!$A$2:$F$349,4,0))</f>
        <v/>
      </c>
      <c r="W23" s="364">
        <v>29</v>
      </c>
      <c r="X23" s="365" t="str">
        <f>IF($C23="","",W23*VLOOKUP($C23,MATIERES!$A$2:$F$349,4,0))</f>
        <v/>
      </c>
      <c r="Y23" s="364">
        <v>30</v>
      </c>
      <c r="Z23" s="365" t="str">
        <f>IF($C23="","",Y23*VLOOKUP($C23,MATIERES!$A$2:$F$349,4,0))</f>
        <v/>
      </c>
      <c r="AA23" s="364">
        <v>31</v>
      </c>
      <c r="AB23" s="365" t="str">
        <f>IF($C23="","",AA23*VLOOKUP($C23,MATIERES!$A$2:$F$349,4,0))</f>
        <v/>
      </c>
      <c r="AC23" s="364">
        <v>32</v>
      </c>
      <c r="AD23" s="365" t="str">
        <f>IF($C23="","",AC23*VLOOKUP($C23,MATIERES!$A$2:$F$349,4,0))</f>
        <v/>
      </c>
      <c r="AE23" s="364">
        <v>33</v>
      </c>
      <c r="AF23" s="365" t="str">
        <f>IF($C23="","",AE23*VLOOKUP($C23,MATIERES!$A$2:$F$349,4,0))</f>
        <v/>
      </c>
      <c r="AG23" s="364">
        <v>34</v>
      </c>
      <c r="AH23" s="365" t="str">
        <f>IF($C23="","",AG23*VLOOKUP($C23,MATIERES!$A$2:$F$349,4,0))</f>
        <v/>
      </c>
      <c r="AI23" s="364">
        <v>35</v>
      </c>
      <c r="AJ23" s="365" t="str">
        <f>IF($C23="","",AI23*VLOOKUP($C23,MATIERES!$A$2:$F$349,4,0))</f>
        <v/>
      </c>
      <c r="AK23" s="364">
        <v>36</v>
      </c>
      <c r="AL23" s="365" t="str">
        <f>IF($C23="","",AK23*VLOOKUP($C23,MATIERES!$A$2:$F$349,4,0))</f>
        <v/>
      </c>
      <c r="AM23" s="364">
        <v>36</v>
      </c>
      <c r="AN23" s="365" t="str">
        <f>IF($C23="","",AM23*VLOOKUP($C23,MATIERES!$A$2:$F$349,4,0))</f>
        <v/>
      </c>
    </row>
    <row r="24" spans="1:40" ht="15" customHeight="1" x14ac:dyDescent="0.2">
      <c r="A24" s="1550"/>
      <c r="B24" s="361"/>
      <c r="C24" s="362"/>
      <c r="D24" s="363" t="str">
        <f>IF($C24="","",VLOOKUP($C24,MATIERES!$A$2:$F$227,5,0))</f>
        <v/>
      </c>
      <c r="E24" s="364">
        <v>21</v>
      </c>
      <c r="F24" s="365" t="str">
        <f>IF($C24="","",E24*VLOOKUP($C24,MATIERES!$A$2:$F$349,4,0))</f>
        <v/>
      </c>
      <c r="G24" s="364">
        <v>22</v>
      </c>
      <c r="H24" s="365" t="str">
        <f>IF($C24="","",G24*VLOOKUP($C24,MATIERES!$A$2:$F$349,4,0))</f>
        <v/>
      </c>
      <c r="I24" s="364">
        <v>23</v>
      </c>
      <c r="J24" s="365" t="str">
        <f>IF($C24="","",I24*VLOOKUP($C24,MATIERES!$A$2:$F$349,4,0))</f>
        <v/>
      </c>
      <c r="K24" s="364">
        <v>24</v>
      </c>
      <c r="L24" s="365" t="str">
        <f>IF($C24="","",K24*VLOOKUP($C24,MATIERES!$A$2:$F$349,4,0))</f>
        <v/>
      </c>
      <c r="M24" s="364">
        <v>25</v>
      </c>
      <c r="N24" s="365" t="str">
        <f>IF($C24="","",M24*VLOOKUP($C24,MATIERES!$A$2:$F$349,4,0))</f>
        <v/>
      </c>
      <c r="O24" s="364">
        <v>26</v>
      </c>
      <c r="P24" s="365" t="str">
        <f>IF($C24="","",O24*VLOOKUP($C24,MATIERES!$A$2:$F$349,4,0))</f>
        <v/>
      </c>
      <c r="Q24" s="364">
        <v>27</v>
      </c>
      <c r="R24" s="365" t="str">
        <f>IF($C24="","",Q24*VLOOKUP($C24,MATIERES!$A$2:$F$349,4,0))</f>
        <v/>
      </c>
      <c r="S24" s="364">
        <v>28</v>
      </c>
      <c r="T24" s="365" t="str">
        <f>IF($C24="","",S24*VLOOKUP($C24,MATIERES!$A$2:$F$349,4,0))</f>
        <v/>
      </c>
      <c r="U24" s="364">
        <v>29</v>
      </c>
      <c r="V24" s="365" t="str">
        <f>IF($C24="","",U24*VLOOKUP($C24,MATIERES!$A$2:$F$349,4,0))</f>
        <v/>
      </c>
      <c r="W24" s="364">
        <v>30</v>
      </c>
      <c r="X24" s="365" t="str">
        <f>IF($C24="","",W24*VLOOKUP($C24,MATIERES!$A$2:$F$349,4,0))</f>
        <v/>
      </c>
      <c r="Y24" s="364">
        <v>31</v>
      </c>
      <c r="Z24" s="365" t="str">
        <f>IF($C24="","",Y24*VLOOKUP($C24,MATIERES!$A$2:$F$349,4,0))</f>
        <v/>
      </c>
      <c r="AA24" s="364">
        <v>32</v>
      </c>
      <c r="AB24" s="365" t="str">
        <f>IF($C24="","",AA24*VLOOKUP($C24,MATIERES!$A$2:$F$349,4,0))</f>
        <v/>
      </c>
      <c r="AC24" s="364">
        <v>33</v>
      </c>
      <c r="AD24" s="365" t="str">
        <f>IF($C24="","",AC24*VLOOKUP($C24,MATIERES!$A$2:$F$349,4,0))</f>
        <v/>
      </c>
      <c r="AE24" s="364">
        <v>34</v>
      </c>
      <c r="AF24" s="365" t="str">
        <f>IF($C24="","",AE24*VLOOKUP($C24,MATIERES!$A$2:$F$349,4,0))</f>
        <v/>
      </c>
      <c r="AG24" s="364">
        <v>35</v>
      </c>
      <c r="AH24" s="365" t="str">
        <f>IF($C24="","",AG24*VLOOKUP($C24,MATIERES!$A$2:$F$349,4,0))</f>
        <v/>
      </c>
      <c r="AI24" s="364">
        <v>36</v>
      </c>
      <c r="AJ24" s="365" t="str">
        <f>IF($C24="","",AI24*VLOOKUP($C24,MATIERES!$A$2:$F$349,4,0))</f>
        <v/>
      </c>
      <c r="AK24" s="364">
        <v>37</v>
      </c>
      <c r="AL24" s="365" t="str">
        <f>IF($C24="","",AK24*VLOOKUP($C24,MATIERES!$A$2:$F$349,4,0))</f>
        <v/>
      </c>
      <c r="AM24" s="364">
        <v>37</v>
      </c>
      <c r="AN24" s="365" t="str">
        <f>IF($C24="","",AM24*VLOOKUP($C24,MATIERES!$A$2:$F$349,4,0))</f>
        <v/>
      </c>
    </row>
    <row r="25" spans="1:40" ht="15" customHeight="1" x14ac:dyDescent="0.2">
      <c r="A25" s="1550"/>
      <c r="B25" s="361"/>
      <c r="C25" s="362"/>
      <c r="D25" s="363" t="str">
        <f>IF($C25="","",VLOOKUP($C25,MATIERES!$A$2:$F$227,5,0))</f>
        <v/>
      </c>
      <c r="E25" s="364">
        <v>22</v>
      </c>
      <c r="F25" s="365" t="str">
        <f>IF($C25="","",E25*VLOOKUP($C25,MATIERES!$A$2:$F$349,4,0))</f>
        <v/>
      </c>
      <c r="G25" s="364">
        <v>23</v>
      </c>
      <c r="H25" s="365" t="str">
        <f>IF($C25="","",G25*VLOOKUP($C25,MATIERES!$A$2:$F$349,4,0))</f>
        <v/>
      </c>
      <c r="I25" s="364">
        <v>24</v>
      </c>
      <c r="J25" s="365" t="str">
        <f>IF($C25="","",I25*VLOOKUP($C25,MATIERES!$A$2:$F$349,4,0))</f>
        <v/>
      </c>
      <c r="K25" s="364">
        <v>25</v>
      </c>
      <c r="L25" s="365" t="str">
        <f>IF($C25="","",K25*VLOOKUP($C25,MATIERES!$A$2:$F$349,4,0))</f>
        <v/>
      </c>
      <c r="M25" s="364">
        <v>26</v>
      </c>
      <c r="N25" s="365" t="str">
        <f>IF($C25="","",M25*VLOOKUP($C25,MATIERES!$A$2:$F$349,4,0))</f>
        <v/>
      </c>
      <c r="O25" s="364">
        <v>27</v>
      </c>
      <c r="P25" s="365" t="str">
        <f>IF($C25="","",O25*VLOOKUP($C25,MATIERES!$A$2:$F$349,4,0))</f>
        <v/>
      </c>
      <c r="Q25" s="364">
        <v>28</v>
      </c>
      <c r="R25" s="365" t="str">
        <f>IF($C25="","",Q25*VLOOKUP($C25,MATIERES!$A$2:$F$349,4,0))</f>
        <v/>
      </c>
      <c r="S25" s="364">
        <v>29</v>
      </c>
      <c r="T25" s="365" t="str">
        <f>IF($C25="","",S25*VLOOKUP($C25,MATIERES!$A$2:$F$349,4,0))</f>
        <v/>
      </c>
      <c r="U25" s="364">
        <v>30</v>
      </c>
      <c r="V25" s="365" t="str">
        <f>IF($C25="","",U25*VLOOKUP($C25,MATIERES!$A$2:$F$349,4,0))</f>
        <v/>
      </c>
      <c r="W25" s="364">
        <v>31</v>
      </c>
      <c r="X25" s="365" t="str">
        <f>IF($C25="","",W25*VLOOKUP($C25,MATIERES!$A$2:$F$349,4,0))</f>
        <v/>
      </c>
      <c r="Y25" s="364">
        <v>32</v>
      </c>
      <c r="Z25" s="365" t="str">
        <f>IF($C25="","",Y25*VLOOKUP($C25,MATIERES!$A$2:$F$349,4,0))</f>
        <v/>
      </c>
      <c r="AA25" s="364">
        <v>33</v>
      </c>
      <c r="AB25" s="365" t="str">
        <f>IF($C25="","",AA25*VLOOKUP($C25,MATIERES!$A$2:$F$349,4,0))</f>
        <v/>
      </c>
      <c r="AC25" s="364">
        <v>34</v>
      </c>
      <c r="AD25" s="365" t="str">
        <f>IF($C25="","",AC25*VLOOKUP($C25,MATIERES!$A$2:$F$349,4,0))</f>
        <v/>
      </c>
      <c r="AE25" s="364">
        <v>35</v>
      </c>
      <c r="AF25" s="365" t="str">
        <f>IF($C25="","",AE25*VLOOKUP($C25,MATIERES!$A$2:$F$349,4,0))</f>
        <v/>
      </c>
      <c r="AG25" s="364">
        <v>36</v>
      </c>
      <c r="AH25" s="365" t="str">
        <f>IF($C25="","",AG25*VLOOKUP($C25,MATIERES!$A$2:$F$349,4,0))</f>
        <v/>
      </c>
      <c r="AI25" s="364">
        <v>37</v>
      </c>
      <c r="AJ25" s="365" t="str">
        <f>IF($C25="","",AI25*VLOOKUP($C25,MATIERES!$A$2:$F$349,4,0))</f>
        <v/>
      </c>
      <c r="AK25" s="364">
        <v>38</v>
      </c>
      <c r="AL25" s="365" t="str">
        <f>IF($C25="","",AK25*VLOOKUP($C25,MATIERES!$A$2:$F$349,4,0))</f>
        <v/>
      </c>
      <c r="AM25" s="364">
        <v>38</v>
      </c>
      <c r="AN25" s="365" t="str">
        <f>IF($C25="","",AM25*VLOOKUP($C25,MATIERES!$A$2:$F$349,4,0))</f>
        <v/>
      </c>
    </row>
    <row r="26" spans="1:40" ht="30" customHeight="1" x14ac:dyDescent="0.2">
      <c r="A26" s="366"/>
      <c r="B26" s="367" t="s">
        <v>683</v>
      </c>
      <c r="C26" s="368" t="s">
        <v>446</v>
      </c>
      <c r="D26" s="369" t="s">
        <v>447</v>
      </c>
      <c r="E26" s="370">
        <f>F26*(1+Simulation!$P$11)</f>
        <v>3.6399999999999997</v>
      </c>
      <c r="F26" s="371">
        <f>SUM(F4:F25)</f>
        <v>2.8</v>
      </c>
      <c r="G26" s="370">
        <f>H26*(1+Simulation!$P$11)</f>
        <v>7.2799999999999994</v>
      </c>
      <c r="H26" s="371">
        <f>SUM(H4:H25)</f>
        <v>5.6</v>
      </c>
      <c r="I26" s="370">
        <f>J26*(1+Simulation!$P$11)</f>
        <v>10.919999999999998</v>
      </c>
      <c r="J26" s="371">
        <f>SUM(J4:J25)</f>
        <v>8.3999999999999986</v>
      </c>
      <c r="K26" s="370">
        <f>L26*(1+Simulation!$P$11)</f>
        <v>14.559999999999999</v>
      </c>
      <c r="L26" s="371">
        <f>SUM(L4:L25)</f>
        <v>11.2</v>
      </c>
      <c r="M26" s="370">
        <f>N26*(1+Simulation!$P$11)</f>
        <v>18.2</v>
      </c>
      <c r="N26" s="371">
        <f>SUM(N4:N25)</f>
        <v>14</v>
      </c>
      <c r="O26" s="370">
        <f>P26*(1+Simulation!$P$11)</f>
        <v>21.839999999999996</v>
      </c>
      <c r="P26" s="371">
        <f>SUM(P4:P25)</f>
        <v>16.799999999999997</v>
      </c>
      <c r="Q26" s="370">
        <f>R26*(1+Simulation!$P$11)</f>
        <v>25.479999999999997</v>
      </c>
      <c r="R26" s="371">
        <f>SUM(R4:R25)</f>
        <v>19.599999999999998</v>
      </c>
      <c r="S26" s="370">
        <f>T26*(1+Simulation!$P$11)</f>
        <v>29.119999999999997</v>
      </c>
      <c r="T26" s="371">
        <f>SUM(T4:T25)</f>
        <v>22.4</v>
      </c>
      <c r="U26" s="370">
        <f>V26*(1+Simulation!$P$11)</f>
        <v>32.76</v>
      </c>
      <c r="V26" s="371">
        <f>SUM(V4:V25)</f>
        <v>25.2</v>
      </c>
      <c r="W26" s="370">
        <f>X26*(1+Simulation!$P$11)</f>
        <v>36.4</v>
      </c>
      <c r="X26" s="371">
        <f>SUM(X4:X25)</f>
        <v>28</v>
      </c>
      <c r="Y26" s="370">
        <f>Z26*(1+Simulation!$P$11)</f>
        <v>40.04</v>
      </c>
      <c r="Z26" s="371">
        <f>SUM(Z4:Z25)</f>
        <v>30.799999999999997</v>
      </c>
      <c r="AA26" s="370">
        <f>AB26*(1+Simulation!$P$11)</f>
        <v>43.679999999999993</v>
      </c>
      <c r="AB26" s="371">
        <f>SUM(AB4:AB25)</f>
        <v>33.599999999999994</v>
      </c>
      <c r="AC26" s="370">
        <f>AD26*(1+Simulation!$P$11)</f>
        <v>47.32</v>
      </c>
      <c r="AD26" s="371">
        <f>SUM(AD4:AD25)</f>
        <v>36.4</v>
      </c>
      <c r="AE26" s="370">
        <f>AF26*(1+Simulation!$P$11)</f>
        <v>50.959999999999994</v>
      </c>
      <c r="AF26" s="371">
        <f>SUM(AF4:AF25)</f>
        <v>39.199999999999996</v>
      </c>
      <c r="AG26" s="370">
        <f>AH26*(1+Simulation!$P$11)</f>
        <v>54.6</v>
      </c>
      <c r="AH26" s="371">
        <f>SUM(AH4:AH25)</f>
        <v>42</v>
      </c>
      <c r="AI26" s="370">
        <f>AJ26*(1+Simulation!$P$11)</f>
        <v>58.239999999999995</v>
      </c>
      <c r="AJ26" s="371">
        <f>SUM(AJ4:AJ25)</f>
        <v>44.8</v>
      </c>
      <c r="AK26" s="370">
        <f>AL26*(1+Simulation!$P$11)</f>
        <v>61.879999999999995</v>
      </c>
      <c r="AL26" s="371">
        <f>SUM(AL4:AL25)</f>
        <v>47.599999999999994</v>
      </c>
      <c r="AM26" s="370">
        <f>AN26*(1+Simulation!$P$11)</f>
        <v>61.879999999999995</v>
      </c>
      <c r="AN26" s="371">
        <f>SUM(AN4:AN25)</f>
        <v>47.599999999999994</v>
      </c>
    </row>
    <row r="27" spans="1:40" ht="15" customHeight="1" x14ac:dyDescent="0.2">
      <c r="A27" s="1553" t="s">
        <v>448</v>
      </c>
      <c r="B27" s="361" t="s">
        <v>1079</v>
      </c>
      <c r="C27" s="362" t="s">
        <v>419</v>
      </c>
      <c r="D27" s="363" t="e">
        <f>IF($C27="","",VLOOKUP($C27,ATELIER!$B$2:$E$109,3,0))</f>
        <v>#N/A</v>
      </c>
      <c r="E27" s="364">
        <v>1</v>
      </c>
      <c r="F27" s="372" t="e">
        <f>IF($C27="","",E27*VLOOKUP($C27,ATELIER!$B$2:$F$109,4,0))</f>
        <v>#N/A</v>
      </c>
      <c r="G27" s="364">
        <v>2</v>
      </c>
      <c r="H27" s="372" t="e">
        <f>IF($C27="","",G27*VLOOKUP($C27,ATELIER!$B$2:$F$109,4,0))</f>
        <v>#N/A</v>
      </c>
      <c r="I27" s="364">
        <v>3</v>
      </c>
      <c r="J27" s="372" t="e">
        <f>IF($C27="","",I27*VLOOKUP($C27,ATELIER!$B$2:$F$109,4,0))</f>
        <v>#N/A</v>
      </c>
      <c r="K27" s="364">
        <v>4</v>
      </c>
      <c r="L27" s="372" t="e">
        <f>IF($C27="","",K27*VLOOKUP($C27,ATELIER!$B$2:$F$109,4,0))</f>
        <v>#N/A</v>
      </c>
      <c r="M27" s="364">
        <v>5</v>
      </c>
      <c r="N27" s="372" t="e">
        <f>IF($C27="","",M27*VLOOKUP($C27,ATELIER!$B$2:$F$109,4,0))</f>
        <v>#N/A</v>
      </c>
      <c r="O27" s="364">
        <v>6</v>
      </c>
      <c r="P27" s="372" t="e">
        <f>IF($C27="","",O27*VLOOKUP($C27,ATELIER!$B$2:$F$109,4,0))</f>
        <v>#N/A</v>
      </c>
      <c r="Q27" s="364">
        <v>7</v>
      </c>
      <c r="R27" s="372" t="e">
        <f>IF($C27="","",Q27*VLOOKUP($C27,ATELIER!$B$2:$F$109,4,0))</f>
        <v>#N/A</v>
      </c>
      <c r="S27" s="364">
        <v>8</v>
      </c>
      <c r="T27" s="372" t="e">
        <f>IF($C27="","",S27*VLOOKUP($C27,ATELIER!$B$2:$F$109,4,0))</f>
        <v>#N/A</v>
      </c>
      <c r="U27" s="364">
        <v>9</v>
      </c>
      <c r="V27" s="372" t="e">
        <f>IF($C27="","",U27*VLOOKUP($C27,ATELIER!$B$2:$F$109,4,0))</f>
        <v>#N/A</v>
      </c>
      <c r="W27" s="364">
        <v>10</v>
      </c>
      <c r="X27" s="372" t="e">
        <f>IF($C27="","",W27*VLOOKUP($C27,ATELIER!$B$2:$F$109,4,0))</f>
        <v>#N/A</v>
      </c>
      <c r="Y27" s="364">
        <v>11</v>
      </c>
      <c r="Z27" s="372" t="e">
        <f>IF($C27="","",Y27*VLOOKUP($C27,ATELIER!$B$2:$F$109,4,0))</f>
        <v>#N/A</v>
      </c>
      <c r="AA27" s="364">
        <v>12</v>
      </c>
      <c r="AB27" s="372" t="e">
        <f>IF($C27="","",AA27*VLOOKUP($C27,ATELIER!$B$2:$F$109,4,0))</f>
        <v>#N/A</v>
      </c>
      <c r="AC27" s="364">
        <v>13</v>
      </c>
      <c r="AD27" s="372" t="e">
        <f>IF($C27="","",AC27*VLOOKUP($C27,ATELIER!$B$2:$F$109,4,0))</f>
        <v>#N/A</v>
      </c>
      <c r="AE27" s="364">
        <v>14</v>
      </c>
      <c r="AF27" s="372" t="e">
        <f>IF($C27="","",AE27*VLOOKUP($C27,ATELIER!$B$2:$F$109,4,0))</f>
        <v>#N/A</v>
      </c>
      <c r="AG27" s="364">
        <v>15</v>
      </c>
      <c r="AH27" s="372" t="e">
        <f>IF($C27="","",AG27*VLOOKUP($C27,ATELIER!$B$2:$F$109,4,0))</f>
        <v>#N/A</v>
      </c>
      <c r="AI27" s="364">
        <v>16</v>
      </c>
      <c r="AJ27" s="372" t="e">
        <f>IF($C27="","",AI27*VLOOKUP($C27,ATELIER!$B$2:$F$109,4,0))</f>
        <v>#N/A</v>
      </c>
      <c r="AK27" s="364">
        <v>17</v>
      </c>
      <c r="AL27" s="372" t="e">
        <f>IF($C27="","",AK27*VLOOKUP($C27,ATELIER!$B$2:$F$109,4,0))</f>
        <v>#N/A</v>
      </c>
      <c r="AM27" s="364">
        <v>17</v>
      </c>
      <c r="AN27" s="372" t="e">
        <f>IF($C27="","",AM27*VLOOKUP($C27,ATELIER!$B$2:$F$109,4,0))</f>
        <v>#N/A</v>
      </c>
    </row>
    <row r="28" spans="1:40" ht="15" customHeight="1" x14ac:dyDescent="0.2">
      <c r="A28" s="1553"/>
      <c r="B28" s="361" t="str">
        <f>IF($C28="","",VLOOKUP($C28,ATELIER!$B$2:$F$109,2,0))</f>
        <v/>
      </c>
      <c r="C28" s="362"/>
      <c r="D28" s="363" t="str">
        <f>IF($C28="","",VLOOKUP($C28,ATELIER!$B$2:$E$109,3,0))</f>
        <v/>
      </c>
      <c r="E28" s="364">
        <v>2</v>
      </c>
      <c r="F28" s="372" t="str">
        <f>IF($C28="","",E28*VLOOKUP($C28,ATELIER!$B$2:$F$109,4,0))</f>
        <v/>
      </c>
      <c r="G28" s="364">
        <v>3</v>
      </c>
      <c r="H28" s="372" t="str">
        <f>IF($C28="","",G28*VLOOKUP($C28,ATELIER!$B$2:$F$109,4,0))</f>
        <v/>
      </c>
      <c r="I28" s="364">
        <v>4</v>
      </c>
      <c r="J28" s="372" t="str">
        <f>IF($C28="","",I28*VLOOKUP($C28,ATELIER!$B$2:$F$109,4,0))</f>
        <v/>
      </c>
      <c r="K28" s="364">
        <v>5</v>
      </c>
      <c r="L28" s="372" t="str">
        <f>IF($C28="","",K28*VLOOKUP($C28,ATELIER!$B$2:$F$109,4,0))</f>
        <v/>
      </c>
      <c r="M28" s="364">
        <v>6</v>
      </c>
      <c r="N28" s="372" t="str">
        <f>IF($C28="","",M28*VLOOKUP($C28,ATELIER!$B$2:$F$109,4,0))</f>
        <v/>
      </c>
      <c r="O28" s="364">
        <v>7</v>
      </c>
      <c r="P28" s="372" t="str">
        <f>IF($C28="","",O28*VLOOKUP($C28,ATELIER!$B$2:$F$109,4,0))</f>
        <v/>
      </c>
      <c r="Q28" s="364">
        <v>8</v>
      </c>
      <c r="R28" s="372" t="str">
        <f>IF($C28="","",Q28*VLOOKUP($C28,ATELIER!$B$2:$F$109,4,0))</f>
        <v/>
      </c>
      <c r="S28" s="364">
        <v>9</v>
      </c>
      <c r="T28" s="372" t="str">
        <f>IF($C28="","",S28*VLOOKUP($C28,ATELIER!$B$2:$F$109,4,0))</f>
        <v/>
      </c>
      <c r="U28" s="364">
        <v>10</v>
      </c>
      <c r="V28" s="372" t="str">
        <f>IF($C28="","",U28*VLOOKUP($C28,ATELIER!$B$2:$F$109,4,0))</f>
        <v/>
      </c>
      <c r="W28" s="364">
        <v>11</v>
      </c>
      <c r="X28" s="372" t="str">
        <f>IF($C28="","",W28*VLOOKUP($C28,ATELIER!$B$2:$F$109,4,0))</f>
        <v/>
      </c>
      <c r="Y28" s="364">
        <v>12</v>
      </c>
      <c r="Z28" s="372" t="str">
        <f>IF($C28="","",Y28*VLOOKUP($C28,ATELIER!$B$2:$F$109,4,0))</f>
        <v/>
      </c>
      <c r="AA28" s="364">
        <v>13</v>
      </c>
      <c r="AB28" s="372" t="str">
        <f>IF($C28="","",AA28*VLOOKUP($C28,ATELIER!$B$2:$F$109,4,0))</f>
        <v/>
      </c>
      <c r="AC28" s="364">
        <v>14</v>
      </c>
      <c r="AD28" s="372" t="str">
        <f>IF($C28="","",AC28*VLOOKUP($C28,ATELIER!$B$2:$F$109,4,0))</f>
        <v/>
      </c>
      <c r="AE28" s="364">
        <v>15</v>
      </c>
      <c r="AF28" s="372" t="str">
        <f>IF($C28="","",AE28*VLOOKUP($C28,ATELIER!$B$2:$F$109,4,0))</f>
        <v/>
      </c>
      <c r="AG28" s="364">
        <v>16</v>
      </c>
      <c r="AH28" s="372" t="str">
        <f>IF($C28="","",AG28*VLOOKUP($C28,ATELIER!$B$2:$F$109,4,0))</f>
        <v/>
      </c>
      <c r="AI28" s="364">
        <v>17</v>
      </c>
      <c r="AJ28" s="372" t="str">
        <f>IF($C28="","",AI28*VLOOKUP($C28,ATELIER!$B$2:$F$109,4,0))</f>
        <v/>
      </c>
      <c r="AK28" s="364">
        <v>18</v>
      </c>
      <c r="AL28" s="372" t="str">
        <f>IF($C28="","",AK28*VLOOKUP($C28,ATELIER!$B$2:$F$109,4,0))</f>
        <v/>
      </c>
      <c r="AM28" s="364">
        <v>18</v>
      </c>
      <c r="AN28" s="372" t="str">
        <f>IF($C28="","",AM28*VLOOKUP($C28,ATELIER!$B$2:$F$109,4,0))</f>
        <v/>
      </c>
    </row>
    <row r="29" spans="1:40" ht="15" customHeight="1" x14ac:dyDescent="0.2">
      <c r="A29" s="1552"/>
      <c r="B29" s="373" t="str">
        <f>IF($C29="","",VLOOKUP($C29,ATELIER!$B$2:$F$109,2,0))</f>
        <v/>
      </c>
      <c r="C29" s="374"/>
      <c r="D29" s="363" t="str">
        <f>IF($C29="","",VLOOKUP($C29,ATELIER!$B$2:$E$109,3,0))</f>
        <v/>
      </c>
      <c r="E29" s="364">
        <v>3</v>
      </c>
      <c r="F29" s="372" t="str">
        <f>IF($C29="","",E29*VLOOKUP($C29,ATELIER!$B$2:$F$109,4,0))</f>
        <v/>
      </c>
      <c r="G29" s="364">
        <v>4</v>
      </c>
      <c r="H29" s="372" t="str">
        <f>IF($C29="","",G29*VLOOKUP($C29,ATELIER!$B$2:$F$109,4,0))</f>
        <v/>
      </c>
      <c r="I29" s="364">
        <v>5</v>
      </c>
      <c r="J29" s="372" t="str">
        <f>IF($C29="","",I29*VLOOKUP($C29,ATELIER!$B$2:$F$109,4,0))</f>
        <v/>
      </c>
      <c r="K29" s="364">
        <v>6</v>
      </c>
      <c r="L29" s="372" t="str">
        <f>IF($C29="","",K29*VLOOKUP($C29,ATELIER!$B$2:$F$109,4,0))</f>
        <v/>
      </c>
      <c r="M29" s="364">
        <v>7</v>
      </c>
      <c r="N29" s="372" t="str">
        <f>IF($C29="","",M29*VLOOKUP($C29,ATELIER!$B$2:$F$109,4,0))</f>
        <v/>
      </c>
      <c r="O29" s="364">
        <v>8</v>
      </c>
      <c r="P29" s="372" t="str">
        <f>IF($C29="","",O29*VLOOKUP($C29,ATELIER!$B$2:$F$109,4,0))</f>
        <v/>
      </c>
      <c r="Q29" s="364">
        <v>9</v>
      </c>
      <c r="R29" s="372" t="str">
        <f>IF($C29="","",Q29*VLOOKUP($C29,ATELIER!$B$2:$F$109,4,0))</f>
        <v/>
      </c>
      <c r="S29" s="364">
        <v>10</v>
      </c>
      <c r="T29" s="372" t="str">
        <f>IF($C29="","",S29*VLOOKUP($C29,ATELIER!$B$2:$F$109,4,0))</f>
        <v/>
      </c>
      <c r="U29" s="364">
        <v>11</v>
      </c>
      <c r="V29" s="372" t="str">
        <f>IF($C29="","",U29*VLOOKUP($C29,ATELIER!$B$2:$F$109,4,0))</f>
        <v/>
      </c>
      <c r="W29" s="364">
        <v>12</v>
      </c>
      <c r="X29" s="372" t="str">
        <f>IF($C29="","",W29*VLOOKUP($C29,ATELIER!$B$2:$F$109,4,0))</f>
        <v/>
      </c>
      <c r="Y29" s="364">
        <v>13</v>
      </c>
      <c r="Z29" s="372" t="str">
        <f>IF($C29="","",Y29*VLOOKUP($C29,ATELIER!$B$2:$F$109,4,0))</f>
        <v/>
      </c>
      <c r="AA29" s="364">
        <v>14</v>
      </c>
      <c r="AB29" s="372" t="str">
        <f>IF($C29="","",AA29*VLOOKUP($C29,ATELIER!$B$2:$F$109,4,0))</f>
        <v/>
      </c>
      <c r="AC29" s="364">
        <v>15</v>
      </c>
      <c r="AD29" s="372" t="str">
        <f>IF($C29="","",AC29*VLOOKUP($C29,ATELIER!$B$2:$F$109,4,0))</f>
        <v/>
      </c>
      <c r="AE29" s="364">
        <v>16</v>
      </c>
      <c r="AF29" s="372" t="str">
        <f>IF($C29="","",AE29*VLOOKUP($C29,ATELIER!$B$2:$F$109,4,0))</f>
        <v/>
      </c>
      <c r="AG29" s="364">
        <v>17</v>
      </c>
      <c r="AH29" s="372" t="str">
        <f>IF($C29="","",AG29*VLOOKUP($C29,ATELIER!$B$2:$F$109,4,0))</f>
        <v/>
      </c>
      <c r="AI29" s="364">
        <v>18</v>
      </c>
      <c r="AJ29" s="372" t="str">
        <f>IF($C29="","",AI29*VLOOKUP($C29,ATELIER!$B$2:$F$109,4,0))</f>
        <v/>
      </c>
      <c r="AK29" s="364">
        <v>19</v>
      </c>
      <c r="AL29" s="372" t="str">
        <f>IF($C29="","",AK29*VLOOKUP($C29,ATELIER!$B$2:$F$109,4,0))</f>
        <v/>
      </c>
      <c r="AM29" s="364">
        <v>19</v>
      </c>
      <c r="AN29" s="372" t="str">
        <f>IF($C29="","",AM29*VLOOKUP($C29,ATELIER!$B$2:$F$109,4,0))</f>
        <v/>
      </c>
    </row>
    <row r="30" spans="1:40" ht="15" customHeight="1" x14ac:dyDescent="0.2">
      <c r="A30" s="1553"/>
      <c r="B30" s="361" t="str">
        <f>IF($C30="","",VLOOKUP($C30,ATELIER!$B$2:$F$109,2,0))</f>
        <v/>
      </c>
      <c r="C30" s="362"/>
      <c r="D30" s="363" t="str">
        <f>IF($C30="","",VLOOKUP($C30,ATELIER!$B$2:$E$109,3,0))</f>
        <v/>
      </c>
      <c r="E30" s="364">
        <v>4</v>
      </c>
      <c r="F30" s="372" t="str">
        <f>IF($C30="","",E30*VLOOKUP($C30,ATELIER!$B$2:$F$109,4,0))</f>
        <v/>
      </c>
      <c r="G30" s="364">
        <v>5</v>
      </c>
      <c r="H30" s="372" t="str">
        <f>IF($C30="","",G30*VLOOKUP($C30,ATELIER!$B$2:$F$109,4,0))</f>
        <v/>
      </c>
      <c r="I30" s="364">
        <v>6</v>
      </c>
      <c r="J30" s="372" t="str">
        <f>IF($C30="","",I30*VLOOKUP($C30,ATELIER!$B$2:$F$109,4,0))</f>
        <v/>
      </c>
      <c r="K30" s="364">
        <v>7</v>
      </c>
      <c r="L30" s="372" t="str">
        <f>IF($C30="","",K30*VLOOKUP($C30,ATELIER!$B$2:$F$109,4,0))</f>
        <v/>
      </c>
      <c r="M30" s="364">
        <v>8</v>
      </c>
      <c r="N30" s="372" t="str">
        <f>IF($C30="","",M30*VLOOKUP($C30,ATELIER!$B$2:$F$109,4,0))</f>
        <v/>
      </c>
      <c r="O30" s="364">
        <v>9</v>
      </c>
      <c r="P30" s="372" t="str">
        <f>IF($C30="","",O30*VLOOKUP($C30,ATELIER!$B$2:$F$109,4,0))</f>
        <v/>
      </c>
      <c r="Q30" s="364">
        <v>10</v>
      </c>
      <c r="R30" s="372" t="str">
        <f>IF($C30="","",Q30*VLOOKUP($C30,ATELIER!$B$2:$F$109,4,0))</f>
        <v/>
      </c>
      <c r="S30" s="364">
        <v>11</v>
      </c>
      <c r="T30" s="372" t="str">
        <f>IF($C30="","",S30*VLOOKUP($C30,ATELIER!$B$2:$F$109,4,0))</f>
        <v/>
      </c>
      <c r="U30" s="364">
        <v>12</v>
      </c>
      <c r="V30" s="372" t="str">
        <f>IF($C30="","",U30*VLOOKUP($C30,ATELIER!$B$2:$F$109,4,0))</f>
        <v/>
      </c>
      <c r="W30" s="364">
        <v>13</v>
      </c>
      <c r="X30" s="372" t="str">
        <f>IF($C30="","",W30*VLOOKUP($C30,ATELIER!$B$2:$F$109,4,0))</f>
        <v/>
      </c>
      <c r="Y30" s="364">
        <v>14</v>
      </c>
      <c r="Z30" s="372" t="str">
        <f>IF($C30="","",Y30*VLOOKUP($C30,ATELIER!$B$2:$F$109,4,0))</f>
        <v/>
      </c>
      <c r="AA30" s="364">
        <v>15</v>
      </c>
      <c r="AB30" s="372" t="str">
        <f>IF($C30="","",AA30*VLOOKUP($C30,ATELIER!$B$2:$F$109,4,0))</f>
        <v/>
      </c>
      <c r="AC30" s="364">
        <v>16</v>
      </c>
      <c r="AD30" s="372" t="str">
        <f>IF($C30="","",AC30*VLOOKUP($C30,ATELIER!$B$2:$F$109,4,0))</f>
        <v/>
      </c>
      <c r="AE30" s="364">
        <v>17</v>
      </c>
      <c r="AF30" s="372" t="str">
        <f>IF($C30="","",AE30*VLOOKUP($C30,ATELIER!$B$2:$F$109,4,0))</f>
        <v/>
      </c>
      <c r="AG30" s="364">
        <v>18</v>
      </c>
      <c r="AH30" s="372" t="str">
        <f>IF($C30="","",AG30*VLOOKUP($C30,ATELIER!$B$2:$F$109,4,0))</f>
        <v/>
      </c>
      <c r="AI30" s="364">
        <v>19</v>
      </c>
      <c r="AJ30" s="372" t="str">
        <f>IF($C30="","",AI30*VLOOKUP($C30,ATELIER!$B$2:$F$109,4,0))</f>
        <v/>
      </c>
      <c r="AK30" s="364">
        <v>20</v>
      </c>
      <c r="AL30" s="372" t="str">
        <f>IF($C30="","",AK30*VLOOKUP($C30,ATELIER!$B$2:$F$109,4,0))</f>
        <v/>
      </c>
      <c r="AM30" s="364">
        <v>20</v>
      </c>
      <c r="AN30" s="372" t="str">
        <f>IF($C30="","",AM30*VLOOKUP($C30,ATELIER!$B$2:$F$109,4,0))</f>
        <v/>
      </c>
    </row>
    <row r="31" spans="1:40" ht="15" customHeight="1" x14ac:dyDescent="0.2">
      <c r="A31" s="1553"/>
      <c r="B31" s="361" t="str">
        <f>IF($C31="","",VLOOKUP($C31,ATELIER!$B$2:$F$109,2,0))</f>
        <v/>
      </c>
      <c r="C31" s="362"/>
      <c r="D31" s="363" t="str">
        <f>IF($C31="","",VLOOKUP($C31,ATELIER!$B$2:$E$109,3,0))</f>
        <v/>
      </c>
      <c r="E31" s="364">
        <v>5</v>
      </c>
      <c r="F31" s="372" t="str">
        <f>IF($C31="","",E31*VLOOKUP($C31,ATELIER!$B$2:$F$109,4,0))</f>
        <v/>
      </c>
      <c r="G31" s="364">
        <v>6</v>
      </c>
      <c r="H31" s="372" t="str">
        <f>IF($C31="","",G31*VLOOKUP($C31,ATELIER!$B$2:$F$109,4,0))</f>
        <v/>
      </c>
      <c r="I31" s="364">
        <v>7</v>
      </c>
      <c r="J31" s="372" t="str">
        <f>IF($C31="","",I31*VLOOKUP($C31,ATELIER!$B$2:$F$109,4,0))</f>
        <v/>
      </c>
      <c r="K31" s="364">
        <v>8</v>
      </c>
      <c r="L31" s="372" t="str">
        <f>IF($C31="","",K31*VLOOKUP($C31,ATELIER!$B$2:$F$109,4,0))</f>
        <v/>
      </c>
      <c r="M31" s="364">
        <v>9</v>
      </c>
      <c r="N31" s="372" t="str">
        <f>IF($C31="","",M31*VLOOKUP($C31,ATELIER!$B$2:$F$109,4,0))</f>
        <v/>
      </c>
      <c r="O31" s="364">
        <v>10</v>
      </c>
      <c r="P31" s="372" t="str">
        <f>IF($C31="","",O31*VLOOKUP($C31,ATELIER!$B$2:$F$109,4,0))</f>
        <v/>
      </c>
      <c r="Q31" s="364">
        <v>11</v>
      </c>
      <c r="R31" s="372" t="str">
        <f>IF($C31="","",Q31*VLOOKUP($C31,ATELIER!$B$2:$F$109,4,0))</f>
        <v/>
      </c>
      <c r="S31" s="364">
        <v>12</v>
      </c>
      <c r="T31" s="372" t="str">
        <f>IF($C31="","",S31*VLOOKUP($C31,ATELIER!$B$2:$F$109,4,0))</f>
        <v/>
      </c>
      <c r="U31" s="364">
        <v>13</v>
      </c>
      <c r="V31" s="372" t="str">
        <f>IF($C31="","",U31*VLOOKUP($C31,ATELIER!$B$2:$F$109,4,0))</f>
        <v/>
      </c>
      <c r="W31" s="364">
        <v>14</v>
      </c>
      <c r="X31" s="372" t="str">
        <f>IF($C31="","",W31*VLOOKUP($C31,ATELIER!$B$2:$F$109,4,0))</f>
        <v/>
      </c>
      <c r="Y31" s="364">
        <v>15</v>
      </c>
      <c r="Z31" s="372" t="str">
        <f>IF($C31="","",Y31*VLOOKUP($C31,ATELIER!$B$2:$F$109,4,0))</f>
        <v/>
      </c>
      <c r="AA31" s="364">
        <v>16</v>
      </c>
      <c r="AB31" s="372" t="str">
        <f>IF($C31="","",AA31*VLOOKUP($C31,ATELIER!$B$2:$F$109,4,0))</f>
        <v/>
      </c>
      <c r="AC31" s="364">
        <v>17</v>
      </c>
      <c r="AD31" s="372" t="str">
        <f>IF($C31="","",AC31*VLOOKUP($C31,ATELIER!$B$2:$F$109,4,0))</f>
        <v/>
      </c>
      <c r="AE31" s="364">
        <v>18</v>
      </c>
      <c r="AF31" s="372" t="str">
        <f>IF($C31="","",AE31*VLOOKUP($C31,ATELIER!$B$2:$F$109,4,0))</f>
        <v/>
      </c>
      <c r="AG31" s="364">
        <v>19</v>
      </c>
      <c r="AH31" s="372" t="str">
        <f>IF($C31="","",AG31*VLOOKUP($C31,ATELIER!$B$2:$F$109,4,0))</f>
        <v/>
      </c>
      <c r="AI31" s="364">
        <v>20</v>
      </c>
      <c r="AJ31" s="372" t="str">
        <f>IF($C31="","",AI31*VLOOKUP($C31,ATELIER!$B$2:$F$109,4,0))</f>
        <v/>
      </c>
      <c r="AK31" s="364">
        <v>21</v>
      </c>
      <c r="AL31" s="372" t="str">
        <f>IF($C31="","",AK31*VLOOKUP($C31,ATELIER!$B$2:$F$109,4,0))</f>
        <v/>
      </c>
      <c r="AM31" s="364">
        <v>21</v>
      </c>
      <c r="AN31" s="372" t="str">
        <f>IF($C31="","",AM31*VLOOKUP($C31,ATELIER!$B$2:$F$109,4,0))</f>
        <v/>
      </c>
    </row>
    <row r="32" spans="1:40" ht="15" customHeight="1" x14ac:dyDescent="0.2">
      <c r="A32" s="1553"/>
      <c r="B32" s="361" t="str">
        <f>IF($C32="","",VLOOKUP($C32,ATELIER!$B$2:$F$109,2,0))</f>
        <v/>
      </c>
      <c r="C32" s="362"/>
      <c r="D32" s="363" t="str">
        <f>IF($C32="","",VLOOKUP($C32,ATELIER!$B$2:$E$109,3,0))</f>
        <v/>
      </c>
      <c r="E32" s="364">
        <v>6</v>
      </c>
      <c r="F32" s="372" t="str">
        <f>IF($C32="","",E32*VLOOKUP($C32,ATELIER!$B$2:$F$109,4,0))</f>
        <v/>
      </c>
      <c r="G32" s="364">
        <v>7</v>
      </c>
      <c r="H32" s="372" t="str">
        <f>IF($C32="","",G32*VLOOKUP($C32,ATELIER!$B$2:$F$109,4,0))</f>
        <v/>
      </c>
      <c r="I32" s="364">
        <v>8</v>
      </c>
      <c r="J32" s="372" t="str">
        <f>IF($C32="","",I32*VLOOKUP($C32,ATELIER!$B$2:$F$109,4,0))</f>
        <v/>
      </c>
      <c r="K32" s="364">
        <v>9</v>
      </c>
      <c r="L32" s="372" t="str">
        <f>IF($C32="","",K32*VLOOKUP($C32,ATELIER!$B$2:$F$109,4,0))</f>
        <v/>
      </c>
      <c r="M32" s="364">
        <v>10</v>
      </c>
      <c r="N32" s="372" t="str">
        <f>IF($C32="","",M32*VLOOKUP($C32,ATELIER!$B$2:$F$109,4,0))</f>
        <v/>
      </c>
      <c r="O32" s="364">
        <v>11</v>
      </c>
      <c r="P32" s="372" t="str">
        <f>IF($C32="","",O32*VLOOKUP($C32,ATELIER!$B$2:$F$109,4,0))</f>
        <v/>
      </c>
      <c r="Q32" s="364">
        <v>12</v>
      </c>
      <c r="R32" s="372" t="str">
        <f>IF($C32="","",Q32*VLOOKUP($C32,ATELIER!$B$2:$F$109,4,0))</f>
        <v/>
      </c>
      <c r="S32" s="364">
        <v>13</v>
      </c>
      <c r="T32" s="372" t="str">
        <f>IF($C32="","",S32*VLOOKUP($C32,ATELIER!$B$2:$F$109,4,0))</f>
        <v/>
      </c>
      <c r="U32" s="364">
        <v>14</v>
      </c>
      <c r="V32" s="372" t="str">
        <f>IF($C32="","",U32*VLOOKUP($C32,ATELIER!$B$2:$F$109,4,0))</f>
        <v/>
      </c>
      <c r="W32" s="364">
        <v>15</v>
      </c>
      <c r="X32" s="372" t="str">
        <f>IF($C32="","",W32*VLOOKUP($C32,ATELIER!$B$2:$F$109,4,0))</f>
        <v/>
      </c>
      <c r="Y32" s="364">
        <v>16</v>
      </c>
      <c r="Z32" s="372" t="str">
        <f>IF($C32="","",Y32*VLOOKUP($C32,ATELIER!$B$2:$F$109,4,0))</f>
        <v/>
      </c>
      <c r="AA32" s="364">
        <v>17</v>
      </c>
      <c r="AB32" s="372" t="str">
        <f>IF($C32="","",AA32*VLOOKUP($C32,ATELIER!$B$2:$F$109,4,0))</f>
        <v/>
      </c>
      <c r="AC32" s="364">
        <v>18</v>
      </c>
      <c r="AD32" s="372" t="str">
        <f>IF($C32="","",AC32*VLOOKUP($C32,ATELIER!$B$2:$F$109,4,0))</f>
        <v/>
      </c>
      <c r="AE32" s="364">
        <v>19</v>
      </c>
      <c r="AF32" s="372" t="str">
        <f>IF($C32="","",AE32*VLOOKUP($C32,ATELIER!$B$2:$F$109,4,0))</f>
        <v/>
      </c>
      <c r="AG32" s="364">
        <v>20</v>
      </c>
      <c r="AH32" s="372" t="str">
        <f>IF($C32="","",AG32*VLOOKUP($C32,ATELIER!$B$2:$F$109,4,0))</f>
        <v/>
      </c>
      <c r="AI32" s="364">
        <v>21</v>
      </c>
      <c r="AJ32" s="372" t="str">
        <f>IF($C32="","",AI32*VLOOKUP($C32,ATELIER!$B$2:$F$109,4,0))</f>
        <v/>
      </c>
      <c r="AK32" s="364">
        <v>22</v>
      </c>
      <c r="AL32" s="372" t="str">
        <f>IF($C32="","",AK32*VLOOKUP($C32,ATELIER!$B$2:$F$109,4,0))</f>
        <v/>
      </c>
      <c r="AM32" s="364">
        <v>22</v>
      </c>
      <c r="AN32" s="372" t="str">
        <f>IF($C32="","",AM32*VLOOKUP($C32,ATELIER!$B$2:$F$109,4,0))</f>
        <v/>
      </c>
    </row>
    <row r="33" spans="1:42" ht="15" customHeight="1" x14ac:dyDescent="0.2">
      <c r="A33" s="1553"/>
      <c r="B33" s="361" t="str">
        <f>IF($C33="","",VLOOKUP($C33,ATELIER!$B$2:$F$109,2,0))</f>
        <v/>
      </c>
      <c r="C33" s="362"/>
      <c r="D33" s="363" t="str">
        <f>IF($C33="","",VLOOKUP($C33,ATELIER!$B$2:$E$109,3,0))</f>
        <v/>
      </c>
      <c r="E33" s="364">
        <v>7</v>
      </c>
      <c r="F33" s="372" t="str">
        <f>IF($C33="","",E33*VLOOKUP($C33,ATELIER!$B$2:$F$109,4,0))</f>
        <v/>
      </c>
      <c r="G33" s="364">
        <v>8</v>
      </c>
      <c r="H33" s="372" t="str">
        <f>IF($C33="","",G33*VLOOKUP($C33,ATELIER!$B$2:$F$109,4,0))</f>
        <v/>
      </c>
      <c r="I33" s="364">
        <v>9</v>
      </c>
      <c r="J33" s="372" t="str">
        <f>IF($C33="","",I33*VLOOKUP($C33,ATELIER!$B$2:$F$109,4,0))</f>
        <v/>
      </c>
      <c r="K33" s="364">
        <v>10</v>
      </c>
      <c r="L33" s="372" t="str">
        <f>IF($C33="","",K33*VLOOKUP($C33,ATELIER!$B$2:$F$109,4,0))</f>
        <v/>
      </c>
      <c r="M33" s="364">
        <v>11</v>
      </c>
      <c r="N33" s="372" t="str">
        <f>IF($C33="","",M33*VLOOKUP($C33,ATELIER!$B$2:$F$109,4,0))</f>
        <v/>
      </c>
      <c r="O33" s="364">
        <v>12</v>
      </c>
      <c r="P33" s="372" t="str">
        <f>IF($C33="","",O33*VLOOKUP($C33,ATELIER!$B$2:$F$109,4,0))</f>
        <v/>
      </c>
      <c r="Q33" s="364">
        <v>13</v>
      </c>
      <c r="R33" s="372" t="str">
        <f>IF($C33="","",Q33*VLOOKUP($C33,ATELIER!$B$2:$F$109,4,0))</f>
        <v/>
      </c>
      <c r="S33" s="364">
        <v>14</v>
      </c>
      <c r="T33" s="372" t="str">
        <f>IF($C33="","",S33*VLOOKUP($C33,ATELIER!$B$2:$F$109,4,0))</f>
        <v/>
      </c>
      <c r="U33" s="364">
        <v>15</v>
      </c>
      <c r="V33" s="372" t="str">
        <f>IF($C33="","",U33*VLOOKUP($C33,ATELIER!$B$2:$F$109,4,0))</f>
        <v/>
      </c>
      <c r="W33" s="364">
        <v>16</v>
      </c>
      <c r="X33" s="372" t="str">
        <f>IF($C33="","",W33*VLOOKUP($C33,ATELIER!$B$2:$F$109,4,0))</f>
        <v/>
      </c>
      <c r="Y33" s="364">
        <v>17</v>
      </c>
      <c r="Z33" s="372" t="str">
        <f>IF($C33="","",Y33*VLOOKUP($C33,ATELIER!$B$2:$F$109,4,0))</f>
        <v/>
      </c>
      <c r="AA33" s="364">
        <v>18</v>
      </c>
      <c r="AB33" s="372" t="str">
        <f>IF($C33="","",AA33*VLOOKUP($C33,ATELIER!$B$2:$F$109,4,0))</f>
        <v/>
      </c>
      <c r="AC33" s="364">
        <v>19</v>
      </c>
      <c r="AD33" s="372" t="str">
        <f>IF($C33="","",AC33*VLOOKUP($C33,ATELIER!$B$2:$F$109,4,0))</f>
        <v/>
      </c>
      <c r="AE33" s="364">
        <v>20</v>
      </c>
      <c r="AF33" s="372" t="str">
        <f>IF($C33="","",AE33*VLOOKUP($C33,ATELIER!$B$2:$F$109,4,0))</f>
        <v/>
      </c>
      <c r="AG33" s="364">
        <v>21</v>
      </c>
      <c r="AH33" s="372" t="str">
        <f>IF($C33="","",AG33*VLOOKUP($C33,ATELIER!$B$2:$F$109,4,0))</f>
        <v/>
      </c>
      <c r="AI33" s="364">
        <v>22</v>
      </c>
      <c r="AJ33" s="372" t="str">
        <f>IF($C33="","",AI33*VLOOKUP($C33,ATELIER!$B$2:$F$109,4,0))</f>
        <v/>
      </c>
      <c r="AK33" s="364">
        <v>23</v>
      </c>
      <c r="AL33" s="372" t="str">
        <f>IF($C33="","",AK33*VLOOKUP($C33,ATELIER!$B$2:$F$109,4,0))</f>
        <v/>
      </c>
      <c r="AM33" s="364">
        <v>23</v>
      </c>
      <c r="AN33" s="372" t="str">
        <f>IF($C33="","",AM33*VLOOKUP($C33,ATELIER!$B$2:$F$109,4,0))</f>
        <v/>
      </c>
    </row>
    <row r="34" spans="1:42" ht="15" customHeight="1" x14ac:dyDescent="0.2">
      <c r="A34" s="1553"/>
      <c r="B34" s="361" t="str">
        <f>IF($C34="","",VLOOKUP($C34,ATELIER!$B$2:$F$109,2,0))</f>
        <v/>
      </c>
      <c r="C34" s="362"/>
      <c r="D34" s="363" t="str">
        <f>IF($C34="","",VLOOKUP($C34,ATELIER!$B$2:$E$109,3,0))</f>
        <v/>
      </c>
      <c r="E34" s="364">
        <v>8</v>
      </c>
      <c r="F34" s="372" t="str">
        <f>IF($C34="","",E34*VLOOKUP($C34,ATELIER!$B$2:$F$109,4,0))</f>
        <v/>
      </c>
      <c r="G34" s="364">
        <v>9</v>
      </c>
      <c r="H34" s="372" t="str">
        <f>IF($C34="","",G34*VLOOKUP($C34,ATELIER!$B$2:$F$109,4,0))</f>
        <v/>
      </c>
      <c r="I34" s="364">
        <v>10</v>
      </c>
      <c r="J34" s="372" t="str">
        <f>IF($C34="","",I34*VLOOKUP($C34,ATELIER!$B$2:$F$109,4,0))</f>
        <v/>
      </c>
      <c r="K34" s="364">
        <v>11</v>
      </c>
      <c r="L34" s="372" t="str">
        <f>IF($C34="","",K34*VLOOKUP($C34,ATELIER!$B$2:$F$109,4,0))</f>
        <v/>
      </c>
      <c r="M34" s="364">
        <v>12</v>
      </c>
      <c r="N34" s="372" t="str">
        <f>IF($C34="","",M34*VLOOKUP($C34,ATELIER!$B$2:$F$109,4,0))</f>
        <v/>
      </c>
      <c r="O34" s="364">
        <v>13</v>
      </c>
      <c r="P34" s="372" t="str">
        <f>IF($C34="","",O34*VLOOKUP($C34,ATELIER!$B$2:$F$109,4,0))</f>
        <v/>
      </c>
      <c r="Q34" s="364">
        <v>14</v>
      </c>
      <c r="R34" s="372" t="str">
        <f>IF($C34="","",Q34*VLOOKUP($C34,ATELIER!$B$2:$F$109,4,0))</f>
        <v/>
      </c>
      <c r="S34" s="364">
        <v>15</v>
      </c>
      <c r="T34" s="372" t="str">
        <f>IF($C34="","",S34*VLOOKUP($C34,ATELIER!$B$2:$F$109,4,0))</f>
        <v/>
      </c>
      <c r="U34" s="364">
        <v>16</v>
      </c>
      <c r="V34" s="372" t="str">
        <f>IF($C34="","",U34*VLOOKUP($C34,ATELIER!$B$2:$F$109,4,0))</f>
        <v/>
      </c>
      <c r="W34" s="364">
        <v>17</v>
      </c>
      <c r="X34" s="372" t="str">
        <f>IF($C34="","",W34*VLOOKUP($C34,ATELIER!$B$2:$F$109,4,0))</f>
        <v/>
      </c>
      <c r="Y34" s="364">
        <v>18</v>
      </c>
      <c r="Z34" s="372" t="str">
        <f>IF($C34="","",Y34*VLOOKUP($C34,ATELIER!$B$2:$F$109,4,0))</f>
        <v/>
      </c>
      <c r="AA34" s="364">
        <v>19</v>
      </c>
      <c r="AB34" s="372" t="str">
        <f>IF($C34="","",AA34*VLOOKUP($C34,ATELIER!$B$2:$F$109,4,0))</f>
        <v/>
      </c>
      <c r="AC34" s="364">
        <v>20</v>
      </c>
      <c r="AD34" s="372" t="str">
        <f>IF($C34="","",AC34*VLOOKUP($C34,ATELIER!$B$2:$F$109,4,0))</f>
        <v/>
      </c>
      <c r="AE34" s="364">
        <v>21</v>
      </c>
      <c r="AF34" s="372" t="str">
        <f>IF($C34="","",AE34*VLOOKUP($C34,ATELIER!$B$2:$F$109,4,0))</f>
        <v/>
      </c>
      <c r="AG34" s="364">
        <v>22</v>
      </c>
      <c r="AH34" s="372" t="str">
        <f>IF($C34="","",AG34*VLOOKUP($C34,ATELIER!$B$2:$F$109,4,0))</f>
        <v/>
      </c>
      <c r="AI34" s="364">
        <v>23</v>
      </c>
      <c r="AJ34" s="372" t="str">
        <f>IF($C34="","",AI34*VLOOKUP($C34,ATELIER!$B$2:$F$109,4,0))</f>
        <v/>
      </c>
      <c r="AK34" s="364">
        <v>24</v>
      </c>
      <c r="AL34" s="372" t="str">
        <f>IF($C34="","",AK34*VLOOKUP($C34,ATELIER!$B$2:$F$109,4,0))</f>
        <v/>
      </c>
      <c r="AM34" s="364">
        <v>24</v>
      </c>
      <c r="AN34" s="372" t="str">
        <f>IF($C34="","",AM34*VLOOKUP($C34,ATELIER!$B$2:$F$109,4,0))</f>
        <v/>
      </c>
      <c r="AO34" s="222"/>
      <c r="AP34" s="223"/>
    </row>
    <row r="35" spans="1:42" ht="15" customHeight="1" x14ac:dyDescent="0.2">
      <c r="A35" s="1553"/>
      <c r="B35" s="361" t="str">
        <f>IF($C35="","",VLOOKUP($C35,ATELIER!$B$2:$F$109,2,0))</f>
        <v/>
      </c>
      <c r="C35" s="362"/>
      <c r="D35" s="363" t="str">
        <f>IF($C35="","",VLOOKUP($C35,ATELIER!$B$2:$E$109,3,0))</f>
        <v/>
      </c>
      <c r="E35" s="364">
        <v>9</v>
      </c>
      <c r="F35" s="372" t="str">
        <f>IF($C35="","",E35*VLOOKUP($C35,ATELIER!$B$2:$F$109,4,0))</f>
        <v/>
      </c>
      <c r="G35" s="364">
        <v>10</v>
      </c>
      <c r="H35" s="372" t="str">
        <f>IF($C35="","",G35*VLOOKUP($C35,ATELIER!$B$2:$F$109,4,0))</f>
        <v/>
      </c>
      <c r="I35" s="364">
        <v>11</v>
      </c>
      <c r="J35" s="372" t="str">
        <f>IF($C35="","",I35*VLOOKUP($C35,ATELIER!$B$2:$F$109,4,0))</f>
        <v/>
      </c>
      <c r="K35" s="364">
        <v>12</v>
      </c>
      <c r="L35" s="372" t="str">
        <f>IF($C35="","",K35*VLOOKUP($C35,ATELIER!$B$2:$F$109,4,0))</f>
        <v/>
      </c>
      <c r="M35" s="364">
        <v>13</v>
      </c>
      <c r="N35" s="372" t="str">
        <f>IF($C35="","",M35*VLOOKUP($C35,ATELIER!$B$2:$F$109,4,0))</f>
        <v/>
      </c>
      <c r="O35" s="364">
        <v>14</v>
      </c>
      <c r="P35" s="372" t="str">
        <f>IF($C35="","",O35*VLOOKUP($C35,ATELIER!$B$2:$F$109,4,0))</f>
        <v/>
      </c>
      <c r="Q35" s="364">
        <v>15</v>
      </c>
      <c r="R35" s="372" t="str">
        <f>IF($C35="","",Q35*VLOOKUP($C35,ATELIER!$B$2:$F$109,4,0))</f>
        <v/>
      </c>
      <c r="S35" s="364">
        <v>16</v>
      </c>
      <c r="T35" s="372" t="str">
        <f>IF($C35="","",S35*VLOOKUP($C35,ATELIER!$B$2:$F$109,4,0))</f>
        <v/>
      </c>
      <c r="U35" s="364">
        <v>17</v>
      </c>
      <c r="V35" s="372" t="str">
        <f>IF($C35="","",U35*VLOOKUP($C35,ATELIER!$B$2:$F$109,4,0))</f>
        <v/>
      </c>
      <c r="W35" s="364">
        <v>18</v>
      </c>
      <c r="X35" s="372" t="str">
        <f>IF($C35="","",W35*VLOOKUP($C35,ATELIER!$B$2:$F$109,4,0))</f>
        <v/>
      </c>
      <c r="Y35" s="364">
        <v>19</v>
      </c>
      <c r="Z35" s="372" t="str">
        <f>IF($C35="","",Y35*VLOOKUP($C35,ATELIER!$B$2:$F$109,4,0))</f>
        <v/>
      </c>
      <c r="AA35" s="364">
        <v>20</v>
      </c>
      <c r="AB35" s="372" t="str">
        <f>IF($C35="","",AA35*VLOOKUP($C35,ATELIER!$B$2:$F$109,4,0))</f>
        <v/>
      </c>
      <c r="AC35" s="364">
        <v>21</v>
      </c>
      <c r="AD35" s="372" t="str">
        <f>IF($C35="","",AC35*VLOOKUP($C35,ATELIER!$B$2:$F$109,4,0))</f>
        <v/>
      </c>
      <c r="AE35" s="364">
        <v>22</v>
      </c>
      <c r="AF35" s="372" t="str">
        <f>IF($C35="","",AE35*VLOOKUP($C35,ATELIER!$B$2:$F$109,4,0))</f>
        <v/>
      </c>
      <c r="AG35" s="364">
        <v>23</v>
      </c>
      <c r="AH35" s="372" t="str">
        <f>IF($C35="","",AG35*VLOOKUP($C35,ATELIER!$B$2:$F$109,4,0))</f>
        <v/>
      </c>
      <c r="AI35" s="364">
        <v>24</v>
      </c>
      <c r="AJ35" s="372" t="str">
        <f>IF($C35="","",AI35*VLOOKUP($C35,ATELIER!$B$2:$F$109,4,0))</f>
        <v/>
      </c>
      <c r="AK35" s="364">
        <v>25</v>
      </c>
      <c r="AL35" s="372" t="str">
        <f>IF($C35="","",AK35*VLOOKUP($C35,ATELIER!$B$2:$F$109,4,0))</f>
        <v/>
      </c>
      <c r="AM35" s="364">
        <v>26</v>
      </c>
      <c r="AN35" s="372" t="str">
        <f>IF($C35="","",AM35*VLOOKUP($C35,ATELIER!$B$2:$F$109,4,0))</f>
        <v/>
      </c>
      <c r="AO35" s="203"/>
      <c r="AP35" s="158"/>
    </row>
    <row r="36" spans="1:42" ht="15" customHeight="1" x14ac:dyDescent="0.2">
      <c r="A36" s="1553"/>
      <c r="B36" s="361" t="str">
        <f>IF($C36="","",VLOOKUP($C36,ATELIER!$B$2:$F$109,2,0))</f>
        <v/>
      </c>
      <c r="C36" s="362"/>
      <c r="D36" s="363" t="str">
        <f>IF($C36="","",VLOOKUP($C36,ATELIER!$B$2:$E$109,3,0))</f>
        <v/>
      </c>
      <c r="E36" s="364">
        <v>10</v>
      </c>
      <c r="F36" s="372" t="str">
        <f>IF($C36="","",E36*VLOOKUP($C36,ATELIER!$B$2:$F$109,4,0))</f>
        <v/>
      </c>
      <c r="G36" s="364">
        <v>11</v>
      </c>
      <c r="H36" s="372" t="str">
        <f>IF($C36="","",G36*VLOOKUP($C36,ATELIER!$B$2:$F$109,4,0))</f>
        <v/>
      </c>
      <c r="I36" s="364">
        <v>12</v>
      </c>
      <c r="J36" s="372" t="str">
        <f>IF($C36="","",I36*VLOOKUP($C36,ATELIER!$B$2:$F$109,4,0))</f>
        <v/>
      </c>
      <c r="K36" s="364">
        <v>13</v>
      </c>
      <c r="L36" s="372" t="str">
        <f>IF($C36="","",K36*VLOOKUP($C36,ATELIER!$B$2:$F$109,4,0))</f>
        <v/>
      </c>
      <c r="M36" s="364">
        <v>14</v>
      </c>
      <c r="N36" s="372" t="str">
        <f>IF($C36="","",M36*VLOOKUP($C36,ATELIER!$B$2:$F$109,4,0))</f>
        <v/>
      </c>
      <c r="O36" s="364">
        <v>15</v>
      </c>
      <c r="P36" s="372" t="str">
        <f>IF($C36="","",O36*VLOOKUP($C36,ATELIER!$B$2:$F$109,4,0))</f>
        <v/>
      </c>
      <c r="Q36" s="364">
        <v>16</v>
      </c>
      <c r="R36" s="372" t="str">
        <f>IF($C36="","",Q36*VLOOKUP($C36,ATELIER!$B$2:$F$109,4,0))</f>
        <v/>
      </c>
      <c r="S36" s="364">
        <v>17</v>
      </c>
      <c r="T36" s="372" t="str">
        <f>IF($C36="","",S36*VLOOKUP($C36,ATELIER!$B$2:$F$109,4,0))</f>
        <v/>
      </c>
      <c r="U36" s="364">
        <v>18</v>
      </c>
      <c r="V36" s="372" t="str">
        <f>IF($C36="","",U36*VLOOKUP($C36,ATELIER!$B$2:$F$109,4,0))</f>
        <v/>
      </c>
      <c r="W36" s="364">
        <v>19</v>
      </c>
      <c r="X36" s="372" t="str">
        <f>IF($C36="","",W36*VLOOKUP($C36,ATELIER!$B$2:$F$109,4,0))</f>
        <v/>
      </c>
      <c r="Y36" s="364">
        <v>20</v>
      </c>
      <c r="Z36" s="372" t="str">
        <f>IF($C36="","",Y36*VLOOKUP($C36,ATELIER!$B$2:$F$109,4,0))</f>
        <v/>
      </c>
      <c r="AA36" s="364">
        <v>21</v>
      </c>
      <c r="AB36" s="372" t="str">
        <f>IF($C36="","",AA36*VLOOKUP($C36,ATELIER!$B$2:$F$109,4,0))</f>
        <v/>
      </c>
      <c r="AC36" s="364">
        <v>22</v>
      </c>
      <c r="AD36" s="372" t="str">
        <f>IF($C36="","",AC36*VLOOKUP($C36,ATELIER!$B$2:$F$109,4,0))</f>
        <v/>
      </c>
      <c r="AE36" s="364">
        <v>23</v>
      </c>
      <c r="AF36" s="372" t="str">
        <f>IF($C36="","",AE36*VLOOKUP($C36,ATELIER!$B$2:$F$109,4,0))</f>
        <v/>
      </c>
      <c r="AG36" s="364">
        <v>24</v>
      </c>
      <c r="AH36" s="372" t="str">
        <f>IF($C36="","",AG36*VLOOKUP($C36,ATELIER!$B$2:$F$109,4,0))</f>
        <v/>
      </c>
      <c r="AI36" s="364">
        <v>25</v>
      </c>
      <c r="AJ36" s="372" t="str">
        <f>IF($C36="","",AI36*VLOOKUP($C36,ATELIER!$B$2:$F$109,4,0))</f>
        <v/>
      </c>
      <c r="AK36" s="364">
        <v>26</v>
      </c>
      <c r="AL36" s="372" t="str">
        <f>IF($C36="","",AK36*VLOOKUP($C36,ATELIER!$B$2:$F$109,4,0))</f>
        <v/>
      </c>
      <c r="AM36" s="364">
        <v>26</v>
      </c>
      <c r="AN36" s="372" t="str">
        <f>IF($C36="","",AM36*VLOOKUP($C36,ATELIER!$B$2:$F$109,4,0))</f>
        <v/>
      </c>
      <c r="AO36" s="203"/>
      <c r="AP36" s="158"/>
    </row>
    <row r="37" spans="1:42" ht="15" customHeight="1" x14ac:dyDescent="0.2">
      <c r="A37" s="1553"/>
      <c r="B37" s="361" t="str">
        <f>IF($C37="","",VLOOKUP($C37,ATELIER!$B$2:$F$109,2,0))</f>
        <v/>
      </c>
      <c r="C37" s="362"/>
      <c r="D37" s="363" t="str">
        <f>IF($C37="","",VLOOKUP($C37,ATELIER!$B$2:$E$109,3,0))</f>
        <v/>
      </c>
      <c r="E37" s="364">
        <v>11</v>
      </c>
      <c r="F37" s="372" t="str">
        <f>IF($C37="","",E37*VLOOKUP($C37,ATELIER!$B$2:$F$109,4,0))</f>
        <v/>
      </c>
      <c r="G37" s="364">
        <v>12</v>
      </c>
      <c r="H37" s="372" t="str">
        <f>IF($C37="","",G37*VLOOKUP($C37,ATELIER!$B$2:$F$109,4,0))</f>
        <v/>
      </c>
      <c r="I37" s="364">
        <v>13</v>
      </c>
      <c r="J37" s="372" t="str">
        <f>IF($C37="","",I37*VLOOKUP($C37,ATELIER!$B$2:$F$109,4,0))</f>
        <v/>
      </c>
      <c r="K37" s="364">
        <v>14</v>
      </c>
      <c r="L37" s="372" t="str">
        <f>IF($C37="","",K37*VLOOKUP($C37,ATELIER!$B$2:$F$109,4,0))</f>
        <v/>
      </c>
      <c r="M37" s="364">
        <v>15</v>
      </c>
      <c r="N37" s="372" t="str">
        <f>IF($C37="","",M37*VLOOKUP($C37,ATELIER!$B$2:$F$109,4,0))</f>
        <v/>
      </c>
      <c r="O37" s="364">
        <v>16</v>
      </c>
      <c r="P37" s="372" t="str">
        <f>IF($C37="","",O37*VLOOKUP($C37,ATELIER!$B$2:$F$109,4,0))</f>
        <v/>
      </c>
      <c r="Q37" s="364">
        <v>17</v>
      </c>
      <c r="R37" s="372" t="str">
        <f>IF($C37="","",Q37*VLOOKUP($C37,ATELIER!$B$2:$F$109,4,0))</f>
        <v/>
      </c>
      <c r="S37" s="364">
        <v>18</v>
      </c>
      <c r="T37" s="372" t="str">
        <f>IF($C37="","",S37*VLOOKUP($C37,ATELIER!$B$2:$F$109,4,0))</f>
        <v/>
      </c>
      <c r="U37" s="364">
        <v>19</v>
      </c>
      <c r="V37" s="372" t="str">
        <f>IF($C37="","",U37*VLOOKUP($C37,ATELIER!$B$2:$F$109,4,0))</f>
        <v/>
      </c>
      <c r="W37" s="364">
        <v>20</v>
      </c>
      <c r="X37" s="372" t="str">
        <f>IF($C37="","",W37*VLOOKUP($C37,ATELIER!$B$2:$F$109,4,0))</f>
        <v/>
      </c>
      <c r="Y37" s="364">
        <v>21</v>
      </c>
      <c r="Z37" s="372" t="str">
        <f>IF($C37="","",Y37*VLOOKUP($C37,ATELIER!$B$2:$F$109,4,0))</f>
        <v/>
      </c>
      <c r="AA37" s="364">
        <v>22</v>
      </c>
      <c r="AB37" s="372" t="str">
        <f>IF($C37="","",AA37*VLOOKUP($C37,ATELIER!$B$2:$F$109,4,0))</f>
        <v/>
      </c>
      <c r="AC37" s="364">
        <v>23</v>
      </c>
      <c r="AD37" s="372" t="str">
        <f>IF($C37="","",AC37*VLOOKUP($C37,ATELIER!$B$2:$F$109,4,0))</f>
        <v/>
      </c>
      <c r="AE37" s="364">
        <v>24</v>
      </c>
      <c r="AF37" s="372" t="str">
        <f>IF($C37="","",AE37*VLOOKUP($C37,ATELIER!$B$2:$F$109,4,0))</f>
        <v/>
      </c>
      <c r="AG37" s="364">
        <v>25</v>
      </c>
      <c r="AH37" s="372" t="str">
        <f>IF($C37="","",AG37*VLOOKUP($C37,ATELIER!$B$2:$F$109,4,0))</f>
        <v/>
      </c>
      <c r="AI37" s="364">
        <v>26</v>
      </c>
      <c r="AJ37" s="372" t="str">
        <f>IF($C37="","",AI37*VLOOKUP($C37,ATELIER!$B$2:$F$109,4,0))</f>
        <v/>
      </c>
      <c r="AK37" s="364">
        <v>27</v>
      </c>
      <c r="AL37" s="372" t="str">
        <f>IF($C37="","",AK37*VLOOKUP($C37,ATELIER!$B$2:$F$109,4,0))</f>
        <v/>
      </c>
      <c r="AM37" s="364">
        <v>27</v>
      </c>
      <c r="AN37" s="372" t="str">
        <f>IF($C37="","",AM37*VLOOKUP($C37,ATELIER!$B$2:$F$109,4,0))</f>
        <v/>
      </c>
      <c r="AO37" s="155"/>
      <c r="AP37" s="155"/>
    </row>
    <row r="38" spans="1:42" ht="35.25" customHeight="1" x14ac:dyDescent="0.2">
      <c r="A38" s="1553"/>
      <c r="B38" s="375" t="s">
        <v>449</v>
      </c>
      <c r="C38" s="376" t="s">
        <v>450</v>
      </c>
      <c r="D38" s="377" t="s">
        <v>451</v>
      </c>
      <c r="E38" s="376" t="e">
        <f>F38*Simulation!$P$8</f>
        <v>#N/A</v>
      </c>
      <c r="F38" s="377" t="e">
        <f>SUM(F27:F37)</f>
        <v>#N/A</v>
      </c>
      <c r="G38" s="376" t="e">
        <f>H38*Simulation!$P$8</f>
        <v>#N/A</v>
      </c>
      <c r="H38" s="377" t="e">
        <f>SUM(H27:H37)</f>
        <v>#N/A</v>
      </c>
      <c r="I38" s="376" t="e">
        <f>J38*Simulation!$P$8</f>
        <v>#N/A</v>
      </c>
      <c r="J38" s="377" t="e">
        <f>SUM(J27:J37)</f>
        <v>#N/A</v>
      </c>
      <c r="K38" s="376" t="e">
        <f>L38*Simulation!$P$8</f>
        <v>#N/A</v>
      </c>
      <c r="L38" s="377" t="e">
        <f>SUM(L27:L37)</f>
        <v>#N/A</v>
      </c>
      <c r="M38" s="376" t="e">
        <f>N38*Simulation!$P$8</f>
        <v>#N/A</v>
      </c>
      <c r="N38" s="377" t="e">
        <f>SUM(N27:N37)</f>
        <v>#N/A</v>
      </c>
      <c r="O38" s="376" t="e">
        <f>P38*Simulation!$P$8</f>
        <v>#N/A</v>
      </c>
      <c r="P38" s="377" t="e">
        <f>SUM(P27:P37)</f>
        <v>#N/A</v>
      </c>
      <c r="Q38" s="376" t="e">
        <f>R38*Simulation!$P$8</f>
        <v>#N/A</v>
      </c>
      <c r="R38" s="377" t="e">
        <f>SUM(R27:R37)</f>
        <v>#N/A</v>
      </c>
      <c r="S38" s="376" t="e">
        <f>T38*Simulation!$P$8</f>
        <v>#N/A</v>
      </c>
      <c r="T38" s="377" t="e">
        <f>SUM(T27:T37)</f>
        <v>#N/A</v>
      </c>
      <c r="U38" s="376" t="e">
        <f>V38*Simulation!$P$8</f>
        <v>#N/A</v>
      </c>
      <c r="V38" s="377" t="e">
        <f>SUM(V27:V37)</f>
        <v>#N/A</v>
      </c>
      <c r="W38" s="376" t="e">
        <f>X38*Simulation!$P$8</f>
        <v>#N/A</v>
      </c>
      <c r="X38" s="377" t="e">
        <f>SUM(X27:X37)</f>
        <v>#N/A</v>
      </c>
      <c r="Y38" s="376" t="e">
        <f>Z38*Simulation!$P$8</f>
        <v>#N/A</v>
      </c>
      <c r="Z38" s="377" t="e">
        <f>SUM(Z27:Z37)</f>
        <v>#N/A</v>
      </c>
      <c r="AA38" s="376" t="e">
        <f>AB38*Simulation!$P$8</f>
        <v>#N/A</v>
      </c>
      <c r="AB38" s="377" t="e">
        <f>SUM(AB27:AB37)</f>
        <v>#N/A</v>
      </c>
      <c r="AC38" s="376" t="e">
        <f>AD38*Simulation!$P$8</f>
        <v>#N/A</v>
      </c>
      <c r="AD38" s="377" t="e">
        <f>SUM(AD27:AD37)</f>
        <v>#N/A</v>
      </c>
      <c r="AE38" s="376" t="e">
        <f>AF38*Simulation!$P$8</f>
        <v>#N/A</v>
      </c>
      <c r="AF38" s="377" t="e">
        <f>SUM(AF27:AF37)</f>
        <v>#N/A</v>
      </c>
      <c r="AG38" s="376" t="e">
        <f>AH38*Simulation!$P$8</f>
        <v>#N/A</v>
      </c>
      <c r="AH38" s="377" t="e">
        <f>SUM(AH27:AH37)</f>
        <v>#N/A</v>
      </c>
      <c r="AI38" s="376" t="e">
        <f>AJ38*Simulation!$P$8</f>
        <v>#N/A</v>
      </c>
      <c r="AJ38" s="377" t="e">
        <f>SUM(AJ27:AJ37)</f>
        <v>#N/A</v>
      </c>
      <c r="AK38" s="376" t="e">
        <f>AL38*Simulation!$P$8</f>
        <v>#N/A</v>
      </c>
      <c r="AL38" s="377" t="e">
        <f>SUM(AL27:AL37)</f>
        <v>#N/A</v>
      </c>
      <c r="AM38" s="376" t="e">
        <f>AN38*Simulation!$P$8</f>
        <v>#N/A</v>
      </c>
      <c r="AN38" s="377" t="e">
        <f>SUM(AN27:AN37)</f>
        <v>#N/A</v>
      </c>
      <c r="AO38" s="224"/>
      <c r="AP38" s="224"/>
    </row>
    <row r="39" spans="1:42" ht="15" customHeight="1" x14ac:dyDescent="0.2">
      <c r="A39" s="1554" t="s">
        <v>452</v>
      </c>
      <c r="B39" s="361" t="s">
        <v>1082</v>
      </c>
      <c r="C39" s="378" t="s">
        <v>378</v>
      </c>
      <c r="D39" s="363" t="str">
        <f>IF(C39="","",VLOOKUP($C39,CHANTIER!$A$2:$C$83,3,0))</f>
        <v>forfait</v>
      </c>
      <c r="E39" s="364">
        <v>1</v>
      </c>
      <c r="F39" s="372">
        <f>IF($C39="","",E39*VLOOKUP($C39,CHANTIER!$A$2:$D$83,4,0))</f>
        <v>0.25</v>
      </c>
      <c r="G39" s="364">
        <v>2</v>
      </c>
      <c r="H39" s="372">
        <f>IF($C39="","",G39*VLOOKUP($C39,CHANTIER!$A$2:$D$83,4,0))</f>
        <v>0.5</v>
      </c>
      <c r="I39" s="364">
        <v>3</v>
      </c>
      <c r="J39" s="372">
        <f>IF($C39="","",I39*VLOOKUP($C39,CHANTIER!$A$2:$D$83,4,0))</f>
        <v>0.75</v>
      </c>
      <c r="K39" s="364">
        <v>4</v>
      </c>
      <c r="L39" s="372">
        <f>IF($C39="","",K39*VLOOKUP($C39,CHANTIER!$A$2:$D$83,4,0))</f>
        <v>1</v>
      </c>
      <c r="M39" s="364">
        <v>5</v>
      </c>
      <c r="N39" s="372">
        <f>IF($C39="","",M39*VLOOKUP($C39,CHANTIER!$A$2:$D$83,4,0))</f>
        <v>1.25</v>
      </c>
      <c r="O39" s="364">
        <v>6</v>
      </c>
      <c r="P39" s="372">
        <f>IF($C39="","",O39*VLOOKUP($C39,CHANTIER!$A$2:$D$83,4,0))</f>
        <v>1.5</v>
      </c>
      <c r="Q39" s="364">
        <v>7</v>
      </c>
      <c r="R39" s="372">
        <f>IF($C39="","",Q39*VLOOKUP($C39,CHANTIER!$A$2:$D$83,4,0))</f>
        <v>1.75</v>
      </c>
      <c r="S39" s="364">
        <v>8</v>
      </c>
      <c r="T39" s="372">
        <f>IF($C39="","",S39*VLOOKUP($C39,CHANTIER!$A$2:$D$83,4,0))</f>
        <v>2</v>
      </c>
      <c r="U39" s="364">
        <v>9</v>
      </c>
      <c r="V39" s="372">
        <f>IF($C39="","",U39*VLOOKUP($C39,CHANTIER!$A$2:$D$83,4,0))</f>
        <v>2.25</v>
      </c>
      <c r="W39" s="364">
        <v>10</v>
      </c>
      <c r="X39" s="372">
        <f>IF($C39="","",W39*VLOOKUP($C39,CHANTIER!$A$2:$D$83,4,0))</f>
        <v>2.5</v>
      </c>
      <c r="Y39" s="364">
        <v>11</v>
      </c>
      <c r="Z39" s="372">
        <f>IF($C39="","",Y39*VLOOKUP($C39,CHANTIER!$A$2:$D$83,4,0))</f>
        <v>2.75</v>
      </c>
      <c r="AA39" s="364">
        <v>12</v>
      </c>
      <c r="AB39" s="372">
        <f>IF($C39="","",AA39*VLOOKUP($C39,CHANTIER!$A$2:$D$83,4,0))</f>
        <v>3</v>
      </c>
      <c r="AC39" s="364">
        <v>13</v>
      </c>
      <c r="AD39" s="372">
        <f>IF($C39="","",AC39*VLOOKUP($C39,CHANTIER!$A$2:$D$83,4,0))</f>
        <v>3.25</v>
      </c>
      <c r="AE39" s="364">
        <v>14</v>
      </c>
      <c r="AF39" s="372">
        <f>IF($C39="","",AE39*VLOOKUP($C39,CHANTIER!$A$2:$D$83,4,0))</f>
        <v>3.5</v>
      </c>
      <c r="AG39" s="364">
        <v>15</v>
      </c>
      <c r="AH39" s="372">
        <f>IF($C39="","",AG39*VLOOKUP($C39,CHANTIER!$A$2:$D$83,4,0))</f>
        <v>3.75</v>
      </c>
      <c r="AI39" s="364">
        <v>16</v>
      </c>
      <c r="AJ39" s="372">
        <f>IF($C39="","",AI39*VLOOKUP($C39,CHANTIER!$A$2:$D$83,4,0))</f>
        <v>4</v>
      </c>
      <c r="AK39" s="364">
        <v>17</v>
      </c>
      <c r="AL39" s="372">
        <f>IF($C39="","",AK39*VLOOKUP($C39,CHANTIER!$A$2:$D$83,4,0))</f>
        <v>4.25</v>
      </c>
      <c r="AM39" s="364">
        <v>17</v>
      </c>
      <c r="AN39" s="372">
        <f>IF($C39="","",AM39*VLOOKUP($C39,CHANTIER!$A$2:$D$83,4,0))</f>
        <v>4.25</v>
      </c>
      <c r="AO39" s="224"/>
      <c r="AP39" s="224"/>
    </row>
    <row r="40" spans="1:42" ht="15" customHeight="1" x14ac:dyDescent="0.2">
      <c r="A40" s="1554"/>
      <c r="B40" s="361"/>
      <c r="C40" s="378"/>
      <c r="D40" s="363" t="str">
        <f>IF(C40="","",VLOOKUP($C40,CHANTIER!$A$2:$C$83,3,0))</f>
        <v/>
      </c>
      <c r="E40" s="364">
        <v>2</v>
      </c>
      <c r="F40" s="372" t="str">
        <f>IF($C40="","",E40*VLOOKUP($C40,CHANTIER!$A$2:$D$83,4,0))</f>
        <v/>
      </c>
      <c r="G40" s="364">
        <v>3</v>
      </c>
      <c r="H40" s="372" t="str">
        <f>IF($C40="","",G40*VLOOKUP($C40,CHANTIER!$A$2:$D$83,4,0))</f>
        <v/>
      </c>
      <c r="I40" s="364">
        <v>4</v>
      </c>
      <c r="J40" s="372" t="str">
        <f>IF($C40="","",I40*VLOOKUP($C40,CHANTIER!$A$2:$D$83,4,0))</f>
        <v/>
      </c>
      <c r="K40" s="364">
        <v>5</v>
      </c>
      <c r="L40" s="372" t="str">
        <f>IF($C40="","",K40*VLOOKUP($C40,CHANTIER!$A$2:$D$83,4,0))</f>
        <v/>
      </c>
      <c r="M40" s="364">
        <v>6</v>
      </c>
      <c r="N40" s="372" t="str">
        <f>IF($C40="","",M40*VLOOKUP($C40,CHANTIER!$A$2:$D$83,4,0))</f>
        <v/>
      </c>
      <c r="O40" s="364">
        <v>7</v>
      </c>
      <c r="P40" s="372" t="str">
        <f>IF($C40="","",O40*VLOOKUP($C40,CHANTIER!$A$2:$D$83,4,0))</f>
        <v/>
      </c>
      <c r="Q40" s="364">
        <v>8</v>
      </c>
      <c r="R40" s="372" t="str">
        <f>IF($C40="","",Q40*VLOOKUP($C40,CHANTIER!$A$2:$D$83,4,0))</f>
        <v/>
      </c>
      <c r="S40" s="364">
        <v>9</v>
      </c>
      <c r="T40" s="372" t="str">
        <f>IF($C40="","",S40*VLOOKUP($C40,CHANTIER!$A$2:$D$83,4,0))</f>
        <v/>
      </c>
      <c r="U40" s="364">
        <v>10</v>
      </c>
      <c r="V40" s="372" t="str">
        <f>IF($C40="","",U40*VLOOKUP($C40,CHANTIER!$A$2:$D$83,4,0))</f>
        <v/>
      </c>
      <c r="W40" s="364">
        <v>11</v>
      </c>
      <c r="X40" s="372" t="str">
        <f>IF($C40="","",W40*VLOOKUP($C40,CHANTIER!$A$2:$D$83,4,0))</f>
        <v/>
      </c>
      <c r="Y40" s="364">
        <v>12</v>
      </c>
      <c r="Z40" s="372" t="str">
        <f>IF($C40="","",Y40*VLOOKUP($C40,CHANTIER!$A$2:$D$83,4,0))</f>
        <v/>
      </c>
      <c r="AA40" s="364">
        <v>13</v>
      </c>
      <c r="AB40" s="372" t="str">
        <f>IF($C40="","",AA40*VLOOKUP($C40,CHANTIER!$A$2:$D$83,4,0))</f>
        <v/>
      </c>
      <c r="AC40" s="364">
        <v>14</v>
      </c>
      <c r="AD40" s="372" t="str">
        <f>IF($C40="","",AC40*VLOOKUP($C40,CHANTIER!$A$2:$D$83,4,0))</f>
        <v/>
      </c>
      <c r="AE40" s="364">
        <v>15</v>
      </c>
      <c r="AF40" s="372" t="str">
        <f>IF($C40="","",AE40*VLOOKUP($C40,CHANTIER!$A$2:$D$83,4,0))</f>
        <v/>
      </c>
      <c r="AG40" s="364">
        <v>16</v>
      </c>
      <c r="AH40" s="372" t="str">
        <f>IF($C40="","",AG40*VLOOKUP($C40,CHANTIER!$A$2:$D$83,4,0))</f>
        <v/>
      </c>
      <c r="AI40" s="364">
        <v>17</v>
      </c>
      <c r="AJ40" s="372" t="str">
        <f>IF($C40="","",AI40*VLOOKUP($C40,CHANTIER!$A$2:$D$83,4,0))</f>
        <v/>
      </c>
      <c r="AK40" s="364">
        <v>18</v>
      </c>
      <c r="AL40" s="372" t="str">
        <f>IF($C40="","",AK40*VLOOKUP($C40,CHANTIER!$A$2:$D$83,4,0))</f>
        <v/>
      </c>
      <c r="AM40" s="364">
        <v>18</v>
      </c>
      <c r="AN40" s="372" t="str">
        <f>IF($C40="","",AM40*VLOOKUP($C40,CHANTIER!$A$2:$D$83,4,0))</f>
        <v/>
      </c>
      <c r="AO40" s="224"/>
      <c r="AP40" s="224"/>
    </row>
    <row r="41" spans="1:42" ht="15" customHeight="1" x14ac:dyDescent="0.2">
      <c r="A41" s="1555"/>
      <c r="B41" s="361"/>
      <c r="C41" s="378"/>
      <c r="D41" s="363" t="str">
        <f>IF(C41="","",VLOOKUP($C41,CHANTIER!$A$2:$C$83,3,0))</f>
        <v/>
      </c>
      <c r="E41" s="364">
        <v>3</v>
      </c>
      <c r="F41" s="372" t="str">
        <f>IF($C41="","",E41*VLOOKUP($C41,CHANTIER!$A$2:$D$83,4,0))</f>
        <v/>
      </c>
      <c r="G41" s="364">
        <v>4</v>
      </c>
      <c r="H41" s="372" t="str">
        <f>IF($C41="","",G41*VLOOKUP($C41,CHANTIER!$A$2:$D$83,4,0))</f>
        <v/>
      </c>
      <c r="I41" s="364">
        <v>5</v>
      </c>
      <c r="J41" s="372" t="str">
        <f>IF($C41="","",I41*VLOOKUP($C41,CHANTIER!$A$2:$D$83,4,0))</f>
        <v/>
      </c>
      <c r="K41" s="364">
        <v>6</v>
      </c>
      <c r="L41" s="372" t="str">
        <f>IF($C41="","",K41*VLOOKUP($C41,CHANTIER!$A$2:$D$83,4,0))</f>
        <v/>
      </c>
      <c r="M41" s="364">
        <v>7</v>
      </c>
      <c r="N41" s="372" t="str">
        <f>IF($C41="","",M41*VLOOKUP($C41,CHANTIER!$A$2:$D$83,4,0))</f>
        <v/>
      </c>
      <c r="O41" s="364">
        <v>8</v>
      </c>
      <c r="P41" s="372" t="str">
        <f>IF($C41="","",O41*VLOOKUP($C41,CHANTIER!$A$2:$D$83,4,0))</f>
        <v/>
      </c>
      <c r="Q41" s="364">
        <v>9</v>
      </c>
      <c r="R41" s="372" t="str">
        <f>IF($C41="","",Q41*VLOOKUP($C41,CHANTIER!$A$2:$D$83,4,0))</f>
        <v/>
      </c>
      <c r="S41" s="364">
        <v>10</v>
      </c>
      <c r="T41" s="372" t="str">
        <f>IF($C41="","",S41*VLOOKUP($C41,CHANTIER!$A$2:$D$83,4,0))</f>
        <v/>
      </c>
      <c r="U41" s="364">
        <v>11</v>
      </c>
      <c r="V41" s="372" t="str">
        <f>IF($C41="","",U41*VLOOKUP($C41,CHANTIER!$A$2:$D$83,4,0))</f>
        <v/>
      </c>
      <c r="W41" s="364">
        <v>12</v>
      </c>
      <c r="X41" s="372" t="str">
        <f>IF($C41="","",W41*VLOOKUP($C41,CHANTIER!$A$2:$D$83,4,0))</f>
        <v/>
      </c>
      <c r="Y41" s="364">
        <v>13</v>
      </c>
      <c r="Z41" s="372" t="str">
        <f>IF($C41="","",Y41*VLOOKUP($C41,CHANTIER!$A$2:$D$83,4,0))</f>
        <v/>
      </c>
      <c r="AA41" s="364">
        <v>14</v>
      </c>
      <c r="AB41" s="372" t="str">
        <f>IF($C41="","",AA41*VLOOKUP($C41,CHANTIER!$A$2:$D$83,4,0))</f>
        <v/>
      </c>
      <c r="AC41" s="364">
        <v>15</v>
      </c>
      <c r="AD41" s="372" t="str">
        <f>IF($C41="","",AC41*VLOOKUP($C41,CHANTIER!$A$2:$D$83,4,0))</f>
        <v/>
      </c>
      <c r="AE41" s="364">
        <v>16</v>
      </c>
      <c r="AF41" s="372" t="str">
        <f>IF($C41="","",AE41*VLOOKUP($C41,CHANTIER!$A$2:$D$83,4,0))</f>
        <v/>
      </c>
      <c r="AG41" s="364">
        <v>17</v>
      </c>
      <c r="AH41" s="372" t="str">
        <f>IF($C41="","",AG41*VLOOKUP($C41,CHANTIER!$A$2:$D$83,4,0))</f>
        <v/>
      </c>
      <c r="AI41" s="364">
        <v>18</v>
      </c>
      <c r="AJ41" s="372" t="str">
        <f>IF($C41="","",AI41*VLOOKUP($C41,CHANTIER!$A$2:$D$83,4,0))</f>
        <v/>
      </c>
      <c r="AK41" s="364">
        <v>19</v>
      </c>
      <c r="AL41" s="372" t="str">
        <f>IF($C41="","",AK41*VLOOKUP($C41,CHANTIER!$A$2:$D$83,4,0))</f>
        <v/>
      </c>
      <c r="AM41" s="364">
        <v>20</v>
      </c>
      <c r="AN41" s="372" t="str">
        <f>IF($C41="","",AM41*VLOOKUP($C41,CHANTIER!$A$2:$D$83,4,0))</f>
        <v/>
      </c>
      <c r="AO41" s="224"/>
      <c r="AP41" s="224"/>
    </row>
    <row r="42" spans="1:42" ht="15" customHeight="1" x14ac:dyDescent="0.2">
      <c r="A42" s="1554"/>
      <c r="B42" s="361"/>
      <c r="C42" s="378"/>
      <c r="D42" s="363" t="str">
        <f>IF(C42="","",VLOOKUP($C42,CHANTIER!$A$2:$C$83,3,0))</f>
        <v/>
      </c>
      <c r="E42" s="364">
        <v>4</v>
      </c>
      <c r="F42" s="372" t="str">
        <f>IF($C42="","",E42*VLOOKUP($C42,CHANTIER!$A$2:$D$83,4,0))</f>
        <v/>
      </c>
      <c r="G42" s="364">
        <v>5</v>
      </c>
      <c r="H42" s="372" t="str">
        <f>IF($C42="","",G42*VLOOKUP($C42,CHANTIER!$A$2:$D$83,4,0))</f>
        <v/>
      </c>
      <c r="I42" s="364">
        <v>6</v>
      </c>
      <c r="J42" s="372" t="str">
        <f>IF($C42="","",I42*VLOOKUP($C42,CHANTIER!$A$2:$D$83,4,0))</f>
        <v/>
      </c>
      <c r="K42" s="364">
        <v>7</v>
      </c>
      <c r="L42" s="372" t="str">
        <f>IF($C42="","",K42*VLOOKUP($C42,CHANTIER!$A$2:$D$83,4,0))</f>
        <v/>
      </c>
      <c r="M42" s="364">
        <v>8</v>
      </c>
      <c r="N42" s="372" t="str">
        <f>IF($C42="","",M42*VLOOKUP($C42,CHANTIER!$A$2:$D$83,4,0))</f>
        <v/>
      </c>
      <c r="O42" s="364">
        <v>9</v>
      </c>
      <c r="P42" s="372" t="str">
        <f>IF($C42="","",O42*VLOOKUP($C42,CHANTIER!$A$2:$D$83,4,0))</f>
        <v/>
      </c>
      <c r="Q42" s="364">
        <v>10</v>
      </c>
      <c r="R42" s="372" t="str">
        <f>IF($C42="","",Q42*VLOOKUP($C42,CHANTIER!$A$2:$D$83,4,0))</f>
        <v/>
      </c>
      <c r="S42" s="364">
        <v>11</v>
      </c>
      <c r="T42" s="372" t="str">
        <f>IF($C42="","",S42*VLOOKUP($C42,CHANTIER!$A$2:$D$83,4,0))</f>
        <v/>
      </c>
      <c r="U42" s="364">
        <v>12</v>
      </c>
      <c r="V42" s="372" t="str">
        <f>IF($C42="","",U42*VLOOKUP($C42,CHANTIER!$A$2:$D$83,4,0))</f>
        <v/>
      </c>
      <c r="W42" s="364">
        <v>13</v>
      </c>
      <c r="X42" s="372" t="str">
        <f>IF($C42="","",W42*VLOOKUP($C42,CHANTIER!$A$2:$D$83,4,0))</f>
        <v/>
      </c>
      <c r="Y42" s="364">
        <v>14</v>
      </c>
      <c r="Z42" s="372" t="str">
        <f>IF($C42="","",Y42*VLOOKUP($C42,CHANTIER!$A$2:$D$83,4,0))</f>
        <v/>
      </c>
      <c r="AA42" s="364">
        <v>15</v>
      </c>
      <c r="AB42" s="372" t="str">
        <f>IF($C42="","",AA42*VLOOKUP($C42,CHANTIER!$A$2:$D$83,4,0))</f>
        <v/>
      </c>
      <c r="AC42" s="364">
        <v>16</v>
      </c>
      <c r="AD42" s="372" t="str">
        <f>IF($C42="","",AC42*VLOOKUP($C42,CHANTIER!$A$2:$D$83,4,0))</f>
        <v/>
      </c>
      <c r="AE42" s="364">
        <v>17</v>
      </c>
      <c r="AF42" s="372" t="str">
        <f>IF($C42="","",AE42*VLOOKUP($C42,CHANTIER!$A$2:$D$83,4,0))</f>
        <v/>
      </c>
      <c r="AG42" s="364">
        <v>18</v>
      </c>
      <c r="AH42" s="372" t="str">
        <f>IF($C42="","",AG42*VLOOKUP($C42,CHANTIER!$A$2:$D$83,4,0))</f>
        <v/>
      </c>
      <c r="AI42" s="364">
        <v>19</v>
      </c>
      <c r="AJ42" s="372" t="str">
        <f>IF($C42="","",AI42*VLOOKUP($C42,CHANTIER!$A$2:$D$83,4,0))</f>
        <v/>
      </c>
      <c r="AK42" s="364">
        <v>20</v>
      </c>
      <c r="AL42" s="372" t="str">
        <f>IF($C42="","",AK42*VLOOKUP($C42,CHANTIER!$A$2:$D$83,4,0))</f>
        <v/>
      </c>
      <c r="AM42" s="364">
        <v>21</v>
      </c>
      <c r="AN42" s="372" t="str">
        <f>IF($C42="","",AM42*VLOOKUP($C42,CHANTIER!$A$2:$D$83,4,0))</f>
        <v/>
      </c>
      <c r="AO42" s="224"/>
      <c r="AP42" s="224"/>
    </row>
    <row r="43" spans="1:42" ht="15" customHeight="1" x14ac:dyDescent="0.2">
      <c r="A43" s="1554"/>
      <c r="B43" s="361"/>
      <c r="C43" s="378"/>
      <c r="D43" s="363" t="str">
        <f>IF(C43="","",VLOOKUP($C43,CHANTIER!$A$2:$C$83,3,0))</f>
        <v/>
      </c>
      <c r="E43" s="364">
        <v>5</v>
      </c>
      <c r="F43" s="372" t="str">
        <f>IF($C43="","",E43*VLOOKUP($C43,CHANTIER!$A$2:$D$83,4,0))</f>
        <v/>
      </c>
      <c r="G43" s="364">
        <v>6</v>
      </c>
      <c r="H43" s="372" t="str">
        <f>IF($C43="","",G43*VLOOKUP($C43,CHANTIER!$A$2:$D$83,4,0))</f>
        <v/>
      </c>
      <c r="I43" s="364">
        <v>7</v>
      </c>
      <c r="J43" s="372" t="str">
        <f>IF($C43="","",I43*VLOOKUP($C43,CHANTIER!$A$2:$D$83,4,0))</f>
        <v/>
      </c>
      <c r="K43" s="364">
        <v>8</v>
      </c>
      <c r="L43" s="372" t="str">
        <f>IF($C43="","",K43*VLOOKUP($C43,CHANTIER!$A$2:$D$83,4,0))</f>
        <v/>
      </c>
      <c r="M43" s="364">
        <v>9</v>
      </c>
      <c r="N43" s="372" t="str">
        <f>IF($C43="","",M43*VLOOKUP($C43,CHANTIER!$A$2:$D$83,4,0))</f>
        <v/>
      </c>
      <c r="O43" s="364">
        <v>10</v>
      </c>
      <c r="P43" s="372" t="str">
        <f>IF($C43="","",O43*VLOOKUP($C43,CHANTIER!$A$2:$D$83,4,0))</f>
        <v/>
      </c>
      <c r="Q43" s="364">
        <v>11</v>
      </c>
      <c r="R43" s="372" t="str">
        <f>IF($C43="","",Q43*VLOOKUP($C43,CHANTIER!$A$2:$D$83,4,0))</f>
        <v/>
      </c>
      <c r="S43" s="364">
        <v>12</v>
      </c>
      <c r="T43" s="372" t="str">
        <f>IF($C43="","",S43*VLOOKUP($C43,CHANTIER!$A$2:$D$83,4,0))</f>
        <v/>
      </c>
      <c r="U43" s="364">
        <v>13</v>
      </c>
      <c r="V43" s="372" t="str">
        <f>IF($C43="","",U43*VLOOKUP($C43,CHANTIER!$A$2:$D$83,4,0))</f>
        <v/>
      </c>
      <c r="W43" s="364">
        <v>14</v>
      </c>
      <c r="X43" s="372" t="str">
        <f>IF($C43="","",W43*VLOOKUP($C43,CHANTIER!$A$2:$D$83,4,0))</f>
        <v/>
      </c>
      <c r="Y43" s="364">
        <v>15</v>
      </c>
      <c r="Z43" s="372" t="str">
        <f>IF($C43="","",Y43*VLOOKUP($C43,CHANTIER!$A$2:$D$83,4,0))</f>
        <v/>
      </c>
      <c r="AA43" s="364">
        <v>16</v>
      </c>
      <c r="AB43" s="372" t="str">
        <f>IF($C43="","",AA43*VLOOKUP($C43,CHANTIER!$A$2:$D$83,4,0))</f>
        <v/>
      </c>
      <c r="AC43" s="364">
        <v>17</v>
      </c>
      <c r="AD43" s="372" t="str">
        <f>IF($C43="","",AC43*VLOOKUP($C43,CHANTIER!$A$2:$D$83,4,0))</f>
        <v/>
      </c>
      <c r="AE43" s="364">
        <v>18</v>
      </c>
      <c r="AF43" s="372" t="str">
        <f>IF($C43="","",AE43*VLOOKUP($C43,CHANTIER!$A$2:$D$83,4,0))</f>
        <v/>
      </c>
      <c r="AG43" s="364">
        <v>19</v>
      </c>
      <c r="AH43" s="372" t="str">
        <f>IF($C43="","",AG43*VLOOKUP($C43,CHANTIER!$A$2:$D$83,4,0))</f>
        <v/>
      </c>
      <c r="AI43" s="364">
        <v>20</v>
      </c>
      <c r="AJ43" s="372" t="str">
        <f>IF($C43="","",AI43*VLOOKUP($C43,CHANTIER!$A$2:$D$83,4,0))</f>
        <v/>
      </c>
      <c r="AK43" s="364">
        <v>21</v>
      </c>
      <c r="AL43" s="372" t="str">
        <f>IF($C43="","",AK43*VLOOKUP($C43,CHANTIER!$A$2:$D$83,4,0))</f>
        <v/>
      </c>
      <c r="AM43" s="364">
        <v>22</v>
      </c>
      <c r="AN43" s="372" t="str">
        <f>IF($C43="","",AM43*VLOOKUP($C43,CHANTIER!$A$2:$D$83,4,0))</f>
        <v/>
      </c>
      <c r="AO43" s="224"/>
      <c r="AP43" s="224"/>
    </row>
    <row r="44" spans="1:42" ht="15" customHeight="1" x14ac:dyDescent="0.2">
      <c r="A44" s="1554"/>
      <c r="B44" s="361"/>
      <c r="C44" s="378"/>
      <c r="D44" s="363" t="str">
        <f>IF(C44="","",VLOOKUP($C44,CHANTIER!$A$2:$C$83,3,0))</f>
        <v/>
      </c>
      <c r="E44" s="364">
        <v>6</v>
      </c>
      <c r="F44" s="372" t="str">
        <f>IF($C44="","",E44*VLOOKUP($C44,CHANTIER!$A$2:$D$83,4,0))</f>
        <v/>
      </c>
      <c r="G44" s="364">
        <v>7</v>
      </c>
      <c r="H44" s="372" t="str">
        <f>IF($C44="","",G44*VLOOKUP($C44,CHANTIER!$A$2:$D$83,4,0))</f>
        <v/>
      </c>
      <c r="I44" s="364">
        <v>8</v>
      </c>
      <c r="J44" s="372" t="str">
        <f>IF($C44="","",I44*VLOOKUP($C44,CHANTIER!$A$2:$D$83,4,0))</f>
        <v/>
      </c>
      <c r="K44" s="364">
        <v>9</v>
      </c>
      <c r="L44" s="372" t="str">
        <f>IF($C44="","",K44*VLOOKUP($C44,CHANTIER!$A$2:$D$83,4,0))</f>
        <v/>
      </c>
      <c r="M44" s="364">
        <v>10</v>
      </c>
      <c r="N44" s="372" t="str">
        <f>IF($C44="","",M44*VLOOKUP($C44,CHANTIER!$A$2:$D$83,4,0))</f>
        <v/>
      </c>
      <c r="O44" s="364">
        <v>11</v>
      </c>
      <c r="P44" s="372" t="str">
        <f>IF($C44="","",O44*VLOOKUP($C44,CHANTIER!$A$2:$D$83,4,0))</f>
        <v/>
      </c>
      <c r="Q44" s="364">
        <v>12</v>
      </c>
      <c r="R44" s="372" t="str">
        <f>IF($C44="","",Q44*VLOOKUP($C44,CHANTIER!$A$2:$D$83,4,0))</f>
        <v/>
      </c>
      <c r="S44" s="364">
        <v>13</v>
      </c>
      <c r="T44" s="372" t="str">
        <f>IF($C44="","",S44*VLOOKUP($C44,CHANTIER!$A$2:$D$83,4,0))</f>
        <v/>
      </c>
      <c r="U44" s="364">
        <v>14</v>
      </c>
      <c r="V44" s="372" t="str">
        <f>IF($C44="","",U44*VLOOKUP($C44,CHANTIER!$A$2:$D$83,4,0))</f>
        <v/>
      </c>
      <c r="W44" s="364">
        <v>15</v>
      </c>
      <c r="X44" s="372" t="str">
        <f>IF($C44="","",W44*VLOOKUP($C44,CHANTIER!$A$2:$D$83,4,0))</f>
        <v/>
      </c>
      <c r="Y44" s="364">
        <v>16</v>
      </c>
      <c r="Z44" s="372" t="str">
        <f>IF($C44="","",Y44*VLOOKUP($C44,CHANTIER!$A$2:$D$83,4,0))</f>
        <v/>
      </c>
      <c r="AA44" s="364">
        <v>17</v>
      </c>
      <c r="AB44" s="372" t="str">
        <f>IF($C44="","",AA44*VLOOKUP($C44,CHANTIER!$A$2:$D$83,4,0))</f>
        <v/>
      </c>
      <c r="AC44" s="364">
        <v>18</v>
      </c>
      <c r="AD44" s="372" t="str">
        <f>IF($C44="","",AC44*VLOOKUP($C44,CHANTIER!$A$2:$D$83,4,0))</f>
        <v/>
      </c>
      <c r="AE44" s="364">
        <v>19</v>
      </c>
      <c r="AF44" s="372" t="str">
        <f>IF($C44="","",AE44*VLOOKUP($C44,CHANTIER!$A$2:$D$83,4,0))</f>
        <v/>
      </c>
      <c r="AG44" s="364">
        <v>20</v>
      </c>
      <c r="AH44" s="372" t="str">
        <f>IF($C44="","",AG44*VLOOKUP($C44,CHANTIER!$A$2:$D$83,4,0))</f>
        <v/>
      </c>
      <c r="AI44" s="364">
        <v>21</v>
      </c>
      <c r="AJ44" s="372" t="str">
        <f>IF($C44="","",AI44*VLOOKUP($C44,CHANTIER!$A$2:$D$83,4,0))</f>
        <v/>
      </c>
      <c r="AK44" s="364">
        <v>22</v>
      </c>
      <c r="AL44" s="372" t="str">
        <f>IF($C44="","",AK44*VLOOKUP($C44,CHANTIER!$A$2:$D$83,4,0))</f>
        <v/>
      </c>
      <c r="AM44" s="364">
        <v>23</v>
      </c>
      <c r="AN44" s="372" t="str">
        <f>IF($C44="","",AM44*VLOOKUP($C44,CHANTIER!$A$2:$D$83,4,0))</f>
        <v/>
      </c>
      <c r="AO44" s="224"/>
      <c r="AP44" s="224"/>
    </row>
    <row r="45" spans="1:42" ht="15" customHeight="1" x14ac:dyDescent="0.2">
      <c r="A45" s="1554"/>
      <c r="B45" s="361"/>
      <c r="C45" s="378"/>
      <c r="D45" s="363" t="str">
        <f>IF(C45="","",VLOOKUP($C45,CHANTIER!$A$2:$C$83,3,0))</f>
        <v/>
      </c>
      <c r="E45" s="364">
        <v>7</v>
      </c>
      <c r="F45" s="372" t="str">
        <f>IF($C45="","",E45*VLOOKUP($C45,CHANTIER!$A$2:$D$83,4,0))</f>
        <v/>
      </c>
      <c r="G45" s="364">
        <v>8</v>
      </c>
      <c r="H45" s="372" t="str">
        <f>IF($C45="","",G45*VLOOKUP($C45,CHANTIER!$A$2:$D$83,4,0))</f>
        <v/>
      </c>
      <c r="I45" s="364">
        <v>9</v>
      </c>
      <c r="J45" s="372" t="str">
        <f>IF($C45="","",I45*VLOOKUP($C45,CHANTIER!$A$2:$D$83,4,0))</f>
        <v/>
      </c>
      <c r="K45" s="364">
        <v>10</v>
      </c>
      <c r="L45" s="372" t="str">
        <f>IF($C45="","",K45*VLOOKUP($C45,CHANTIER!$A$2:$D$83,4,0))</f>
        <v/>
      </c>
      <c r="M45" s="364">
        <v>11</v>
      </c>
      <c r="N45" s="372" t="str">
        <f>IF($C45="","",M45*VLOOKUP($C45,CHANTIER!$A$2:$D$83,4,0))</f>
        <v/>
      </c>
      <c r="O45" s="364">
        <v>12</v>
      </c>
      <c r="P45" s="372" t="str">
        <f>IF($C45="","",O45*VLOOKUP($C45,CHANTIER!$A$2:$D$83,4,0))</f>
        <v/>
      </c>
      <c r="Q45" s="364">
        <v>13</v>
      </c>
      <c r="R45" s="372" t="str">
        <f>IF($C45="","",Q45*VLOOKUP($C45,CHANTIER!$A$2:$D$83,4,0))</f>
        <v/>
      </c>
      <c r="S45" s="364">
        <v>14</v>
      </c>
      <c r="T45" s="372" t="str">
        <f>IF($C45="","",S45*VLOOKUP($C45,CHANTIER!$A$2:$D$83,4,0))</f>
        <v/>
      </c>
      <c r="U45" s="364">
        <v>15</v>
      </c>
      <c r="V45" s="372" t="str">
        <f>IF($C45="","",U45*VLOOKUP($C45,CHANTIER!$A$2:$D$83,4,0))</f>
        <v/>
      </c>
      <c r="W45" s="364">
        <v>16</v>
      </c>
      <c r="X45" s="372" t="str">
        <f>IF($C45="","",W45*VLOOKUP($C45,CHANTIER!$A$2:$D$83,4,0))</f>
        <v/>
      </c>
      <c r="Y45" s="364">
        <v>17</v>
      </c>
      <c r="Z45" s="372" t="str">
        <f>IF($C45="","",Y45*VLOOKUP($C45,CHANTIER!$A$2:$D$83,4,0))</f>
        <v/>
      </c>
      <c r="AA45" s="364">
        <v>18</v>
      </c>
      <c r="AB45" s="372" t="str">
        <f>IF($C45="","",AA45*VLOOKUP($C45,CHANTIER!$A$2:$D$83,4,0))</f>
        <v/>
      </c>
      <c r="AC45" s="364">
        <v>19</v>
      </c>
      <c r="AD45" s="372" t="str">
        <f>IF($C45="","",AC45*VLOOKUP($C45,CHANTIER!$A$2:$D$83,4,0))</f>
        <v/>
      </c>
      <c r="AE45" s="364">
        <v>20</v>
      </c>
      <c r="AF45" s="372" t="str">
        <f>IF($C45="","",AE45*VLOOKUP($C45,CHANTIER!$A$2:$D$83,4,0))</f>
        <v/>
      </c>
      <c r="AG45" s="364">
        <v>21</v>
      </c>
      <c r="AH45" s="372" t="str">
        <f>IF($C45="","",AG45*VLOOKUP($C45,CHANTIER!$A$2:$D$83,4,0))</f>
        <v/>
      </c>
      <c r="AI45" s="364">
        <v>22</v>
      </c>
      <c r="AJ45" s="372" t="str">
        <f>IF($C45="","",AI45*VLOOKUP($C45,CHANTIER!$A$2:$D$83,4,0))</f>
        <v/>
      </c>
      <c r="AK45" s="364">
        <v>23</v>
      </c>
      <c r="AL45" s="372" t="str">
        <f>IF($C45="","",AK45*VLOOKUP($C45,CHANTIER!$A$2:$D$83,4,0))</f>
        <v/>
      </c>
      <c r="AM45" s="364">
        <v>24</v>
      </c>
      <c r="AN45" s="372" t="str">
        <f>IF($C45="","",AM45*VLOOKUP($C45,CHANTIER!$A$2:$D$83,4,0))</f>
        <v/>
      </c>
      <c r="AO45" s="224"/>
      <c r="AP45" s="224"/>
    </row>
    <row r="46" spans="1:42" ht="15" customHeight="1" x14ac:dyDescent="0.2">
      <c r="A46" s="1554"/>
      <c r="B46" s="361"/>
      <c r="C46" s="378"/>
      <c r="D46" s="363" t="str">
        <f>IF(C46="","",VLOOKUP($C46,CHANTIER!$A$2:$C$83,3,0))</f>
        <v/>
      </c>
      <c r="E46" s="364">
        <v>8</v>
      </c>
      <c r="F46" s="372" t="str">
        <f>IF($C46="","",E46*VLOOKUP($C46,CHANTIER!$A$2:$D$83,4,0))</f>
        <v/>
      </c>
      <c r="G46" s="364">
        <v>9</v>
      </c>
      <c r="H46" s="372" t="str">
        <f>IF($C46="","",G46*VLOOKUP($C46,CHANTIER!$A$2:$D$83,4,0))</f>
        <v/>
      </c>
      <c r="I46" s="364">
        <v>10</v>
      </c>
      <c r="J46" s="372" t="str">
        <f>IF($C46="","",I46*VLOOKUP($C46,CHANTIER!$A$2:$D$83,4,0))</f>
        <v/>
      </c>
      <c r="K46" s="364">
        <v>11</v>
      </c>
      <c r="L46" s="372" t="str">
        <f>IF($C46="","",K46*VLOOKUP($C46,CHANTIER!$A$2:$D$83,4,0))</f>
        <v/>
      </c>
      <c r="M46" s="364">
        <v>12</v>
      </c>
      <c r="N46" s="372" t="str">
        <f>IF($C46="","",M46*VLOOKUP($C46,CHANTIER!$A$2:$D$83,4,0))</f>
        <v/>
      </c>
      <c r="O46" s="364">
        <v>13</v>
      </c>
      <c r="P46" s="372" t="str">
        <f>IF($C46="","",O46*VLOOKUP($C46,CHANTIER!$A$2:$D$83,4,0))</f>
        <v/>
      </c>
      <c r="Q46" s="364">
        <v>14</v>
      </c>
      <c r="R46" s="372" t="str">
        <f>IF($C46="","",Q46*VLOOKUP($C46,CHANTIER!$A$2:$D$83,4,0))</f>
        <v/>
      </c>
      <c r="S46" s="364">
        <v>15</v>
      </c>
      <c r="T46" s="372" t="str">
        <f>IF($C46="","",S46*VLOOKUP($C46,CHANTIER!$A$2:$D$83,4,0))</f>
        <v/>
      </c>
      <c r="U46" s="364">
        <v>16</v>
      </c>
      <c r="V46" s="372" t="str">
        <f>IF($C46="","",U46*VLOOKUP($C46,CHANTIER!$A$2:$D$83,4,0))</f>
        <v/>
      </c>
      <c r="W46" s="364">
        <v>17</v>
      </c>
      <c r="X46" s="372" t="str">
        <f>IF($C46="","",W46*VLOOKUP($C46,CHANTIER!$A$2:$D$83,4,0))</f>
        <v/>
      </c>
      <c r="Y46" s="364">
        <v>18</v>
      </c>
      <c r="Z46" s="372" t="str">
        <f>IF($C46="","",Y46*VLOOKUP($C46,CHANTIER!$A$2:$D$83,4,0))</f>
        <v/>
      </c>
      <c r="AA46" s="364">
        <v>19</v>
      </c>
      <c r="AB46" s="372" t="str">
        <f>IF($C46="","",AA46*VLOOKUP($C46,CHANTIER!$A$2:$D$83,4,0))</f>
        <v/>
      </c>
      <c r="AC46" s="364">
        <v>20</v>
      </c>
      <c r="AD46" s="372" t="str">
        <f>IF($C46="","",AC46*VLOOKUP($C46,CHANTIER!$A$2:$D$83,4,0))</f>
        <v/>
      </c>
      <c r="AE46" s="364">
        <v>21</v>
      </c>
      <c r="AF46" s="372" t="str">
        <f>IF($C46="","",AE46*VLOOKUP($C46,CHANTIER!$A$2:$D$83,4,0))</f>
        <v/>
      </c>
      <c r="AG46" s="364">
        <v>22</v>
      </c>
      <c r="AH46" s="372" t="str">
        <f>IF($C46="","",AG46*VLOOKUP($C46,CHANTIER!$A$2:$D$83,4,0))</f>
        <v/>
      </c>
      <c r="AI46" s="364">
        <v>23</v>
      </c>
      <c r="AJ46" s="372" t="str">
        <f>IF($C46="","",AI46*VLOOKUP($C46,CHANTIER!$A$2:$D$83,4,0))</f>
        <v/>
      </c>
      <c r="AK46" s="364">
        <v>24</v>
      </c>
      <c r="AL46" s="372" t="str">
        <f>IF($C46="","",AK46*VLOOKUP($C46,CHANTIER!$A$2:$D$83,4,0))</f>
        <v/>
      </c>
      <c r="AM46" s="364">
        <v>25</v>
      </c>
      <c r="AN46" s="372" t="str">
        <f>IF($C46="","",AM46*VLOOKUP($C46,CHANTIER!$A$2:$D$83,4,0))</f>
        <v/>
      </c>
      <c r="AO46" s="225"/>
      <c r="AP46" s="226"/>
    </row>
    <row r="47" spans="1:42" ht="15" customHeight="1" x14ac:dyDescent="0.2">
      <c r="A47" s="1554"/>
      <c r="B47" s="361"/>
      <c r="C47" s="378"/>
      <c r="D47" s="363" t="str">
        <f>IF(C47="","",VLOOKUP($C47,CHANTIER!$A$2:$C$83,3,0))</f>
        <v/>
      </c>
      <c r="E47" s="364">
        <v>9</v>
      </c>
      <c r="F47" s="372" t="str">
        <f>IF($C47="","",E47*VLOOKUP($C47,CHANTIER!$A$2:$D$83,4,0))</f>
        <v/>
      </c>
      <c r="G47" s="364">
        <v>10</v>
      </c>
      <c r="H47" s="372" t="str">
        <f>IF($C47="","",G47*VLOOKUP($C47,CHANTIER!$A$2:$D$83,4,0))</f>
        <v/>
      </c>
      <c r="I47" s="364">
        <v>11</v>
      </c>
      <c r="J47" s="372" t="str">
        <f>IF($C47="","",I47*VLOOKUP($C47,CHANTIER!$A$2:$D$83,4,0))</f>
        <v/>
      </c>
      <c r="K47" s="364">
        <v>12</v>
      </c>
      <c r="L47" s="372" t="str">
        <f>IF($C47="","",K47*VLOOKUP($C47,CHANTIER!$A$2:$D$83,4,0))</f>
        <v/>
      </c>
      <c r="M47" s="364">
        <v>13</v>
      </c>
      <c r="N47" s="372" t="str">
        <f>IF($C47="","",M47*VLOOKUP($C47,CHANTIER!$A$2:$D$83,4,0))</f>
        <v/>
      </c>
      <c r="O47" s="364">
        <v>14</v>
      </c>
      <c r="P47" s="372" t="str">
        <f>IF($C47="","",O47*VLOOKUP($C47,CHANTIER!$A$2:$D$83,4,0))</f>
        <v/>
      </c>
      <c r="Q47" s="364">
        <v>15</v>
      </c>
      <c r="R47" s="372" t="str">
        <f>IF($C47="","",Q47*VLOOKUP($C47,CHANTIER!$A$2:$D$83,4,0))</f>
        <v/>
      </c>
      <c r="S47" s="364">
        <v>16</v>
      </c>
      <c r="T47" s="372" t="str">
        <f>IF($C47="","",S47*VLOOKUP($C47,CHANTIER!$A$2:$D$83,4,0))</f>
        <v/>
      </c>
      <c r="U47" s="364">
        <v>17</v>
      </c>
      <c r="V47" s="372" t="str">
        <f>IF($C47="","",U47*VLOOKUP($C47,CHANTIER!$A$2:$D$83,4,0))</f>
        <v/>
      </c>
      <c r="W47" s="364">
        <v>18</v>
      </c>
      <c r="X47" s="372" t="str">
        <f>IF($C47="","",W47*VLOOKUP($C47,CHANTIER!$A$2:$D$83,4,0))</f>
        <v/>
      </c>
      <c r="Y47" s="364">
        <v>19</v>
      </c>
      <c r="Z47" s="372" t="str">
        <f>IF($C47="","",Y47*VLOOKUP($C47,CHANTIER!$A$2:$D$83,4,0))</f>
        <v/>
      </c>
      <c r="AA47" s="364">
        <v>20</v>
      </c>
      <c r="AB47" s="372" t="str">
        <f>IF($C47="","",AA47*VLOOKUP($C47,CHANTIER!$A$2:$D$83,4,0))</f>
        <v/>
      </c>
      <c r="AC47" s="364">
        <v>21</v>
      </c>
      <c r="AD47" s="372" t="str">
        <f>IF($C47="","",AC47*VLOOKUP($C47,CHANTIER!$A$2:$D$83,4,0))</f>
        <v/>
      </c>
      <c r="AE47" s="364">
        <v>22</v>
      </c>
      <c r="AF47" s="372" t="str">
        <f>IF($C47="","",AE47*VLOOKUP($C47,CHANTIER!$A$2:$D$83,4,0))</f>
        <v/>
      </c>
      <c r="AG47" s="364">
        <v>23</v>
      </c>
      <c r="AH47" s="372" t="str">
        <f>IF($C47="","",AG47*VLOOKUP($C47,CHANTIER!$A$2:$D$83,4,0))</f>
        <v/>
      </c>
      <c r="AI47" s="364">
        <v>24</v>
      </c>
      <c r="AJ47" s="372" t="str">
        <f>IF($C47="","",AI47*VLOOKUP($C47,CHANTIER!$A$2:$D$83,4,0))</f>
        <v/>
      </c>
      <c r="AK47" s="364">
        <v>25</v>
      </c>
      <c r="AL47" s="372" t="str">
        <f>IF($C47="","",AK47*VLOOKUP($C47,CHANTIER!$A$2:$D$83,4,0))</f>
        <v/>
      </c>
      <c r="AM47" s="364">
        <v>26</v>
      </c>
      <c r="AN47" s="372" t="str">
        <f>IF($C47="","",AM47*VLOOKUP($C47,CHANTIER!$A$2:$D$83,4,0))</f>
        <v/>
      </c>
    </row>
    <row r="48" spans="1:42" ht="15" customHeight="1" x14ac:dyDescent="0.2">
      <c r="A48" s="1554"/>
      <c r="B48" s="361"/>
      <c r="C48" s="378"/>
      <c r="D48" s="363" t="str">
        <f>IF(C48="","",VLOOKUP($C48,CHANTIER!$A$2:$C$83,3,0))</f>
        <v/>
      </c>
      <c r="E48" s="364">
        <v>10</v>
      </c>
      <c r="F48" s="372" t="str">
        <f>IF($C48="","",E48*VLOOKUP($C48,CHANTIER!$A$2:$D$83,4,0))</f>
        <v/>
      </c>
      <c r="G48" s="364">
        <v>11</v>
      </c>
      <c r="H48" s="372" t="str">
        <f>IF($C48="","",G48*VLOOKUP($C48,CHANTIER!$A$2:$D$83,4,0))</f>
        <v/>
      </c>
      <c r="I48" s="364">
        <v>12</v>
      </c>
      <c r="J48" s="372" t="str">
        <f>IF($C48="","",I48*VLOOKUP($C48,CHANTIER!$A$2:$D$83,4,0))</f>
        <v/>
      </c>
      <c r="K48" s="364">
        <v>13</v>
      </c>
      <c r="L48" s="372" t="str">
        <f>IF($C48="","",K48*VLOOKUP($C48,CHANTIER!$A$2:$D$83,4,0))</f>
        <v/>
      </c>
      <c r="M48" s="364">
        <v>14</v>
      </c>
      <c r="N48" s="372" t="str">
        <f>IF($C48="","",M48*VLOOKUP($C48,CHANTIER!$A$2:$D$83,4,0))</f>
        <v/>
      </c>
      <c r="O48" s="364">
        <v>15</v>
      </c>
      <c r="P48" s="372" t="str">
        <f>IF($C48="","",O48*VLOOKUP($C48,CHANTIER!$A$2:$D$83,4,0))</f>
        <v/>
      </c>
      <c r="Q48" s="364">
        <v>16</v>
      </c>
      <c r="R48" s="372" t="str">
        <f>IF($C48="","",Q48*VLOOKUP($C48,CHANTIER!$A$2:$D$83,4,0))</f>
        <v/>
      </c>
      <c r="S48" s="364">
        <v>17</v>
      </c>
      <c r="T48" s="372" t="str">
        <f>IF($C48="","",S48*VLOOKUP($C48,CHANTIER!$A$2:$D$83,4,0))</f>
        <v/>
      </c>
      <c r="U48" s="364">
        <v>18</v>
      </c>
      <c r="V48" s="372" t="str">
        <f>IF($C48="","",U48*VLOOKUP($C48,CHANTIER!$A$2:$D$83,4,0))</f>
        <v/>
      </c>
      <c r="W48" s="364">
        <v>19</v>
      </c>
      <c r="X48" s="372" t="str">
        <f>IF($C48="","",W48*VLOOKUP($C48,CHANTIER!$A$2:$D$83,4,0))</f>
        <v/>
      </c>
      <c r="Y48" s="364">
        <v>20</v>
      </c>
      <c r="Z48" s="372" t="str">
        <f>IF($C48="","",Y48*VLOOKUP($C48,CHANTIER!$A$2:$D$83,4,0))</f>
        <v/>
      </c>
      <c r="AA48" s="364">
        <v>21</v>
      </c>
      <c r="AB48" s="372" t="str">
        <f>IF($C48="","",AA48*VLOOKUP($C48,CHANTIER!$A$2:$D$83,4,0))</f>
        <v/>
      </c>
      <c r="AC48" s="364">
        <v>22</v>
      </c>
      <c r="AD48" s="372" t="str">
        <f>IF($C48="","",AC48*VLOOKUP($C48,CHANTIER!$A$2:$D$83,4,0))</f>
        <v/>
      </c>
      <c r="AE48" s="364">
        <v>23</v>
      </c>
      <c r="AF48" s="372" t="str">
        <f>IF($C48="","",AE48*VLOOKUP($C48,CHANTIER!$A$2:$D$83,4,0))</f>
        <v/>
      </c>
      <c r="AG48" s="364">
        <v>24</v>
      </c>
      <c r="AH48" s="372" t="str">
        <f>IF($C48="","",AG48*VLOOKUP($C48,CHANTIER!$A$2:$D$83,4,0))</f>
        <v/>
      </c>
      <c r="AI48" s="364">
        <v>25</v>
      </c>
      <c r="AJ48" s="372" t="str">
        <f>IF($C48="","",AI48*VLOOKUP($C48,CHANTIER!$A$2:$D$83,4,0))</f>
        <v/>
      </c>
      <c r="AK48" s="364">
        <v>26</v>
      </c>
      <c r="AL48" s="372" t="str">
        <f>IF($C48="","",AK48*VLOOKUP($C48,CHANTIER!$A$2:$D$83,4,0))</f>
        <v/>
      </c>
      <c r="AM48" s="364">
        <v>27</v>
      </c>
      <c r="AN48" s="372" t="str">
        <f>IF($C48="","",AM48*VLOOKUP($C48,CHANTIER!$A$2:$D$83,4,0))</f>
        <v/>
      </c>
    </row>
    <row r="49" spans="1:42" ht="15" customHeight="1" x14ac:dyDescent="0.2">
      <c r="A49" s="1554"/>
      <c r="B49" s="361"/>
      <c r="C49" s="378"/>
      <c r="D49" s="363" t="str">
        <f>IF(C49="","",VLOOKUP($C49,CHANTIER!$A$2:$C$83,3,0))</f>
        <v/>
      </c>
      <c r="E49" s="364">
        <v>11</v>
      </c>
      <c r="F49" s="372" t="str">
        <f>IF($C49="","",E49*VLOOKUP($C49,CHANTIER!$A$2:$D$83,4,0))</f>
        <v/>
      </c>
      <c r="G49" s="364">
        <v>12</v>
      </c>
      <c r="H49" s="372" t="str">
        <f>IF($C49="","",G49*VLOOKUP($C49,CHANTIER!$A$2:$D$83,4,0))</f>
        <v/>
      </c>
      <c r="I49" s="364">
        <v>13</v>
      </c>
      <c r="J49" s="372" t="str">
        <f>IF($C49="","",I49*VLOOKUP($C49,CHANTIER!$A$2:$D$83,4,0))</f>
        <v/>
      </c>
      <c r="K49" s="364">
        <v>14</v>
      </c>
      <c r="L49" s="372" t="str">
        <f>IF($C49="","",K49*VLOOKUP($C49,CHANTIER!$A$2:$D$83,4,0))</f>
        <v/>
      </c>
      <c r="M49" s="364">
        <v>15</v>
      </c>
      <c r="N49" s="372" t="str">
        <f>IF($C49="","",M49*VLOOKUP($C49,CHANTIER!$A$2:$D$83,4,0))</f>
        <v/>
      </c>
      <c r="O49" s="364">
        <v>16</v>
      </c>
      <c r="P49" s="372" t="str">
        <f>IF($C49="","",O49*VLOOKUP($C49,CHANTIER!$A$2:$D$83,4,0))</f>
        <v/>
      </c>
      <c r="Q49" s="364">
        <v>17</v>
      </c>
      <c r="R49" s="372" t="str">
        <f>IF($C49="","",Q49*VLOOKUP($C49,CHANTIER!$A$2:$D$83,4,0))</f>
        <v/>
      </c>
      <c r="S49" s="364">
        <v>18</v>
      </c>
      <c r="T49" s="372" t="str">
        <f>IF($C49="","",S49*VLOOKUP($C49,CHANTIER!$A$2:$D$83,4,0))</f>
        <v/>
      </c>
      <c r="U49" s="364">
        <v>19</v>
      </c>
      <c r="V49" s="372" t="str">
        <f>IF($C49="","",U49*VLOOKUP($C49,CHANTIER!$A$2:$D$83,4,0))</f>
        <v/>
      </c>
      <c r="W49" s="364">
        <v>20</v>
      </c>
      <c r="X49" s="372" t="str">
        <f>IF($C49="","",W49*VLOOKUP($C49,CHANTIER!$A$2:$D$83,4,0))</f>
        <v/>
      </c>
      <c r="Y49" s="364">
        <v>21</v>
      </c>
      <c r="Z49" s="372" t="str">
        <f>IF($C49="","",Y49*VLOOKUP($C49,CHANTIER!$A$2:$D$83,4,0))</f>
        <v/>
      </c>
      <c r="AA49" s="364">
        <v>22</v>
      </c>
      <c r="AB49" s="372" t="str">
        <f>IF($C49="","",AA49*VLOOKUP($C49,CHANTIER!$A$2:$D$83,4,0))</f>
        <v/>
      </c>
      <c r="AC49" s="364">
        <v>23</v>
      </c>
      <c r="AD49" s="372" t="str">
        <f>IF($C49="","",AC49*VLOOKUP($C49,CHANTIER!$A$2:$D$83,4,0))</f>
        <v/>
      </c>
      <c r="AE49" s="364">
        <v>24</v>
      </c>
      <c r="AF49" s="372" t="str">
        <f>IF($C49="","",AE49*VLOOKUP($C49,CHANTIER!$A$2:$D$83,4,0))</f>
        <v/>
      </c>
      <c r="AG49" s="364">
        <v>25</v>
      </c>
      <c r="AH49" s="372" t="str">
        <f>IF($C49="","",AG49*VLOOKUP($C49,CHANTIER!$A$2:$D$83,4,0))</f>
        <v/>
      </c>
      <c r="AI49" s="364">
        <v>26</v>
      </c>
      <c r="AJ49" s="372" t="str">
        <f>IF($C49="","",AI49*VLOOKUP($C49,CHANTIER!$A$2:$D$83,4,0))</f>
        <v/>
      </c>
      <c r="AK49" s="364">
        <v>27</v>
      </c>
      <c r="AL49" s="372" t="str">
        <f>IF($C49="","",AK49*VLOOKUP($C49,CHANTIER!$A$2:$D$83,4,0))</f>
        <v/>
      </c>
      <c r="AM49" s="364">
        <v>28</v>
      </c>
      <c r="AN49" s="372" t="str">
        <f>IF($C49="","",AM49*VLOOKUP($C49,CHANTIER!$A$2:$D$83,4,0))</f>
        <v/>
      </c>
    </row>
    <row r="50" spans="1:42" ht="30.75" customHeight="1" x14ac:dyDescent="0.2">
      <c r="A50" s="1554"/>
      <c r="B50" s="379" t="s">
        <v>453</v>
      </c>
      <c r="C50" s="380" t="s">
        <v>450</v>
      </c>
      <c r="D50" s="381" t="s">
        <v>451</v>
      </c>
      <c r="E50" s="382">
        <f>F50*Simulation!$P$9</f>
        <v>11.25</v>
      </c>
      <c r="F50" s="383">
        <f>SUM(F39:F49)</f>
        <v>0.25</v>
      </c>
      <c r="G50" s="382">
        <f>H50*Simulation!$P$9</f>
        <v>22.5</v>
      </c>
      <c r="H50" s="383">
        <f>SUM(H39:H49)</f>
        <v>0.5</v>
      </c>
      <c r="I50" s="382">
        <f>J50*Simulation!$P$9</f>
        <v>33.75</v>
      </c>
      <c r="J50" s="383">
        <f>SUM(J39:J49)</f>
        <v>0.75</v>
      </c>
      <c r="K50" s="382">
        <f>L50*Simulation!$P$9</f>
        <v>45</v>
      </c>
      <c r="L50" s="383">
        <f>SUM(L39:L49)</f>
        <v>1</v>
      </c>
      <c r="M50" s="382">
        <f>N50*Simulation!$P$9</f>
        <v>56.25</v>
      </c>
      <c r="N50" s="383">
        <f>SUM(N39:N49)</f>
        <v>1.25</v>
      </c>
      <c r="O50" s="382">
        <f>P50*Simulation!$P$9</f>
        <v>67.5</v>
      </c>
      <c r="P50" s="383">
        <f>SUM(P39:P49)</f>
        <v>1.5</v>
      </c>
      <c r="Q50" s="382">
        <f>R50*Simulation!$P$9</f>
        <v>78.75</v>
      </c>
      <c r="R50" s="383">
        <f>SUM(R39:R49)</f>
        <v>1.75</v>
      </c>
      <c r="S50" s="382">
        <f>T50*Simulation!$P$9</f>
        <v>90</v>
      </c>
      <c r="T50" s="383">
        <f>SUM(T39:T49)</f>
        <v>2</v>
      </c>
      <c r="U50" s="382">
        <f>V50*Simulation!$P$9</f>
        <v>101.25</v>
      </c>
      <c r="V50" s="383">
        <f>SUM(V39:V49)</f>
        <v>2.25</v>
      </c>
      <c r="W50" s="382">
        <f>X50*Simulation!$P$9</f>
        <v>112.5</v>
      </c>
      <c r="X50" s="383">
        <f>SUM(X39:X49)</f>
        <v>2.5</v>
      </c>
      <c r="Y50" s="382">
        <f>Z50*Simulation!$P$9</f>
        <v>123.75</v>
      </c>
      <c r="Z50" s="383">
        <f>SUM(Z39:Z49)</f>
        <v>2.75</v>
      </c>
      <c r="AA50" s="382">
        <f>AB50*Simulation!$P$9</f>
        <v>135</v>
      </c>
      <c r="AB50" s="383">
        <f>SUM(AB39:AB49)</f>
        <v>3</v>
      </c>
      <c r="AC50" s="382">
        <f>AD50*Simulation!$P$9</f>
        <v>146.25</v>
      </c>
      <c r="AD50" s="383">
        <f>SUM(AD39:AD49)</f>
        <v>3.25</v>
      </c>
      <c r="AE50" s="382">
        <f>AF50*Simulation!$P$9</f>
        <v>157.5</v>
      </c>
      <c r="AF50" s="383">
        <f>SUM(AF39:AF49)</f>
        <v>3.5</v>
      </c>
      <c r="AG50" s="382">
        <f>AH50*Simulation!$P$9</f>
        <v>168.75</v>
      </c>
      <c r="AH50" s="383">
        <f>SUM(AH39:AH49)</f>
        <v>3.75</v>
      </c>
      <c r="AI50" s="382">
        <f>AJ50*Simulation!$P$9</f>
        <v>180</v>
      </c>
      <c r="AJ50" s="383">
        <f>SUM(AJ39:AJ49)</f>
        <v>4</v>
      </c>
      <c r="AK50" s="382">
        <f>AL50*Simulation!$P$9</f>
        <v>191.25</v>
      </c>
      <c r="AL50" s="383">
        <f>SUM(AL39:AL49)</f>
        <v>4.25</v>
      </c>
      <c r="AM50" s="382">
        <f>AN50*Simulation!$P$9</f>
        <v>191.25</v>
      </c>
      <c r="AN50" s="383">
        <f>SUM(AN39:AN49)</f>
        <v>4.25</v>
      </c>
    </row>
    <row r="51" spans="1:42" ht="15" customHeight="1" x14ac:dyDescent="0.2">
      <c r="A51" s="1559" t="s">
        <v>4</v>
      </c>
      <c r="B51" s="361" t="s">
        <v>371</v>
      </c>
      <c r="C51" s="378" t="s">
        <v>400</v>
      </c>
      <c r="D51" s="363" t="str">
        <f>IF(C51="","",VLOOKUP($C51,MINIPELLE!$A$2:$C$28,3,0))</f>
        <v>cm</v>
      </c>
      <c r="E51" s="364">
        <v>2</v>
      </c>
      <c r="F51" s="372">
        <f>IF($C51="","",E51*VLOOKUP($C51,MINIPELLE!$A$2:$D$28,4,0))</f>
        <v>0.05</v>
      </c>
      <c r="G51" s="364">
        <v>2</v>
      </c>
      <c r="H51" s="372">
        <f>IF($C51="","",G51*VLOOKUP($C51,MINIPELLE!$A$2:$D$28,4,0))</f>
        <v>0.05</v>
      </c>
      <c r="I51" s="364">
        <v>2</v>
      </c>
      <c r="J51" s="372">
        <f>IF($C51="","",I51*VLOOKUP($C51,MINIPELLE!$A$2:$D$28,4,0))</f>
        <v>0.05</v>
      </c>
      <c r="K51" s="364">
        <v>2</v>
      </c>
      <c r="L51" s="372">
        <f>IF($C51="","",K51*VLOOKUP($C51,MINIPELLE!$A$2:$D$28,4,0))</f>
        <v>0.05</v>
      </c>
      <c r="M51" s="364">
        <v>2</v>
      </c>
      <c r="N51" s="372">
        <f>IF($C51="","",M51*VLOOKUP($C51,MINIPELLE!$A$2:$D$28,4,0))</f>
        <v>0.05</v>
      </c>
      <c r="O51" s="364">
        <v>2</v>
      </c>
      <c r="P51" s="372">
        <f>IF($C51="","",O51*VLOOKUP($C51,MINIPELLE!$A$2:$D$28,4,0))</f>
        <v>0.05</v>
      </c>
      <c r="Q51" s="364">
        <v>2</v>
      </c>
      <c r="R51" s="372">
        <f>IF($C51="","",Q51*VLOOKUP($C51,MINIPELLE!$A$2:$D$28,4,0))</f>
        <v>0.05</v>
      </c>
      <c r="S51" s="364">
        <v>2</v>
      </c>
      <c r="T51" s="372">
        <f>IF($C51="","",S51*VLOOKUP($C51,MINIPELLE!$A$2:$D$28,4,0))</f>
        <v>0.05</v>
      </c>
      <c r="U51" s="364">
        <v>2</v>
      </c>
      <c r="V51" s="372">
        <f>IF($C51="","",U51*VLOOKUP($C51,MINIPELLE!$A$2:$D$28,4,0))</f>
        <v>0.05</v>
      </c>
      <c r="W51" s="364">
        <v>2</v>
      </c>
      <c r="X51" s="372">
        <f>IF($C51="","",W51*VLOOKUP($C51,MINIPELLE!$A$2:$D$28,4,0))</f>
        <v>0.05</v>
      </c>
      <c r="Y51" s="364">
        <v>2</v>
      </c>
      <c r="Z51" s="372">
        <f>IF($C51="","",Y51*VLOOKUP($C51,MINIPELLE!$A$2:$D$28,4,0))</f>
        <v>0.05</v>
      </c>
      <c r="AA51" s="364">
        <v>2</v>
      </c>
      <c r="AB51" s="372">
        <f>IF($C51="","",AA51*VLOOKUP($C51,MINIPELLE!$A$2:$D$28,4,0))</f>
        <v>0.05</v>
      </c>
      <c r="AC51" s="364">
        <v>2</v>
      </c>
      <c r="AD51" s="372">
        <f>IF($C51="","",AC51*VLOOKUP($C51,MINIPELLE!$A$2:$D$28,4,0))</f>
        <v>0.05</v>
      </c>
      <c r="AE51" s="364">
        <v>2</v>
      </c>
      <c r="AF51" s="372">
        <f>IF($C51="","",AE51*VLOOKUP($C51,MINIPELLE!$A$2:$D$28,4,0))</f>
        <v>0.05</v>
      </c>
      <c r="AG51" s="364">
        <v>2</v>
      </c>
      <c r="AH51" s="372">
        <f>IF($C51="","",AG51*VLOOKUP($C51,MINIPELLE!$A$2:$D$28,4,0))</f>
        <v>0.05</v>
      </c>
      <c r="AI51" s="364">
        <v>2</v>
      </c>
      <c r="AJ51" s="372">
        <f>IF($C51="","",AI51*VLOOKUP($C51,MINIPELLE!$A$2:$D$28,4,0))</f>
        <v>0.05</v>
      </c>
      <c r="AK51" s="364">
        <v>2</v>
      </c>
      <c r="AL51" s="372">
        <f>IF($C51="","",AK51*VLOOKUP($C51,MINIPELLE!$A$2:$D$28,4,0))</f>
        <v>0.05</v>
      </c>
      <c r="AM51" s="364">
        <v>2</v>
      </c>
      <c r="AN51" s="372">
        <f>IF($C51="","",AM51*VLOOKUP($C51,MINIPELLE!$A$2:$D$28,4,0))</f>
        <v>0.05</v>
      </c>
    </row>
    <row r="52" spans="1:42" ht="15" customHeight="1" x14ac:dyDescent="0.2">
      <c r="A52" s="1560"/>
      <c r="B52" s="361"/>
      <c r="C52" s="378"/>
      <c r="D52" s="363" t="str">
        <f>IF(C52="","",VLOOKUP($C52,MINIPELLE!$A$2:$C$28,3,0))</f>
        <v/>
      </c>
      <c r="E52" s="364">
        <v>3</v>
      </c>
      <c r="F52" s="389" t="str">
        <f>IF($C52="","",E52*VLOOKUP($C52,MINIPELLE!$A$2:$D$28,4,0))</f>
        <v/>
      </c>
      <c r="G52" s="364">
        <v>3</v>
      </c>
      <c r="H52" s="389" t="str">
        <f>IF($C52="","",G52*VLOOKUP($C52,MINIPELLE!$A$2:$D$28,4,0))</f>
        <v/>
      </c>
      <c r="I52" s="364">
        <v>3</v>
      </c>
      <c r="J52" s="389" t="str">
        <f>IF($C52="","",I52*VLOOKUP($C52,MINIPELLE!$A$2:$D$28,4,0))</f>
        <v/>
      </c>
      <c r="K52" s="364">
        <v>3</v>
      </c>
      <c r="L52" s="389" t="str">
        <f>IF($C52="","",K52*VLOOKUP($C52,MINIPELLE!$A$2:$D$28,4,0))</f>
        <v/>
      </c>
      <c r="M52" s="364">
        <v>3</v>
      </c>
      <c r="N52" s="389" t="str">
        <f>IF($C52="","",M52*VLOOKUP($C52,MINIPELLE!$A$2:$D$28,4,0))</f>
        <v/>
      </c>
      <c r="O52" s="364">
        <v>3</v>
      </c>
      <c r="P52" s="389" t="str">
        <f>IF($C52="","",O52*VLOOKUP($C52,MINIPELLE!$A$2:$D$28,4,0))</f>
        <v/>
      </c>
      <c r="Q52" s="364">
        <v>3</v>
      </c>
      <c r="R52" s="389" t="str">
        <f>IF($C52="","",Q52*VLOOKUP($C52,MINIPELLE!$A$2:$D$28,4,0))</f>
        <v/>
      </c>
      <c r="S52" s="364">
        <v>3</v>
      </c>
      <c r="T52" s="389" t="str">
        <f>IF($C52="","",S52*VLOOKUP($C52,MINIPELLE!$A$2:$D$28,4,0))</f>
        <v/>
      </c>
      <c r="U52" s="364">
        <v>3</v>
      </c>
      <c r="V52" s="389" t="str">
        <f>IF($C52="","",U52*VLOOKUP($C52,MINIPELLE!$A$2:$D$28,4,0))</f>
        <v/>
      </c>
      <c r="W52" s="364">
        <v>3</v>
      </c>
      <c r="X52" s="389" t="str">
        <f>IF($C52="","",W52*VLOOKUP($C52,MINIPELLE!$A$2:$D$28,4,0))</f>
        <v/>
      </c>
      <c r="Y52" s="364">
        <v>3</v>
      </c>
      <c r="Z52" s="389" t="str">
        <f>IF($C52="","",Y52*VLOOKUP($C52,MINIPELLE!$A$2:$D$28,4,0))</f>
        <v/>
      </c>
      <c r="AA52" s="364">
        <v>3</v>
      </c>
      <c r="AB52" s="389" t="str">
        <f>IF($C52="","",AA52*VLOOKUP($C52,MINIPELLE!$A$2:$D$28,4,0))</f>
        <v/>
      </c>
      <c r="AC52" s="364">
        <v>3</v>
      </c>
      <c r="AD52" s="389" t="str">
        <f>IF($C52="","",AC52*VLOOKUP($C52,MINIPELLE!$A$2:$D$28,4,0))</f>
        <v/>
      </c>
      <c r="AE52" s="364">
        <v>3</v>
      </c>
      <c r="AF52" s="389" t="str">
        <f>IF($C52="","",AE52*VLOOKUP($C52,MINIPELLE!$A$2:$D$28,4,0))</f>
        <v/>
      </c>
      <c r="AG52" s="364">
        <v>3</v>
      </c>
      <c r="AH52" s="389" t="str">
        <f>IF($C52="","",AG52*VLOOKUP($C52,MINIPELLE!$A$2:$D$28,4,0))</f>
        <v/>
      </c>
      <c r="AI52" s="364">
        <v>3</v>
      </c>
      <c r="AJ52" s="389" t="str">
        <f>IF($C52="","",AI52*VLOOKUP($C52,MINIPELLE!$A$2:$D$28,4,0))</f>
        <v/>
      </c>
      <c r="AK52" s="364">
        <v>3</v>
      </c>
      <c r="AL52" s="389" t="str">
        <f>IF($C52="","",AK52*VLOOKUP($C52,MINIPELLE!$A$2:$D$28,4,0))</f>
        <v/>
      </c>
      <c r="AM52" s="364">
        <v>3</v>
      </c>
      <c r="AN52" s="389" t="str">
        <f>IF($C52="","",AM52*VLOOKUP($C52,MINIPELLE!$A$2:$D$28,4,0))</f>
        <v/>
      </c>
    </row>
    <row r="53" spans="1:42" ht="15" customHeight="1" x14ac:dyDescent="0.2">
      <c r="A53" s="1560"/>
      <c r="B53" s="361"/>
      <c r="C53" s="378"/>
      <c r="D53" s="363" t="str">
        <f>IF(C53="","",VLOOKUP($C53,MINIPELLE!$A$2:$C$28,3,0))</f>
        <v/>
      </c>
      <c r="E53" s="364">
        <v>4</v>
      </c>
      <c r="F53" s="389" t="str">
        <f>IF($C53="","",E53*VLOOKUP($C53,MINIPELLE!$A$2:$D$28,4,0))</f>
        <v/>
      </c>
      <c r="G53" s="364">
        <v>4</v>
      </c>
      <c r="H53" s="389" t="str">
        <f>IF($C53="","",G53*VLOOKUP($C53,MINIPELLE!$A$2:$D$28,4,0))</f>
        <v/>
      </c>
      <c r="I53" s="364">
        <v>4</v>
      </c>
      <c r="J53" s="389" t="str">
        <f>IF($C53="","",I53*VLOOKUP($C53,MINIPELLE!$A$2:$D$28,4,0))</f>
        <v/>
      </c>
      <c r="K53" s="364">
        <v>4</v>
      </c>
      <c r="L53" s="389" t="str">
        <f>IF($C53="","",K53*VLOOKUP($C53,MINIPELLE!$A$2:$D$28,4,0))</f>
        <v/>
      </c>
      <c r="M53" s="364">
        <v>4</v>
      </c>
      <c r="N53" s="389" t="str">
        <f>IF($C53="","",M53*VLOOKUP($C53,MINIPELLE!$A$2:$D$28,4,0))</f>
        <v/>
      </c>
      <c r="O53" s="364">
        <v>4</v>
      </c>
      <c r="P53" s="389" t="str">
        <f>IF($C53="","",O53*VLOOKUP($C53,MINIPELLE!$A$2:$D$28,4,0))</f>
        <v/>
      </c>
      <c r="Q53" s="364">
        <v>4</v>
      </c>
      <c r="R53" s="389" t="str">
        <f>IF($C53="","",Q53*VLOOKUP($C53,MINIPELLE!$A$2:$D$28,4,0))</f>
        <v/>
      </c>
      <c r="S53" s="364">
        <v>4</v>
      </c>
      <c r="T53" s="389" t="str">
        <f>IF($C53="","",S53*VLOOKUP($C53,MINIPELLE!$A$2:$D$28,4,0))</f>
        <v/>
      </c>
      <c r="U53" s="364">
        <v>4</v>
      </c>
      <c r="V53" s="389" t="str">
        <f>IF($C53="","",U53*VLOOKUP($C53,MINIPELLE!$A$2:$D$28,4,0))</f>
        <v/>
      </c>
      <c r="W53" s="364">
        <v>4</v>
      </c>
      <c r="X53" s="389" t="str">
        <f>IF($C53="","",W53*VLOOKUP($C53,MINIPELLE!$A$2:$D$28,4,0))</f>
        <v/>
      </c>
      <c r="Y53" s="364">
        <v>4</v>
      </c>
      <c r="Z53" s="389" t="str">
        <f>IF($C53="","",Y53*VLOOKUP($C53,MINIPELLE!$A$2:$D$28,4,0))</f>
        <v/>
      </c>
      <c r="AA53" s="364">
        <v>4</v>
      </c>
      <c r="AB53" s="389" t="str">
        <f>IF($C53="","",AA53*VLOOKUP($C53,MINIPELLE!$A$2:$D$28,4,0))</f>
        <v/>
      </c>
      <c r="AC53" s="364">
        <v>4</v>
      </c>
      <c r="AD53" s="389" t="str">
        <f>IF($C53="","",AC53*VLOOKUP($C53,MINIPELLE!$A$2:$D$28,4,0))</f>
        <v/>
      </c>
      <c r="AE53" s="364">
        <v>4</v>
      </c>
      <c r="AF53" s="389" t="str">
        <f>IF($C53="","",AE53*VLOOKUP($C53,MINIPELLE!$A$2:$D$28,4,0))</f>
        <v/>
      </c>
      <c r="AG53" s="364">
        <v>4</v>
      </c>
      <c r="AH53" s="389" t="str">
        <f>IF($C53="","",AG53*VLOOKUP($C53,MINIPELLE!$A$2:$D$28,4,0))</f>
        <v/>
      </c>
      <c r="AI53" s="364">
        <v>4</v>
      </c>
      <c r="AJ53" s="389" t="str">
        <f>IF($C53="","",AI53*VLOOKUP($C53,MINIPELLE!$A$2:$D$28,4,0))</f>
        <v/>
      </c>
      <c r="AK53" s="364">
        <v>4</v>
      </c>
      <c r="AL53" s="389" t="str">
        <f>IF($C53="","",AK53*VLOOKUP($C53,MINIPELLE!$A$2:$D$28,4,0))</f>
        <v/>
      </c>
      <c r="AM53" s="364">
        <v>4</v>
      </c>
      <c r="AN53" s="389" t="str">
        <f>IF($C53="","",AM53*VLOOKUP($C53,MINIPELLE!$A$2:$D$28,4,0))</f>
        <v/>
      </c>
    </row>
    <row r="54" spans="1:42" ht="15" customHeight="1" x14ac:dyDescent="0.2">
      <c r="A54" s="1560"/>
      <c r="B54" s="361"/>
      <c r="C54" s="378"/>
      <c r="D54" s="363" t="str">
        <f>IF(C54="","",VLOOKUP($C54,MINIPELLE!$A$2:$C$28,3,0))</f>
        <v/>
      </c>
      <c r="E54" s="364">
        <v>5</v>
      </c>
      <c r="F54" s="389" t="str">
        <f>IF($C54="","",E54*VLOOKUP($C54,MINIPELLE!$A$2:$D$28,4,0))</f>
        <v/>
      </c>
      <c r="G54" s="364">
        <v>5</v>
      </c>
      <c r="H54" s="389" t="str">
        <f>IF($C54="","",G54*VLOOKUP($C54,MINIPELLE!$A$2:$D$28,4,0))</f>
        <v/>
      </c>
      <c r="I54" s="364">
        <v>5</v>
      </c>
      <c r="J54" s="389" t="str">
        <f>IF($C54="","",I54*VLOOKUP($C54,MINIPELLE!$A$2:$D$28,4,0))</f>
        <v/>
      </c>
      <c r="K54" s="364">
        <v>5</v>
      </c>
      <c r="L54" s="389" t="str">
        <f>IF($C54="","",K54*VLOOKUP($C54,MINIPELLE!$A$2:$D$28,4,0))</f>
        <v/>
      </c>
      <c r="M54" s="364">
        <v>5</v>
      </c>
      <c r="N54" s="389" t="str">
        <f>IF($C54="","",M54*VLOOKUP($C54,MINIPELLE!$A$2:$D$28,4,0))</f>
        <v/>
      </c>
      <c r="O54" s="364">
        <v>5</v>
      </c>
      <c r="P54" s="389" t="str">
        <f>IF($C54="","",O54*VLOOKUP($C54,MINIPELLE!$A$2:$D$28,4,0))</f>
        <v/>
      </c>
      <c r="Q54" s="364">
        <v>5</v>
      </c>
      <c r="R54" s="389" t="str">
        <f>IF($C54="","",Q54*VLOOKUP($C54,MINIPELLE!$A$2:$D$28,4,0))</f>
        <v/>
      </c>
      <c r="S54" s="364">
        <v>5</v>
      </c>
      <c r="T54" s="389" t="str">
        <f>IF($C54="","",S54*VLOOKUP($C54,MINIPELLE!$A$2:$D$28,4,0))</f>
        <v/>
      </c>
      <c r="U54" s="364">
        <v>5</v>
      </c>
      <c r="V54" s="389" t="str">
        <f>IF($C54="","",U54*VLOOKUP($C54,MINIPELLE!$A$2:$D$28,4,0))</f>
        <v/>
      </c>
      <c r="W54" s="364">
        <v>5</v>
      </c>
      <c r="X54" s="389" t="str">
        <f>IF($C54="","",W54*VLOOKUP($C54,MINIPELLE!$A$2:$D$28,4,0))</f>
        <v/>
      </c>
      <c r="Y54" s="364">
        <v>5</v>
      </c>
      <c r="Z54" s="389" t="str">
        <f>IF($C54="","",Y54*VLOOKUP($C54,MINIPELLE!$A$2:$D$28,4,0))</f>
        <v/>
      </c>
      <c r="AA54" s="364">
        <v>5</v>
      </c>
      <c r="AB54" s="389" t="str">
        <f>IF($C54="","",AA54*VLOOKUP($C54,MINIPELLE!$A$2:$D$28,4,0))</f>
        <v/>
      </c>
      <c r="AC54" s="364">
        <v>5</v>
      </c>
      <c r="AD54" s="389" t="str">
        <f>IF($C54="","",AC54*VLOOKUP($C54,MINIPELLE!$A$2:$D$28,4,0))</f>
        <v/>
      </c>
      <c r="AE54" s="364">
        <v>5</v>
      </c>
      <c r="AF54" s="389" t="str">
        <f>IF($C54="","",AE54*VLOOKUP($C54,MINIPELLE!$A$2:$D$28,4,0))</f>
        <v/>
      </c>
      <c r="AG54" s="364">
        <v>5</v>
      </c>
      <c r="AH54" s="389" t="str">
        <f>IF($C54="","",AG54*VLOOKUP($C54,MINIPELLE!$A$2:$D$28,4,0))</f>
        <v/>
      </c>
      <c r="AI54" s="364">
        <v>5</v>
      </c>
      <c r="AJ54" s="389" t="str">
        <f>IF($C54="","",AI54*VLOOKUP($C54,MINIPELLE!$A$2:$D$28,4,0))</f>
        <v/>
      </c>
      <c r="AK54" s="364">
        <v>5</v>
      </c>
      <c r="AL54" s="389" t="str">
        <f>IF($C54="","",AK54*VLOOKUP($C54,MINIPELLE!$A$2:$D$28,4,0))</f>
        <v/>
      </c>
      <c r="AM54" s="364">
        <v>5</v>
      </c>
      <c r="AN54" s="389" t="str">
        <f>IF($C54="","",AM54*VLOOKUP($C54,MINIPELLE!$A$2:$D$28,4,0))</f>
        <v/>
      </c>
    </row>
    <row r="55" spans="1:42" ht="15" customHeight="1" x14ac:dyDescent="0.2">
      <c r="A55" s="1560"/>
      <c r="B55" s="361"/>
      <c r="C55" s="378"/>
      <c r="D55" s="363" t="str">
        <f>IF(C55="","",VLOOKUP($C55,MINIPELLE!$A$2:$C$28,3,0))</f>
        <v/>
      </c>
      <c r="E55" s="364">
        <v>6</v>
      </c>
      <c r="F55" s="389" t="str">
        <f>IF($C55="","",E55*VLOOKUP($C55,MINIPELLE!$A$2:$D$28,4,0))</f>
        <v/>
      </c>
      <c r="G55" s="364">
        <v>6</v>
      </c>
      <c r="H55" s="389" t="str">
        <f>IF($C55="","",G55*VLOOKUP($C55,MINIPELLE!$A$2:$D$28,4,0))</f>
        <v/>
      </c>
      <c r="I55" s="364">
        <v>6</v>
      </c>
      <c r="J55" s="389" t="str">
        <f>IF($C55="","",I55*VLOOKUP($C55,MINIPELLE!$A$2:$D$28,4,0))</f>
        <v/>
      </c>
      <c r="K55" s="364">
        <v>6</v>
      </c>
      <c r="L55" s="389" t="str">
        <f>IF($C55="","",K55*VLOOKUP($C55,MINIPELLE!$A$2:$D$28,4,0))</f>
        <v/>
      </c>
      <c r="M55" s="364">
        <v>6</v>
      </c>
      <c r="N55" s="389" t="str">
        <f>IF($C55="","",M55*VLOOKUP($C55,MINIPELLE!$A$2:$D$28,4,0))</f>
        <v/>
      </c>
      <c r="O55" s="364">
        <v>6</v>
      </c>
      <c r="P55" s="389" t="str">
        <f>IF($C55="","",O55*VLOOKUP($C55,MINIPELLE!$A$2:$D$28,4,0))</f>
        <v/>
      </c>
      <c r="Q55" s="364">
        <v>6</v>
      </c>
      <c r="R55" s="389" t="str">
        <f>IF($C55="","",Q55*VLOOKUP($C55,MINIPELLE!$A$2:$D$28,4,0))</f>
        <v/>
      </c>
      <c r="S55" s="364">
        <v>6</v>
      </c>
      <c r="T55" s="389" t="str">
        <f>IF($C55="","",S55*VLOOKUP($C55,MINIPELLE!$A$2:$D$28,4,0))</f>
        <v/>
      </c>
      <c r="U55" s="364">
        <v>6</v>
      </c>
      <c r="V55" s="389" t="str">
        <f>IF($C55="","",U55*VLOOKUP($C55,MINIPELLE!$A$2:$D$28,4,0))</f>
        <v/>
      </c>
      <c r="W55" s="364">
        <v>6</v>
      </c>
      <c r="X55" s="389" t="str">
        <f>IF($C55="","",W55*VLOOKUP($C55,MINIPELLE!$A$2:$D$28,4,0))</f>
        <v/>
      </c>
      <c r="Y55" s="364">
        <v>6</v>
      </c>
      <c r="Z55" s="389" t="str">
        <f>IF($C55="","",Y55*VLOOKUP($C55,MINIPELLE!$A$2:$D$28,4,0))</f>
        <v/>
      </c>
      <c r="AA55" s="364">
        <v>6</v>
      </c>
      <c r="AB55" s="389" t="str">
        <f>IF($C55="","",AA55*VLOOKUP($C55,MINIPELLE!$A$2:$D$28,4,0))</f>
        <v/>
      </c>
      <c r="AC55" s="364">
        <v>6</v>
      </c>
      <c r="AD55" s="389" t="str">
        <f>IF($C55="","",AC55*VLOOKUP($C55,MINIPELLE!$A$2:$D$28,4,0))</f>
        <v/>
      </c>
      <c r="AE55" s="364">
        <v>6</v>
      </c>
      <c r="AF55" s="389" t="str">
        <f>IF($C55="","",AE55*VLOOKUP($C55,MINIPELLE!$A$2:$D$28,4,0))</f>
        <v/>
      </c>
      <c r="AG55" s="364">
        <v>6</v>
      </c>
      <c r="AH55" s="389" t="str">
        <f>IF($C55="","",AG55*VLOOKUP($C55,MINIPELLE!$A$2:$D$28,4,0))</f>
        <v/>
      </c>
      <c r="AI55" s="364">
        <v>6</v>
      </c>
      <c r="AJ55" s="389" t="str">
        <f>IF($C55="","",AI55*VLOOKUP($C55,MINIPELLE!$A$2:$D$28,4,0))</f>
        <v/>
      </c>
      <c r="AK55" s="364">
        <v>6</v>
      </c>
      <c r="AL55" s="389" t="str">
        <f>IF($C55="","",AK55*VLOOKUP($C55,MINIPELLE!$A$2:$D$28,4,0))</f>
        <v/>
      </c>
      <c r="AM55" s="364">
        <v>6</v>
      </c>
      <c r="AN55" s="389" t="str">
        <f>IF($C55="","",AM55*VLOOKUP($C55,MINIPELLE!$A$2:$D$28,4,0))</f>
        <v/>
      </c>
    </row>
    <row r="56" spans="1:42" ht="15" customHeight="1" x14ac:dyDescent="0.2">
      <c r="A56" s="1560"/>
      <c r="B56" s="361"/>
      <c r="C56" s="378"/>
      <c r="D56" s="363" t="str">
        <f>IF(C56="","",VLOOKUP($C56,MINIPELLE!$A$2:$C$28,3,0))</f>
        <v/>
      </c>
      <c r="E56" s="364">
        <v>7</v>
      </c>
      <c r="F56" s="389" t="str">
        <f>IF($C56="","",E56*VLOOKUP($C56,MINIPELLE!$A$2:$D$28,4,0))</f>
        <v/>
      </c>
      <c r="G56" s="364">
        <v>7</v>
      </c>
      <c r="H56" s="389" t="str">
        <f>IF($C56="","",G56*VLOOKUP($C56,MINIPELLE!$A$2:$D$28,4,0))</f>
        <v/>
      </c>
      <c r="I56" s="364">
        <v>7</v>
      </c>
      <c r="J56" s="389" t="str">
        <f>IF($C56="","",I56*VLOOKUP($C56,MINIPELLE!$A$2:$D$28,4,0))</f>
        <v/>
      </c>
      <c r="K56" s="364">
        <v>7</v>
      </c>
      <c r="L56" s="389" t="str">
        <f>IF($C56="","",K56*VLOOKUP($C56,MINIPELLE!$A$2:$D$28,4,0))</f>
        <v/>
      </c>
      <c r="M56" s="364">
        <v>7</v>
      </c>
      <c r="N56" s="389" t="str">
        <f>IF($C56="","",M56*VLOOKUP($C56,MINIPELLE!$A$2:$D$28,4,0))</f>
        <v/>
      </c>
      <c r="O56" s="364">
        <v>7</v>
      </c>
      <c r="P56" s="389" t="str">
        <f>IF($C56="","",O56*VLOOKUP($C56,MINIPELLE!$A$2:$D$28,4,0))</f>
        <v/>
      </c>
      <c r="Q56" s="364">
        <v>7</v>
      </c>
      <c r="R56" s="389" t="str">
        <f>IF($C56="","",Q56*VLOOKUP($C56,MINIPELLE!$A$2:$D$28,4,0))</f>
        <v/>
      </c>
      <c r="S56" s="364">
        <v>7</v>
      </c>
      <c r="T56" s="389" t="str">
        <f>IF($C56="","",S56*VLOOKUP($C56,MINIPELLE!$A$2:$D$28,4,0))</f>
        <v/>
      </c>
      <c r="U56" s="364">
        <v>7</v>
      </c>
      <c r="V56" s="389" t="str">
        <f>IF($C56="","",U56*VLOOKUP($C56,MINIPELLE!$A$2:$D$28,4,0))</f>
        <v/>
      </c>
      <c r="W56" s="364">
        <v>7</v>
      </c>
      <c r="X56" s="389" t="str">
        <f>IF($C56="","",W56*VLOOKUP($C56,MINIPELLE!$A$2:$D$28,4,0))</f>
        <v/>
      </c>
      <c r="Y56" s="364">
        <v>7</v>
      </c>
      <c r="Z56" s="389" t="str">
        <f>IF($C56="","",Y56*VLOOKUP($C56,MINIPELLE!$A$2:$D$28,4,0))</f>
        <v/>
      </c>
      <c r="AA56" s="364">
        <v>7</v>
      </c>
      <c r="AB56" s="389" t="str">
        <f>IF($C56="","",AA56*VLOOKUP($C56,MINIPELLE!$A$2:$D$28,4,0))</f>
        <v/>
      </c>
      <c r="AC56" s="364">
        <v>7</v>
      </c>
      <c r="AD56" s="389" t="str">
        <f>IF($C56="","",AC56*VLOOKUP($C56,MINIPELLE!$A$2:$D$28,4,0))</f>
        <v/>
      </c>
      <c r="AE56" s="364">
        <v>7</v>
      </c>
      <c r="AF56" s="389" t="str">
        <f>IF($C56="","",AE56*VLOOKUP($C56,MINIPELLE!$A$2:$D$28,4,0))</f>
        <v/>
      </c>
      <c r="AG56" s="364">
        <v>7</v>
      </c>
      <c r="AH56" s="389" t="str">
        <f>IF($C56="","",AG56*VLOOKUP($C56,MINIPELLE!$A$2:$D$28,4,0))</f>
        <v/>
      </c>
      <c r="AI56" s="364">
        <v>7</v>
      </c>
      <c r="AJ56" s="389" t="str">
        <f>IF($C56="","",AI56*VLOOKUP($C56,MINIPELLE!$A$2:$D$28,4,0))</f>
        <v/>
      </c>
      <c r="AK56" s="364">
        <v>7</v>
      </c>
      <c r="AL56" s="389" t="str">
        <f>IF($C56="","",AK56*VLOOKUP($C56,MINIPELLE!$A$2:$D$28,4,0))</f>
        <v/>
      </c>
      <c r="AM56" s="364">
        <v>7</v>
      </c>
      <c r="AN56" s="389" t="str">
        <f>IF($C56="","",AM56*VLOOKUP($C56,MINIPELLE!$A$2:$D$28,4,0))</f>
        <v/>
      </c>
    </row>
    <row r="57" spans="1:42" ht="15" customHeight="1" x14ac:dyDescent="0.2">
      <c r="A57" s="1560"/>
      <c r="B57" s="361"/>
      <c r="C57" s="378"/>
      <c r="D57" s="363" t="str">
        <f>IF(C57="","",VLOOKUP($C57,MINIPELLE!$A$2:$C$28,3,0))</f>
        <v/>
      </c>
      <c r="E57" s="364">
        <v>8</v>
      </c>
      <c r="F57" s="389" t="str">
        <f>IF($C57="","",E57*VLOOKUP($C57,MINIPELLE!$A$2:$D$28,4,0))</f>
        <v/>
      </c>
      <c r="G57" s="364">
        <v>8</v>
      </c>
      <c r="H57" s="389" t="str">
        <f>IF($C57="","",G57*VLOOKUP($C57,MINIPELLE!$A$2:$D$28,4,0))</f>
        <v/>
      </c>
      <c r="I57" s="364">
        <v>8</v>
      </c>
      <c r="J57" s="389" t="str">
        <f>IF($C57="","",I57*VLOOKUP($C57,MINIPELLE!$A$2:$D$28,4,0))</f>
        <v/>
      </c>
      <c r="K57" s="364">
        <v>8</v>
      </c>
      <c r="L57" s="389" t="str">
        <f>IF($C57="","",K57*VLOOKUP($C57,MINIPELLE!$A$2:$D$28,4,0))</f>
        <v/>
      </c>
      <c r="M57" s="364">
        <v>8</v>
      </c>
      <c r="N57" s="389" t="str">
        <f>IF($C57="","",M57*VLOOKUP($C57,MINIPELLE!$A$2:$D$28,4,0))</f>
        <v/>
      </c>
      <c r="O57" s="364">
        <v>8</v>
      </c>
      <c r="P57" s="389" t="str">
        <f>IF($C57="","",O57*VLOOKUP($C57,MINIPELLE!$A$2:$D$28,4,0))</f>
        <v/>
      </c>
      <c r="Q57" s="364">
        <v>8</v>
      </c>
      <c r="R57" s="389" t="str">
        <f>IF($C57="","",Q57*VLOOKUP($C57,MINIPELLE!$A$2:$D$28,4,0))</f>
        <v/>
      </c>
      <c r="S57" s="364">
        <v>8</v>
      </c>
      <c r="T57" s="389" t="str">
        <f>IF($C57="","",S57*VLOOKUP($C57,MINIPELLE!$A$2:$D$28,4,0))</f>
        <v/>
      </c>
      <c r="U57" s="364">
        <v>8</v>
      </c>
      <c r="V57" s="389" t="str">
        <f>IF($C57="","",U57*VLOOKUP($C57,MINIPELLE!$A$2:$D$28,4,0))</f>
        <v/>
      </c>
      <c r="W57" s="364">
        <v>8</v>
      </c>
      <c r="X57" s="389" t="str">
        <f>IF($C57="","",W57*VLOOKUP($C57,MINIPELLE!$A$2:$D$28,4,0))</f>
        <v/>
      </c>
      <c r="Y57" s="364">
        <v>8</v>
      </c>
      <c r="Z57" s="389" t="str">
        <f>IF($C57="","",Y57*VLOOKUP($C57,MINIPELLE!$A$2:$D$28,4,0))</f>
        <v/>
      </c>
      <c r="AA57" s="364">
        <v>8</v>
      </c>
      <c r="AB57" s="389" t="str">
        <f>IF($C57="","",AA57*VLOOKUP($C57,MINIPELLE!$A$2:$D$28,4,0))</f>
        <v/>
      </c>
      <c r="AC57" s="364">
        <v>8</v>
      </c>
      <c r="AD57" s="389" t="str">
        <f>IF($C57="","",AC57*VLOOKUP($C57,MINIPELLE!$A$2:$D$28,4,0))</f>
        <v/>
      </c>
      <c r="AE57" s="364">
        <v>8</v>
      </c>
      <c r="AF57" s="389" t="str">
        <f>IF($C57="","",AE57*VLOOKUP($C57,MINIPELLE!$A$2:$D$28,4,0))</f>
        <v/>
      </c>
      <c r="AG57" s="364">
        <v>8</v>
      </c>
      <c r="AH57" s="389" t="str">
        <f>IF($C57="","",AG57*VLOOKUP($C57,MINIPELLE!$A$2:$D$28,4,0))</f>
        <v/>
      </c>
      <c r="AI57" s="364">
        <v>8</v>
      </c>
      <c r="AJ57" s="389" t="str">
        <f>IF($C57="","",AI57*VLOOKUP($C57,MINIPELLE!$A$2:$D$28,4,0))</f>
        <v/>
      </c>
      <c r="AK57" s="364">
        <v>8</v>
      </c>
      <c r="AL57" s="389" t="str">
        <f>IF($C57="","",AK57*VLOOKUP($C57,MINIPELLE!$A$2:$D$28,4,0))</f>
        <v/>
      </c>
      <c r="AM57" s="364">
        <v>8</v>
      </c>
      <c r="AN57" s="389" t="str">
        <f>IF($C57="","",AM57*VLOOKUP($C57,MINIPELLE!$A$2:$D$28,4,0))</f>
        <v/>
      </c>
    </row>
    <row r="58" spans="1:42" ht="15" customHeight="1" x14ac:dyDescent="0.2">
      <c r="A58" s="1560"/>
      <c r="B58" s="361"/>
      <c r="C58" s="378"/>
      <c r="D58" s="363" t="str">
        <f>IF(C58="","",VLOOKUP($C58,MINIPELLE!$A$2:$C$28,3,0))</f>
        <v/>
      </c>
      <c r="E58" s="364">
        <v>9</v>
      </c>
      <c r="F58" s="389" t="str">
        <f>IF($C58="","",E58*VLOOKUP($C58,MINIPELLE!$A$2:$D$28,4,0))</f>
        <v/>
      </c>
      <c r="G58" s="364">
        <v>9</v>
      </c>
      <c r="H58" s="389" t="str">
        <f>IF($C58="","",G58*VLOOKUP($C58,MINIPELLE!$A$2:$D$28,4,0))</f>
        <v/>
      </c>
      <c r="I58" s="364">
        <v>9</v>
      </c>
      <c r="J58" s="389" t="str">
        <f>IF($C58="","",I58*VLOOKUP($C58,MINIPELLE!$A$2:$D$28,4,0))</f>
        <v/>
      </c>
      <c r="K58" s="364">
        <v>9</v>
      </c>
      <c r="L58" s="389" t="str">
        <f>IF($C58="","",K58*VLOOKUP($C58,MINIPELLE!$A$2:$D$28,4,0))</f>
        <v/>
      </c>
      <c r="M58" s="364">
        <v>9</v>
      </c>
      <c r="N58" s="389" t="str">
        <f>IF($C58="","",M58*VLOOKUP($C58,MINIPELLE!$A$2:$D$28,4,0))</f>
        <v/>
      </c>
      <c r="O58" s="364">
        <v>9</v>
      </c>
      <c r="P58" s="389" t="str">
        <f>IF($C58="","",O58*VLOOKUP($C58,MINIPELLE!$A$2:$D$28,4,0))</f>
        <v/>
      </c>
      <c r="Q58" s="364">
        <v>9</v>
      </c>
      <c r="R58" s="389" t="str">
        <f>IF($C58="","",Q58*VLOOKUP($C58,MINIPELLE!$A$2:$D$28,4,0))</f>
        <v/>
      </c>
      <c r="S58" s="364">
        <v>9</v>
      </c>
      <c r="T58" s="389" t="str">
        <f>IF($C58="","",S58*VLOOKUP($C58,MINIPELLE!$A$2:$D$28,4,0))</f>
        <v/>
      </c>
      <c r="U58" s="364">
        <v>9</v>
      </c>
      <c r="V58" s="389" t="str">
        <f>IF($C58="","",U58*VLOOKUP($C58,MINIPELLE!$A$2:$D$28,4,0))</f>
        <v/>
      </c>
      <c r="W58" s="364">
        <v>9</v>
      </c>
      <c r="X58" s="389" t="str">
        <f>IF($C58="","",W58*VLOOKUP($C58,MINIPELLE!$A$2:$D$28,4,0))</f>
        <v/>
      </c>
      <c r="Y58" s="364">
        <v>9</v>
      </c>
      <c r="Z58" s="389" t="str">
        <f>IF($C58="","",Y58*VLOOKUP($C58,MINIPELLE!$A$2:$D$28,4,0))</f>
        <v/>
      </c>
      <c r="AA58" s="364">
        <v>9</v>
      </c>
      <c r="AB58" s="389" t="str">
        <f>IF($C58="","",AA58*VLOOKUP($C58,MINIPELLE!$A$2:$D$28,4,0))</f>
        <v/>
      </c>
      <c r="AC58" s="364">
        <v>9</v>
      </c>
      <c r="AD58" s="389" t="str">
        <f>IF($C58="","",AC58*VLOOKUP($C58,MINIPELLE!$A$2:$D$28,4,0))</f>
        <v/>
      </c>
      <c r="AE58" s="364">
        <v>9</v>
      </c>
      <c r="AF58" s="389" t="str">
        <f>IF($C58="","",AE58*VLOOKUP($C58,MINIPELLE!$A$2:$D$28,4,0))</f>
        <v/>
      </c>
      <c r="AG58" s="364">
        <v>9</v>
      </c>
      <c r="AH58" s="389" t="str">
        <f>IF($C58="","",AG58*VLOOKUP($C58,MINIPELLE!$A$2:$D$28,4,0))</f>
        <v/>
      </c>
      <c r="AI58" s="364">
        <v>9</v>
      </c>
      <c r="AJ58" s="389" t="str">
        <f>IF($C58="","",AI58*VLOOKUP($C58,MINIPELLE!$A$2:$D$28,4,0))</f>
        <v/>
      </c>
      <c r="AK58" s="364">
        <v>9</v>
      </c>
      <c r="AL58" s="389" t="str">
        <f>IF($C58="","",AK58*VLOOKUP($C58,MINIPELLE!$A$2:$D$28,4,0))</f>
        <v/>
      </c>
      <c r="AM58" s="364">
        <v>9</v>
      </c>
      <c r="AN58" s="389" t="str">
        <f>IF($C58="","",AM58*VLOOKUP($C58,MINIPELLE!$A$2:$D$28,4,0))</f>
        <v/>
      </c>
      <c r="AO58" s="223"/>
      <c r="AP58" s="223"/>
    </row>
    <row r="59" spans="1:42" ht="15" customHeight="1" x14ac:dyDescent="0.2">
      <c r="A59" s="1560"/>
      <c r="B59" s="361"/>
      <c r="C59" s="378"/>
      <c r="D59" s="363" t="str">
        <f>IF(C59="","",VLOOKUP($C59,MINIPELLE!$A$2:$C$28,3,0))</f>
        <v/>
      </c>
      <c r="E59" s="364">
        <v>10</v>
      </c>
      <c r="F59" s="389" t="str">
        <f>IF($C59="","",E59*VLOOKUP($C59,MINIPELLE!$A$2:$D$28,4,0))</f>
        <v/>
      </c>
      <c r="G59" s="364">
        <v>10</v>
      </c>
      <c r="H59" s="389" t="str">
        <f>IF($C59="","",G59*VLOOKUP($C59,MINIPELLE!$A$2:$D$28,4,0))</f>
        <v/>
      </c>
      <c r="I59" s="364">
        <v>10</v>
      </c>
      <c r="J59" s="389" t="str">
        <f>IF($C59="","",I59*VLOOKUP($C59,MINIPELLE!$A$2:$D$28,4,0))</f>
        <v/>
      </c>
      <c r="K59" s="364">
        <v>10</v>
      </c>
      <c r="L59" s="389" t="str">
        <f>IF($C59="","",K59*VLOOKUP($C59,MINIPELLE!$A$2:$D$28,4,0))</f>
        <v/>
      </c>
      <c r="M59" s="364">
        <v>10</v>
      </c>
      <c r="N59" s="389" t="str">
        <f>IF($C59="","",M59*VLOOKUP($C59,MINIPELLE!$A$2:$D$28,4,0))</f>
        <v/>
      </c>
      <c r="O59" s="364">
        <v>10</v>
      </c>
      <c r="P59" s="389" t="str">
        <f>IF($C59="","",O59*VLOOKUP($C59,MINIPELLE!$A$2:$D$28,4,0))</f>
        <v/>
      </c>
      <c r="Q59" s="364">
        <v>10</v>
      </c>
      <c r="R59" s="389" t="str">
        <f>IF($C59="","",Q59*VLOOKUP($C59,MINIPELLE!$A$2:$D$28,4,0))</f>
        <v/>
      </c>
      <c r="S59" s="364">
        <v>10</v>
      </c>
      <c r="T59" s="389" t="str">
        <f>IF($C59="","",S59*VLOOKUP($C59,MINIPELLE!$A$2:$D$28,4,0))</f>
        <v/>
      </c>
      <c r="U59" s="364">
        <v>10</v>
      </c>
      <c r="V59" s="389" t="str">
        <f>IF($C59="","",U59*VLOOKUP($C59,MINIPELLE!$A$2:$D$28,4,0))</f>
        <v/>
      </c>
      <c r="W59" s="364">
        <v>10</v>
      </c>
      <c r="X59" s="389" t="str">
        <f>IF($C59="","",W59*VLOOKUP($C59,MINIPELLE!$A$2:$D$28,4,0))</f>
        <v/>
      </c>
      <c r="Y59" s="364">
        <v>10</v>
      </c>
      <c r="Z59" s="389" t="str">
        <f>IF($C59="","",Y59*VLOOKUP($C59,MINIPELLE!$A$2:$D$28,4,0))</f>
        <v/>
      </c>
      <c r="AA59" s="364">
        <v>10</v>
      </c>
      <c r="AB59" s="389" t="str">
        <f>IF($C59="","",AA59*VLOOKUP($C59,MINIPELLE!$A$2:$D$28,4,0))</f>
        <v/>
      </c>
      <c r="AC59" s="364">
        <v>10</v>
      </c>
      <c r="AD59" s="389" t="str">
        <f>IF($C59="","",AC59*VLOOKUP($C59,MINIPELLE!$A$2:$D$28,4,0))</f>
        <v/>
      </c>
      <c r="AE59" s="364">
        <v>10</v>
      </c>
      <c r="AF59" s="389" t="str">
        <f>IF($C59="","",AE59*VLOOKUP($C59,MINIPELLE!$A$2:$D$28,4,0))</f>
        <v/>
      </c>
      <c r="AG59" s="364">
        <v>10</v>
      </c>
      <c r="AH59" s="389" t="str">
        <f>IF($C59="","",AG59*VLOOKUP($C59,MINIPELLE!$A$2:$D$28,4,0))</f>
        <v/>
      </c>
      <c r="AI59" s="364">
        <v>10</v>
      </c>
      <c r="AJ59" s="389" t="str">
        <f>IF($C59="","",AI59*VLOOKUP($C59,MINIPELLE!$A$2:$D$28,4,0))</f>
        <v/>
      </c>
      <c r="AK59" s="364">
        <v>10</v>
      </c>
      <c r="AL59" s="389" t="str">
        <f>IF($C59="","",AK59*VLOOKUP($C59,MINIPELLE!$A$2:$D$28,4,0))</f>
        <v/>
      </c>
      <c r="AM59" s="364">
        <v>10</v>
      </c>
      <c r="AN59" s="389" t="str">
        <f>IF($C59="","",AM59*VLOOKUP($C59,MINIPELLE!$A$2:$D$28,4,0))</f>
        <v/>
      </c>
    </row>
    <row r="60" spans="1:42" ht="15" customHeight="1" x14ac:dyDescent="0.2">
      <c r="A60" s="1560"/>
      <c r="B60" s="361"/>
      <c r="C60" s="378"/>
      <c r="D60" s="363" t="str">
        <f>IF(C60="","",VLOOKUP($C60,MINIPELLE!$A$2:$C$28,3,0))</f>
        <v/>
      </c>
      <c r="E60" s="364">
        <v>11</v>
      </c>
      <c r="F60" s="389" t="str">
        <f>IF($C60="","",E60*VLOOKUP($C60,MINIPELLE!$A$2:$D$28,4,0))</f>
        <v/>
      </c>
      <c r="G60" s="364">
        <v>11</v>
      </c>
      <c r="H60" s="389" t="str">
        <f>IF($C60="","",G60*VLOOKUP($C60,MINIPELLE!$A$2:$D$28,4,0))</f>
        <v/>
      </c>
      <c r="I60" s="364">
        <v>11</v>
      </c>
      <c r="J60" s="389" t="str">
        <f>IF($C60="","",I60*VLOOKUP($C60,MINIPELLE!$A$2:$D$28,4,0))</f>
        <v/>
      </c>
      <c r="K60" s="364">
        <v>11</v>
      </c>
      <c r="L60" s="389" t="str">
        <f>IF($C60="","",K60*VLOOKUP($C60,MINIPELLE!$A$2:$D$28,4,0))</f>
        <v/>
      </c>
      <c r="M60" s="364">
        <v>11</v>
      </c>
      <c r="N60" s="389" t="str">
        <f>IF($C60="","",M60*VLOOKUP($C60,MINIPELLE!$A$2:$D$28,4,0))</f>
        <v/>
      </c>
      <c r="O60" s="364">
        <v>11</v>
      </c>
      <c r="P60" s="389" t="str">
        <f>IF($C60="","",O60*VLOOKUP($C60,MINIPELLE!$A$2:$D$28,4,0))</f>
        <v/>
      </c>
      <c r="Q60" s="364">
        <v>11</v>
      </c>
      <c r="R60" s="389" t="str">
        <f>IF($C60="","",Q60*VLOOKUP($C60,MINIPELLE!$A$2:$D$28,4,0))</f>
        <v/>
      </c>
      <c r="S60" s="364">
        <v>11</v>
      </c>
      <c r="T60" s="389" t="str">
        <f>IF($C60="","",S60*VLOOKUP($C60,MINIPELLE!$A$2:$D$28,4,0))</f>
        <v/>
      </c>
      <c r="U60" s="364">
        <v>11</v>
      </c>
      <c r="V60" s="389" t="str">
        <f>IF($C60="","",U60*VLOOKUP($C60,MINIPELLE!$A$2:$D$28,4,0))</f>
        <v/>
      </c>
      <c r="W60" s="364">
        <v>11</v>
      </c>
      <c r="X60" s="389" t="str">
        <f>IF($C60="","",W60*VLOOKUP($C60,MINIPELLE!$A$2:$D$28,4,0))</f>
        <v/>
      </c>
      <c r="Y60" s="364">
        <v>11</v>
      </c>
      <c r="Z60" s="389" t="str">
        <f>IF($C60="","",Y60*VLOOKUP($C60,MINIPELLE!$A$2:$D$28,4,0))</f>
        <v/>
      </c>
      <c r="AA60" s="364">
        <v>11</v>
      </c>
      <c r="AB60" s="389" t="str">
        <f>IF($C60="","",AA60*VLOOKUP($C60,MINIPELLE!$A$2:$D$28,4,0))</f>
        <v/>
      </c>
      <c r="AC60" s="364">
        <v>11</v>
      </c>
      <c r="AD60" s="389" t="str">
        <f>IF($C60="","",AC60*VLOOKUP($C60,MINIPELLE!$A$2:$D$28,4,0))</f>
        <v/>
      </c>
      <c r="AE60" s="364">
        <v>11</v>
      </c>
      <c r="AF60" s="389" t="str">
        <f>IF($C60="","",AE60*VLOOKUP($C60,MINIPELLE!$A$2:$D$28,4,0))</f>
        <v/>
      </c>
      <c r="AG60" s="364">
        <v>11</v>
      </c>
      <c r="AH60" s="389" t="str">
        <f>IF($C60="","",AG60*VLOOKUP($C60,MINIPELLE!$A$2:$D$28,4,0))</f>
        <v/>
      </c>
      <c r="AI60" s="364">
        <v>11</v>
      </c>
      <c r="AJ60" s="389" t="str">
        <f>IF($C60="","",AI60*VLOOKUP($C60,MINIPELLE!$A$2:$D$28,4,0))</f>
        <v/>
      </c>
      <c r="AK60" s="364">
        <v>11</v>
      </c>
      <c r="AL60" s="389" t="str">
        <f>IF($C60="","",AK60*VLOOKUP($C60,MINIPELLE!$A$2:$D$28,4,0))</f>
        <v/>
      </c>
      <c r="AM60" s="364">
        <v>11</v>
      </c>
      <c r="AN60" s="389" t="str">
        <f>IF($C60="","",AM60*VLOOKUP($C60,MINIPELLE!$A$2:$D$28,4,0))</f>
        <v/>
      </c>
    </row>
    <row r="61" spans="1:42" ht="15" customHeight="1" x14ac:dyDescent="0.2">
      <c r="A61" s="1560"/>
      <c r="B61" s="361"/>
      <c r="C61" s="378"/>
      <c r="D61" s="363" t="str">
        <f>IF(C61="","",VLOOKUP($C61,MINIPELLE!$A$2:$C$28,3,0))</f>
        <v/>
      </c>
      <c r="E61" s="364">
        <v>12</v>
      </c>
      <c r="F61" s="389" t="str">
        <f>IF($C61="","",E61*VLOOKUP($C61,MINIPELLE!$A$2:$D$28,4,0))</f>
        <v/>
      </c>
      <c r="G61" s="364">
        <v>12</v>
      </c>
      <c r="H61" s="389" t="str">
        <f>IF($C61="","",G61*VLOOKUP($C61,MINIPELLE!$A$2:$D$28,4,0))</f>
        <v/>
      </c>
      <c r="I61" s="364">
        <v>12</v>
      </c>
      <c r="J61" s="389" t="str">
        <f>IF($C61="","",I61*VLOOKUP($C61,MINIPELLE!$A$2:$D$28,4,0))</f>
        <v/>
      </c>
      <c r="K61" s="364">
        <v>12</v>
      </c>
      <c r="L61" s="389" t="str">
        <f>IF($C61="","",K61*VLOOKUP($C61,MINIPELLE!$A$2:$D$28,4,0))</f>
        <v/>
      </c>
      <c r="M61" s="364">
        <v>12</v>
      </c>
      <c r="N61" s="389" t="str">
        <f>IF($C61="","",M61*VLOOKUP($C61,MINIPELLE!$A$2:$D$28,4,0))</f>
        <v/>
      </c>
      <c r="O61" s="364">
        <v>12</v>
      </c>
      <c r="P61" s="389" t="str">
        <f>IF($C61="","",O61*VLOOKUP($C61,MINIPELLE!$A$2:$D$28,4,0))</f>
        <v/>
      </c>
      <c r="Q61" s="364">
        <v>12</v>
      </c>
      <c r="R61" s="389" t="str">
        <f>IF($C61="","",Q61*VLOOKUP($C61,MINIPELLE!$A$2:$D$28,4,0))</f>
        <v/>
      </c>
      <c r="S61" s="364">
        <v>12</v>
      </c>
      <c r="T61" s="389" t="str">
        <f>IF($C61="","",S61*VLOOKUP($C61,MINIPELLE!$A$2:$D$28,4,0))</f>
        <v/>
      </c>
      <c r="U61" s="364">
        <v>12</v>
      </c>
      <c r="V61" s="389" t="str">
        <f>IF($C61="","",U61*VLOOKUP($C61,MINIPELLE!$A$2:$D$28,4,0))</f>
        <v/>
      </c>
      <c r="W61" s="364">
        <v>12</v>
      </c>
      <c r="X61" s="389" t="str">
        <f>IF($C61="","",W61*VLOOKUP($C61,MINIPELLE!$A$2:$D$28,4,0))</f>
        <v/>
      </c>
      <c r="Y61" s="364">
        <v>12</v>
      </c>
      <c r="Z61" s="389" t="str">
        <f>IF($C61="","",Y61*VLOOKUP($C61,MINIPELLE!$A$2:$D$28,4,0))</f>
        <v/>
      </c>
      <c r="AA61" s="364">
        <v>12</v>
      </c>
      <c r="AB61" s="389" t="str">
        <f>IF($C61="","",AA61*VLOOKUP($C61,MINIPELLE!$A$2:$D$28,4,0))</f>
        <v/>
      </c>
      <c r="AC61" s="364">
        <v>12</v>
      </c>
      <c r="AD61" s="389" t="str">
        <f>IF($C61="","",AC61*VLOOKUP($C61,MINIPELLE!$A$2:$D$28,4,0))</f>
        <v/>
      </c>
      <c r="AE61" s="364">
        <v>12</v>
      </c>
      <c r="AF61" s="389" t="str">
        <f>IF($C61="","",AE61*VLOOKUP($C61,MINIPELLE!$A$2:$D$28,4,0))</f>
        <v/>
      </c>
      <c r="AG61" s="364">
        <v>12</v>
      </c>
      <c r="AH61" s="389" t="str">
        <f>IF($C61="","",AG61*VLOOKUP($C61,MINIPELLE!$A$2:$D$28,4,0))</f>
        <v/>
      </c>
      <c r="AI61" s="364">
        <v>12</v>
      </c>
      <c r="AJ61" s="389" t="str">
        <f>IF($C61="","",AI61*VLOOKUP($C61,MINIPELLE!$A$2:$D$28,4,0))</f>
        <v/>
      </c>
      <c r="AK61" s="364">
        <v>12</v>
      </c>
      <c r="AL61" s="389" t="str">
        <f>IF($C61="","",AK61*VLOOKUP($C61,MINIPELLE!$A$2:$D$28,4,0))</f>
        <v/>
      </c>
      <c r="AM61" s="364">
        <v>12</v>
      </c>
      <c r="AN61" s="389" t="str">
        <f>IF($C61="","",AM61*VLOOKUP($C61,MINIPELLE!$A$2:$D$28,4,0))</f>
        <v/>
      </c>
    </row>
    <row r="62" spans="1:42" ht="29.25" customHeight="1" x14ac:dyDescent="0.2">
      <c r="A62" s="1560"/>
      <c r="B62" s="384" t="s">
        <v>454</v>
      </c>
      <c r="C62" s="385" t="s">
        <v>455</v>
      </c>
      <c r="D62" s="386" t="s">
        <v>451</v>
      </c>
      <c r="E62" s="387">
        <f>F62*Simulation!$P$10</f>
        <v>4</v>
      </c>
      <c r="F62" s="388">
        <f>SUM(F51:F61)</f>
        <v>0.05</v>
      </c>
      <c r="G62" s="387">
        <f>H62*Simulation!$P$10</f>
        <v>4</v>
      </c>
      <c r="H62" s="388">
        <f>SUM(H51:H61)</f>
        <v>0.05</v>
      </c>
      <c r="I62" s="387">
        <f>J62*Simulation!$P$10</f>
        <v>4</v>
      </c>
      <c r="J62" s="388">
        <f>SUM(J51:J61)</f>
        <v>0.05</v>
      </c>
      <c r="K62" s="387">
        <f>L62*Simulation!$P$10</f>
        <v>4</v>
      </c>
      <c r="L62" s="388">
        <f>SUM(L51:L61)</f>
        <v>0.05</v>
      </c>
      <c r="M62" s="387">
        <f>N62*Simulation!$P$10</f>
        <v>4</v>
      </c>
      <c r="N62" s="388">
        <f>SUM(N51:N61)</f>
        <v>0.05</v>
      </c>
      <c r="O62" s="387">
        <f>P62*Simulation!$P$10</f>
        <v>4</v>
      </c>
      <c r="P62" s="388">
        <f>SUM(P51:P61)</f>
        <v>0.05</v>
      </c>
      <c r="Q62" s="387">
        <f>R62*Simulation!$P$10</f>
        <v>4</v>
      </c>
      <c r="R62" s="388">
        <f>SUM(R51:R61)</f>
        <v>0.05</v>
      </c>
      <c r="S62" s="387">
        <f>T62*Simulation!$P$10</f>
        <v>4</v>
      </c>
      <c r="T62" s="388">
        <f>SUM(T51:T61)</f>
        <v>0.05</v>
      </c>
      <c r="U62" s="387">
        <f>V62*Simulation!$P$10</f>
        <v>4</v>
      </c>
      <c r="V62" s="388">
        <f>SUM(V51:V61)</f>
        <v>0.05</v>
      </c>
      <c r="W62" s="387">
        <f>X62*Simulation!$P$10</f>
        <v>4</v>
      </c>
      <c r="X62" s="388">
        <f>SUM(X51:X61)</f>
        <v>0.05</v>
      </c>
      <c r="Y62" s="387">
        <f>Z62*Simulation!$P$10</f>
        <v>4</v>
      </c>
      <c r="Z62" s="388">
        <f>SUM(Z51:Z61)</f>
        <v>0.05</v>
      </c>
      <c r="AA62" s="387">
        <f>AB62*Simulation!$P$10</f>
        <v>4</v>
      </c>
      <c r="AB62" s="388">
        <f>SUM(AB51:AB61)</f>
        <v>0.05</v>
      </c>
      <c r="AC62" s="387">
        <f>AD62*Simulation!$P$10</f>
        <v>4</v>
      </c>
      <c r="AD62" s="388">
        <f>SUM(AD51:AD61)</f>
        <v>0.05</v>
      </c>
      <c r="AE62" s="387">
        <f>AF62*Simulation!$P$10</f>
        <v>4</v>
      </c>
      <c r="AF62" s="388">
        <f>SUM(AF51:AF61)</f>
        <v>0.05</v>
      </c>
      <c r="AG62" s="387">
        <f>AH62*Simulation!$P$10</f>
        <v>4</v>
      </c>
      <c r="AH62" s="388">
        <f>SUM(AH51:AH61)</f>
        <v>0.05</v>
      </c>
      <c r="AI62" s="387">
        <f>AJ62*Simulation!$P$10</f>
        <v>4</v>
      </c>
      <c r="AJ62" s="388">
        <f>SUM(AJ51:AJ61)</f>
        <v>0.05</v>
      </c>
      <c r="AK62" s="387">
        <f>AL62*Simulation!$P$10</f>
        <v>4</v>
      </c>
      <c r="AL62" s="388">
        <f>SUM(AL51:AL61)</f>
        <v>0.05</v>
      </c>
      <c r="AM62" s="387">
        <f>AN62*Simulation!$P$10</f>
        <v>4</v>
      </c>
      <c r="AN62" s="388">
        <f>SUM(AN51:AN61)</f>
        <v>0.05</v>
      </c>
    </row>
    <row r="63" spans="1:42" x14ac:dyDescent="0.2">
      <c r="A63" s="199"/>
      <c r="B63" s="172"/>
      <c r="C63" s="200"/>
      <c r="D63" s="201"/>
      <c r="E63" s="202"/>
      <c r="F63" s="203"/>
      <c r="G63" s="202"/>
      <c r="H63" s="203"/>
      <c r="I63" s="202"/>
      <c r="J63" s="203"/>
      <c r="K63" s="202"/>
      <c r="L63" s="203"/>
      <c r="M63" s="202"/>
      <c r="N63" s="203"/>
      <c r="O63" s="202"/>
      <c r="P63" s="203"/>
      <c r="Q63" s="202"/>
      <c r="R63" s="203"/>
      <c r="S63" s="202"/>
      <c r="T63" s="203"/>
      <c r="U63" s="202"/>
      <c r="V63" s="203"/>
      <c r="W63" s="202"/>
      <c r="X63" s="203"/>
      <c r="Y63" s="202"/>
      <c r="Z63" s="203"/>
      <c r="AA63" s="202"/>
      <c r="AB63" s="203"/>
      <c r="AC63" s="202"/>
      <c r="AD63" s="203"/>
      <c r="AE63" s="202"/>
      <c r="AF63" s="203"/>
      <c r="AG63" s="202"/>
      <c r="AH63" s="203"/>
      <c r="AI63" s="202"/>
      <c r="AJ63" s="203"/>
      <c r="AK63" s="202"/>
      <c r="AL63" s="203"/>
      <c r="AM63" s="202"/>
      <c r="AN63" s="203"/>
    </row>
    <row r="64" spans="1:42" ht="36" customHeight="1" x14ac:dyDescent="0.2">
      <c r="A64" s="204"/>
      <c r="B64" s="1561" t="s">
        <v>456</v>
      </c>
      <c r="C64" s="1564" t="s">
        <v>445</v>
      </c>
      <c r="D64" s="1564"/>
      <c r="E64" s="1547" t="e">
        <f>E62+E50+E38+E26</f>
        <v>#N/A</v>
      </c>
      <c r="F64" s="1547"/>
      <c r="G64" s="1547" t="e">
        <f>G62+G50+G38+G26</f>
        <v>#N/A</v>
      </c>
      <c r="H64" s="1547"/>
      <c r="I64" s="1547" t="e">
        <f>I62+I50+I38+I26</f>
        <v>#N/A</v>
      </c>
      <c r="J64" s="1547"/>
      <c r="K64" s="1547" t="e">
        <f>K62+K50+K38+K26</f>
        <v>#N/A</v>
      </c>
      <c r="L64" s="1547"/>
      <c r="M64" s="1547" t="e">
        <f>M62+M50+M38+M26</f>
        <v>#N/A</v>
      </c>
      <c r="N64" s="1547"/>
      <c r="O64" s="1547" t="e">
        <f>O62+O50+O38+O26</f>
        <v>#N/A</v>
      </c>
      <c r="P64" s="1547"/>
      <c r="Q64" s="1547" t="e">
        <f>Q62+Q50+Q38+Q26</f>
        <v>#N/A</v>
      </c>
      <c r="R64" s="1547"/>
      <c r="S64" s="1547" t="e">
        <f>S62+S50+S38+S26</f>
        <v>#N/A</v>
      </c>
      <c r="T64" s="1547"/>
      <c r="U64" s="1547" t="e">
        <f>U62+U50+U38+U26</f>
        <v>#N/A</v>
      </c>
      <c r="V64" s="1547"/>
      <c r="W64" s="1547" t="e">
        <f>W62+W50+W38+W26</f>
        <v>#N/A</v>
      </c>
      <c r="X64" s="1547"/>
      <c r="Y64" s="1547" t="e">
        <f>Y62+Y50+Y38+Y26</f>
        <v>#N/A</v>
      </c>
      <c r="Z64" s="1547"/>
      <c r="AA64" s="1547" t="e">
        <f>AA62+AA50+AA38+AA26</f>
        <v>#N/A</v>
      </c>
      <c r="AB64" s="1547"/>
      <c r="AC64" s="1547" t="e">
        <f>AC62+AC50+AC38+AC26</f>
        <v>#N/A</v>
      </c>
      <c r="AD64" s="1547"/>
      <c r="AE64" s="1547" t="e">
        <f>AE62+AE50+AE38+AE26</f>
        <v>#N/A</v>
      </c>
      <c r="AF64" s="1547"/>
      <c r="AG64" s="1547" t="e">
        <f>AG62+AG50+AG38+AG26</f>
        <v>#N/A</v>
      </c>
      <c r="AH64" s="1547"/>
      <c r="AI64" s="1547" t="e">
        <f>AI62+AI50+AI38+AI26</f>
        <v>#N/A</v>
      </c>
      <c r="AJ64" s="1547"/>
      <c r="AK64" s="1547" t="e">
        <f>AK62+AK50+AK38+AK26</f>
        <v>#N/A</v>
      </c>
      <c r="AL64" s="1547"/>
      <c r="AM64" s="1547" t="e">
        <f>AM62+AM50+AM38+AM26</f>
        <v>#N/A</v>
      </c>
      <c r="AN64" s="1547"/>
    </row>
    <row r="65" spans="1:42" ht="18" customHeight="1" x14ac:dyDescent="0.2">
      <c r="A65" s="154"/>
      <c r="B65" s="1562"/>
      <c r="C65" s="1565" t="s">
        <v>457</v>
      </c>
      <c r="D65" s="1565"/>
      <c r="E65" s="149">
        <f>E26-F26</f>
        <v>0.83999999999999986</v>
      </c>
      <c r="F65" s="207" t="e">
        <f>E65/E$64</f>
        <v>#N/A</v>
      </c>
      <c r="G65" s="149">
        <f>G26-H26</f>
        <v>1.6799999999999997</v>
      </c>
      <c r="H65" s="207" t="e">
        <f>G65/G$64</f>
        <v>#N/A</v>
      </c>
      <c r="I65" s="149">
        <f>I26-J26</f>
        <v>2.5199999999999996</v>
      </c>
      <c r="J65" s="207" t="e">
        <f>I65/I$64</f>
        <v>#N/A</v>
      </c>
      <c r="K65" s="149">
        <f>K26-L26</f>
        <v>3.3599999999999994</v>
      </c>
      <c r="L65" s="207" t="e">
        <f>K65/K$64</f>
        <v>#N/A</v>
      </c>
      <c r="M65" s="149">
        <f>M26-N26</f>
        <v>4.1999999999999993</v>
      </c>
      <c r="N65" s="207" t="e">
        <f>M65/M$64</f>
        <v>#N/A</v>
      </c>
      <c r="O65" s="149">
        <f>O26-P26</f>
        <v>5.0399999999999991</v>
      </c>
      <c r="P65" s="207" t="e">
        <f>O65/O$64</f>
        <v>#N/A</v>
      </c>
      <c r="Q65" s="149">
        <f>Q26-R26</f>
        <v>5.879999999999999</v>
      </c>
      <c r="R65" s="207" t="e">
        <f>Q65/Q$64</f>
        <v>#N/A</v>
      </c>
      <c r="S65" s="149">
        <f>S26-T26</f>
        <v>6.7199999999999989</v>
      </c>
      <c r="T65" s="207" t="e">
        <f>S65/S$64</f>
        <v>#N/A</v>
      </c>
      <c r="U65" s="149">
        <f>U26-V26</f>
        <v>7.5599999999999987</v>
      </c>
      <c r="V65" s="207" t="e">
        <f>U65/U$64</f>
        <v>#N/A</v>
      </c>
      <c r="W65" s="149">
        <f>W26-X26</f>
        <v>8.3999999999999986</v>
      </c>
      <c r="X65" s="207" t="e">
        <f>W65/W$64</f>
        <v>#N/A</v>
      </c>
      <c r="Y65" s="149">
        <f>Y26-Z26</f>
        <v>9.240000000000002</v>
      </c>
      <c r="Z65" s="207" t="e">
        <f>Y65/Y$64</f>
        <v>#N/A</v>
      </c>
      <c r="AA65" s="149">
        <f>AA26-AB26</f>
        <v>10.079999999999998</v>
      </c>
      <c r="AB65" s="207" t="e">
        <f>AA65/AA$64</f>
        <v>#N/A</v>
      </c>
      <c r="AC65" s="149">
        <f>AC26-AD26</f>
        <v>10.920000000000002</v>
      </c>
      <c r="AD65" s="207" t="e">
        <f>AC65/AC$64</f>
        <v>#N/A</v>
      </c>
      <c r="AE65" s="149">
        <f>AE26-AF26</f>
        <v>11.759999999999998</v>
      </c>
      <c r="AF65" s="207" t="e">
        <f>AE65/AE$64</f>
        <v>#N/A</v>
      </c>
      <c r="AG65" s="149">
        <f>AG26-AH26</f>
        <v>12.600000000000001</v>
      </c>
      <c r="AH65" s="207" t="e">
        <f>AG65/AG$64</f>
        <v>#N/A</v>
      </c>
      <c r="AI65" s="149">
        <f>AI26-AJ26</f>
        <v>13.439999999999998</v>
      </c>
      <c r="AJ65" s="207" t="e">
        <f>AI65/AI$64</f>
        <v>#N/A</v>
      </c>
      <c r="AK65" s="149">
        <f>AK26-AL26</f>
        <v>14.280000000000001</v>
      </c>
      <c r="AL65" s="207" t="e">
        <f>AK65/AK$64</f>
        <v>#N/A</v>
      </c>
      <c r="AM65" s="149">
        <f>AM26-AN26</f>
        <v>14.280000000000001</v>
      </c>
      <c r="AN65" s="207" t="e">
        <f>AM65/AM$64</f>
        <v>#N/A</v>
      </c>
    </row>
    <row r="66" spans="1:42" ht="18" customHeight="1" x14ac:dyDescent="0.2">
      <c r="A66" s="154"/>
      <c r="B66" s="1562"/>
      <c r="C66" s="1565" t="s">
        <v>9</v>
      </c>
      <c r="D66" s="1565"/>
      <c r="E66" s="149">
        <f>E26</f>
        <v>3.6399999999999997</v>
      </c>
      <c r="F66" s="207" t="e">
        <f>E66/E$64</f>
        <v>#N/A</v>
      </c>
      <c r="G66" s="149">
        <f>G26</f>
        <v>7.2799999999999994</v>
      </c>
      <c r="H66" s="207" t="e">
        <f>G66/G$64</f>
        <v>#N/A</v>
      </c>
      <c r="I66" s="149">
        <f>I26</f>
        <v>10.919999999999998</v>
      </c>
      <c r="J66" s="207" t="e">
        <f>I66/I$64</f>
        <v>#N/A</v>
      </c>
      <c r="K66" s="149">
        <f>K26</f>
        <v>14.559999999999999</v>
      </c>
      <c r="L66" s="207" t="e">
        <f>K66/K$64</f>
        <v>#N/A</v>
      </c>
      <c r="M66" s="149">
        <f>M26</f>
        <v>18.2</v>
      </c>
      <c r="N66" s="207" t="e">
        <f>M66/M$64</f>
        <v>#N/A</v>
      </c>
      <c r="O66" s="149">
        <f>O26</f>
        <v>21.839999999999996</v>
      </c>
      <c r="P66" s="207" t="e">
        <f>O66/O$64</f>
        <v>#N/A</v>
      </c>
      <c r="Q66" s="149">
        <f>Q26</f>
        <v>25.479999999999997</v>
      </c>
      <c r="R66" s="207" t="e">
        <f>Q66/Q$64</f>
        <v>#N/A</v>
      </c>
      <c r="S66" s="149">
        <f>S26</f>
        <v>29.119999999999997</v>
      </c>
      <c r="T66" s="207" t="e">
        <f>S66/S$64</f>
        <v>#N/A</v>
      </c>
      <c r="U66" s="149">
        <f>U26</f>
        <v>32.76</v>
      </c>
      <c r="V66" s="207" t="e">
        <f>U66/U$64</f>
        <v>#N/A</v>
      </c>
      <c r="W66" s="149">
        <f>W26</f>
        <v>36.4</v>
      </c>
      <c r="X66" s="207" t="e">
        <f>W66/W$64</f>
        <v>#N/A</v>
      </c>
      <c r="Y66" s="149">
        <f>Y26</f>
        <v>40.04</v>
      </c>
      <c r="Z66" s="207" t="e">
        <f>Y66/Y$64</f>
        <v>#N/A</v>
      </c>
      <c r="AA66" s="149">
        <f>AA26</f>
        <v>43.679999999999993</v>
      </c>
      <c r="AB66" s="207" t="e">
        <f>AA66/AA$64</f>
        <v>#N/A</v>
      </c>
      <c r="AC66" s="149">
        <f>AC26</f>
        <v>47.32</v>
      </c>
      <c r="AD66" s="207" t="e">
        <f>AC66/AC$64</f>
        <v>#N/A</v>
      </c>
      <c r="AE66" s="149">
        <f>AE26</f>
        <v>50.959999999999994</v>
      </c>
      <c r="AF66" s="207" t="e">
        <f>AE66/AE$64</f>
        <v>#N/A</v>
      </c>
      <c r="AG66" s="149">
        <f>AG26</f>
        <v>54.6</v>
      </c>
      <c r="AH66" s="207" t="e">
        <f>AG66/AG$64</f>
        <v>#N/A</v>
      </c>
      <c r="AI66" s="149">
        <f>AI26</f>
        <v>58.239999999999995</v>
      </c>
      <c r="AJ66" s="207" t="e">
        <f>AI66/AI$64</f>
        <v>#N/A</v>
      </c>
      <c r="AK66" s="149">
        <f>AK26</f>
        <v>61.879999999999995</v>
      </c>
      <c r="AL66" s="207" t="e">
        <f>AK66/AK$64</f>
        <v>#N/A</v>
      </c>
      <c r="AM66" s="149">
        <f>AM26</f>
        <v>61.879999999999995</v>
      </c>
      <c r="AN66" s="207" t="e">
        <f>AM66/AM$64</f>
        <v>#N/A</v>
      </c>
    </row>
    <row r="67" spans="1:42" ht="18" customHeight="1" x14ac:dyDescent="0.2">
      <c r="A67" s="154"/>
      <c r="B67" s="1562"/>
      <c r="C67" s="1565" t="s">
        <v>458</v>
      </c>
      <c r="D67" s="1565"/>
      <c r="E67" s="149" t="e">
        <f>E38</f>
        <v>#N/A</v>
      </c>
      <c r="F67" s="207" t="e">
        <f>E67/E$64</f>
        <v>#N/A</v>
      </c>
      <c r="G67" s="149" t="e">
        <f>G38</f>
        <v>#N/A</v>
      </c>
      <c r="H67" s="207" t="e">
        <f>G67/G$64</f>
        <v>#N/A</v>
      </c>
      <c r="I67" s="149" t="e">
        <f>I38</f>
        <v>#N/A</v>
      </c>
      <c r="J67" s="207" t="e">
        <f>I67/I$64</f>
        <v>#N/A</v>
      </c>
      <c r="K67" s="149" t="e">
        <f>K38</f>
        <v>#N/A</v>
      </c>
      <c r="L67" s="207" t="e">
        <f>K67/K$64</f>
        <v>#N/A</v>
      </c>
      <c r="M67" s="149" t="e">
        <f>M38</f>
        <v>#N/A</v>
      </c>
      <c r="N67" s="207" t="e">
        <f>M67/M$64</f>
        <v>#N/A</v>
      </c>
      <c r="O67" s="149" t="e">
        <f>O38</f>
        <v>#N/A</v>
      </c>
      <c r="P67" s="207" t="e">
        <f>O67/O$64</f>
        <v>#N/A</v>
      </c>
      <c r="Q67" s="149" t="e">
        <f>Q38</f>
        <v>#N/A</v>
      </c>
      <c r="R67" s="207" t="e">
        <f>Q67/Q$64</f>
        <v>#N/A</v>
      </c>
      <c r="S67" s="149" t="e">
        <f>S38</f>
        <v>#N/A</v>
      </c>
      <c r="T67" s="207" t="e">
        <f>S67/S$64</f>
        <v>#N/A</v>
      </c>
      <c r="U67" s="149" t="e">
        <f>U38</f>
        <v>#N/A</v>
      </c>
      <c r="V67" s="207" t="e">
        <f>U67/U$64</f>
        <v>#N/A</v>
      </c>
      <c r="W67" s="149" t="e">
        <f>W38</f>
        <v>#N/A</v>
      </c>
      <c r="X67" s="207" t="e">
        <f>W67/W$64</f>
        <v>#N/A</v>
      </c>
      <c r="Y67" s="149" t="e">
        <f>Y38</f>
        <v>#N/A</v>
      </c>
      <c r="Z67" s="207" t="e">
        <f>Y67/Y$64</f>
        <v>#N/A</v>
      </c>
      <c r="AA67" s="149" t="e">
        <f>AA38</f>
        <v>#N/A</v>
      </c>
      <c r="AB67" s="207" t="e">
        <f>AA67/AA$64</f>
        <v>#N/A</v>
      </c>
      <c r="AC67" s="149" t="e">
        <f>AC38</f>
        <v>#N/A</v>
      </c>
      <c r="AD67" s="207" t="e">
        <f>AC67/AC$64</f>
        <v>#N/A</v>
      </c>
      <c r="AE67" s="149" t="e">
        <f>AE38</f>
        <v>#N/A</v>
      </c>
      <c r="AF67" s="207" t="e">
        <f>AE67/AE$64</f>
        <v>#N/A</v>
      </c>
      <c r="AG67" s="149" t="e">
        <f>AG38</f>
        <v>#N/A</v>
      </c>
      <c r="AH67" s="207" t="e">
        <f>AG67/AG$64</f>
        <v>#N/A</v>
      </c>
      <c r="AI67" s="149" t="e">
        <f>AI38</f>
        <v>#N/A</v>
      </c>
      <c r="AJ67" s="207" t="e">
        <f>AI67/AI$64</f>
        <v>#N/A</v>
      </c>
      <c r="AK67" s="149" t="e">
        <f>AK38</f>
        <v>#N/A</v>
      </c>
      <c r="AL67" s="207" t="e">
        <f>AK67/AK$64</f>
        <v>#N/A</v>
      </c>
      <c r="AM67" s="149" t="e">
        <f>AM38</f>
        <v>#N/A</v>
      </c>
      <c r="AN67" s="207" t="e">
        <f>AM67/AM$64</f>
        <v>#N/A</v>
      </c>
    </row>
    <row r="68" spans="1:42" ht="18" customHeight="1" x14ac:dyDescent="0.2">
      <c r="A68" s="154"/>
      <c r="B68" s="1562"/>
      <c r="C68" s="1565" t="s">
        <v>459</v>
      </c>
      <c r="D68" s="1565"/>
      <c r="E68" s="149">
        <f>E50</f>
        <v>11.25</v>
      </c>
      <c r="F68" s="207" t="e">
        <f>E68/E$64</f>
        <v>#N/A</v>
      </c>
      <c r="G68" s="149">
        <f>G50</f>
        <v>22.5</v>
      </c>
      <c r="H68" s="207" t="e">
        <f>G68/G$64</f>
        <v>#N/A</v>
      </c>
      <c r="I68" s="149">
        <f>I50</f>
        <v>33.75</v>
      </c>
      <c r="J68" s="207" t="e">
        <f>I68/I$64</f>
        <v>#N/A</v>
      </c>
      <c r="K68" s="149">
        <f>K50</f>
        <v>45</v>
      </c>
      <c r="L68" s="207" t="e">
        <f>K68/K$64</f>
        <v>#N/A</v>
      </c>
      <c r="M68" s="149">
        <f>M50</f>
        <v>56.25</v>
      </c>
      <c r="N68" s="207" t="e">
        <f>M68/M$64</f>
        <v>#N/A</v>
      </c>
      <c r="O68" s="149">
        <f>O50</f>
        <v>67.5</v>
      </c>
      <c r="P68" s="207" t="e">
        <f>O68/O$64</f>
        <v>#N/A</v>
      </c>
      <c r="Q68" s="149">
        <f>Q50</f>
        <v>78.75</v>
      </c>
      <c r="R68" s="207" t="e">
        <f>Q68/Q$64</f>
        <v>#N/A</v>
      </c>
      <c r="S68" s="149">
        <f>S50</f>
        <v>90</v>
      </c>
      <c r="T68" s="207" t="e">
        <f>S68/S$64</f>
        <v>#N/A</v>
      </c>
      <c r="U68" s="149">
        <f>U50</f>
        <v>101.25</v>
      </c>
      <c r="V68" s="207" t="e">
        <f>U68/U$64</f>
        <v>#N/A</v>
      </c>
      <c r="W68" s="149">
        <f>W50</f>
        <v>112.5</v>
      </c>
      <c r="X68" s="207" t="e">
        <f>W68/W$64</f>
        <v>#N/A</v>
      </c>
      <c r="Y68" s="149">
        <f>Y50</f>
        <v>123.75</v>
      </c>
      <c r="Z68" s="207" t="e">
        <f>Y68/Y$64</f>
        <v>#N/A</v>
      </c>
      <c r="AA68" s="149">
        <f>AA50</f>
        <v>135</v>
      </c>
      <c r="AB68" s="207" t="e">
        <f>AA68/AA$64</f>
        <v>#N/A</v>
      </c>
      <c r="AC68" s="149">
        <f>AC50</f>
        <v>146.25</v>
      </c>
      <c r="AD68" s="207" t="e">
        <f>AC68/AC$64</f>
        <v>#N/A</v>
      </c>
      <c r="AE68" s="149">
        <f>AE50</f>
        <v>157.5</v>
      </c>
      <c r="AF68" s="207" t="e">
        <f>AE68/AE$64</f>
        <v>#N/A</v>
      </c>
      <c r="AG68" s="149">
        <f>AG50</f>
        <v>168.75</v>
      </c>
      <c r="AH68" s="207" t="e">
        <f>AG68/AG$64</f>
        <v>#N/A</v>
      </c>
      <c r="AI68" s="149">
        <f>AI50</f>
        <v>180</v>
      </c>
      <c r="AJ68" s="207" t="e">
        <f>AI68/AI$64</f>
        <v>#N/A</v>
      </c>
      <c r="AK68" s="149">
        <f>AK50</f>
        <v>191.25</v>
      </c>
      <c r="AL68" s="207" t="e">
        <f>AK68/AK$64</f>
        <v>#N/A</v>
      </c>
      <c r="AM68" s="149">
        <f>AM50</f>
        <v>191.25</v>
      </c>
      <c r="AN68" s="207" t="e">
        <f>AM68/AM$64</f>
        <v>#N/A</v>
      </c>
    </row>
    <row r="69" spans="1:42" ht="18" customHeight="1" x14ac:dyDescent="0.2">
      <c r="A69" s="154"/>
      <c r="B69" s="1563"/>
      <c r="C69" s="1565" t="s">
        <v>5</v>
      </c>
      <c r="D69" s="1565"/>
      <c r="E69" s="149">
        <f>E62</f>
        <v>4</v>
      </c>
      <c r="F69" s="207" t="e">
        <f>E69/E$64</f>
        <v>#N/A</v>
      </c>
      <c r="G69" s="149">
        <f>G62</f>
        <v>4</v>
      </c>
      <c r="H69" s="207" t="e">
        <f>G69/G$64</f>
        <v>#N/A</v>
      </c>
      <c r="I69" s="149">
        <f>I62</f>
        <v>4</v>
      </c>
      <c r="J69" s="207" t="e">
        <f>I69/I$64</f>
        <v>#N/A</v>
      </c>
      <c r="K69" s="149">
        <f>K62</f>
        <v>4</v>
      </c>
      <c r="L69" s="207" t="e">
        <f>K69/K$64</f>
        <v>#N/A</v>
      </c>
      <c r="M69" s="149">
        <f>M62</f>
        <v>4</v>
      </c>
      <c r="N69" s="207" t="e">
        <f>M69/M$64</f>
        <v>#N/A</v>
      </c>
      <c r="O69" s="149">
        <f>O62</f>
        <v>4</v>
      </c>
      <c r="P69" s="207" t="e">
        <f>O69/O$64</f>
        <v>#N/A</v>
      </c>
      <c r="Q69" s="149">
        <f>Q62</f>
        <v>4</v>
      </c>
      <c r="R69" s="207" t="e">
        <f>Q69/Q$64</f>
        <v>#N/A</v>
      </c>
      <c r="S69" s="149">
        <f>S62</f>
        <v>4</v>
      </c>
      <c r="T69" s="207" t="e">
        <f>S69/S$64</f>
        <v>#N/A</v>
      </c>
      <c r="U69" s="149">
        <f>U62</f>
        <v>4</v>
      </c>
      <c r="V69" s="207" t="e">
        <f>U69/U$64</f>
        <v>#N/A</v>
      </c>
      <c r="W69" s="149">
        <f>W62</f>
        <v>4</v>
      </c>
      <c r="X69" s="207" t="e">
        <f>W69/W$64</f>
        <v>#N/A</v>
      </c>
      <c r="Y69" s="149">
        <f>Y62</f>
        <v>4</v>
      </c>
      <c r="Z69" s="207" t="e">
        <f>Y69/Y$64</f>
        <v>#N/A</v>
      </c>
      <c r="AA69" s="149">
        <f>AA62</f>
        <v>4</v>
      </c>
      <c r="AB69" s="207" t="e">
        <f>AA69/AA$64</f>
        <v>#N/A</v>
      </c>
      <c r="AC69" s="149">
        <f>AC62</f>
        <v>4</v>
      </c>
      <c r="AD69" s="207" t="e">
        <f>AC69/AC$64</f>
        <v>#N/A</v>
      </c>
      <c r="AE69" s="149">
        <f>AE62</f>
        <v>4</v>
      </c>
      <c r="AF69" s="207" t="e">
        <f>AE69/AE$64</f>
        <v>#N/A</v>
      </c>
      <c r="AG69" s="149">
        <f>AG62</f>
        <v>4</v>
      </c>
      <c r="AH69" s="207" t="e">
        <f>AG69/AG$64</f>
        <v>#N/A</v>
      </c>
      <c r="AI69" s="149">
        <f>AI62</f>
        <v>4</v>
      </c>
      <c r="AJ69" s="207" t="e">
        <f>AI69/AI$64</f>
        <v>#N/A</v>
      </c>
      <c r="AK69" s="149">
        <f>AK62</f>
        <v>4</v>
      </c>
      <c r="AL69" s="207" t="e">
        <f>AK69/AK$64</f>
        <v>#N/A</v>
      </c>
      <c r="AM69" s="149">
        <f>AM62</f>
        <v>4</v>
      </c>
      <c r="AN69" s="207" t="e">
        <f>AM69/AM$64</f>
        <v>#N/A</v>
      </c>
    </row>
    <row r="70" spans="1:42" x14ac:dyDescent="0.2">
      <c r="A70" s="154"/>
      <c r="B70" s="172"/>
      <c r="C70" s="154"/>
      <c r="D70" s="227"/>
      <c r="E70" s="154"/>
      <c r="F70" s="154"/>
      <c r="G70" s="154"/>
      <c r="H70" s="154"/>
      <c r="I70" s="154"/>
      <c r="J70" s="154"/>
      <c r="K70" s="154"/>
      <c r="L70" s="154"/>
      <c r="M70" s="154"/>
      <c r="N70" s="154"/>
      <c r="O70" s="154"/>
      <c r="P70" s="154"/>
      <c r="Q70" s="228"/>
      <c r="R70" s="229"/>
      <c r="S70" s="154"/>
      <c r="T70" s="230"/>
      <c r="U70" s="154"/>
      <c r="V70" s="154"/>
      <c r="W70" s="154"/>
      <c r="X70" s="154"/>
      <c r="Y70" s="154"/>
      <c r="Z70" s="154"/>
      <c r="AA70" s="154"/>
      <c r="AB70" s="154"/>
      <c r="AC70" s="154"/>
      <c r="AD70" s="154"/>
      <c r="AE70" s="154"/>
      <c r="AF70" s="154"/>
      <c r="AG70" s="154"/>
      <c r="AH70" s="154"/>
      <c r="AI70" s="154"/>
      <c r="AJ70" s="154"/>
      <c r="AK70" s="154"/>
      <c r="AL70" s="154"/>
      <c r="AM70" s="154"/>
      <c r="AN70" s="154"/>
      <c r="AO70" s="154"/>
      <c r="AP70" s="154"/>
    </row>
    <row r="71" spans="1:42" ht="36" x14ac:dyDescent="0.2">
      <c r="A71" s="154"/>
      <c r="B71" s="1375" t="s">
        <v>1462</v>
      </c>
      <c r="C71" s="1568" t="s">
        <v>1463</v>
      </c>
      <c r="D71" s="1569"/>
      <c r="E71" s="149" t="e">
        <f>(VLOOKUP("Prix HT",$C$1:$N$64,E$1,0))-(VLOOKUP("Non margé",$D$1:$N$64,E$1,0))</f>
        <v>#N/A</v>
      </c>
      <c r="F71" s="207" t="e">
        <f>E71/VLOOKUP("Prix HT",$C$1:$N$64,E$1,0)</f>
        <v>#N/A</v>
      </c>
      <c r="G71" s="149" t="e">
        <f>(VLOOKUP("Prix HT",$C$1:$N$64,G$1,0))-(VLOOKUP("Non margé",$D$1:$N$64,G$1,0))</f>
        <v>#N/A</v>
      </c>
      <c r="H71" s="207" t="e">
        <f>G71/VLOOKUP("Prix HT",$C$1:$N$64,G$1,0)</f>
        <v>#N/A</v>
      </c>
      <c r="I71" s="149" t="e">
        <f>(VLOOKUP("Prix HT",$C$1:$N$64,I$1,0))-(VLOOKUP("Non margé",$D$1:$N$64,I$1,0))</f>
        <v>#N/A</v>
      </c>
      <c r="J71" s="207" t="e">
        <f>I71/VLOOKUP("Prix HT",$C$1:$N$64,I$1,0)</f>
        <v>#N/A</v>
      </c>
      <c r="K71" s="149" t="e">
        <f>(VLOOKUP("Prix HT",$C$1:$N$64,K$1,0))-(VLOOKUP("Non margé",$D$1:$N$64,K$1,0))</f>
        <v>#N/A</v>
      </c>
      <c r="L71" s="207" t="e">
        <f>K71/VLOOKUP("Prix HT",$C$1:$N$64,K$1,0)</f>
        <v>#N/A</v>
      </c>
      <c r="M71" s="149" t="e">
        <f>(VLOOKUP("Prix HT",$C$1:$N$64,M$1,0))-(VLOOKUP("Non margé",$D$1:$N$64,M$1,0))</f>
        <v>#N/A</v>
      </c>
      <c r="N71" s="207" t="e">
        <f>M71/VLOOKUP("Prix HT",$C$1:$N$64,M$1,0)</f>
        <v>#N/A</v>
      </c>
      <c r="O71" s="149" t="e">
        <f>(VLOOKUP("Prix HT",$C$1:$AN$64,O$1,0))-(VLOOKUP("Non margé",$D$1:$AN$64,O$1,0))</f>
        <v>#N/A</v>
      </c>
      <c r="P71" s="207" t="e">
        <f>O71/VLOOKUP("Prix HT",$C$1:$AN$64,O$1,0)</f>
        <v>#N/A</v>
      </c>
      <c r="Q71" s="149" t="e">
        <f>(VLOOKUP("Prix HT",$C$1:$AN$64,Q$1,0))-(VLOOKUP("Non margé",$D$1:$AN$64,Q$1,0))</f>
        <v>#N/A</v>
      </c>
      <c r="R71" s="207" t="e">
        <f>Q71/VLOOKUP("Prix HT",$C$1:$AN$64,Q$1,0)</f>
        <v>#N/A</v>
      </c>
      <c r="S71" s="149" t="e">
        <f>(VLOOKUP("Prix HT",$C$1:$AN$64,S$1,0))-(VLOOKUP("Non margé",$D$1:$AN$64,S$1,0))</f>
        <v>#N/A</v>
      </c>
      <c r="T71" s="207" t="e">
        <f>S71/VLOOKUP("Prix HT",$C$1:$AN$64,S$1,0)</f>
        <v>#N/A</v>
      </c>
      <c r="U71" s="149" t="e">
        <f>(VLOOKUP("Prix HT",$C$1:$AN$64,U$1,0))-(VLOOKUP("Non margé",$D$1:$AN$64,U$1,0))</f>
        <v>#N/A</v>
      </c>
      <c r="V71" s="207" t="e">
        <f>U71/VLOOKUP("Prix HT",$C$1:$AN$64,U$1,0)</f>
        <v>#N/A</v>
      </c>
      <c r="W71" s="149" t="e">
        <f>(VLOOKUP("Prix HT",$C$1:$AN$64,W$1,0))-(VLOOKUP("Non margé",$D$1:$AN$64,W$1,0))</f>
        <v>#N/A</v>
      </c>
      <c r="X71" s="207" t="e">
        <f>W71/VLOOKUP("Prix HT",$C$1:$AN$64,W$1,0)</f>
        <v>#N/A</v>
      </c>
      <c r="Y71" s="149" t="e">
        <f>(VLOOKUP("Prix HT",$C$1:$AN$64,Y$1,0))-(VLOOKUP("Non margé",$D$1:$AN$64,Y$1,0))</f>
        <v>#N/A</v>
      </c>
      <c r="Z71" s="207" t="e">
        <f>Y71/VLOOKUP("Prix HT",$C$1:$AN$64,Y$1,0)</f>
        <v>#N/A</v>
      </c>
      <c r="AA71" s="149" t="e">
        <f>(VLOOKUP("Prix HT",$C$1:$AN$64,AA$1,0))-(VLOOKUP("Non margé",$D$1:$AN$64,AA$1,0))</f>
        <v>#N/A</v>
      </c>
      <c r="AB71" s="207" t="e">
        <f>AA71/VLOOKUP("Prix HT",$C$1:$AN$64,AA$1,0)</f>
        <v>#N/A</v>
      </c>
      <c r="AC71" s="149" t="e">
        <f>(VLOOKUP("Prix HT",$C$1:$AN$64,AC$1,0))-(VLOOKUP("Non margé",$D$1:$AN$64,AC$1,0))</f>
        <v>#N/A</v>
      </c>
      <c r="AD71" s="207" t="e">
        <f>AC71/VLOOKUP("Prix HT",$C$1:$AN$64,AC$1,0)</f>
        <v>#N/A</v>
      </c>
      <c r="AE71" s="149" t="e">
        <f>(VLOOKUP("Prix HT",$C$1:$AN$64,AE$1,0))-(VLOOKUP("Non margé",$D$1:$AN$64,AE$1,0))</f>
        <v>#N/A</v>
      </c>
      <c r="AF71" s="207" t="e">
        <f>AE71/VLOOKUP("Prix HT",$C$1:$AN$64,AE$1,0)</f>
        <v>#N/A</v>
      </c>
      <c r="AG71" s="149" t="e">
        <f>(VLOOKUP("Prix HT",$C$1:$AN$64,AG$1,0))-(VLOOKUP("Non margé",$D$1:$AN$64,AG$1,0))</f>
        <v>#N/A</v>
      </c>
      <c r="AH71" s="207" t="e">
        <f>AG71/VLOOKUP("Prix HT",$C$1:$AN$64,AG$1,0)</f>
        <v>#N/A</v>
      </c>
      <c r="AI71" s="149" t="e">
        <f>(VLOOKUP("Prix HT",$C$1:$AN$64,AI$1,0))-(VLOOKUP("Non margé",$D$1:$AN$64,AI$1,0))</f>
        <v>#N/A</v>
      </c>
      <c r="AJ71" s="207" t="e">
        <f>AI71/VLOOKUP("Prix HT",$C$1:$AN$64,AI$1,0)</f>
        <v>#N/A</v>
      </c>
      <c r="AK71" s="149" t="e">
        <f>(VLOOKUP("Prix HT",$C$1:$AN$64,AK$1,0))-(VLOOKUP("Non margé",$D$1:$AN$64,AK$1,0))</f>
        <v>#N/A</v>
      </c>
      <c r="AL71" s="207" t="e">
        <f>AK71/VLOOKUP("Prix HT",$C$1:$AN$64,AK$1,0)</f>
        <v>#N/A</v>
      </c>
      <c r="AM71" s="149" t="e">
        <f>(VLOOKUP("Prix HT",$C$1:$AN$64,AM$1,0))-(VLOOKUP("Non margé",$D$1:$AN$64,AM$1,0))</f>
        <v>#N/A</v>
      </c>
      <c r="AN71" s="207" t="e">
        <f>AM71/VLOOKUP("Prix HT",$C$1:$AN$64,AM$1,0)</f>
        <v>#N/A</v>
      </c>
      <c r="AO71" s="154"/>
      <c r="AP71" s="154"/>
    </row>
  </sheetData>
  <mergeCells count="42">
    <mergeCell ref="C71:D71"/>
    <mergeCell ref="AE2:AF2"/>
    <mergeCell ref="B2:B3"/>
    <mergeCell ref="C2:C3"/>
    <mergeCell ref="E2:F2"/>
    <mergeCell ref="G2:H2"/>
    <mergeCell ref="I2:J2"/>
    <mergeCell ref="K2:L2"/>
    <mergeCell ref="M2:N2"/>
    <mergeCell ref="O2:P2"/>
    <mergeCell ref="Q2:R2"/>
    <mergeCell ref="S2:T2"/>
    <mergeCell ref="U2:V2"/>
    <mergeCell ref="C69:D69"/>
    <mergeCell ref="E64:F64"/>
    <mergeCell ref="G64:H64"/>
    <mergeCell ref="A4:A25"/>
    <mergeCell ref="A27:A38"/>
    <mergeCell ref="A39:A50"/>
    <mergeCell ref="A51:A62"/>
    <mergeCell ref="B64:B69"/>
    <mergeCell ref="AM64:AN64"/>
    <mergeCell ref="Q64:R64"/>
    <mergeCell ref="S64:T64"/>
    <mergeCell ref="U64:V64"/>
    <mergeCell ref="W64:X64"/>
    <mergeCell ref="Y64:Z64"/>
    <mergeCell ref="AA64:AB64"/>
    <mergeCell ref="AC64:AD64"/>
    <mergeCell ref="AE64:AF64"/>
    <mergeCell ref="AG64:AH64"/>
    <mergeCell ref="AI64:AJ64"/>
    <mergeCell ref="K64:L64"/>
    <mergeCell ref="M64:N64"/>
    <mergeCell ref="O64:P64"/>
    <mergeCell ref="C64:D64"/>
    <mergeCell ref="AK64:AL64"/>
    <mergeCell ref="C65:D65"/>
    <mergeCell ref="C66:D66"/>
    <mergeCell ref="C67:D67"/>
    <mergeCell ref="C68:D68"/>
    <mergeCell ref="I64:J64"/>
  </mergeCells>
  <dataValidations count="8">
    <dataValidation type="list" allowBlank="1" showInputMessage="1" showErrorMessage="1" promptTitle="MINIPELLE" prompt="choisir catégorie" sqref="B51:B61" xr:uid="{00000000-0002-0000-1900-000000000000}">
      <formula1>CATEGORIE_MP</formula1>
    </dataValidation>
    <dataValidation type="list" allowBlank="1" showInputMessage="1" promptTitle="MINIPELLE" prompt="choisir la prestation" sqref="C51:C61" xr:uid="{00000000-0002-0000-1900-000001000000}">
      <formula1>INDIRECT(B51)</formula1>
    </dataValidation>
    <dataValidation type="list" allowBlank="1" showInputMessage="1" showErrorMessage="1" promptTitle="Catégorie MOC" prompt="choisir" sqref="B39:B48" xr:uid="{00000000-0002-0000-1900-000002000000}">
      <formula1>CATEGORIE_MOC</formula1>
    </dataValidation>
    <dataValidation type="list" allowBlank="1" showInputMessage="1" promptTitle="Main d'oeuvre CHANTIER" prompt="choisir la prestation" sqref="C39:C49" xr:uid="{00000000-0002-0000-1900-000003000000}">
      <formula1>INDIRECT(B39)</formula1>
    </dataValidation>
    <dataValidation type="list" allowBlank="1" showInputMessage="1" showErrorMessage="1" promptTitle="MO ATELIER" prompt="choisir catégorie" sqref="B27" xr:uid="{00000000-0002-0000-1900-000004000000}">
      <formula1>CATEGORIE_MOA</formula1>
    </dataValidation>
    <dataValidation type="list" allowBlank="1" showInputMessage="1" showErrorMessage="1" promptTitle="Main d'oeuvre ATELIER" prompt="choisir la prestation" sqref="C27" xr:uid="{00000000-0002-0000-1900-000005000000}">
      <formula1>INDIRECT(B27)</formula1>
    </dataValidation>
    <dataValidation type="list" allowBlank="1" showInputMessage="1" showErrorMessage="1" promptTitle="MATIERES" prompt="choisir catégorie" sqref="B4:B25" xr:uid="{00000000-0002-0000-1900-000006000000}">
      <formula1>MOA_ALIM</formula1>
    </dataValidation>
    <dataValidation type="list" allowBlank="1" showInputMessage="1" showErrorMessage="1" promptTitle="MATIERES" prompt="choisir le produit" sqref="C4:C25" xr:uid="{00000000-0002-0000-1900-000007000000}">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ErrorMessage="1" xr:uid="{00000000-0002-0000-1900-000008000000}">
          <x14:formula1>
            <xm:f>ATELIER!$B$2:$B$109</xm:f>
          </x14:formula1>
          <xm:sqref>C28:C37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published="0" codeName="Feuil27"/>
  <dimension ref="A1:AP72"/>
  <sheetViews>
    <sheetView topLeftCell="AE1" workbookViewId="0">
      <selection activeCell="C6" sqref="C6"/>
    </sheetView>
  </sheetViews>
  <sheetFormatPr baseColWidth="10" defaultRowHeight="18" x14ac:dyDescent="0.2"/>
  <cols>
    <col min="1" max="1" width="14.625" style="210" customWidth="1"/>
    <col min="2" max="2" width="28.625" style="233"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40" width="10" style="135" customWidth="1"/>
    <col min="41" max="42" width="11.5" style="135" customWidth="1"/>
    <col min="43" max="810" width="11.5" customWidth="1"/>
  </cols>
  <sheetData>
    <row r="1" spans="1:42"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s="535" t="s">
        <v>467</v>
      </c>
      <c r="AO1" s="535"/>
      <c r="AP1" s="535"/>
    </row>
    <row r="2" spans="1:42" ht="56.25" customHeight="1" x14ac:dyDescent="0.2">
      <c r="A2" s="174"/>
      <c r="B2" s="1572" t="s">
        <v>967</v>
      </c>
      <c r="C2" s="1574" t="s">
        <v>468</v>
      </c>
      <c r="D2" s="115" t="s">
        <v>203</v>
      </c>
      <c r="E2" s="1571">
        <v>2</v>
      </c>
      <c r="F2" s="1571"/>
      <c r="G2" s="1571">
        <v>3</v>
      </c>
      <c r="H2" s="1571"/>
      <c r="I2" s="1571">
        <v>4</v>
      </c>
      <c r="J2" s="1571"/>
      <c r="K2" s="1571">
        <v>5</v>
      </c>
      <c r="L2" s="1571"/>
      <c r="M2" s="1571">
        <v>6</v>
      </c>
      <c r="N2" s="1571"/>
      <c r="O2" s="1571">
        <v>7</v>
      </c>
      <c r="P2" s="1571"/>
      <c r="Q2" s="1571">
        <v>8</v>
      </c>
      <c r="R2" s="1571"/>
      <c r="S2" s="1571">
        <v>9</v>
      </c>
      <c r="T2" s="1571"/>
      <c r="U2" s="1571">
        <v>10</v>
      </c>
      <c r="V2" s="1571"/>
      <c r="W2" s="218">
        <v>12</v>
      </c>
      <c r="X2" s="213" t="s">
        <v>469</v>
      </c>
      <c r="Y2" s="213">
        <v>12</v>
      </c>
      <c r="Z2" s="214" t="s">
        <v>470</v>
      </c>
      <c r="AA2" s="218">
        <v>14</v>
      </c>
      <c r="AB2" s="213" t="s">
        <v>471</v>
      </c>
      <c r="AC2" s="218">
        <v>14</v>
      </c>
      <c r="AD2" s="213" t="s">
        <v>472</v>
      </c>
      <c r="AE2" s="1571">
        <v>16</v>
      </c>
      <c r="AF2" s="1571"/>
      <c r="AG2" s="218">
        <v>18</v>
      </c>
      <c r="AH2" s="213" t="s">
        <v>473</v>
      </c>
      <c r="AI2" s="218">
        <v>18</v>
      </c>
      <c r="AJ2" s="213" t="s">
        <v>474</v>
      </c>
      <c r="AK2" s="218">
        <v>20</v>
      </c>
      <c r="AL2" s="213" t="s">
        <v>475</v>
      </c>
      <c r="AM2" s="218">
        <v>20</v>
      </c>
      <c r="AN2" s="213" t="s">
        <v>476</v>
      </c>
      <c r="AO2" s="178"/>
      <c r="AP2" s="178"/>
    </row>
    <row r="3" spans="1:42" ht="35.1" customHeight="1" x14ac:dyDescent="0.2">
      <c r="A3" s="174"/>
      <c r="B3" s="1573"/>
      <c r="C3" s="1574"/>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303" t="s">
        <v>477</v>
      </c>
      <c r="AO3" s="178"/>
      <c r="AP3" s="178"/>
    </row>
    <row r="4" spans="1:42" ht="15" customHeight="1" x14ac:dyDescent="0.2">
      <c r="A4" s="1549" t="s">
        <v>1078</v>
      </c>
      <c r="B4" s="361" t="s">
        <v>1065</v>
      </c>
      <c r="C4" s="362"/>
      <c r="D4" s="363" t="str">
        <f>IF($C4="","",VLOOKUP($C4,MATIERES!$A$2:$F$227,5,0))</f>
        <v/>
      </c>
      <c r="E4" s="364">
        <v>1</v>
      </c>
      <c r="F4" s="365" t="str">
        <f>IF($C4="","",E4*VLOOKUP($C4,MATIERES!$A$2:$F$349,4,0))</f>
        <v/>
      </c>
      <c r="G4" s="364">
        <v>2</v>
      </c>
      <c r="H4" s="365" t="str">
        <f>IF($C4="","",G4*VLOOKUP($C4,MATIERES!$A$2:$F$349,4,0))</f>
        <v/>
      </c>
      <c r="I4" s="364">
        <v>3</v>
      </c>
      <c r="J4" s="365" t="str">
        <f>IF($C4="","",I4*VLOOKUP($C4,MATIERES!$A$2:$F$349,4,0))</f>
        <v/>
      </c>
      <c r="K4" s="364">
        <v>4</v>
      </c>
      <c r="L4" s="365" t="str">
        <f>IF($C4="","",K4*VLOOKUP($C4,MATIERES!$A$2:$F$349,4,0))</f>
        <v/>
      </c>
      <c r="M4" s="364">
        <v>5</v>
      </c>
      <c r="N4" s="365" t="str">
        <f>IF($C4="","",M4*VLOOKUP($C4,MATIERES!$A$2:$F$349,4,0))</f>
        <v/>
      </c>
      <c r="O4" s="364">
        <v>6</v>
      </c>
      <c r="P4" s="365" t="str">
        <f>IF($C4="","",O4*VLOOKUP($C4,MATIERES!$A$2:$F$349,4,0))</f>
        <v/>
      </c>
      <c r="Q4" s="364">
        <v>7</v>
      </c>
      <c r="R4" s="365" t="str">
        <f>IF($C4="","",Q4*VLOOKUP($C4,MATIERES!$A$2:$F$349,4,0))</f>
        <v/>
      </c>
      <c r="S4" s="364">
        <v>8</v>
      </c>
      <c r="T4" s="365" t="str">
        <f>IF($C4="","",S4*VLOOKUP($C4,MATIERES!$A$2:$F$349,4,0))</f>
        <v/>
      </c>
      <c r="U4" s="364">
        <v>9</v>
      </c>
      <c r="V4" s="365" t="str">
        <f>IF($C4="","",U4*VLOOKUP($C4,MATIERES!$A$2:$F$349,4,0))</f>
        <v/>
      </c>
      <c r="W4" s="364">
        <v>10</v>
      </c>
      <c r="X4" s="365" t="str">
        <f>IF($C4="","",W4*VLOOKUP($C4,MATIERES!$A$2:$F$349,4,0))</f>
        <v/>
      </c>
      <c r="Y4" s="364">
        <v>11</v>
      </c>
      <c r="Z4" s="365" t="str">
        <f>IF($C4="","",Y4*VLOOKUP($C4,MATIERES!$A$2:$F$349,4,0))</f>
        <v/>
      </c>
      <c r="AA4" s="364">
        <v>12</v>
      </c>
      <c r="AB4" s="365" t="str">
        <f>IF($C4="","",AA4*VLOOKUP($C4,MATIERES!$A$2:$F$349,4,0))</f>
        <v/>
      </c>
      <c r="AC4" s="364">
        <v>13</v>
      </c>
      <c r="AD4" s="365" t="str">
        <f>IF($C4="","",AC4*VLOOKUP($C4,MATIERES!$A$2:$F$349,4,0))</f>
        <v/>
      </c>
      <c r="AE4" s="364">
        <v>14</v>
      </c>
      <c r="AF4" s="365" t="str">
        <f>IF($C4="","",AE4*VLOOKUP($C4,MATIERES!$A$2:$F$349,4,0))</f>
        <v/>
      </c>
      <c r="AG4" s="364">
        <v>15</v>
      </c>
      <c r="AH4" s="365" t="str">
        <f>IF($C4="","",AG4*VLOOKUP($C4,MATIERES!$A$2:$F$349,4,0))</f>
        <v/>
      </c>
      <c r="AI4" s="364">
        <v>16</v>
      </c>
      <c r="AJ4" s="365" t="str">
        <f>IF($C4="","",AI4*VLOOKUP($C4,MATIERES!$A$2:$F$349,4,0))</f>
        <v/>
      </c>
      <c r="AK4" s="364">
        <v>17</v>
      </c>
      <c r="AL4" s="365" t="str">
        <f>IF($C4="","",AK4*VLOOKUP($C4,MATIERES!$A$2:$F$349,4,0))</f>
        <v/>
      </c>
      <c r="AM4" s="364">
        <v>18</v>
      </c>
      <c r="AN4" s="365" t="str">
        <f>IF($C4="","",AM4*VLOOKUP($C4,MATIERES!$A$2:$F$349,4,0))</f>
        <v/>
      </c>
    </row>
    <row r="5" spans="1:42" ht="15" customHeight="1" x14ac:dyDescent="0.2">
      <c r="A5" s="1550"/>
      <c r="B5" s="361"/>
      <c r="C5" s="362"/>
      <c r="D5" s="363" t="str">
        <f>IF($C5="","",VLOOKUP($C5,MATIERES!$A$2:$F$227,5,0))</f>
        <v/>
      </c>
      <c r="E5" s="364">
        <v>2</v>
      </c>
      <c r="F5" s="365" t="str">
        <f>IF($C5="","",E5*VLOOKUP($C5,MATIERES!$A$2:$F$349,4,0))</f>
        <v/>
      </c>
      <c r="G5" s="364">
        <v>3</v>
      </c>
      <c r="H5" s="365" t="str">
        <f>IF($C5="","",G5*VLOOKUP($C5,MATIERES!$A$2:$F$349,4,0))</f>
        <v/>
      </c>
      <c r="I5" s="364">
        <v>4</v>
      </c>
      <c r="J5" s="365" t="str">
        <f>IF($C5="","",I5*VLOOKUP($C5,MATIERES!$A$2:$F$349,4,0))</f>
        <v/>
      </c>
      <c r="K5" s="364">
        <v>5</v>
      </c>
      <c r="L5" s="365" t="str">
        <f>IF($C5="","",K5*VLOOKUP($C5,MATIERES!$A$2:$F$349,4,0))</f>
        <v/>
      </c>
      <c r="M5" s="364">
        <v>6</v>
      </c>
      <c r="N5" s="365" t="str">
        <f>IF($C5="","",M5*VLOOKUP($C5,MATIERES!$A$2:$F$349,4,0))</f>
        <v/>
      </c>
      <c r="O5" s="364">
        <v>7</v>
      </c>
      <c r="P5" s="365" t="str">
        <f>IF($C5="","",O5*VLOOKUP($C5,MATIERES!$A$2:$F$349,4,0))</f>
        <v/>
      </c>
      <c r="Q5" s="364">
        <v>8</v>
      </c>
      <c r="R5" s="365" t="str">
        <f>IF($C5="","",Q5*VLOOKUP($C5,MATIERES!$A$2:$F$349,4,0))</f>
        <v/>
      </c>
      <c r="S5" s="364">
        <v>9</v>
      </c>
      <c r="T5" s="365" t="str">
        <f>IF($C5="","",S5*VLOOKUP($C5,MATIERES!$A$2:$F$349,4,0))</f>
        <v/>
      </c>
      <c r="U5" s="364">
        <v>10</v>
      </c>
      <c r="V5" s="365" t="str">
        <f>IF($C5="","",U5*VLOOKUP($C5,MATIERES!$A$2:$F$349,4,0))</f>
        <v/>
      </c>
      <c r="W5" s="364">
        <v>11</v>
      </c>
      <c r="X5" s="365" t="str">
        <f>IF($C5="","",W5*VLOOKUP($C5,MATIERES!$A$2:$F$349,4,0))</f>
        <v/>
      </c>
      <c r="Y5" s="364">
        <v>12</v>
      </c>
      <c r="Z5" s="365" t="str">
        <f>IF($C5="","",Y5*VLOOKUP($C5,MATIERES!$A$2:$F$349,4,0))</f>
        <v/>
      </c>
      <c r="AA5" s="364">
        <v>13</v>
      </c>
      <c r="AB5" s="365" t="str">
        <f>IF($C5="","",AA5*VLOOKUP($C5,MATIERES!$A$2:$F$349,4,0))</f>
        <v/>
      </c>
      <c r="AC5" s="364">
        <v>14</v>
      </c>
      <c r="AD5" s="365" t="str">
        <f>IF($C5="","",AC5*VLOOKUP($C5,MATIERES!$A$2:$F$349,4,0))</f>
        <v/>
      </c>
      <c r="AE5" s="364">
        <v>15</v>
      </c>
      <c r="AF5" s="365" t="str">
        <f>IF($C5="","",AE5*VLOOKUP($C5,MATIERES!$A$2:$F$349,4,0))</f>
        <v/>
      </c>
      <c r="AG5" s="364">
        <v>16</v>
      </c>
      <c r="AH5" s="365" t="str">
        <f>IF($C5="","",AG5*VLOOKUP($C5,MATIERES!$A$2:$F$349,4,0))</f>
        <v/>
      </c>
      <c r="AI5" s="364">
        <v>17</v>
      </c>
      <c r="AJ5" s="365" t="str">
        <f>IF($C5="","",AI5*VLOOKUP($C5,MATIERES!$A$2:$F$349,4,0))</f>
        <v/>
      </c>
      <c r="AK5" s="364">
        <v>18</v>
      </c>
      <c r="AL5" s="365" t="str">
        <f>IF($C5="","",AK5*VLOOKUP($C5,MATIERES!$A$2:$F$349,4,0))</f>
        <v/>
      </c>
      <c r="AM5" s="364">
        <v>19</v>
      </c>
      <c r="AN5" s="365" t="str">
        <f>IF($C5="","",AM5*VLOOKUP($C5,MATIERES!$A$2:$F$349,4,0))</f>
        <v/>
      </c>
    </row>
    <row r="6" spans="1:42" ht="15" customHeight="1" x14ac:dyDescent="0.2">
      <c r="A6" s="1550"/>
      <c r="B6" s="361"/>
      <c r="C6" s="362"/>
      <c r="D6" s="363" t="str">
        <f>IF($C6="","",VLOOKUP($C6,MATIERES!$A$2:$F$227,5,0))</f>
        <v/>
      </c>
      <c r="E6" s="364">
        <v>3</v>
      </c>
      <c r="F6" s="365" t="str">
        <f>IF($C6="","",E6*VLOOKUP($C6,MATIERES!$A$2:$F$349,4,0))</f>
        <v/>
      </c>
      <c r="G6" s="364">
        <v>4</v>
      </c>
      <c r="H6" s="365" t="str">
        <f>IF($C6="","",G6*VLOOKUP($C6,MATIERES!$A$2:$F$349,4,0))</f>
        <v/>
      </c>
      <c r="I6" s="364">
        <v>5</v>
      </c>
      <c r="J6" s="365" t="str">
        <f>IF($C6="","",I6*VLOOKUP($C6,MATIERES!$A$2:$F$349,4,0))</f>
        <v/>
      </c>
      <c r="K6" s="364">
        <v>6</v>
      </c>
      <c r="L6" s="365" t="str">
        <f>IF($C6="","",K6*VLOOKUP($C6,MATIERES!$A$2:$F$349,4,0))</f>
        <v/>
      </c>
      <c r="M6" s="364">
        <v>7</v>
      </c>
      <c r="N6" s="365" t="str">
        <f>IF($C6="","",M6*VLOOKUP($C6,MATIERES!$A$2:$F$349,4,0))</f>
        <v/>
      </c>
      <c r="O6" s="364">
        <v>8</v>
      </c>
      <c r="P6" s="365" t="str">
        <f>IF($C6="","",O6*VLOOKUP($C6,MATIERES!$A$2:$F$349,4,0))</f>
        <v/>
      </c>
      <c r="Q6" s="364">
        <v>9</v>
      </c>
      <c r="R6" s="365" t="str">
        <f>IF($C6="","",Q6*VLOOKUP($C6,MATIERES!$A$2:$F$349,4,0))</f>
        <v/>
      </c>
      <c r="S6" s="364">
        <v>10</v>
      </c>
      <c r="T6" s="365" t="str">
        <f>IF($C6="","",S6*VLOOKUP($C6,MATIERES!$A$2:$F$349,4,0))</f>
        <v/>
      </c>
      <c r="U6" s="364">
        <v>11</v>
      </c>
      <c r="V6" s="365" t="str">
        <f>IF($C6="","",U6*VLOOKUP($C6,MATIERES!$A$2:$F$349,4,0))</f>
        <v/>
      </c>
      <c r="W6" s="364">
        <v>12</v>
      </c>
      <c r="X6" s="365" t="str">
        <f>IF($C6="","",W6*VLOOKUP($C6,MATIERES!$A$2:$F$349,4,0))</f>
        <v/>
      </c>
      <c r="Y6" s="364">
        <v>13</v>
      </c>
      <c r="Z6" s="365" t="str">
        <f>IF($C6="","",Y6*VLOOKUP($C6,MATIERES!$A$2:$F$349,4,0))</f>
        <v/>
      </c>
      <c r="AA6" s="364">
        <v>14</v>
      </c>
      <c r="AB6" s="365" t="str">
        <f>IF($C6="","",AA6*VLOOKUP($C6,MATIERES!$A$2:$F$349,4,0))</f>
        <v/>
      </c>
      <c r="AC6" s="364">
        <v>15</v>
      </c>
      <c r="AD6" s="365" t="str">
        <f>IF($C6="","",AC6*VLOOKUP($C6,MATIERES!$A$2:$F$349,4,0))</f>
        <v/>
      </c>
      <c r="AE6" s="364">
        <v>16</v>
      </c>
      <c r="AF6" s="365" t="str">
        <f>IF($C6="","",AE6*VLOOKUP($C6,MATIERES!$A$2:$F$349,4,0))</f>
        <v/>
      </c>
      <c r="AG6" s="364">
        <v>17</v>
      </c>
      <c r="AH6" s="365" t="str">
        <f>IF($C6="","",AG6*VLOOKUP($C6,MATIERES!$A$2:$F$349,4,0))</f>
        <v/>
      </c>
      <c r="AI6" s="364">
        <v>18</v>
      </c>
      <c r="AJ6" s="365" t="str">
        <f>IF($C6="","",AI6*VLOOKUP($C6,MATIERES!$A$2:$F$349,4,0))</f>
        <v/>
      </c>
      <c r="AK6" s="364">
        <v>19</v>
      </c>
      <c r="AL6" s="365" t="str">
        <f>IF($C6="","",AK6*VLOOKUP($C6,MATIERES!$A$2:$F$349,4,0))</f>
        <v/>
      </c>
      <c r="AM6" s="364">
        <v>20</v>
      </c>
      <c r="AN6" s="365" t="str">
        <f>IF($C6="","",AM6*VLOOKUP($C6,MATIERES!$A$2:$F$349,4,0))</f>
        <v/>
      </c>
    </row>
    <row r="7" spans="1:42" ht="15" customHeight="1" x14ac:dyDescent="0.2">
      <c r="A7" s="1550"/>
      <c r="B7" s="361"/>
      <c r="C7" s="362"/>
      <c r="D7" s="363" t="str">
        <f>IF($C7="","",VLOOKUP($C7,MATIERES!$A$2:$F$227,5,0))</f>
        <v/>
      </c>
      <c r="E7" s="364">
        <v>4</v>
      </c>
      <c r="F7" s="365" t="str">
        <f>IF($C7="","",E7*VLOOKUP($C7,MATIERES!$A$2:$F$349,4,0))</f>
        <v/>
      </c>
      <c r="G7" s="364">
        <v>5</v>
      </c>
      <c r="H7" s="365" t="str">
        <f>IF($C7="","",G7*VLOOKUP($C7,MATIERES!$A$2:$F$349,4,0))</f>
        <v/>
      </c>
      <c r="I7" s="364">
        <v>6</v>
      </c>
      <c r="J7" s="365" t="str">
        <f>IF($C7="","",I7*VLOOKUP($C7,MATIERES!$A$2:$F$349,4,0))</f>
        <v/>
      </c>
      <c r="K7" s="364">
        <v>7</v>
      </c>
      <c r="L7" s="365" t="str">
        <f>IF($C7="","",K7*VLOOKUP($C7,MATIERES!$A$2:$F$349,4,0))</f>
        <v/>
      </c>
      <c r="M7" s="364">
        <v>8</v>
      </c>
      <c r="N7" s="365" t="str">
        <f>IF($C7="","",M7*VLOOKUP($C7,MATIERES!$A$2:$F$349,4,0))</f>
        <v/>
      </c>
      <c r="O7" s="364">
        <v>9</v>
      </c>
      <c r="P7" s="365" t="str">
        <f>IF($C7="","",O7*VLOOKUP($C7,MATIERES!$A$2:$F$349,4,0))</f>
        <v/>
      </c>
      <c r="Q7" s="364">
        <v>10</v>
      </c>
      <c r="R7" s="365" t="str">
        <f>IF($C7="","",Q7*VLOOKUP($C7,MATIERES!$A$2:$F$349,4,0))</f>
        <v/>
      </c>
      <c r="S7" s="364">
        <v>11</v>
      </c>
      <c r="T7" s="365" t="str">
        <f>IF($C7="","",S7*VLOOKUP($C7,MATIERES!$A$2:$F$349,4,0))</f>
        <v/>
      </c>
      <c r="U7" s="364">
        <v>12</v>
      </c>
      <c r="V7" s="365" t="str">
        <f>IF($C7="","",U7*VLOOKUP($C7,MATIERES!$A$2:$F$349,4,0))</f>
        <v/>
      </c>
      <c r="W7" s="364">
        <v>13</v>
      </c>
      <c r="X7" s="365" t="str">
        <f>IF($C7="","",W7*VLOOKUP($C7,MATIERES!$A$2:$F$349,4,0))</f>
        <v/>
      </c>
      <c r="Y7" s="364">
        <v>14</v>
      </c>
      <c r="Z7" s="365" t="str">
        <f>IF($C7="","",Y7*VLOOKUP($C7,MATIERES!$A$2:$F$349,4,0))</f>
        <v/>
      </c>
      <c r="AA7" s="364">
        <v>15</v>
      </c>
      <c r="AB7" s="365" t="str">
        <f>IF($C7="","",AA7*VLOOKUP($C7,MATIERES!$A$2:$F$349,4,0))</f>
        <v/>
      </c>
      <c r="AC7" s="364">
        <v>16</v>
      </c>
      <c r="AD7" s="365" t="str">
        <f>IF($C7="","",AC7*VLOOKUP($C7,MATIERES!$A$2:$F$349,4,0))</f>
        <v/>
      </c>
      <c r="AE7" s="364">
        <v>17</v>
      </c>
      <c r="AF7" s="365" t="str">
        <f>IF($C7="","",AE7*VLOOKUP($C7,MATIERES!$A$2:$F$349,4,0))</f>
        <v/>
      </c>
      <c r="AG7" s="364">
        <v>18</v>
      </c>
      <c r="AH7" s="365" t="str">
        <f>IF($C7="","",AG7*VLOOKUP($C7,MATIERES!$A$2:$F$349,4,0))</f>
        <v/>
      </c>
      <c r="AI7" s="364">
        <v>19</v>
      </c>
      <c r="AJ7" s="365" t="str">
        <f>IF($C7="","",AI7*VLOOKUP($C7,MATIERES!$A$2:$F$349,4,0))</f>
        <v/>
      </c>
      <c r="AK7" s="364">
        <v>20</v>
      </c>
      <c r="AL7" s="365" t="str">
        <f>IF($C7="","",AK7*VLOOKUP($C7,MATIERES!$A$2:$F$349,4,0))</f>
        <v/>
      </c>
      <c r="AM7" s="364">
        <v>21</v>
      </c>
      <c r="AN7" s="365" t="str">
        <f>IF($C7="","",AM7*VLOOKUP($C7,MATIERES!$A$2:$F$349,4,0))</f>
        <v/>
      </c>
    </row>
    <row r="8" spans="1:42" ht="15" customHeight="1" x14ac:dyDescent="0.2">
      <c r="A8" s="1550"/>
      <c r="B8" s="361"/>
      <c r="C8" s="362"/>
      <c r="D8" s="363" t="str">
        <f>IF($C8="","",VLOOKUP($C8,MATIERES!$A$2:$F$227,5,0))</f>
        <v/>
      </c>
      <c r="E8" s="364">
        <v>5</v>
      </c>
      <c r="F8" s="365" t="str">
        <f>IF($C8="","",E8*VLOOKUP($C8,MATIERES!$A$2:$F$349,4,0))</f>
        <v/>
      </c>
      <c r="G8" s="364">
        <v>6</v>
      </c>
      <c r="H8" s="365" t="str">
        <f>IF($C8="","",G8*VLOOKUP($C8,MATIERES!$A$2:$F$349,4,0))</f>
        <v/>
      </c>
      <c r="I8" s="364">
        <v>7</v>
      </c>
      <c r="J8" s="365" t="str">
        <f>IF($C8="","",I8*VLOOKUP($C8,MATIERES!$A$2:$F$349,4,0))</f>
        <v/>
      </c>
      <c r="K8" s="364">
        <v>8</v>
      </c>
      <c r="L8" s="365" t="str">
        <f>IF($C8="","",K8*VLOOKUP($C8,MATIERES!$A$2:$F$349,4,0))</f>
        <v/>
      </c>
      <c r="M8" s="364">
        <v>9</v>
      </c>
      <c r="N8" s="365" t="str">
        <f>IF($C8="","",M8*VLOOKUP($C8,MATIERES!$A$2:$F$349,4,0))</f>
        <v/>
      </c>
      <c r="O8" s="364">
        <v>10</v>
      </c>
      <c r="P8" s="365" t="str">
        <f>IF($C8="","",O8*VLOOKUP($C8,MATIERES!$A$2:$F$349,4,0))</f>
        <v/>
      </c>
      <c r="Q8" s="364">
        <v>11</v>
      </c>
      <c r="R8" s="365" t="str">
        <f>IF($C8="","",Q8*VLOOKUP($C8,MATIERES!$A$2:$F$349,4,0))</f>
        <v/>
      </c>
      <c r="S8" s="364">
        <v>12</v>
      </c>
      <c r="T8" s="365" t="str">
        <f>IF($C8="","",S8*VLOOKUP($C8,MATIERES!$A$2:$F$349,4,0))</f>
        <v/>
      </c>
      <c r="U8" s="364">
        <v>13</v>
      </c>
      <c r="V8" s="365" t="str">
        <f>IF($C8="","",U8*VLOOKUP($C8,MATIERES!$A$2:$F$349,4,0))</f>
        <v/>
      </c>
      <c r="W8" s="364">
        <v>14</v>
      </c>
      <c r="X8" s="365" t="str">
        <f>IF($C8="","",W8*VLOOKUP($C8,MATIERES!$A$2:$F$349,4,0))</f>
        <v/>
      </c>
      <c r="Y8" s="364">
        <v>15</v>
      </c>
      <c r="Z8" s="365" t="str">
        <f>IF($C8="","",Y8*VLOOKUP($C8,MATIERES!$A$2:$F$349,4,0))</f>
        <v/>
      </c>
      <c r="AA8" s="364">
        <v>16</v>
      </c>
      <c r="AB8" s="365" t="str">
        <f>IF($C8="","",AA8*VLOOKUP($C8,MATIERES!$A$2:$F$349,4,0))</f>
        <v/>
      </c>
      <c r="AC8" s="364">
        <v>17</v>
      </c>
      <c r="AD8" s="365" t="str">
        <f>IF($C8="","",AC8*VLOOKUP($C8,MATIERES!$A$2:$F$349,4,0))</f>
        <v/>
      </c>
      <c r="AE8" s="364">
        <v>18</v>
      </c>
      <c r="AF8" s="365" t="str">
        <f>IF($C8="","",AE8*VLOOKUP($C8,MATIERES!$A$2:$F$349,4,0))</f>
        <v/>
      </c>
      <c r="AG8" s="364">
        <v>19</v>
      </c>
      <c r="AH8" s="365" t="str">
        <f>IF($C8="","",AG8*VLOOKUP($C8,MATIERES!$A$2:$F$349,4,0))</f>
        <v/>
      </c>
      <c r="AI8" s="364">
        <v>20</v>
      </c>
      <c r="AJ8" s="365" t="str">
        <f>IF($C8="","",AI8*VLOOKUP($C8,MATIERES!$A$2:$F$349,4,0))</f>
        <v/>
      </c>
      <c r="AK8" s="364">
        <v>21</v>
      </c>
      <c r="AL8" s="365" t="str">
        <f>IF($C8="","",AK8*VLOOKUP($C8,MATIERES!$A$2:$F$349,4,0))</f>
        <v/>
      </c>
      <c r="AM8" s="364">
        <v>22</v>
      </c>
      <c r="AN8" s="365" t="str">
        <f>IF($C8="","",AM8*VLOOKUP($C8,MATIERES!$A$2:$F$349,4,0))</f>
        <v/>
      </c>
    </row>
    <row r="9" spans="1:42" ht="15" customHeight="1" x14ac:dyDescent="0.2">
      <c r="A9" s="1550"/>
      <c r="B9" s="361"/>
      <c r="C9" s="362"/>
      <c r="D9" s="363" t="str">
        <f>IF($C9="","",VLOOKUP($C9,MATIERES!$A$2:$F$227,5,0))</f>
        <v/>
      </c>
      <c r="E9" s="364">
        <v>6</v>
      </c>
      <c r="F9" s="365" t="str">
        <f>IF($C9="","",E9*VLOOKUP($C9,MATIERES!$A$2:$F$349,4,0))</f>
        <v/>
      </c>
      <c r="G9" s="364">
        <v>7</v>
      </c>
      <c r="H9" s="365" t="str">
        <f>IF($C9="","",G9*VLOOKUP($C9,MATIERES!$A$2:$F$349,4,0))</f>
        <v/>
      </c>
      <c r="I9" s="364">
        <v>8</v>
      </c>
      <c r="J9" s="365" t="str">
        <f>IF($C9="","",I9*VLOOKUP($C9,MATIERES!$A$2:$F$349,4,0))</f>
        <v/>
      </c>
      <c r="K9" s="364">
        <v>9</v>
      </c>
      <c r="L9" s="365" t="str">
        <f>IF($C9="","",K9*VLOOKUP($C9,MATIERES!$A$2:$F$349,4,0))</f>
        <v/>
      </c>
      <c r="M9" s="364">
        <v>10</v>
      </c>
      <c r="N9" s="365" t="str">
        <f>IF($C9="","",M9*VLOOKUP($C9,MATIERES!$A$2:$F$349,4,0))</f>
        <v/>
      </c>
      <c r="O9" s="364">
        <v>11</v>
      </c>
      <c r="P9" s="365" t="str">
        <f>IF($C9="","",O9*VLOOKUP($C9,MATIERES!$A$2:$F$349,4,0))</f>
        <v/>
      </c>
      <c r="Q9" s="364">
        <v>12</v>
      </c>
      <c r="R9" s="365" t="str">
        <f>IF($C9="","",Q9*VLOOKUP($C9,MATIERES!$A$2:$F$349,4,0))</f>
        <v/>
      </c>
      <c r="S9" s="364">
        <v>13</v>
      </c>
      <c r="T9" s="365" t="str">
        <f>IF($C9="","",S9*VLOOKUP($C9,MATIERES!$A$2:$F$349,4,0))</f>
        <v/>
      </c>
      <c r="U9" s="364">
        <v>14</v>
      </c>
      <c r="V9" s="365" t="str">
        <f>IF($C9="","",U9*VLOOKUP($C9,MATIERES!$A$2:$F$349,4,0))</f>
        <v/>
      </c>
      <c r="W9" s="364">
        <v>15</v>
      </c>
      <c r="X9" s="365" t="str">
        <f>IF($C9="","",W9*VLOOKUP($C9,MATIERES!$A$2:$F$349,4,0))</f>
        <v/>
      </c>
      <c r="Y9" s="364">
        <v>16</v>
      </c>
      <c r="Z9" s="365" t="str">
        <f>IF($C9="","",Y9*VLOOKUP($C9,MATIERES!$A$2:$F$349,4,0))</f>
        <v/>
      </c>
      <c r="AA9" s="364">
        <v>17</v>
      </c>
      <c r="AB9" s="365" t="str">
        <f>IF($C9="","",AA9*VLOOKUP($C9,MATIERES!$A$2:$F$349,4,0))</f>
        <v/>
      </c>
      <c r="AC9" s="364">
        <v>18</v>
      </c>
      <c r="AD9" s="365" t="str">
        <f>IF($C9="","",AC9*VLOOKUP($C9,MATIERES!$A$2:$F$349,4,0))</f>
        <v/>
      </c>
      <c r="AE9" s="364">
        <v>19</v>
      </c>
      <c r="AF9" s="365" t="str">
        <f>IF($C9="","",AE9*VLOOKUP($C9,MATIERES!$A$2:$F$349,4,0))</f>
        <v/>
      </c>
      <c r="AG9" s="364">
        <v>20</v>
      </c>
      <c r="AH9" s="365" t="str">
        <f>IF($C9="","",AG9*VLOOKUP($C9,MATIERES!$A$2:$F$349,4,0))</f>
        <v/>
      </c>
      <c r="AI9" s="364">
        <v>21</v>
      </c>
      <c r="AJ9" s="365" t="str">
        <f>IF($C9="","",AI9*VLOOKUP($C9,MATIERES!$A$2:$F$349,4,0))</f>
        <v/>
      </c>
      <c r="AK9" s="364">
        <v>22</v>
      </c>
      <c r="AL9" s="365" t="str">
        <f>IF($C9="","",AK9*VLOOKUP($C9,MATIERES!$A$2:$F$349,4,0))</f>
        <v/>
      </c>
      <c r="AM9" s="364">
        <v>23</v>
      </c>
      <c r="AN9" s="365" t="str">
        <f>IF($C9="","",AM9*VLOOKUP($C9,MATIERES!$A$2:$F$349,4,0))</f>
        <v/>
      </c>
    </row>
    <row r="10" spans="1:42" ht="15" customHeight="1" x14ac:dyDescent="0.2">
      <c r="A10" s="1550"/>
      <c r="B10" s="361"/>
      <c r="C10" s="362"/>
      <c r="D10" s="363" t="str">
        <f>IF($C10="","",VLOOKUP($C10,MATIERES!$A$2:$F$227,5,0))</f>
        <v/>
      </c>
      <c r="E10" s="364">
        <v>7</v>
      </c>
      <c r="F10" s="365" t="str">
        <f>IF($C10="","",E10*VLOOKUP($C10,MATIERES!$A$2:$F$349,4,0))</f>
        <v/>
      </c>
      <c r="G10" s="364">
        <v>8</v>
      </c>
      <c r="H10" s="365" t="str">
        <f>IF($C10="","",G10*VLOOKUP($C10,MATIERES!$A$2:$F$349,4,0))</f>
        <v/>
      </c>
      <c r="I10" s="364">
        <v>9</v>
      </c>
      <c r="J10" s="365" t="str">
        <f>IF($C10="","",I10*VLOOKUP($C10,MATIERES!$A$2:$F$349,4,0))</f>
        <v/>
      </c>
      <c r="K10" s="364">
        <v>10</v>
      </c>
      <c r="L10" s="365" t="str">
        <f>IF($C10="","",K10*VLOOKUP($C10,MATIERES!$A$2:$F$349,4,0))</f>
        <v/>
      </c>
      <c r="M10" s="364">
        <v>11</v>
      </c>
      <c r="N10" s="365" t="str">
        <f>IF($C10="","",M10*VLOOKUP($C10,MATIERES!$A$2:$F$349,4,0))</f>
        <v/>
      </c>
      <c r="O10" s="364">
        <v>12</v>
      </c>
      <c r="P10" s="365" t="str">
        <f>IF($C10="","",O10*VLOOKUP($C10,MATIERES!$A$2:$F$349,4,0))</f>
        <v/>
      </c>
      <c r="Q10" s="364">
        <v>13</v>
      </c>
      <c r="R10" s="365" t="str">
        <f>IF($C10="","",Q10*VLOOKUP($C10,MATIERES!$A$2:$F$349,4,0))</f>
        <v/>
      </c>
      <c r="S10" s="364">
        <v>14</v>
      </c>
      <c r="T10" s="365" t="str">
        <f>IF($C10="","",S10*VLOOKUP($C10,MATIERES!$A$2:$F$349,4,0))</f>
        <v/>
      </c>
      <c r="U10" s="364">
        <v>15</v>
      </c>
      <c r="V10" s="365" t="str">
        <f>IF($C10="","",U10*VLOOKUP($C10,MATIERES!$A$2:$F$349,4,0))</f>
        <v/>
      </c>
      <c r="W10" s="364">
        <v>16</v>
      </c>
      <c r="X10" s="365" t="str">
        <f>IF($C10="","",W10*VLOOKUP($C10,MATIERES!$A$2:$F$349,4,0))</f>
        <v/>
      </c>
      <c r="Y10" s="364">
        <v>17</v>
      </c>
      <c r="Z10" s="365" t="str">
        <f>IF($C10="","",Y10*VLOOKUP($C10,MATIERES!$A$2:$F$349,4,0))</f>
        <v/>
      </c>
      <c r="AA10" s="364">
        <v>18</v>
      </c>
      <c r="AB10" s="365" t="str">
        <f>IF($C10="","",AA10*VLOOKUP($C10,MATIERES!$A$2:$F$349,4,0))</f>
        <v/>
      </c>
      <c r="AC10" s="364">
        <v>19</v>
      </c>
      <c r="AD10" s="365" t="str">
        <f>IF($C10="","",AC10*VLOOKUP($C10,MATIERES!$A$2:$F$349,4,0))</f>
        <v/>
      </c>
      <c r="AE10" s="364">
        <v>20</v>
      </c>
      <c r="AF10" s="365" t="str">
        <f>IF($C10="","",AE10*VLOOKUP($C10,MATIERES!$A$2:$F$349,4,0))</f>
        <v/>
      </c>
      <c r="AG10" s="364">
        <v>21</v>
      </c>
      <c r="AH10" s="365" t="str">
        <f>IF($C10="","",AG10*VLOOKUP($C10,MATIERES!$A$2:$F$349,4,0))</f>
        <v/>
      </c>
      <c r="AI10" s="364">
        <v>22</v>
      </c>
      <c r="AJ10" s="365" t="str">
        <f>IF($C10="","",AI10*VLOOKUP($C10,MATIERES!$A$2:$F$349,4,0))</f>
        <v/>
      </c>
      <c r="AK10" s="364">
        <v>23</v>
      </c>
      <c r="AL10" s="365" t="str">
        <f>IF($C10="","",AK10*VLOOKUP($C10,MATIERES!$A$2:$F$349,4,0))</f>
        <v/>
      </c>
      <c r="AM10" s="364">
        <v>24</v>
      </c>
      <c r="AN10" s="365" t="str">
        <f>IF($C10="","",AM10*VLOOKUP($C10,MATIERES!$A$2:$F$349,4,0))</f>
        <v/>
      </c>
    </row>
    <row r="11" spans="1:42" ht="15" customHeight="1" x14ac:dyDescent="0.2">
      <c r="A11" s="1550"/>
      <c r="B11" s="361"/>
      <c r="C11" s="362"/>
      <c r="D11" s="363" t="str">
        <f>IF($C11="","",VLOOKUP($C11,MATIERES!$A$2:$F$227,5,0))</f>
        <v/>
      </c>
      <c r="E11" s="364">
        <v>8</v>
      </c>
      <c r="F11" s="365" t="str">
        <f>IF($C11="","",E11*VLOOKUP($C11,MATIERES!$A$2:$F$349,4,0))</f>
        <v/>
      </c>
      <c r="G11" s="364">
        <v>9</v>
      </c>
      <c r="H11" s="365" t="str">
        <f>IF($C11="","",G11*VLOOKUP($C11,MATIERES!$A$2:$F$349,4,0))</f>
        <v/>
      </c>
      <c r="I11" s="364">
        <v>10</v>
      </c>
      <c r="J11" s="365" t="str">
        <f>IF($C11="","",I11*VLOOKUP($C11,MATIERES!$A$2:$F$349,4,0))</f>
        <v/>
      </c>
      <c r="K11" s="364">
        <v>11</v>
      </c>
      <c r="L11" s="365" t="str">
        <f>IF($C11="","",K11*VLOOKUP($C11,MATIERES!$A$2:$F$349,4,0))</f>
        <v/>
      </c>
      <c r="M11" s="364">
        <v>12</v>
      </c>
      <c r="N11" s="365" t="str">
        <f>IF($C11="","",M11*VLOOKUP($C11,MATIERES!$A$2:$F$349,4,0))</f>
        <v/>
      </c>
      <c r="O11" s="364">
        <v>13</v>
      </c>
      <c r="P11" s="365" t="str">
        <f>IF($C11="","",O11*VLOOKUP($C11,MATIERES!$A$2:$F$349,4,0))</f>
        <v/>
      </c>
      <c r="Q11" s="364">
        <v>14</v>
      </c>
      <c r="R11" s="365" t="str">
        <f>IF($C11="","",Q11*VLOOKUP($C11,MATIERES!$A$2:$F$349,4,0))</f>
        <v/>
      </c>
      <c r="S11" s="364">
        <v>15</v>
      </c>
      <c r="T11" s="365" t="str">
        <f>IF($C11="","",S11*VLOOKUP($C11,MATIERES!$A$2:$F$349,4,0))</f>
        <v/>
      </c>
      <c r="U11" s="364">
        <v>16</v>
      </c>
      <c r="V11" s="365" t="str">
        <f>IF($C11="","",U11*VLOOKUP($C11,MATIERES!$A$2:$F$349,4,0))</f>
        <v/>
      </c>
      <c r="W11" s="364">
        <v>17</v>
      </c>
      <c r="X11" s="365" t="str">
        <f>IF($C11="","",W11*VLOOKUP($C11,MATIERES!$A$2:$F$349,4,0))</f>
        <v/>
      </c>
      <c r="Y11" s="364">
        <v>18</v>
      </c>
      <c r="Z11" s="365" t="str">
        <f>IF($C11="","",Y11*VLOOKUP($C11,MATIERES!$A$2:$F$349,4,0))</f>
        <v/>
      </c>
      <c r="AA11" s="364">
        <v>19</v>
      </c>
      <c r="AB11" s="365" t="str">
        <f>IF($C11="","",AA11*VLOOKUP($C11,MATIERES!$A$2:$F$349,4,0))</f>
        <v/>
      </c>
      <c r="AC11" s="364">
        <v>20</v>
      </c>
      <c r="AD11" s="365" t="str">
        <f>IF($C11="","",AC11*VLOOKUP($C11,MATIERES!$A$2:$F$349,4,0))</f>
        <v/>
      </c>
      <c r="AE11" s="364">
        <v>21</v>
      </c>
      <c r="AF11" s="365" t="str">
        <f>IF($C11="","",AE11*VLOOKUP($C11,MATIERES!$A$2:$F$349,4,0))</f>
        <v/>
      </c>
      <c r="AG11" s="364">
        <v>22</v>
      </c>
      <c r="AH11" s="365" t="str">
        <f>IF($C11="","",AG11*VLOOKUP($C11,MATIERES!$A$2:$F$349,4,0))</f>
        <v/>
      </c>
      <c r="AI11" s="364">
        <v>23</v>
      </c>
      <c r="AJ11" s="365" t="str">
        <f>IF($C11="","",AI11*VLOOKUP($C11,MATIERES!$A$2:$F$349,4,0))</f>
        <v/>
      </c>
      <c r="AK11" s="364">
        <v>24</v>
      </c>
      <c r="AL11" s="365" t="str">
        <f>IF($C11="","",AK11*VLOOKUP($C11,MATIERES!$A$2:$F$349,4,0))</f>
        <v/>
      </c>
      <c r="AM11" s="364">
        <v>25</v>
      </c>
      <c r="AN11" s="365" t="str">
        <f>IF($C11="","",AM11*VLOOKUP($C11,MATIERES!$A$2:$F$349,4,0))</f>
        <v/>
      </c>
    </row>
    <row r="12" spans="1:42" ht="15" customHeight="1" x14ac:dyDescent="0.2">
      <c r="A12" s="1550"/>
      <c r="B12" s="361"/>
      <c r="C12" s="362"/>
      <c r="D12" s="363" t="str">
        <f>IF($C12="","",VLOOKUP($C12,MATIERES!$A$2:$F$227,5,0))</f>
        <v/>
      </c>
      <c r="E12" s="364">
        <v>9</v>
      </c>
      <c r="F12" s="365" t="str">
        <f>IF($C12="","",E12*VLOOKUP($C12,MATIERES!$A$2:$F$349,4,0))</f>
        <v/>
      </c>
      <c r="G12" s="364">
        <v>10</v>
      </c>
      <c r="H12" s="365" t="str">
        <f>IF($C12="","",G12*VLOOKUP($C12,MATIERES!$A$2:$F$349,4,0))</f>
        <v/>
      </c>
      <c r="I12" s="364">
        <v>11</v>
      </c>
      <c r="J12" s="365" t="str">
        <f>IF($C12="","",I12*VLOOKUP($C12,MATIERES!$A$2:$F$349,4,0))</f>
        <v/>
      </c>
      <c r="K12" s="364">
        <v>12</v>
      </c>
      <c r="L12" s="365" t="str">
        <f>IF($C12="","",K12*VLOOKUP($C12,MATIERES!$A$2:$F$349,4,0))</f>
        <v/>
      </c>
      <c r="M12" s="364">
        <v>13</v>
      </c>
      <c r="N12" s="365" t="str">
        <f>IF($C12="","",M12*VLOOKUP($C12,MATIERES!$A$2:$F$349,4,0))</f>
        <v/>
      </c>
      <c r="O12" s="364">
        <v>14</v>
      </c>
      <c r="P12" s="365" t="str">
        <f>IF($C12="","",O12*VLOOKUP($C12,MATIERES!$A$2:$F$349,4,0))</f>
        <v/>
      </c>
      <c r="Q12" s="364">
        <v>15</v>
      </c>
      <c r="R12" s="365" t="str">
        <f>IF($C12="","",Q12*VLOOKUP($C12,MATIERES!$A$2:$F$349,4,0))</f>
        <v/>
      </c>
      <c r="S12" s="364">
        <v>16</v>
      </c>
      <c r="T12" s="365" t="str">
        <f>IF($C12="","",S12*VLOOKUP($C12,MATIERES!$A$2:$F$349,4,0))</f>
        <v/>
      </c>
      <c r="U12" s="364">
        <v>17</v>
      </c>
      <c r="V12" s="365" t="str">
        <f>IF($C12="","",U12*VLOOKUP($C12,MATIERES!$A$2:$F$349,4,0))</f>
        <v/>
      </c>
      <c r="W12" s="364">
        <v>18</v>
      </c>
      <c r="X12" s="365" t="str">
        <f>IF($C12="","",W12*VLOOKUP($C12,MATIERES!$A$2:$F$349,4,0))</f>
        <v/>
      </c>
      <c r="Y12" s="364">
        <v>19</v>
      </c>
      <c r="Z12" s="365" t="str">
        <f>IF($C12="","",Y12*VLOOKUP($C12,MATIERES!$A$2:$F$349,4,0))</f>
        <v/>
      </c>
      <c r="AA12" s="364">
        <v>20</v>
      </c>
      <c r="AB12" s="365" t="str">
        <f>IF($C12="","",AA12*VLOOKUP($C12,MATIERES!$A$2:$F$349,4,0))</f>
        <v/>
      </c>
      <c r="AC12" s="364">
        <v>21</v>
      </c>
      <c r="AD12" s="365" t="str">
        <f>IF($C12="","",AC12*VLOOKUP($C12,MATIERES!$A$2:$F$349,4,0))</f>
        <v/>
      </c>
      <c r="AE12" s="364">
        <v>22</v>
      </c>
      <c r="AF12" s="365" t="str">
        <f>IF($C12="","",AE12*VLOOKUP($C12,MATIERES!$A$2:$F$349,4,0))</f>
        <v/>
      </c>
      <c r="AG12" s="364">
        <v>23</v>
      </c>
      <c r="AH12" s="365" t="str">
        <f>IF($C12="","",AG12*VLOOKUP($C12,MATIERES!$A$2:$F$349,4,0))</f>
        <v/>
      </c>
      <c r="AI12" s="364">
        <v>24</v>
      </c>
      <c r="AJ12" s="365" t="str">
        <f>IF($C12="","",AI12*VLOOKUP($C12,MATIERES!$A$2:$F$349,4,0))</f>
        <v/>
      </c>
      <c r="AK12" s="364">
        <v>25</v>
      </c>
      <c r="AL12" s="365" t="str">
        <f>IF($C12="","",AK12*VLOOKUP($C12,MATIERES!$A$2:$F$349,4,0))</f>
        <v/>
      </c>
      <c r="AM12" s="364">
        <v>26</v>
      </c>
      <c r="AN12" s="365" t="str">
        <f>IF($C12="","",AM12*VLOOKUP($C12,MATIERES!$A$2:$F$349,4,0))</f>
        <v/>
      </c>
    </row>
    <row r="13" spans="1:42" ht="15" customHeight="1" x14ac:dyDescent="0.2">
      <c r="A13" s="1550"/>
      <c r="B13" s="361"/>
      <c r="C13" s="362"/>
      <c r="D13" s="363" t="str">
        <f>IF($C13="","",VLOOKUP($C13,MATIERES!$A$2:$F$227,5,0))</f>
        <v/>
      </c>
      <c r="E13" s="364">
        <v>10</v>
      </c>
      <c r="F13" s="365" t="str">
        <f>IF($C13="","",E13*VLOOKUP($C13,MATIERES!$A$2:$F$349,4,0))</f>
        <v/>
      </c>
      <c r="G13" s="364">
        <v>11</v>
      </c>
      <c r="H13" s="365" t="str">
        <f>IF($C13="","",G13*VLOOKUP($C13,MATIERES!$A$2:$F$349,4,0))</f>
        <v/>
      </c>
      <c r="I13" s="364">
        <v>12</v>
      </c>
      <c r="J13" s="365" t="str">
        <f>IF($C13="","",I13*VLOOKUP($C13,MATIERES!$A$2:$F$349,4,0))</f>
        <v/>
      </c>
      <c r="K13" s="364">
        <v>13</v>
      </c>
      <c r="L13" s="365" t="str">
        <f>IF($C13="","",K13*VLOOKUP($C13,MATIERES!$A$2:$F$349,4,0))</f>
        <v/>
      </c>
      <c r="M13" s="364">
        <v>14</v>
      </c>
      <c r="N13" s="365" t="str">
        <f>IF($C13="","",M13*VLOOKUP($C13,MATIERES!$A$2:$F$349,4,0))</f>
        <v/>
      </c>
      <c r="O13" s="364">
        <v>15</v>
      </c>
      <c r="P13" s="365" t="str">
        <f>IF($C13="","",O13*VLOOKUP($C13,MATIERES!$A$2:$F$349,4,0))</f>
        <v/>
      </c>
      <c r="Q13" s="364">
        <v>16</v>
      </c>
      <c r="R13" s="365" t="str">
        <f>IF($C13="","",Q13*VLOOKUP($C13,MATIERES!$A$2:$F$349,4,0))</f>
        <v/>
      </c>
      <c r="S13" s="364">
        <v>17</v>
      </c>
      <c r="T13" s="365" t="str">
        <f>IF($C13="","",S13*VLOOKUP($C13,MATIERES!$A$2:$F$349,4,0))</f>
        <v/>
      </c>
      <c r="U13" s="364">
        <v>18</v>
      </c>
      <c r="V13" s="365" t="str">
        <f>IF($C13="","",U13*VLOOKUP($C13,MATIERES!$A$2:$F$349,4,0))</f>
        <v/>
      </c>
      <c r="W13" s="364">
        <v>19</v>
      </c>
      <c r="X13" s="365" t="str">
        <f>IF($C13="","",W13*VLOOKUP($C13,MATIERES!$A$2:$F$349,4,0))</f>
        <v/>
      </c>
      <c r="Y13" s="364">
        <v>20</v>
      </c>
      <c r="Z13" s="365" t="str">
        <f>IF($C13="","",Y13*VLOOKUP($C13,MATIERES!$A$2:$F$349,4,0))</f>
        <v/>
      </c>
      <c r="AA13" s="364">
        <v>21</v>
      </c>
      <c r="AB13" s="365" t="str">
        <f>IF($C13="","",AA13*VLOOKUP($C13,MATIERES!$A$2:$F$349,4,0))</f>
        <v/>
      </c>
      <c r="AC13" s="364">
        <v>22</v>
      </c>
      <c r="AD13" s="365" t="str">
        <f>IF($C13="","",AC13*VLOOKUP($C13,MATIERES!$A$2:$F$349,4,0))</f>
        <v/>
      </c>
      <c r="AE13" s="364">
        <v>23</v>
      </c>
      <c r="AF13" s="365" t="str">
        <f>IF($C13="","",AE13*VLOOKUP($C13,MATIERES!$A$2:$F$349,4,0))</f>
        <v/>
      </c>
      <c r="AG13" s="364">
        <v>24</v>
      </c>
      <c r="AH13" s="365" t="str">
        <f>IF($C13="","",AG13*VLOOKUP($C13,MATIERES!$A$2:$F$349,4,0))</f>
        <v/>
      </c>
      <c r="AI13" s="364">
        <v>25</v>
      </c>
      <c r="AJ13" s="365" t="str">
        <f>IF($C13="","",AI13*VLOOKUP($C13,MATIERES!$A$2:$F$349,4,0))</f>
        <v/>
      </c>
      <c r="AK13" s="364">
        <v>26</v>
      </c>
      <c r="AL13" s="365" t="str">
        <f>IF($C13="","",AK13*VLOOKUP($C13,MATIERES!$A$2:$F$349,4,0))</f>
        <v/>
      </c>
      <c r="AM13" s="364">
        <v>27</v>
      </c>
      <c r="AN13" s="365" t="str">
        <f>IF($C13="","",AM13*VLOOKUP($C13,MATIERES!$A$2:$F$349,4,0))</f>
        <v/>
      </c>
      <c r="AO13" s="186"/>
    </row>
    <row r="14" spans="1:42" ht="15" customHeight="1" x14ac:dyDescent="0.2">
      <c r="A14" s="1550"/>
      <c r="B14" s="361"/>
      <c r="C14" s="362"/>
      <c r="D14" s="363" t="str">
        <f>IF($C14="","",VLOOKUP($C14,MATIERES!$A$2:$F$227,5,0))</f>
        <v/>
      </c>
      <c r="E14" s="364">
        <v>11</v>
      </c>
      <c r="F14" s="365" t="str">
        <f>IF($C14="","",E14*VLOOKUP($C14,MATIERES!$A$2:$F$349,4,0))</f>
        <v/>
      </c>
      <c r="G14" s="364">
        <v>12</v>
      </c>
      <c r="H14" s="365" t="str">
        <f>IF($C14="","",G14*VLOOKUP($C14,MATIERES!$A$2:$F$349,4,0))</f>
        <v/>
      </c>
      <c r="I14" s="364">
        <v>13</v>
      </c>
      <c r="J14" s="365" t="str">
        <f>IF($C14="","",I14*VLOOKUP($C14,MATIERES!$A$2:$F$349,4,0))</f>
        <v/>
      </c>
      <c r="K14" s="364">
        <v>14</v>
      </c>
      <c r="L14" s="365" t="str">
        <f>IF($C14="","",K14*VLOOKUP($C14,MATIERES!$A$2:$F$349,4,0))</f>
        <v/>
      </c>
      <c r="M14" s="364">
        <v>15</v>
      </c>
      <c r="N14" s="365" t="str">
        <f>IF($C14="","",M14*VLOOKUP($C14,MATIERES!$A$2:$F$349,4,0))</f>
        <v/>
      </c>
      <c r="O14" s="364">
        <v>16</v>
      </c>
      <c r="P14" s="365" t="str">
        <f>IF($C14="","",O14*VLOOKUP($C14,MATIERES!$A$2:$F$349,4,0))</f>
        <v/>
      </c>
      <c r="Q14" s="364">
        <v>17</v>
      </c>
      <c r="R14" s="365" t="str">
        <f>IF($C14="","",Q14*VLOOKUP($C14,MATIERES!$A$2:$F$349,4,0))</f>
        <v/>
      </c>
      <c r="S14" s="364">
        <v>18</v>
      </c>
      <c r="T14" s="365" t="str">
        <f>IF($C14="","",S14*VLOOKUP($C14,MATIERES!$A$2:$F$349,4,0))</f>
        <v/>
      </c>
      <c r="U14" s="364">
        <v>19</v>
      </c>
      <c r="V14" s="365" t="str">
        <f>IF($C14="","",U14*VLOOKUP($C14,MATIERES!$A$2:$F$349,4,0))</f>
        <v/>
      </c>
      <c r="W14" s="364">
        <v>20</v>
      </c>
      <c r="X14" s="365" t="str">
        <f>IF($C14="","",W14*VLOOKUP($C14,MATIERES!$A$2:$F$349,4,0))</f>
        <v/>
      </c>
      <c r="Y14" s="364">
        <v>21</v>
      </c>
      <c r="Z14" s="365" t="str">
        <f>IF($C14="","",Y14*VLOOKUP($C14,MATIERES!$A$2:$F$349,4,0))</f>
        <v/>
      </c>
      <c r="AA14" s="364">
        <v>22</v>
      </c>
      <c r="AB14" s="365" t="str">
        <f>IF($C14="","",AA14*VLOOKUP($C14,MATIERES!$A$2:$F$349,4,0))</f>
        <v/>
      </c>
      <c r="AC14" s="364">
        <v>23</v>
      </c>
      <c r="AD14" s="365" t="str">
        <f>IF($C14="","",AC14*VLOOKUP($C14,MATIERES!$A$2:$F$349,4,0))</f>
        <v/>
      </c>
      <c r="AE14" s="364">
        <v>24</v>
      </c>
      <c r="AF14" s="365" t="str">
        <f>IF($C14="","",AE14*VLOOKUP($C14,MATIERES!$A$2:$F$349,4,0))</f>
        <v/>
      </c>
      <c r="AG14" s="364">
        <v>25</v>
      </c>
      <c r="AH14" s="365" t="str">
        <f>IF($C14="","",AG14*VLOOKUP($C14,MATIERES!$A$2:$F$349,4,0))</f>
        <v/>
      </c>
      <c r="AI14" s="364">
        <v>26</v>
      </c>
      <c r="AJ14" s="365" t="str">
        <f>IF($C14="","",AI14*VLOOKUP($C14,MATIERES!$A$2:$F$349,4,0))</f>
        <v/>
      </c>
      <c r="AK14" s="364">
        <v>27</v>
      </c>
      <c r="AL14" s="365" t="str">
        <f>IF($C14="","",AK14*VLOOKUP($C14,MATIERES!$A$2:$F$349,4,0))</f>
        <v/>
      </c>
      <c r="AM14" s="364">
        <v>28</v>
      </c>
      <c r="AN14" s="365" t="str">
        <f>IF($C14="","",AM14*VLOOKUP($C14,MATIERES!$A$2:$F$349,4,0))</f>
        <v/>
      </c>
    </row>
    <row r="15" spans="1:42" ht="15" customHeight="1" x14ac:dyDescent="0.2">
      <c r="A15" s="1550"/>
      <c r="B15" s="361"/>
      <c r="C15" s="362"/>
      <c r="D15" s="363" t="str">
        <f>IF($C15="","",VLOOKUP($C15,MATIERES!$A$2:$F$227,5,0))</f>
        <v/>
      </c>
      <c r="E15" s="364">
        <v>12</v>
      </c>
      <c r="F15" s="365" t="str">
        <f>IF($C15="","",E15*VLOOKUP($C15,MATIERES!$A$2:$F$349,4,0))</f>
        <v/>
      </c>
      <c r="G15" s="364">
        <v>13</v>
      </c>
      <c r="H15" s="365" t="str">
        <f>IF($C15="","",G15*VLOOKUP($C15,MATIERES!$A$2:$F$349,4,0))</f>
        <v/>
      </c>
      <c r="I15" s="364">
        <v>14</v>
      </c>
      <c r="J15" s="365" t="str">
        <f>IF($C15="","",I15*VLOOKUP($C15,MATIERES!$A$2:$F$349,4,0))</f>
        <v/>
      </c>
      <c r="K15" s="364">
        <v>15</v>
      </c>
      <c r="L15" s="365" t="str">
        <f>IF($C15="","",K15*VLOOKUP($C15,MATIERES!$A$2:$F$349,4,0))</f>
        <v/>
      </c>
      <c r="M15" s="364">
        <v>16</v>
      </c>
      <c r="N15" s="365" t="str">
        <f>IF($C15="","",M15*VLOOKUP($C15,MATIERES!$A$2:$F$349,4,0))</f>
        <v/>
      </c>
      <c r="O15" s="364">
        <v>17</v>
      </c>
      <c r="P15" s="365" t="str">
        <f>IF($C15="","",O15*VLOOKUP($C15,MATIERES!$A$2:$F$349,4,0))</f>
        <v/>
      </c>
      <c r="Q15" s="364">
        <v>18</v>
      </c>
      <c r="R15" s="365" t="str">
        <f>IF($C15="","",Q15*VLOOKUP($C15,MATIERES!$A$2:$F$349,4,0))</f>
        <v/>
      </c>
      <c r="S15" s="364">
        <v>19</v>
      </c>
      <c r="T15" s="365" t="str">
        <f>IF($C15="","",S15*VLOOKUP($C15,MATIERES!$A$2:$F$349,4,0))</f>
        <v/>
      </c>
      <c r="U15" s="364">
        <v>20</v>
      </c>
      <c r="V15" s="365" t="str">
        <f>IF($C15="","",U15*VLOOKUP($C15,MATIERES!$A$2:$F$349,4,0))</f>
        <v/>
      </c>
      <c r="W15" s="364">
        <v>21</v>
      </c>
      <c r="X15" s="365" t="str">
        <f>IF($C15="","",W15*VLOOKUP($C15,MATIERES!$A$2:$F$349,4,0))</f>
        <v/>
      </c>
      <c r="Y15" s="364">
        <v>22</v>
      </c>
      <c r="Z15" s="365" t="str">
        <f>IF($C15="","",Y15*VLOOKUP($C15,MATIERES!$A$2:$F$349,4,0))</f>
        <v/>
      </c>
      <c r="AA15" s="364">
        <v>23</v>
      </c>
      <c r="AB15" s="365" t="str">
        <f>IF($C15="","",AA15*VLOOKUP($C15,MATIERES!$A$2:$F$349,4,0))</f>
        <v/>
      </c>
      <c r="AC15" s="364">
        <v>24</v>
      </c>
      <c r="AD15" s="365" t="str">
        <f>IF($C15="","",AC15*VLOOKUP($C15,MATIERES!$A$2:$F$349,4,0))</f>
        <v/>
      </c>
      <c r="AE15" s="364">
        <v>25</v>
      </c>
      <c r="AF15" s="365" t="str">
        <f>IF($C15="","",AE15*VLOOKUP($C15,MATIERES!$A$2:$F$349,4,0))</f>
        <v/>
      </c>
      <c r="AG15" s="364">
        <v>26</v>
      </c>
      <c r="AH15" s="365" t="str">
        <f>IF($C15="","",AG15*VLOOKUP($C15,MATIERES!$A$2:$F$349,4,0))</f>
        <v/>
      </c>
      <c r="AI15" s="364">
        <v>27</v>
      </c>
      <c r="AJ15" s="365" t="str">
        <f>IF($C15="","",AI15*VLOOKUP($C15,MATIERES!$A$2:$F$349,4,0))</f>
        <v/>
      </c>
      <c r="AK15" s="364">
        <v>28</v>
      </c>
      <c r="AL15" s="365" t="str">
        <f>IF($C15="","",AK15*VLOOKUP($C15,MATIERES!$A$2:$F$349,4,0))</f>
        <v/>
      </c>
      <c r="AM15" s="364">
        <v>29</v>
      </c>
      <c r="AN15" s="365" t="str">
        <f>IF($C15="","",AM15*VLOOKUP($C15,MATIERES!$A$2:$F$349,4,0))</f>
        <v/>
      </c>
    </row>
    <row r="16" spans="1:42" ht="15" customHeight="1" x14ac:dyDescent="0.2">
      <c r="A16" s="1550"/>
      <c r="B16" s="361"/>
      <c r="C16" s="362"/>
      <c r="D16" s="363" t="str">
        <f>IF($C16="","",VLOOKUP($C16,MATIERES!$A$2:$F$227,5,0))</f>
        <v/>
      </c>
      <c r="E16" s="364">
        <v>13</v>
      </c>
      <c r="F16" s="365" t="str">
        <f>IF($C16="","",E16*VLOOKUP($C16,MATIERES!$A$2:$F$349,4,0))</f>
        <v/>
      </c>
      <c r="G16" s="364">
        <v>14</v>
      </c>
      <c r="H16" s="365" t="str">
        <f>IF($C16="","",G16*VLOOKUP($C16,MATIERES!$A$2:$F$349,4,0))</f>
        <v/>
      </c>
      <c r="I16" s="364">
        <v>15</v>
      </c>
      <c r="J16" s="365" t="str">
        <f>IF($C16="","",I16*VLOOKUP($C16,MATIERES!$A$2:$F$349,4,0))</f>
        <v/>
      </c>
      <c r="K16" s="364">
        <v>16</v>
      </c>
      <c r="L16" s="365" t="str">
        <f>IF($C16="","",K16*VLOOKUP($C16,MATIERES!$A$2:$F$349,4,0))</f>
        <v/>
      </c>
      <c r="M16" s="364">
        <v>17</v>
      </c>
      <c r="N16" s="365" t="str">
        <f>IF($C16="","",M16*VLOOKUP($C16,MATIERES!$A$2:$F$349,4,0))</f>
        <v/>
      </c>
      <c r="O16" s="364">
        <v>18</v>
      </c>
      <c r="P16" s="365" t="str">
        <f>IF($C16="","",O16*VLOOKUP($C16,MATIERES!$A$2:$F$349,4,0))</f>
        <v/>
      </c>
      <c r="Q16" s="364">
        <v>19</v>
      </c>
      <c r="R16" s="365" t="str">
        <f>IF($C16="","",Q16*VLOOKUP($C16,MATIERES!$A$2:$F$349,4,0))</f>
        <v/>
      </c>
      <c r="S16" s="364">
        <v>20</v>
      </c>
      <c r="T16" s="365" t="str">
        <f>IF($C16="","",S16*VLOOKUP($C16,MATIERES!$A$2:$F$349,4,0))</f>
        <v/>
      </c>
      <c r="U16" s="364">
        <v>21</v>
      </c>
      <c r="V16" s="365" t="str">
        <f>IF($C16="","",U16*VLOOKUP($C16,MATIERES!$A$2:$F$349,4,0))</f>
        <v/>
      </c>
      <c r="W16" s="364">
        <v>22</v>
      </c>
      <c r="X16" s="365" t="str">
        <f>IF($C16="","",W16*VLOOKUP($C16,MATIERES!$A$2:$F$349,4,0))</f>
        <v/>
      </c>
      <c r="Y16" s="364">
        <v>23</v>
      </c>
      <c r="Z16" s="365" t="str">
        <f>IF($C16="","",Y16*VLOOKUP($C16,MATIERES!$A$2:$F$349,4,0))</f>
        <v/>
      </c>
      <c r="AA16" s="364">
        <v>24</v>
      </c>
      <c r="AB16" s="365" t="str">
        <f>IF($C16="","",AA16*VLOOKUP($C16,MATIERES!$A$2:$F$349,4,0))</f>
        <v/>
      </c>
      <c r="AC16" s="364">
        <v>25</v>
      </c>
      <c r="AD16" s="365" t="str">
        <f>IF($C16="","",AC16*VLOOKUP($C16,MATIERES!$A$2:$F$349,4,0))</f>
        <v/>
      </c>
      <c r="AE16" s="364">
        <v>26</v>
      </c>
      <c r="AF16" s="365" t="str">
        <f>IF($C16="","",AE16*VLOOKUP($C16,MATIERES!$A$2:$F$349,4,0))</f>
        <v/>
      </c>
      <c r="AG16" s="364">
        <v>27</v>
      </c>
      <c r="AH16" s="365" t="str">
        <f>IF($C16="","",AG16*VLOOKUP($C16,MATIERES!$A$2:$F$349,4,0))</f>
        <v/>
      </c>
      <c r="AI16" s="364">
        <v>28</v>
      </c>
      <c r="AJ16" s="365" t="str">
        <f>IF($C16="","",AI16*VLOOKUP($C16,MATIERES!$A$2:$F$349,4,0))</f>
        <v/>
      </c>
      <c r="AK16" s="364">
        <v>29</v>
      </c>
      <c r="AL16" s="365" t="str">
        <f>IF($C16="","",AK16*VLOOKUP($C16,MATIERES!$A$2:$F$349,4,0))</f>
        <v/>
      </c>
      <c r="AM16" s="364">
        <v>30</v>
      </c>
      <c r="AN16" s="365" t="str">
        <f>IF($C16="","",AM16*VLOOKUP($C16,MATIERES!$A$2:$F$349,4,0))</f>
        <v/>
      </c>
    </row>
    <row r="17" spans="1:40" ht="15" customHeight="1" x14ac:dyDescent="0.2">
      <c r="A17" s="1551"/>
      <c r="B17" s="361"/>
      <c r="C17" s="362"/>
      <c r="D17" s="363" t="str">
        <f>IF($C17="","",VLOOKUP($C17,MATIERES!$A$2:$F$227,5,0))</f>
        <v/>
      </c>
      <c r="E17" s="364">
        <v>14</v>
      </c>
      <c r="F17" s="365" t="str">
        <f>IF($C17="","",E17*VLOOKUP($C17,MATIERES!$A$2:$F$349,4,0))</f>
        <v/>
      </c>
      <c r="G17" s="364">
        <v>15</v>
      </c>
      <c r="H17" s="365" t="str">
        <f>IF($C17="","",G17*VLOOKUP($C17,MATIERES!$A$2:$F$349,4,0))</f>
        <v/>
      </c>
      <c r="I17" s="364">
        <v>16</v>
      </c>
      <c r="J17" s="365" t="str">
        <f>IF($C17="","",I17*VLOOKUP($C17,MATIERES!$A$2:$F$349,4,0))</f>
        <v/>
      </c>
      <c r="K17" s="364">
        <v>17</v>
      </c>
      <c r="L17" s="365" t="str">
        <f>IF($C17="","",K17*VLOOKUP($C17,MATIERES!$A$2:$F$349,4,0))</f>
        <v/>
      </c>
      <c r="M17" s="364">
        <v>18</v>
      </c>
      <c r="N17" s="365" t="str">
        <f>IF($C17="","",M17*VLOOKUP($C17,MATIERES!$A$2:$F$349,4,0))</f>
        <v/>
      </c>
      <c r="O17" s="364">
        <v>19</v>
      </c>
      <c r="P17" s="365" t="str">
        <f>IF($C17="","",O17*VLOOKUP($C17,MATIERES!$A$2:$F$349,4,0))</f>
        <v/>
      </c>
      <c r="Q17" s="364">
        <v>20</v>
      </c>
      <c r="R17" s="365" t="str">
        <f>IF($C17="","",Q17*VLOOKUP($C17,MATIERES!$A$2:$F$349,4,0))</f>
        <v/>
      </c>
      <c r="S17" s="364">
        <v>21</v>
      </c>
      <c r="T17" s="365" t="str">
        <f>IF($C17="","",S17*VLOOKUP($C17,MATIERES!$A$2:$F$349,4,0))</f>
        <v/>
      </c>
      <c r="U17" s="364">
        <v>22</v>
      </c>
      <c r="V17" s="365" t="str">
        <f>IF($C17="","",U17*VLOOKUP($C17,MATIERES!$A$2:$F$349,4,0))</f>
        <v/>
      </c>
      <c r="W17" s="364">
        <v>23</v>
      </c>
      <c r="X17" s="365" t="str">
        <f>IF($C17="","",W17*VLOOKUP($C17,MATIERES!$A$2:$F$349,4,0))</f>
        <v/>
      </c>
      <c r="Y17" s="364">
        <v>24</v>
      </c>
      <c r="Z17" s="365" t="str">
        <f>IF($C17="","",Y17*VLOOKUP($C17,MATIERES!$A$2:$F$349,4,0))</f>
        <v/>
      </c>
      <c r="AA17" s="364">
        <v>25</v>
      </c>
      <c r="AB17" s="365" t="str">
        <f>IF($C17="","",AA17*VLOOKUP($C17,MATIERES!$A$2:$F$349,4,0))</f>
        <v/>
      </c>
      <c r="AC17" s="364">
        <v>26</v>
      </c>
      <c r="AD17" s="365" t="str">
        <f>IF($C17="","",AC17*VLOOKUP($C17,MATIERES!$A$2:$F$349,4,0))</f>
        <v/>
      </c>
      <c r="AE17" s="364">
        <v>27</v>
      </c>
      <c r="AF17" s="365" t="str">
        <f>IF($C17="","",AE17*VLOOKUP($C17,MATIERES!$A$2:$F$349,4,0))</f>
        <v/>
      </c>
      <c r="AG17" s="364">
        <v>28</v>
      </c>
      <c r="AH17" s="365" t="str">
        <f>IF($C17="","",AG17*VLOOKUP($C17,MATIERES!$A$2:$F$349,4,0))</f>
        <v/>
      </c>
      <c r="AI17" s="364">
        <v>29</v>
      </c>
      <c r="AJ17" s="365" t="str">
        <f>IF($C17="","",AI17*VLOOKUP($C17,MATIERES!$A$2:$F$349,4,0))</f>
        <v/>
      </c>
      <c r="AK17" s="364">
        <v>30</v>
      </c>
      <c r="AL17" s="365" t="str">
        <f>IF($C17="","",AK17*VLOOKUP($C17,MATIERES!$A$2:$F$349,4,0))</f>
        <v/>
      </c>
      <c r="AM17" s="364">
        <v>31</v>
      </c>
      <c r="AN17" s="365" t="str">
        <f>IF($C17="","",AM17*VLOOKUP($C17,MATIERES!$A$2:$F$349,4,0))</f>
        <v/>
      </c>
    </row>
    <row r="18" spans="1:40" ht="15" customHeight="1" x14ac:dyDescent="0.2">
      <c r="A18" s="1550"/>
      <c r="B18" s="361"/>
      <c r="C18" s="362"/>
      <c r="D18" s="363" t="str">
        <f>IF($C18="","",VLOOKUP($C18,MATIERES!$A$2:$F$227,5,0))</f>
        <v/>
      </c>
      <c r="E18" s="364">
        <v>15</v>
      </c>
      <c r="F18" s="365" t="str">
        <f>IF($C18="","",E18*VLOOKUP($C18,MATIERES!$A$2:$F$349,4,0))</f>
        <v/>
      </c>
      <c r="G18" s="364">
        <v>16</v>
      </c>
      <c r="H18" s="365" t="str">
        <f>IF($C18="","",G18*VLOOKUP($C18,MATIERES!$A$2:$F$349,4,0))</f>
        <v/>
      </c>
      <c r="I18" s="364">
        <v>17</v>
      </c>
      <c r="J18" s="365" t="str">
        <f>IF($C18="","",I18*VLOOKUP($C18,MATIERES!$A$2:$F$349,4,0))</f>
        <v/>
      </c>
      <c r="K18" s="364">
        <v>18</v>
      </c>
      <c r="L18" s="365" t="str">
        <f>IF($C18="","",K18*VLOOKUP($C18,MATIERES!$A$2:$F$349,4,0))</f>
        <v/>
      </c>
      <c r="M18" s="364">
        <v>19</v>
      </c>
      <c r="N18" s="365" t="str">
        <f>IF($C18="","",M18*VLOOKUP($C18,MATIERES!$A$2:$F$349,4,0))</f>
        <v/>
      </c>
      <c r="O18" s="364">
        <v>20</v>
      </c>
      <c r="P18" s="365" t="str">
        <f>IF($C18="","",O18*VLOOKUP($C18,MATIERES!$A$2:$F$349,4,0))</f>
        <v/>
      </c>
      <c r="Q18" s="364">
        <v>21</v>
      </c>
      <c r="R18" s="365" t="str">
        <f>IF($C18="","",Q18*VLOOKUP($C18,MATIERES!$A$2:$F$349,4,0))</f>
        <v/>
      </c>
      <c r="S18" s="364">
        <v>22</v>
      </c>
      <c r="T18" s="365" t="str">
        <f>IF($C18="","",S18*VLOOKUP($C18,MATIERES!$A$2:$F$349,4,0))</f>
        <v/>
      </c>
      <c r="U18" s="364">
        <v>23</v>
      </c>
      <c r="V18" s="365" t="str">
        <f>IF($C18="","",U18*VLOOKUP($C18,MATIERES!$A$2:$F$349,4,0))</f>
        <v/>
      </c>
      <c r="W18" s="364">
        <v>24</v>
      </c>
      <c r="X18" s="365" t="str">
        <f>IF($C18="","",W18*VLOOKUP($C18,MATIERES!$A$2:$F$349,4,0))</f>
        <v/>
      </c>
      <c r="Y18" s="364">
        <v>25</v>
      </c>
      <c r="Z18" s="365" t="str">
        <f>IF($C18="","",Y18*VLOOKUP($C18,MATIERES!$A$2:$F$349,4,0))</f>
        <v/>
      </c>
      <c r="AA18" s="364">
        <v>26</v>
      </c>
      <c r="AB18" s="365" t="str">
        <f>IF($C18="","",AA18*VLOOKUP($C18,MATIERES!$A$2:$F$349,4,0))</f>
        <v/>
      </c>
      <c r="AC18" s="364">
        <v>27</v>
      </c>
      <c r="AD18" s="365" t="str">
        <f>IF($C18="","",AC18*VLOOKUP($C18,MATIERES!$A$2:$F$349,4,0))</f>
        <v/>
      </c>
      <c r="AE18" s="364">
        <v>28</v>
      </c>
      <c r="AF18" s="365" t="str">
        <f>IF($C18="","",AE18*VLOOKUP($C18,MATIERES!$A$2:$F$349,4,0))</f>
        <v/>
      </c>
      <c r="AG18" s="364">
        <v>29</v>
      </c>
      <c r="AH18" s="365" t="str">
        <f>IF($C18="","",AG18*VLOOKUP($C18,MATIERES!$A$2:$F$349,4,0))</f>
        <v/>
      </c>
      <c r="AI18" s="364">
        <v>30</v>
      </c>
      <c r="AJ18" s="365" t="str">
        <f>IF($C18="","",AI18*VLOOKUP($C18,MATIERES!$A$2:$F$349,4,0))</f>
        <v/>
      </c>
      <c r="AK18" s="364">
        <v>31</v>
      </c>
      <c r="AL18" s="365" t="str">
        <f>IF($C18="","",AK18*VLOOKUP($C18,MATIERES!$A$2:$F$349,4,0))</f>
        <v/>
      </c>
      <c r="AM18" s="364">
        <v>32</v>
      </c>
      <c r="AN18" s="365" t="str">
        <f>IF($C18="","",AM18*VLOOKUP($C18,MATIERES!$A$2:$F$349,4,0))</f>
        <v/>
      </c>
    </row>
    <row r="19" spans="1:40" ht="15" customHeight="1" x14ac:dyDescent="0.2">
      <c r="A19" s="1550"/>
      <c r="B19" s="361"/>
      <c r="C19" s="362"/>
      <c r="D19" s="363" t="str">
        <f>IF($C19="","",VLOOKUP($C19,MATIERES!$A$2:$F$227,5,0))</f>
        <v/>
      </c>
      <c r="E19" s="364">
        <v>16</v>
      </c>
      <c r="F19" s="365" t="str">
        <f>IF($C19="","",E19*VLOOKUP($C19,MATIERES!$A$2:$F$349,4,0))</f>
        <v/>
      </c>
      <c r="G19" s="364">
        <v>17</v>
      </c>
      <c r="H19" s="365" t="str">
        <f>IF($C19="","",G19*VLOOKUP($C19,MATIERES!$A$2:$F$349,4,0))</f>
        <v/>
      </c>
      <c r="I19" s="364">
        <v>18</v>
      </c>
      <c r="J19" s="365" t="str">
        <f>IF($C19="","",I19*VLOOKUP($C19,MATIERES!$A$2:$F$349,4,0))</f>
        <v/>
      </c>
      <c r="K19" s="364">
        <v>19</v>
      </c>
      <c r="L19" s="365" t="str">
        <f>IF($C19="","",K19*VLOOKUP($C19,MATIERES!$A$2:$F$349,4,0))</f>
        <v/>
      </c>
      <c r="M19" s="364">
        <v>20</v>
      </c>
      <c r="N19" s="365" t="str">
        <f>IF($C19="","",M19*VLOOKUP($C19,MATIERES!$A$2:$F$349,4,0))</f>
        <v/>
      </c>
      <c r="O19" s="364">
        <v>21</v>
      </c>
      <c r="P19" s="365" t="str">
        <f>IF($C19="","",O19*VLOOKUP($C19,MATIERES!$A$2:$F$349,4,0))</f>
        <v/>
      </c>
      <c r="Q19" s="364">
        <v>22</v>
      </c>
      <c r="R19" s="365" t="str">
        <f>IF($C19="","",Q19*VLOOKUP($C19,MATIERES!$A$2:$F$349,4,0))</f>
        <v/>
      </c>
      <c r="S19" s="364">
        <v>23</v>
      </c>
      <c r="T19" s="365" t="str">
        <f>IF($C19="","",S19*VLOOKUP($C19,MATIERES!$A$2:$F$349,4,0))</f>
        <v/>
      </c>
      <c r="U19" s="364">
        <v>24</v>
      </c>
      <c r="V19" s="365" t="str">
        <f>IF($C19="","",U19*VLOOKUP($C19,MATIERES!$A$2:$F$349,4,0))</f>
        <v/>
      </c>
      <c r="W19" s="364">
        <v>25</v>
      </c>
      <c r="X19" s="365" t="str">
        <f>IF($C19="","",W19*VLOOKUP($C19,MATIERES!$A$2:$F$349,4,0))</f>
        <v/>
      </c>
      <c r="Y19" s="364">
        <v>26</v>
      </c>
      <c r="Z19" s="365" t="str">
        <f>IF($C19="","",Y19*VLOOKUP($C19,MATIERES!$A$2:$F$349,4,0))</f>
        <v/>
      </c>
      <c r="AA19" s="364">
        <v>27</v>
      </c>
      <c r="AB19" s="365" t="str">
        <f>IF($C19="","",AA19*VLOOKUP($C19,MATIERES!$A$2:$F$349,4,0))</f>
        <v/>
      </c>
      <c r="AC19" s="364">
        <v>28</v>
      </c>
      <c r="AD19" s="365" t="str">
        <f>IF($C19="","",AC19*VLOOKUP($C19,MATIERES!$A$2:$F$349,4,0))</f>
        <v/>
      </c>
      <c r="AE19" s="364">
        <v>29</v>
      </c>
      <c r="AF19" s="365" t="str">
        <f>IF($C19="","",AE19*VLOOKUP($C19,MATIERES!$A$2:$F$349,4,0))</f>
        <v/>
      </c>
      <c r="AG19" s="364">
        <v>30</v>
      </c>
      <c r="AH19" s="365" t="str">
        <f>IF($C19="","",AG19*VLOOKUP($C19,MATIERES!$A$2:$F$349,4,0))</f>
        <v/>
      </c>
      <c r="AI19" s="364">
        <v>31</v>
      </c>
      <c r="AJ19" s="365" t="str">
        <f>IF($C19="","",AI19*VLOOKUP($C19,MATIERES!$A$2:$F$349,4,0))</f>
        <v/>
      </c>
      <c r="AK19" s="364">
        <v>32</v>
      </c>
      <c r="AL19" s="365" t="str">
        <f>IF($C19="","",AK19*VLOOKUP($C19,MATIERES!$A$2:$F$349,4,0))</f>
        <v/>
      </c>
      <c r="AM19" s="364">
        <v>33</v>
      </c>
      <c r="AN19" s="365" t="str">
        <f>IF($C19="","",AM19*VLOOKUP($C19,MATIERES!$A$2:$F$349,4,0))</f>
        <v/>
      </c>
    </row>
    <row r="20" spans="1:40" ht="15" customHeight="1" x14ac:dyDescent="0.2">
      <c r="A20" s="1550"/>
      <c r="B20" s="361"/>
      <c r="C20" s="362"/>
      <c r="D20" s="363" t="str">
        <f>IF($C20="","",VLOOKUP($C20,MATIERES!$A$2:$F$227,5,0))</f>
        <v/>
      </c>
      <c r="E20" s="364">
        <v>17</v>
      </c>
      <c r="F20" s="365" t="str">
        <f>IF($C20="","",E20*VLOOKUP($C20,MATIERES!$A$2:$F$349,4,0))</f>
        <v/>
      </c>
      <c r="G20" s="364">
        <v>18</v>
      </c>
      <c r="H20" s="365" t="str">
        <f>IF($C20="","",G20*VLOOKUP($C20,MATIERES!$A$2:$F$349,4,0))</f>
        <v/>
      </c>
      <c r="I20" s="364">
        <v>19</v>
      </c>
      <c r="J20" s="365" t="str">
        <f>IF($C20="","",I20*VLOOKUP($C20,MATIERES!$A$2:$F$349,4,0))</f>
        <v/>
      </c>
      <c r="K20" s="364">
        <v>20</v>
      </c>
      <c r="L20" s="365" t="str">
        <f>IF($C20="","",K20*VLOOKUP($C20,MATIERES!$A$2:$F$349,4,0))</f>
        <v/>
      </c>
      <c r="M20" s="364">
        <v>21</v>
      </c>
      <c r="N20" s="365" t="str">
        <f>IF($C20="","",M20*VLOOKUP($C20,MATIERES!$A$2:$F$349,4,0))</f>
        <v/>
      </c>
      <c r="O20" s="364">
        <v>22</v>
      </c>
      <c r="P20" s="365" t="str">
        <f>IF($C20="","",O20*VLOOKUP($C20,MATIERES!$A$2:$F$349,4,0))</f>
        <v/>
      </c>
      <c r="Q20" s="364">
        <v>23</v>
      </c>
      <c r="R20" s="365" t="str">
        <f>IF($C20="","",Q20*VLOOKUP($C20,MATIERES!$A$2:$F$349,4,0))</f>
        <v/>
      </c>
      <c r="S20" s="364">
        <v>24</v>
      </c>
      <c r="T20" s="365" t="str">
        <f>IF($C20="","",S20*VLOOKUP($C20,MATIERES!$A$2:$F$349,4,0))</f>
        <v/>
      </c>
      <c r="U20" s="364">
        <v>25</v>
      </c>
      <c r="V20" s="365" t="str">
        <f>IF($C20="","",U20*VLOOKUP($C20,MATIERES!$A$2:$F$349,4,0))</f>
        <v/>
      </c>
      <c r="W20" s="364">
        <v>26</v>
      </c>
      <c r="X20" s="365" t="str">
        <f>IF($C20="","",W20*VLOOKUP($C20,MATIERES!$A$2:$F$349,4,0))</f>
        <v/>
      </c>
      <c r="Y20" s="364">
        <v>27</v>
      </c>
      <c r="Z20" s="365" t="str">
        <f>IF($C20="","",Y20*VLOOKUP($C20,MATIERES!$A$2:$F$349,4,0))</f>
        <v/>
      </c>
      <c r="AA20" s="364">
        <v>28</v>
      </c>
      <c r="AB20" s="365" t="str">
        <f>IF($C20="","",AA20*VLOOKUP($C20,MATIERES!$A$2:$F$349,4,0))</f>
        <v/>
      </c>
      <c r="AC20" s="364">
        <v>29</v>
      </c>
      <c r="AD20" s="365" t="str">
        <f>IF($C20="","",AC20*VLOOKUP($C20,MATIERES!$A$2:$F$349,4,0))</f>
        <v/>
      </c>
      <c r="AE20" s="364">
        <v>30</v>
      </c>
      <c r="AF20" s="365" t="str">
        <f>IF($C20="","",AE20*VLOOKUP($C20,MATIERES!$A$2:$F$349,4,0))</f>
        <v/>
      </c>
      <c r="AG20" s="364">
        <v>31</v>
      </c>
      <c r="AH20" s="365" t="str">
        <f>IF($C20="","",AG20*VLOOKUP($C20,MATIERES!$A$2:$F$349,4,0))</f>
        <v/>
      </c>
      <c r="AI20" s="364">
        <v>32</v>
      </c>
      <c r="AJ20" s="365" t="str">
        <f>IF($C20="","",AI20*VLOOKUP($C20,MATIERES!$A$2:$F$349,4,0))</f>
        <v/>
      </c>
      <c r="AK20" s="364">
        <v>33</v>
      </c>
      <c r="AL20" s="365" t="str">
        <f>IF($C20="","",AK20*VLOOKUP($C20,MATIERES!$A$2:$F$349,4,0))</f>
        <v/>
      </c>
      <c r="AM20" s="364">
        <v>34</v>
      </c>
      <c r="AN20" s="365" t="str">
        <f>IF($C20="","",AM20*VLOOKUP($C20,MATIERES!$A$2:$F$349,4,0))</f>
        <v/>
      </c>
    </row>
    <row r="21" spans="1:40" ht="15" customHeight="1" x14ac:dyDescent="0.2">
      <c r="A21" s="1550"/>
      <c r="B21" s="361"/>
      <c r="C21" s="362"/>
      <c r="D21" s="363" t="str">
        <f>IF($C21="","",VLOOKUP($C21,MATIERES!$A$2:$F$227,5,0))</f>
        <v/>
      </c>
      <c r="E21" s="364">
        <v>18</v>
      </c>
      <c r="F21" s="365" t="str">
        <f>IF($C21="","",E21*VLOOKUP($C21,MATIERES!$A$2:$F$349,4,0))</f>
        <v/>
      </c>
      <c r="G21" s="364">
        <v>19</v>
      </c>
      <c r="H21" s="365" t="str">
        <f>IF($C21="","",G21*VLOOKUP($C21,MATIERES!$A$2:$F$349,4,0))</f>
        <v/>
      </c>
      <c r="I21" s="364">
        <v>20</v>
      </c>
      <c r="J21" s="365" t="str">
        <f>IF($C21="","",I21*VLOOKUP($C21,MATIERES!$A$2:$F$349,4,0))</f>
        <v/>
      </c>
      <c r="K21" s="364">
        <v>21</v>
      </c>
      <c r="L21" s="365" t="str">
        <f>IF($C21="","",K21*VLOOKUP($C21,MATIERES!$A$2:$F$349,4,0))</f>
        <v/>
      </c>
      <c r="M21" s="364">
        <v>22</v>
      </c>
      <c r="N21" s="365" t="str">
        <f>IF($C21="","",M21*VLOOKUP($C21,MATIERES!$A$2:$F$349,4,0))</f>
        <v/>
      </c>
      <c r="O21" s="364">
        <v>23</v>
      </c>
      <c r="P21" s="365" t="str">
        <f>IF($C21="","",O21*VLOOKUP($C21,MATIERES!$A$2:$F$349,4,0))</f>
        <v/>
      </c>
      <c r="Q21" s="364">
        <v>24</v>
      </c>
      <c r="R21" s="365" t="str">
        <f>IF($C21="","",Q21*VLOOKUP($C21,MATIERES!$A$2:$F$349,4,0))</f>
        <v/>
      </c>
      <c r="S21" s="364">
        <v>25</v>
      </c>
      <c r="T21" s="365" t="str">
        <f>IF($C21="","",S21*VLOOKUP($C21,MATIERES!$A$2:$F$349,4,0))</f>
        <v/>
      </c>
      <c r="U21" s="364">
        <v>26</v>
      </c>
      <c r="V21" s="365" t="str">
        <f>IF($C21="","",U21*VLOOKUP($C21,MATIERES!$A$2:$F$349,4,0))</f>
        <v/>
      </c>
      <c r="W21" s="364">
        <v>27</v>
      </c>
      <c r="X21" s="365" t="str">
        <f>IF($C21="","",W21*VLOOKUP($C21,MATIERES!$A$2:$F$349,4,0))</f>
        <v/>
      </c>
      <c r="Y21" s="364">
        <v>28</v>
      </c>
      <c r="Z21" s="365" t="str">
        <f>IF($C21="","",Y21*VLOOKUP($C21,MATIERES!$A$2:$F$349,4,0))</f>
        <v/>
      </c>
      <c r="AA21" s="364">
        <v>29</v>
      </c>
      <c r="AB21" s="365" t="str">
        <f>IF($C21="","",AA21*VLOOKUP($C21,MATIERES!$A$2:$F$349,4,0))</f>
        <v/>
      </c>
      <c r="AC21" s="364">
        <v>30</v>
      </c>
      <c r="AD21" s="365" t="str">
        <f>IF($C21="","",AC21*VLOOKUP($C21,MATIERES!$A$2:$F$349,4,0))</f>
        <v/>
      </c>
      <c r="AE21" s="364">
        <v>31</v>
      </c>
      <c r="AF21" s="365" t="str">
        <f>IF($C21="","",AE21*VLOOKUP($C21,MATIERES!$A$2:$F$349,4,0))</f>
        <v/>
      </c>
      <c r="AG21" s="364">
        <v>32</v>
      </c>
      <c r="AH21" s="365" t="str">
        <f>IF($C21="","",AG21*VLOOKUP($C21,MATIERES!$A$2:$F$349,4,0))</f>
        <v/>
      </c>
      <c r="AI21" s="364">
        <v>33</v>
      </c>
      <c r="AJ21" s="365" t="str">
        <f>IF($C21="","",AI21*VLOOKUP($C21,MATIERES!$A$2:$F$349,4,0))</f>
        <v/>
      </c>
      <c r="AK21" s="364">
        <v>34</v>
      </c>
      <c r="AL21" s="365" t="str">
        <f>IF($C21="","",AK21*VLOOKUP($C21,MATIERES!$A$2:$F$349,4,0))</f>
        <v/>
      </c>
      <c r="AM21" s="364">
        <v>35</v>
      </c>
      <c r="AN21" s="365" t="str">
        <f>IF($C21="","",AM21*VLOOKUP($C21,MATIERES!$A$2:$F$349,4,0))</f>
        <v/>
      </c>
    </row>
    <row r="22" spans="1:40" ht="15" customHeight="1" x14ac:dyDescent="0.2">
      <c r="A22" s="1550"/>
      <c r="B22" s="361"/>
      <c r="C22" s="362"/>
      <c r="D22" s="363" t="str">
        <f>IF($C22="","",VLOOKUP($C22,MATIERES!$A$2:$F$227,5,0))</f>
        <v/>
      </c>
      <c r="E22" s="364">
        <v>19</v>
      </c>
      <c r="F22" s="365" t="str">
        <f>IF($C22="","",E22*VLOOKUP($C22,MATIERES!$A$2:$F$349,4,0))</f>
        <v/>
      </c>
      <c r="G22" s="364">
        <v>20</v>
      </c>
      <c r="H22" s="365" t="str">
        <f>IF($C22="","",G22*VLOOKUP($C22,MATIERES!$A$2:$F$349,4,0))</f>
        <v/>
      </c>
      <c r="I22" s="364">
        <v>21</v>
      </c>
      <c r="J22" s="365" t="str">
        <f>IF($C22="","",I22*VLOOKUP($C22,MATIERES!$A$2:$F$349,4,0))</f>
        <v/>
      </c>
      <c r="K22" s="364">
        <v>22</v>
      </c>
      <c r="L22" s="365" t="str">
        <f>IF($C22="","",K22*VLOOKUP($C22,MATIERES!$A$2:$F$349,4,0))</f>
        <v/>
      </c>
      <c r="M22" s="364">
        <v>23</v>
      </c>
      <c r="N22" s="365" t="str">
        <f>IF($C22="","",M22*VLOOKUP($C22,MATIERES!$A$2:$F$349,4,0))</f>
        <v/>
      </c>
      <c r="O22" s="364">
        <v>24</v>
      </c>
      <c r="P22" s="365" t="str">
        <f>IF($C22="","",O22*VLOOKUP($C22,MATIERES!$A$2:$F$349,4,0))</f>
        <v/>
      </c>
      <c r="Q22" s="364">
        <v>25</v>
      </c>
      <c r="R22" s="365" t="str">
        <f>IF($C22="","",Q22*VLOOKUP($C22,MATIERES!$A$2:$F$349,4,0))</f>
        <v/>
      </c>
      <c r="S22" s="364">
        <v>26</v>
      </c>
      <c r="T22" s="365" t="str">
        <f>IF($C22="","",S22*VLOOKUP($C22,MATIERES!$A$2:$F$349,4,0))</f>
        <v/>
      </c>
      <c r="U22" s="364">
        <v>27</v>
      </c>
      <c r="V22" s="365" t="str">
        <f>IF($C22="","",U22*VLOOKUP($C22,MATIERES!$A$2:$F$349,4,0))</f>
        <v/>
      </c>
      <c r="W22" s="364">
        <v>28</v>
      </c>
      <c r="X22" s="365" t="str">
        <f>IF($C22="","",W22*VLOOKUP($C22,MATIERES!$A$2:$F$349,4,0))</f>
        <v/>
      </c>
      <c r="Y22" s="364">
        <v>29</v>
      </c>
      <c r="Z22" s="365" t="str">
        <f>IF($C22="","",Y22*VLOOKUP($C22,MATIERES!$A$2:$F$349,4,0))</f>
        <v/>
      </c>
      <c r="AA22" s="364">
        <v>30</v>
      </c>
      <c r="AB22" s="365" t="str">
        <f>IF($C22="","",AA22*VLOOKUP($C22,MATIERES!$A$2:$F$349,4,0))</f>
        <v/>
      </c>
      <c r="AC22" s="364">
        <v>31</v>
      </c>
      <c r="AD22" s="365" t="str">
        <f>IF($C22="","",AC22*VLOOKUP($C22,MATIERES!$A$2:$F$349,4,0))</f>
        <v/>
      </c>
      <c r="AE22" s="364">
        <v>32</v>
      </c>
      <c r="AF22" s="365" t="str">
        <f>IF($C22="","",AE22*VLOOKUP($C22,MATIERES!$A$2:$F$349,4,0))</f>
        <v/>
      </c>
      <c r="AG22" s="364">
        <v>33</v>
      </c>
      <c r="AH22" s="365" t="str">
        <f>IF($C22="","",AG22*VLOOKUP($C22,MATIERES!$A$2:$F$349,4,0))</f>
        <v/>
      </c>
      <c r="AI22" s="364">
        <v>34</v>
      </c>
      <c r="AJ22" s="365" t="str">
        <f>IF($C22="","",AI22*VLOOKUP($C22,MATIERES!$A$2:$F$349,4,0))</f>
        <v/>
      </c>
      <c r="AK22" s="364">
        <v>35</v>
      </c>
      <c r="AL22" s="365" t="str">
        <f>IF($C22="","",AK22*VLOOKUP($C22,MATIERES!$A$2:$F$349,4,0))</f>
        <v/>
      </c>
      <c r="AM22" s="364">
        <v>36</v>
      </c>
      <c r="AN22" s="365" t="str">
        <f>IF($C22="","",AM22*VLOOKUP($C22,MATIERES!$A$2:$F$349,4,0))</f>
        <v/>
      </c>
    </row>
    <row r="23" spans="1:40" ht="15" customHeight="1" x14ac:dyDescent="0.2">
      <c r="A23" s="1550"/>
      <c r="B23" s="361"/>
      <c r="C23" s="362"/>
      <c r="D23" s="363" t="str">
        <f>IF($C23="","",VLOOKUP($C23,MATIERES!$A$2:$F$227,5,0))</f>
        <v/>
      </c>
      <c r="E23" s="364">
        <v>20</v>
      </c>
      <c r="F23" s="365" t="str">
        <f>IF($C23="","",E23*VLOOKUP($C23,MATIERES!$A$2:$F$349,4,0))</f>
        <v/>
      </c>
      <c r="G23" s="364">
        <v>21</v>
      </c>
      <c r="H23" s="365" t="str">
        <f>IF($C23="","",G23*VLOOKUP($C23,MATIERES!$A$2:$F$349,4,0))</f>
        <v/>
      </c>
      <c r="I23" s="364">
        <v>22</v>
      </c>
      <c r="J23" s="365" t="str">
        <f>IF($C23="","",I23*VLOOKUP($C23,MATIERES!$A$2:$F$349,4,0))</f>
        <v/>
      </c>
      <c r="K23" s="364">
        <v>23</v>
      </c>
      <c r="L23" s="365" t="str">
        <f>IF($C23="","",K23*VLOOKUP($C23,MATIERES!$A$2:$F$349,4,0))</f>
        <v/>
      </c>
      <c r="M23" s="364">
        <v>24</v>
      </c>
      <c r="N23" s="365" t="str">
        <f>IF($C23="","",M23*VLOOKUP($C23,MATIERES!$A$2:$F$349,4,0))</f>
        <v/>
      </c>
      <c r="O23" s="364">
        <v>25</v>
      </c>
      <c r="P23" s="365" t="str">
        <f>IF($C23="","",O23*VLOOKUP($C23,MATIERES!$A$2:$F$349,4,0))</f>
        <v/>
      </c>
      <c r="Q23" s="364">
        <v>26</v>
      </c>
      <c r="R23" s="365" t="str">
        <f>IF($C23="","",Q23*VLOOKUP($C23,MATIERES!$A$2:$F$349,4,0))</f>
        <v/>
      </c>
      <c r="S23" s="364">
        <v>27</v>
      </c>
      <c r="T23" s="365" t="str">
        <f>IF($C23="","",S23*VLOOKUP($C23,MATIERES!$A$2:$F$349,4,0))</f>
        <v/>
      </c>
      <c r="U23" s="364">
        <v>28</v>
      </c>
      <c r="V23" s="365" t="str">
        <f>IF($C23="","",U23*VLOOKUP($C23,MATIERES!$A$2:$F$349,4,0))</f>
        <v/>
      </c>
      <c r="W23" s="364">
        <v>29</v>
      </c>
      <c r="X23" s="365" t="str">
        <f>IF($C23="","",W23*VLOOKUP($C23,MATIERES!$A$2:$F$349,4,0))</f>
        <v/>
      </c>
      <c r="Y23" s="364">
        <v>30</v>
      </c>
      <c r="Z23" s="365" t="str">
        <f>IF($C23="","",Y23*VLOOKUP($C23,MATIERES!$A$2:$F$349,4,0))</f>
        <v/>
      </c>
      <c r="AA23" s="364">
        <v>31</v>
      </c>
      <c r="AB23" s="365" t="str">
        <f>IF($C23="","",AA23*VLOOKUP($C23,MATIERES!$A$2:$F$349,4,0))</f>
        <v/>
      </c>
      <c r="AC23" s="364">
        <v>32</v>
      </c>
      <c r="AD23" s="365" t="str">
        <f>IF($C23="","",AC23*VLOOKUP($C23,MATIERES!$A$2:$F$349,4,0))</f>
        <v/>
      </c>
      <c r="AE23" s="364">
        <v>33</v>
      </c>
      <c r="AF23" s="365" t="str">
        <f>IF($C23="","",AE23*VLOOKUP($C23,MATIERES!$A$2:$F$349,4,0))</f>
        <v/>
      </c>
      <c r="AG23" s="364">
        <v>34</v>
      </c>
      <c r="AH23" s="365" t="str">
        <f>IF($C23="","",AG23*VLOOKUP($C23,MATIERES!$A$2:$F$349,4,0))</f>
        <v/>
      </c>
      <c r="AI23" s="364">
        <v>35</v>
      </c>
      <c r="AJ23" s="365" t="str">
        <f>IF($C23="","",AI23*VLOOKUP($C23,MATIERES!$A$2:$F$349,4,0))</f>
        <v/>
      </c>
      <c r="AK23" s="364">
        <v>36</v>
      </c>
      <c r="AL23" s="365" t="str">
        <f>IF($C23="","",AK23*VLOOKUP($C23,MATIERES!$A$2:$F$349,4,0))</f>
        <v/>
      </c>
      <c r="AM23" s="364">
        <v>37</v>
      </c>
      <c r="AN23" s="365" t="str">
        <f>IF($C23="","",AM23*VLOOKUP($C23,MATIERES!$A$2:$F$349,4,0))</f>
        <v/>
      </c>
    </row>
    <row r="24" spans="1:40" ht="15" customHeight="1" x14ac:dyDescent="0.2">
      <c r="A24" s="1550"/>
      <c r="B24" s="361"/>
      <c r="C24" s="362"/>
      <c r="D24" s="363" t="str">
        <f>IF($C24="","",VLOOKUP($C24,MATIERES!$A$2:$F$227,5,0))</f>
        <v/>
      </c>
      <c r="E24" s="364">
        <v>21</v>
      </c>
      <c r="F24" s="365" t="str">
        <f>IF($C24="","",E24*VLOOKUP($C24,MATIERES!$A$2:$F$349,4,0))</f>
        <v/>
      </c>
      <c r="G24" s="364">
        <v>22</v>
      </c>
      <c r="H24" s="365" t="str">
        <f>IF($C24="","",G24*VLOOKUP($C24,MATIERES!$A$2:$F$349,4,0))</f>
        <v/>
      </c>
      <c r="I24" s="364">
        <v>23</v>
      </c>
      <c r="J24" s="365" t="str">
        <f>IF($C24="","",I24*VLOOKUP($C24,MATIERES!$A$2:$F$349,4,0))</f>
        <v/>
      </c>
      <c r="K24" s="364">
        <v>24</v>
      </c>
      <c r="L24" s="365" t="str">
        <f>IF($C24="","",K24*VLOOKUP($C24,MATIERES!$A$2:$F$349,4,0))</f>
        <v/>
      </c>
      <c r="M24" s="364">
        <v>25</v>
      </c>
      <c r="N24" s="365" t="str">
        <f>IF($C24="","",M24*VLOOKUP($C24,MATIERES!$A$2:$F$349,4,0))</f>
        <v/>
      </c>
      <c r="O24" s="364">
        <v>26</v>
      </c>
      <c r="P24" s="365" t="str">
        <f>IF($C24="","",O24*VLOOKUP($C24,MATIERES!$A$2:$F$349,4,0))</f>
        <v/>
      </c>
      <c r="Q24" s="364">
        <v>27</v>
      </c>
      <c r="R24" s="365" t="str">
        <f>IF($C24="","",Q24*VLOOKUP($C24,MATIERES!$A$2:$F$349,4,0))</f>
        <v/>
      </c>
      <c r="S24" s="364">
        <v>28</v>
      </c>
      <c r="T24" s="365" t="str">
        <f>IF($C24="","",S24*VLOOKUP($C24,MATIERES!$A$2:$F$349,4,0))</f>
        <v/>
      </c>
      <c r="U24" s="364">
        <v>29</v>
      </c>
      <c r="V24" s="365" t="str">
        <f>IF($C24="","",U24*VLOOKUP($C24,MATIERES!$A$2:$F$349,4,0))</f>
        <v/>
      </c>
      <c r="W24" s="364">
        <v>30</v>
      </c>
      <c r="X24" s="365" t="str">
        <f>IF($C24="","",W24*VLOOKUP($C24,MATIERES!$A$2:$F$349,4,0))</f>
        <v/>
      </c>
      <c r="Y24" s="364">
        <v>31</v>
      </c>
      <c r="Z24" s="365" t="str">
        <f>IF($C24="","",Y24*VLOOKUP($C24,MATIERES!$A$2:$F$349,4,0))</f>
        <v/>
      </c>
      <c r="AA24" s="364">
        <v>32</v>
      </c>
      <c r="AB24" s="365" t="str">
        <f>IF($C24="","",AA24*VLOOKUP($C24,MATIERES!$A$2:$F$349,4,0))</f>
        <v/>
      </c>
      <c r="AC24" s="364">
        <v>33</v>
      </c>
      <c r="AD24" s="365" t="str">
        <f>IF($C24="","",AC24*VLOOKUP($C24,MATIERES!$A$2:$F$349,4,0))</f>
        <v/>
      </c>
      <c r="AE24" s="364">
        <v>34</v>
      </c>
      <c r="AF24" s="365" t="str">
        <f>IF($C24="","",AE24*VLOOKUP($C24,MATIERES!$A$2:$F$349,4,0))</f>
        <v/>
      </c>
      <c r="AG24" s="364">
        <v>35</v>
      </c>
      <c r="AH24" s="365" t="str">
        <f>IF($C24="","",AG24*VLOOKUP($C24,MATIERES!$A$2:$F$349,4,0))</f>
        <v/>
      </c>
      <c r="AI24" s="364">
        <v>36</v>
      </c>
      <c r="AJ24" s="365" t="str">
        <f>IF($C24="","",AI24*VLOOKUP($C24,MATIERES!$A$2:$F$349,4,0))</f>
        <v/>
      </c>
      <c r="AK24" s="364">
        <v>37</v>
      </c>
      <c r="AL24" s="365" t="str">
        <f>IF($C24="","",AK24*VLOOKUP($C24,MATIERES!$A$2:$F$349,4,0))</f>
        <v/>
      </c>
      <c r="AM24" s="364">
        <v>38</v>
      </c>
      <c r="AN24" s="365" t="str">
        <f>IF($C24="","",AM24*VLOOKUP($C24,MATIERES!$A$2:$F$349,4,0))</f>
        <v/>
      </c>
    </row>
    <row r="25" spans="1:40" ht="15" customHeight="1" x14ac:dyDescent="0.2">
      <c r="A25" s="1550"/>
      <c r="B25" s="361"/>
      <c r="C25" s="362"/>
      <c r="D25" s="363" t="str">
        <f>IF($C25="","",VLOOKUP($C25,MATIERES!$A$2:$F$227,5,0))</f>
        <v/>
      </c>
      <c r="E25" s="364">
        <v>22</v>
      </c>
      <c r="F25" s="365" t="str">
        <f>IF($C25="","",E25*VLOOKUP($C25,MATIERES!$A$2:$F$349,4,0))</f>
        <v/>
      </c>
      <c r="G25" s="364">
        <v>23</v>
      </c>
      <c r="H25" s="365" t="str">
        <f>IF($C25="","",G25*VLOOKUP($C25,MATIERES!$A$2:$F$349,4,0))</f>
        <v/>
      </c>
      <c r="I25" s="364">
        <v>24</v>
      </c>
      <c r="J25" s="365" t="str">
        <f>IF($C25="","",I25*VLOOKUP($C25,MATIERES!$A$2:$F$349,4,0))</f>
        <v/>
      </c>
      <c r="K25" s="364">
        <v>25</v>
      </c>
      <c r="L25" s="365" t="str">
        <f>IF($C25="","",K25*VLOOKUP($C25,MATIERES!$A$2:$F$349,4,0))</f>
        <v/>
      </c>
      <c r="M25" s="364">
        <v>26</v>
      </c>
      <c r="N25" s="365" t="str">
        <f>IF($C25="","",M25*VLOOKUP($C25,MATIERES!$A$2:$F$349,4,0))</f>
        <v/>
      </c>
      <c r="O25" s="364">
        <v>27</v>
      </c>
      <c r="P25" s="365" t="str">
        <f>IF($C25="","",O25*VLOOKUP($C25,MATIERES!$A$2:$F$349,4,0))</f>
        <v/>
      </c>
      <c r="Q25" s="364">
        <v>28</v>
      </c>
      <c r="R25" s="365" t="str">
        <f>IF($C25="","",Q25*VLOOKUP($C25,MATIERES!$A$2:$F$349,4,0))</f>
        <v/>
      </c>
      <c r="S25" s="364">
        <v>29</v>
      </c>
      <c r="T25" s="365" t="str">
        <f>IF($C25="","",S25*VLOOKUP($C25,MATIERES!$A$2:$F$349,4,0))</f>
        <v/>
      </c>
      <c r="U25" s="364">
        <v>30</v>
      </c>
      <c r="V25" s="365" t="str">
        <f>IF($C25="","",U25*VLOOKUP($C25,MATIERES!$A$2:$F$349,4,0))</f>
        <v/>
      </c>
      <c r="W25" s="364">
        <v>31</v>
      </c>
      <c r="X25" s="365" t="str">
        <f>IF($C25="","",W25*VLOOKUP($C25,MATIERES!$A$2:$F$349,4,0))</f>
        <v/>
      </c>
      <c r="Y25" s="364">
        <v>32</v>
      </c>
      <c r="Z25" s="365" t="str">
        <f>IF($C25="","",Y25*VLOOKUP($C25,MATIERES!$A$2:$F$349,4,0))</f>
        <v/>
      </c>
      <c r="AA25" s="364">
        <v>33</v>
      </c>
      <c r="AB25" s="365" t="str">
        <f>IF($C25="","",AA25*VLOOKUP($C25,MATIERES!$A$2:$F$349,4,0))</f>
        <v/>
      </c>
      <c r="AC25" s="364">
        <v>34</v>
      </c>
      <c r="AD25" s="365" t="str">
        <f>IF($C25="","",AC25*VLOOKUP($C25,MATIERES!$A$2:$F$349,4,0))</f>
        <v/>
      </c>
      <c r="AE25" s="364">
        <v>35</v>
      </c>
      <c r="AF25" s="365" t="str">
        <f>IF($C25="","",AE25*VLOOKUP($C25,MATIERES!$A$2:$F$349,4,0))</f>
        <v/>
      </c>
      <c r="AG25" s="364">
        <v>36</v>
      </c>
      <c r="AH25" s="365" t="str">
        <f>IF($C25="","",AG25*VLOOKUP($C25,MATIERES!$A$2:$F$349,4,0))</f>
        <v/>
      </c>
      <c r="AI25" s="364">
        <v>37</v>
      </c>
      <c r="AJ25" s="365" t="str">
        <f>IF($C25="","",AI25*VLOOKUP($C25,MATIERES!$A$2:$F$349,4,0))</f>
        <v/>
      </c>
      <c r="AK25" s="364">
        <v>38</v>
      </c>
      <c r="AL25" s="365" t="str">
        <f>IF($C25="","",AK25*VLOOKUP($C25,MATIERES!$A$2:$F$349,4,0))</f>
        <v/>
      </c>
      <c r="AM25" s="364">
        <v>39</v>
      </c>
      <c r="AN25" s="365" t="str">
        <f>IF($C25="","",AM25*VLOOKUP($C25,MATIERES!$A$2:$F$349,4,0))</f>
        <v/>
      </c>
    </row>
    <row r="26" spans="1:40" ht="30" customHeight="1" x14ac:dyDescent="0.2">
      <c r="A26" s="366"/>
      <c r="B26" s="367" t="s">
        <v>683</v>
      </c>
      <c r="C26" s="368" t="s">
        <v>446</v>
      </c>
      <c r="D26" s="369" t="s">
        <v>447</v>
      </c>
      <c r="E26" s="370">
        <f>F26*(1+Simulation!$P$11)</f>
        <v>0</v>
      </c>
      <c r="F26" s="371">
        <f>SUM(F4:F25)</f>
        <v>0</v>
      </c>
      <c r="G26" s="370">
        <f>H26*(1+Simulation!$P$11)</f>
        <v>0</v>
      </c>
      <c r="H26" s="371">
        <f>SUM(H4:H25)</f>
        <v>0</v>
      </c>
      <c r="I26" s="370">
        <f>J26*(1+Simulation!$P$11)</f>
        <v>0</v>
      </c>
      <c r="J26" s="371">
        <f>SUM(J4:J25)</f>
        <v>0</v>
      </c>
      <c r="K26" s="370">
        <f>L26*(1+Simulation!$P$11)</f>
        <v>0</v>
      </c>
      <c r="L26" s="371">
        <f>SUM(L4:L25)</f>
        <v>0</v>
      </c>
      <c r="M26" s="370">
        <f>N26*(1+Simulation!$P$11)</f>
        <v>0</v>
      </c>
      <c r="N26" s="371">
        <f>SUM(N4:N25)</f>
        <v>0</v>
      </c>
      <c r="O26" s="370">
        <f>P26*(1+Simulation!$P$11)</f>
        <v>0</v>
      </c>
      <c r="P26" s="371">
        <f>SUM(P4:P25)</f>
        <v>0</v>
      </c>
      <c r="Q26" s="370">
        <f>R26*(1+Simulation!$P$11)</f>
        <v>0</v>
      </c>
      <c r="R26" s="371">
        <f>SUM(R4:R25)</f>
        <v>0</v>
      </c>
      <c r="S26" s="370">
        <f>T26*(1+Simulation!$P$11)</f>
        <v>0</v>
      </c>
      <c r="T26" s="371">
        <f>SUM(T4:T25)</f>
        <v>0</v>
      </c>
      <c r="U26" s="370">
        <f>V26*(1+Simulation!$P$11)</f>
        <v>0</v>
      </c>
      <c r="V26" s="371">
        <f>SUM(V4:V25)</f>
        <v>0</v>
      </c>
      <c r="W26" s="370">
        <f>X26*(1+Simulation!$P$11)</f>
        <v>0</v>
      </c>
      <c r="X26" s="371">
        <f>SUM(X4:X25)</f>
        <v>0</v>
      </c>
      <c r="Y26" s="370">
        <f>Z26*(1+Simulation!$P$11)</f>
        <v>0</v>
      </c>
      <c r="Z26" s="371">
        <f>SUM(Z4:Z25)</f>
        <v>0</v>
      </c>
      <c r="AA26" s="370">
        <f>AB26*(1+Simulation!$P$11)</f>
        <v>0</v>
      </c>
      <c r="AB26" s="371">
        <f>SUM(AB4:AB25)</f>
        <v>0</v>
      </c>
      <c r="AC26" s="370">
        <f>AD26*(1+Simulation!$P$11)</f>
        <v>0</v>
      </c>
      <c r="AD26" s="371">
        <f>SUM(AD4:AD25)</f>
        <v>0</v>
      </c>
      <c r="AE26" s="370">
        <f>AF26*(1+Simulation!$P$11)</f>
        <v>0</v>
      </c>
      <c r="AF26" s="371">
        <f>SUM(AF4:AF25)</f>
        <v>0</v>
      </c>
      <c r="AG26" s="370">
        <f>AH26*(1+Simulation!$P$11)</f>
        <v>0</v>
      </c>
      <c r="AH26" s="371">
        <f>SUM(AH4:AH25)</f>
        <v>0</v>
      </c>
      <c r="AI26" s="370">
        <f>AJ26*(1+Simulation!$P$11)</f>
        <v>0</v>
      </c>
      <c r="AJ26" s="371">
        <f>SUM(AJ4:AJ25)</f>
        <v>0</v>
      </c>
      <c r="AK26" s="370">
        <f>AL26*(1+Simulation!$P$11)</f>
        <v>0</v>
      </c>
      <c r="AL26" s="371">
        <f>SUM(AL4:AL25)</f>
        <v>0</v>
      </c>
      <c r="AM26" s="370">
        <f>AN26*(1+Simulation!$P$11)</f>
        <v>0</v>
      </c>
      <c r="AN26" s="371">
        <f>SUM(AN4:AN25)</f>
        <v>0</v>
      </c>
    </row>
    <row r="27" spans="1:40" ht="15" customHeight="1" x14ac:dyDescent="0.2">
      <c r="A27" s="1553" t="s">
        <v>448</v>
      </c>
      <c r="B27" s="361" t="s">
        <v>1079</v>
      </c>
      <c r="C27" s="362" t="s">
        <v>419</v>
      </c>
      <c r="D27" s="363" t="e">
        <f>IF($C27="","",VLOOKUP($C27,ATELIER!$B$2:$E$109,3,0))</f>
        <v>#N/A</v>
      </c>
      <c r="E27" s="364">
        <v>1</v>
      </c>
      <c r="F27" s="372" t="e">
        <f>IF($C27="","",E27*VLOOKUP($C27,ATELIER!$B$2:$F$109,4,0))</f>
        <v>#N/A</v>
      </c>
      <c r="G27" s="364">
        <v>2</v>
      </c>
      <c r="H27" s="372" t="e">
        <f>IF($C27="","",G27*VLOOKUP($C27,ATELIER!$B$2:$F$109,4,0))</f>
        <v>#N/A</v>
      </c>
      <c r="I27" s="364">
        <v>3</v>
      </c>
      <c r="J27" s="372" t="e">
        <f>IF($C27="","",I27*VLOOKUP($C27,ATELIER!$B$2:$F$109,4,0))</f>
        <v>#N/A</v>
      </c>
      <c r="K27" s="364">
        <v>4</v>
      </c>
      <c r="L27" s="372" t="e">
        <f>IF($C27="","",K27*VLOOKUP($C27,ATELIER!$B$2:$F$109,4,0))</f>
        <v>#N/A</v>
      </c>
      <c r="M27" s="364">
        <v>5</v>
      </c>
      <c r="N27" s="372" t="e">
        <f>IF($C27="","",M27*VLOOKUP($C27,ATELIER!$B$2:$F$109,4,0))</f>
        <v>#N/A</v>
      </c>
      <c r="O27" s="364">
        <v>6</v>
      </c>
      <c r="P27" s="372" t="e">
        <f>IF($C27="","",O27*VLOOKUP($C27,ATELIER!$B$2:$F$109,4,0))</f>
        <v>#N/A</v>
      </c>
      <c r="Q27" s="364">
        <v>7</v>
      </c>
      <c r="R27" s="372" t="e">
        <f>IF($C27="","",Q27*VLOOKUP($C27,ATELIER!$B$2:$F$109,4,0))</f>
        <v>#N/A</v>
      </c>
      <c r="S27" s="364">
        <v>8</v>
      </c>
      <c r="T27" s="372" t="e">
        <f>IF($C27="","",S27*VLOOKUP($C27,ATELIER!$B$2:$F$109,4,0))</f>
        <v>#N/A</v>
      </c>
      <c r="U27" s="364">
        <v>9</v>
      </c>
      <c r="V27" s="372" t="e">
        <f>IF($C27="","",U27*VLOOKUP($C27,ATELIER!$B$2:$F$109,4,0))</f>
        <v>#N/A</v>
      </c>
      <c r="W27" s="364">
        <v>10</v>
      </c>
      <c r="X27" s="372" t="e">
        <f>IF($C27="","",W27*VLOOKUP($C27,ATELIER!$B$2:$F$109,4,0))</f>
        <v>#N/A</v>
      </c>
      <c r="Y27" s="364">
        <v>11</v>
      </c>
      <c r="Z27" s="372" t="e">
        <f>IF($C27="","",Y27*VLOOKUP($C27,ATELIER!$B$2:$F$109,4,0))</f>
        <v>#N/A</v>
      </c>
      <c r="AA27" s="364">
        <v>12</v>
      </c>
      <c r="AB27" s="372" t="e">
        <f>IF($C27="","",AA27*VLOOKUP($C27,ATELIER!$B$2:$F$109,4,0))</f>
        <v>#N/A</v>
      </c>
      <c r="AC27" s="364">
        <v>13</v>
      </c>
      <c r="AD27" s="372" t="e">
        <f>IF($C27="","",AC27*VLOOKUP($C27,ATELIER!$B$2:$F$109,4,0))</f>
        <v>#N/A</v>
      </c>
      <c r="AE27" s="364">
        <v>14</v>
      </c>
      <c r="AF27" s="372" t="e">
        <f>IF($C27="","",AE27*VLOOKUP($C27,ATELIER!$B$2:$F$109,4,0))</f>
        <v>#N/A</v>
      </c>
      <c r="AG27" s="364">
        <v>15</v>
      </c>
      <c r="AH27" s="372" t="e">
        <f>IF($C27="","",AG27*VLOOKUP($C27,ATELIER!$B$2:$F$109,4,0))</f>
        <v>#N/A</v>
      </c>
      <c r="AI27" s="364">
        <v>16</v>
      </c>
      <c r="AJ27" s="372" t="e">
        <f>IF($C27="","",AI27*VLOOKUP($C27,ATELIER!$B$2:$F$109,4,0))</f>
        <v>#N/A</v>
      </c>
      <c r="AK27" s="364">
        <v>17</v>
      </c>
      <c r="AL27" s="372" t="e">
        <f>IF($C27="","",AK27*VLOOKUP($C27,ATELIER!$B$2:$F$109,4,0))</f>
        <v>#N/A</v>
      </c>
      <c r="AM27" s="364">
        <v>18</v>
      </c>
      <c r="AN27" s="372" t="e">
        <f>IF($C27="","",AM27*VLOOKUP($C27,ATELIER!$B$2:$F$109,4,0))</f>
        <v>#N/A</v>
      </c>
    </row>
    <row r="28" spans="1:40" ht="15" customHeight="1" x14ac:dyDescent="0.2">
      <c r="A28" s="1553"/>
      <c r="B28" s="361" t="str">
        <f>IF($C28="","",VLOOKUP($C28,ATELIER!$B$2:$F$109,2,0))</f>
        <v/>
      </c>
      <c r="C28" s="362"/>
      <c r="D28" s="363" t="str">
        <f>IF($C28="","",VLOOKUP($C28,ATELIER!$B$2:$E$109,3,0))</f>
        <v/>
      </c>
      <c r="E28" s="364">
        <v>2</v>
      </c>
      <c r="F28" s="372" t="str">
        <f>IF($C28="","",E28*VLOOKUP($C28,ATELIER!$B$2:$F$109,4,0))</f>
        <v/>
      </c>
      <c r="G28" s="364">
        <v>3</v>
      </c>
      <c r="H28" s="372" t="str">
        <f>IF($C28="","",G28*VLOOKUP($C28,ATELIER!$B$2:$F$109,4,0))</f>
        <v/>
      </c>
      <c r="I28" s="364">
        <v>4</v>
      </c>
      <c r="J28" s="372" t="str">
        <f>IF($C28="","",I28*VLOOKUP($C28,ATELIER!$B$2:$F$109,4,0))</f>
        <v/>
      </c>
      <c r="K28" s="364">
        <v>5</v>
      </c>
      <c r="L28" s="372" t="str">
        <f>IF($C28="","",K28*VLOOKUP($C28,ATELIER!$B$2:$F$109,4,0))</f>
        <v/>
      </c>
      <c r="M28" s="364">
        <v>6</v>
      </c>
      <c r="N28" s="372" t="str">
        <f>IF($C28="","",M28*VLOOKUP($C28,ATELIER!$B$2:$F$109,4,0))</f>
        <v/>
      </c>
      <c r="O28" s="364">
        <v>7</v>
      </c>
      <c r="P28" s="372" t="str">
        <f>IF($C28="","",O28*VLOOKUP($C28,ATELIER!$B$2:$F$109,4,0))</f>
        <v/>
      </c>
      <c r="Q28" s="364">
        <v>8</v>
      </c>
      <c r="R28" s="372" t="str">
        <f>IF($C28="","",Q28*VLOOKUP($C28,ATELIER!$B$2:$F$109,4,0))</f>
        <v/>
      </c>
      <c r="S28" s="364">
        <v>9</v>
      </c>
      <c r="T28" s="372" t="str">
        <f>IF($C28="","",S28*VLOOKUP($C28,ATELIER!$B$2:$F$109,4,0))</f>
        <v/>
      </c>
      <c r="U28" s="364">
        <v>10</v>
      </c>
      <c r="V28" s="372" t="str">
        <f>IF($C28="","",U28*VLOOKUP($C28,ATELIER!$B$2:$F$109,4,0))</f>
        <v/>
      </c>
      <c r="W28" s="364">
        <v>11</v>
      </c>
      <c r="X28" s="372" t="str">
        <f>IF($C28="","",W28*VLOOKUP($C28,ATELIER!$B$2:$F$109,4,0))</f>
        <v/>
      </c>
      <c r="Y28" s="364">
        <v>12</v>
      </c>
      <c r="Z28" s="372" t="str">
        <f>IF($C28="","",Y28*VLOOKUP($C28,ATELIER!$B$2:$F$109,4,0))</f>
        <v/>
      </c>
      <c r="AA28" s="364">
        <v>13</v>
      </c>
      <c r="AB28" s="372" t="str">
        <f>IF($C28="","",AA28*VLOOKUP($C28,ATELIER!$B$2:$F$109,4,0))</f>
        <v/>
      </c>
      <c r="AC28" s="364">
        <v>14</v>
      </c>
      <c r="AD28" s="372" t="str">
        <f>IF($C28="","",AC28*VLOOKUP($C28,ATELIER!$B$2:$F$109,4,0))</f>
        <v/>
      </c>
      <c r="AE28" s="364">
        <v>15</v>
      </c>
      <c r="AF28" s="372" t="str">
        <f>IF($C28="","",AE28*VLOOKUP($C28,ATELIER!$B$2:$F$109,4,0))</f>
        <v/>
      </c>
      <c r="AG28" s="364">
        <v>16</v>
      </c>
      <c r="AH28" s="372" t="str">
        <f>IF($C28="","",AG28*VLOOKUP($C28,ATELIER!$B$2:$F$109,4,0))</f>
        <v/>
      </c>
      <c r="AI28" s="364">
        <v>17</v>
      </c>
      <c r="AJ28" s="372" t="str">
        <f>IF($C28="","",AI28*VLOOKUP($C28,ATELIER!$B$2:$F$109,4,0))</f>
        <v/>
      </c>
      <c r="AK28" s="364">
        <v>18</v>
      </c>
      <c r="AL28" s="372" t="str">
        <f>IF($C28="","",AK28*VLOOKUP($C28,ATELIER!$B$2:$F$109,4,0))</f>
        <v/>
      </c>
      <c r="AM28" s="364">
        <v>19</v>
      </c>
      <c r="AN28" s="372" t="str">
        <f>IF($C28="","",AM28*VLOOKUP($C28,ATELIER!$B$2:$F$109,4,0))</f>
        <v/>
      </c>
    </row>
    <row r="29" spans="1:40" ht="15" customHeight="1" x14ac:dyDescent="0.2">
      <c r="A29" s="1552"/>
      <c r="B29" s="373" t="str">
        <f>IF($C29="","",VLOOKUP($C29,ATELIER!$B$2:$F$109,2,0))</f>
        <v/>
      </c>
      <c r="C29" s="374"/>
      <c r="D29" s="363" t="str">
        <f>IF($C29="","",VLOOKUP($C29,ATELIER!$B$2:$E$109,3,0))</f>
        <v/>
      </c>
      <c r="E29" s="364">
        <v>3</v>
      </c>
      <c r="F29" s="372" t="str">
        <f>IF($C29="","",E29*VLOOKUP($C29,ATELIER!$B$2:$F$109,4,0))</f>
        <v/>
      </c>
      <c r="G29" s="364">
        <v>4</v>
      </c>
      <c r="H29" s="372" t="str">
        <f>IF($C29="","",G29*VLOOKUP($C29,ATELIER!$B$2:$F$109,4,0))</f>
        <v/>
      </c>
      <c r="I29" s="364">
        <v>5</v>
      </c>
      <c r="J29" s="372" t="str">
        <f>IF($C29="","",I29*VLOOKUP($C29,ATELIER!$B$2:$F$109,4,0))</f>
        <v/>
      </c>
      <c r="K29" s="364">
        <v>6</v>
      </c>
      <c r="L29" s="372" t="str">
        <f>IF($C29="","",K29*VLOOKUP($C29,ATELIER!$B$2:$F$109,4,0))</f>
        <v/>
      </c>
      <c r="M29" s="364">
        <v>7</v>
      </c>
      <c r="N29" s="372" t="str">
        <f>IF($C29="","",M29*VLOOKUP($C29,ATELIER!$B$2:$F$109,4,0))</f>
        <v/>
      </c>
      <c r="O29" s="364">
        <v>8</v>
      </c>
      <c r="P29" s="372" t="str">
        <f>IF($C29="","",O29*VLOOKUP($C29,ATELIER!$B$2:$F$109,4,0))</f>
        <v/>
      </c>
      <c r="Q29" s="364">
        <v>9</v>
      </c>
      <c r="R29" s="372" t="str">
        <f>IF($C29="","",Q29*VLOOKUP($C29,ATELIER!$B$2:$F$109,4,0))</f>
        <v/>
      </c>
      <c r="S29" s="364">
        <v>10</v>
      </c>
      <c r="T29" s="372" t="str">
        <f>IF($C29="","",S29*VLOOKUP($C29,ATELIER!$B$2:$F$109,4,0))</f>
        <v/>
      </c>
      <c r="U29" s="364">
        <v>11</v>
      </c>
      <c r="V29" s="372" t="str">
        <f>IF($C29="","",U29*VLOOKUP($C29,ATELIER!$B$2:$F$109,4,0))</f>
        <v/>
      </c>
      <c r="W29" s="364">
        <v>12</v>
      </c>
      <c r="X29" s="372" t="str">
        <f>IF($C29="","",W29*VLOOKUP($C29,ATELIER!$B$2:$F$109,4,0))</f>
        <v/>
      </c>
      <c r="Y29" s="364">
        <v>13</v>
      </c>
      <c r="Z29" s="372" t="str">
        <f>IF($C29="","",Y29*VLOOKUP($C29,ATELIER!$B$2:$F$109,4,0))</f>
        <v/>
      </c>
      <c r="AA29" s="364">
        <v>14</v>
      </c>
      <c r="AB29" s="372" t="str">
        <f>IF($C29="","",AA29*VLOOKUP($C29,ATELIER!$B$2:$F$109,4,0))</f>
        <v/>
      </c>
      <c r="AC29" s="364">
        <v>15</v>
      </c>
      <c r="AD29" s="372" t="str">
        <f>IF($C29="","",AC29*VLOOKUP($C29,ATELIER!$B$2:$F$109,4,0))</f>
        <v/>
      </c>
      <c r="AE29" s="364">
        <v>16</v>
      </c>
      <c r="AF29" s="372" t="str">
        <f>IF($C29="","",AE29*VLOOKUP($C29,ATELIER!$B$2:$F$109,4,0))</f>
        <v/>
      </c>
      <c r="AG29" s="364">
        <v>17</v>
      </c>
      <c r="AH29" s="372" t="str">
        <f>IF($C29="","",AG29*VLOOKUP($C29,ATELIER!$B$2:$F$109,4,0))</f>
        <v/>
      </c>
      <c r="AI29" s="364">
        <v>18</v>
      </c>
      <c r="AJ29" s="372" t="str">
        <f>IF($C29="","",AI29*VLOOKUP($C29,ATELIER!$B$2:$F$109,4,0))</f>
        <v/>
      </c>
      <c r="AK29" s="364">
        <v>19</v>
      </c>
      <c r="AL29" s="372" t="str">
        <f>IF($C29="","",AK29*VLOOKUP($C29,ATELIER!$B$2:$F$109,4,0))</f>
        <v/>
      </c>
      <c r="AM29" s="364">
        <v>20</v>
      </c>
      <c r="AN29" s="372" t="str">
        <f>IF($C29="","",AM29*VLOOKUP($C29,ATELIER!$B$2:$F$109,4,0))</f>
        <v/>
      </c>
    </row>
    <row r="30" spans="1:40" ht="15" customHeight="1" x14ac:dyDescent="0.2">
      <c r="A30" s="1553"/>
      <c r="B30" s="361" t="str">
        <f>IF($C30="","",VLOOKUP($C30,ATELIER!$B$2:$F$109,2,0))</f>
        <v/>
      </c>
      <c r="C30" s="362"/>
      <c r="D30" s="363" t="str">
        <f>IF($C30="","",VLOOKUP($C30,ATELIER!$B$2:$E$109,3,0))</f>
        <v/>
      </c>
      <c r="E30" s="364">
        <v>4</v>
      </c>
      <c r="F30" s="372" t="str">
        <f>IF($C30="","",E30*VLOOKUP($C30,ATELIER!$B$2:$F$109,4,0))</f>
        <v/>
      </c>
      <c r="G30" s="364">
        <v>5</v>
      </c>
      <c r="H30" s="372" t="str">
        <f>IF($C30="","",G30*VLOOKUP($C30,ATELIER!$B$2:$F$109,4,0))</f>
        <v/>
      </c>
      <c r="I30" s="364">
        <v>6</v>
      </c>
      <c r="J30" s="372" t="str">
        <f>IF($C30="","",I30*VLOOKUP($C30,ATELIER!$B$2:$F$109,4,0))</f>
        <v/>
      </c>
      <c r="K30" s="364">
        <v>7</v>
      </c>
      <c r="L30" s="372" t="str">
        <f>IF($C30="","",K30*VLOOKUP($C30,ATELIER!$B$2:$F$109,4,0))</f>
        <v/>
      </c>
      <c r="M30" s="364">
        <v>8</v>
      </c>
      <c r="N30" s="372" t="str">
        <f>IF($C30="","",M30*VLOOKUP($C30,ATELIER!$B$2:$F$109,4,0))</f>
        <v/>
      </c>
      <c r="O30" s="364">
        <v>9</v>
      </c>
      <c r="P30" s="372" t="str">
        <f>IF($C30="","",O30*VLOOKUP($C30,ATELIER!$B$2:$F$109,4,0))</f>
        <v/>
      </c>
      <c r="Q30" s="364">
        <v>10</v>
      </c>
      <c r="R30" s="372" t="str">
        <f>IF($C30="","",Q30*VLOOKUP($C30,ATELIER!$B$2:$F$109,4,0))</f>
        <v/>
      </c>
      <c r="S30" s="364">
        <v>11</v>
      </c>
      <c r="T30" s="372" t="str">
        <f>IF($C30="","",S30*VLOOKUP($C30,ATELIER!$B$2:$F$109,4,0))</f>
        <v/>
      </c>
      <c r="U30" s="364">
        <v>12</v>
      </c>
      <c r="V30" s="372" t="str">
        <f>IF($C30="","",U30*VLOOKUP($C30,ATELIER!$B$2:$F$109,4,0))</f>
        <v/>
      </c>
      <c r="W30" s="364">
        <v>13</v>
      </c>
      <c r="X30" s="372" t="str">
        <f>IF($C30="","",W30*VLOOKUP($C30,ATELIER!$B$2:$F$109,4,0))</f>
        <v/>
      </c>
      <c r="Y30" s="364">
        <v>14</v>
      </c>
      <c r="Z30" s="372" t="str">
        <f>IF($C30="","",Y30*VLOOKUP($C30,ATELIER!$B$2:$F$109,4,0))</f>
        <v/>
      </c>
      <c r="AA30" s="364">
        <v>15</v>
      </c>
      <c r="AB30" s="372" t="str">
        <f>IF($C30="","",AA30*VLOOKUP($C30,ATELIER!$B$2:$F$109,4,0))</f>
        <v/>
      </c>
      <c r="AC30" s="364">
        <v>16</v>
      </c>
      <c r="AD30" s="372" t="str">
        <f>IF($C30="","",AC30*VLOOKUP($C30,ATELIER!$B$2:$F$109,4,0))</f>
        <v/>
      </c>
      <c r="AE30" s="364">
        <v>17</v>
      </c>
      <c r="AF30" s="372" t="str">
        <f>IF($C30="","",AE30*VLOOKUP($C30,ATELIER!$B$2:$F$109,4,0))</f>
        <v/>
      </c>
      <c r="AG30" s="364">
        <v>18</v>
      </c>
      <c r="AH30" s="372" t="str">
        <f>IF($C30="","",AG30*VLOOKUP($C30,ATELIER!$B$2:$F$109,4,0))</f>
        <v/>
      </c>
      <c r="AI30" s="364">
        <v>19</v>
      </c>
      <c r="AJ30" s="372" t="str">
        <f>IF($C30="","",AI30*VLOOKUP($C30,ATELIER!$B$2:$F$109,4,0))</f>
        <v/>
      </c>
      <c r="AK30" s="364">
        <v>20</v>
      </c>
      <c r="AL30" s="372" t="str">
        <f>IF($C30="","",AK30*VLOOKUP($C30,ATELIER!$B$2:$F$109,4,0))</f>
        <v/>
      </c>
      <c r="AM30" s="364">
        <v>21</v>
      </c>
      <c r="AN30" s="372" t="str">
        <f>IF($C30="","",AM30*VLOOKUP($C30,ATELIER!$B$2:$F$109,4,0))</f>
        <v/>
      </c>
    </row>
    <row r="31" spans="1:40" ht="15" customHeight="1" x14ac:dyDescent="0.2">
      <c r="A31" s="1553"/>
      <c r="B31" s="361" t="str">
        <f>IF($C31="","",VLOOKUP($C31,ATELIER!$B$2:$F$109,2,0))</f>
        <v/>
      </c>
      <c r="C31" s="362"/>
      <c r="D31" s="363" t="str">
        <f>IF($C31="","",VLOOKUP($C31,ATELIER!$B$2:$E$109,3,0))</f>
        <v/>
      </c>
      <c r="E31" s="364">
        <v>5</v>
      </c>
      <c r="F31" s="372" t="str">
        <f>IF($C31="","",E31*VLOOKUP($C31,ATELIER!$B$2:$F$109,4,0))</f>
        <v/>
      </c>
      <c r="G31" s="364">
        <v>6</v>
      </c>
      <c r="H31" s="372" t="str">
        <f>IF($C31="","",G31*VLOOKUP($C31,ATELIER!$B$2:$F$109,4,0))</f>
        <v/>
      </c>
      <c r="I31" s="364">
        <v>7</v>
      </c>
      <c r="J31" s="372" t="str">
        <f>IF($C31="","",I31*VLOOKUP($C31,ATELIER!$B$2:$F$109,4,0))</f>
        <v/>
      </c>
      <c r="K31" s="364">
        <v>8</v>
      </c>
      <c r="L31" s="372" t="str">
        <f>IF($C31="","",K31*VLOOKUP($C31,ATELIER!$B$2:$F$109,4,0))</f>
        <v/>
      </c>
      <c r="M31" s="364">
        <v>9</v>
      </c>
      <c r="N31" s="372" t="str">
        <f>IF($C31="","",M31*VLOOKUP($C31,ATELIER!$B$2:$F$109,4,0))</f>
        <v/>
      </c>
      <c r="O31" s="364">
        <v>10</v>
      </c>
      <c r="P31" s="372" t="str">
        <f>IF($C31="","",O31*VLOOKUP($C31,ATELIER!$B$2:$F$109,4,0))</f>
        <v/>
      </c>
      <c r="Q31" s="364">
        <v>11</v>
      </c>
      <c r="R31" s="372" t="str">
        <f>IF($C31="","",Q31*VLOOKUP($C31,ATELIER!$B$2:$F$109,4,0))</f>
        <v/>
      </c>
      <c r="S31" s="364">
        <v>12</v>
      </c>
      <c r="T31" s="372" t="str">
        <f>IF($C31="","",S31*VLOOKUP($C31,ATELIER!$B$2:$F$109,4,0))</f>
        <v/>
      </c>
      <c r="U31" s="364">
        <v>13</v>
      </c>
      <c r="V31" s="372" t="str">
        <f>IF($C31="","",U31*VLOOKUP($C31,ATELIER!$B$2:$F$109,4,0))</f>
        <v/>
      </c>
      <c r="W31" s="364">
        <v>14</v>
      </c>
      <c r="X31" s="372" t="str">
        <f>IF($C31="","",W31*VLOOKUP($C31,ATELIER!$B$2:$F$109,4,0))</f>
        <v/>
      </c>
      <c r="Y31" s="364">
        <v>15</v>
      </c>
      <c r="Z31" s="372" t="str">
        <f>IF($C31="","",Y31*VLOOKUP($C31,ATELIER!$B$2:$F$109,4,0))</f>
        <v/>
      </c>
      <c r="AA31" s="364">
        <v>16</v>
      </c>
      <c r="AB31" s="372" t="str">
        <f>IF($C31="","",AA31*VLOOKUP($C31,ATELIER!$B$2:$F$109,4,0))</f>
        <v/>
      </c>
      <c r="AC31" s="364">
        <v>17</v>
      </c>
      <c r="AD31" s="372" t="str">
        <f>IF($C31="","",AC31*VLOOKUP($C31,ATELIER!$B$2:$F$109,4,0))</f>
        <v/>
      </c>
      <c r="AE31" s="364">
        <v>18</v>
      </c>
      <c r="AF31" s="372" t="str">
        <f>IF($C31="","",AE31*VLOOKUP($C31,ATELIER!$B$2:$F$109,4,0))</f>
        <v/>
      </c>
      <c r="AG31" s="364">
        <v>19</v>
      </c>
      <c r="AH31" s="372" t="str">
        <f>IF($C31="","",AG31*VLOOKUP($C31,ATELIER!$B$2:$F$109,4,0))</f>
        <v/>
      </c>
      <c r="AI31" s="364">
        <v>20</v>
      </c>
      <c r="AJ31" s="372" t="str">
        <f>IF($C31="","",AI31*VLOOKUP($C31,ATELIER!$B$2:$F$109,4,0))</f>
        <v/>
      </c>
      <c r="AK31" s="364">
        <v>21</v>
      </c>
      <c r="AL31" s="372" t="str">
        <f>IF($C31="","",AK31*VLOOKUP($C31,ATELIER!$B$2:$F$109,4,0))</f>
        <v/>
      </c>
      <c r="AM31" s="364">
        <v>22</v>
      </c>
      <c r="AN31" s="372" t="str">
        <f>IF($C31="","",AM31*VLOOKUP($C31,ATELIER!$B$2:$F$109,4,0))</f>
        <v/>
      </c>
    </row>
    <row r="32" spans="1:40" ht="15" customHeight="1" x14ac:dyDescent="0.2">
      <c r="A32" s="1553"/>
      <c r="B32" s="361" t="str">
        <f>IF($C32="","",VLOOKUP($C32,ATELIER!$B$2:$F$109,2,0))</f>
        <v/>
      </c>
      <c r="C32" s="362"/>
      <c r="D32" s="363" t="str">
        <f>IF($C32="","",VLOOKUP($C32,ATELIER!$B$2:$E$109,3,0))</f>
        <v/>
      </c>
      <c r="E32" s="364">
        <v>6</v>
      </c>
      <c r="F32" s="372" t="str">
        <f>IF($C32="","",E32*VLOOKUP($C32,ATELIER!$B$2:$F$109,4,0))</f>
        <v/>
      </c>
      <c r="G32" s="364">
        <v>7</v>
      </c>
      <c r="H32" s="372" t="str">
        <f>IF($C32="","",G32*VLOOKUP($C32,ATELIER!$B$2:$F$109,4,0))</f>
        <v/>
      </c>
      <c r="I32" s="364">
        <v>8</v>
      </c>
      <c r="J32" s="372" t="str">
        <f>IF($C32="","",I32*VLOOKUP($C32,ATELIER!$B$2:$F$109,4,0))</f>
        <v/>
      </c>
      <c r="K32" s="364">
        <v>9</v>
      </c>
      <c r="L32" s="372" t="str">
        <f>IF($C32="","",K32*VLOOKUP($C32,ATELIER!$B$2:$F$109,4,0))</f>
        <v/>
      </c>
      <c r="M32" s="364">
        <v>10</v>
      </c>
      <c r="N32" s="372" t="str">
        <f>IF($C32="","",M32*VLOOKUP($C32,ATELIER!$B$2:$F$109,4,0))</f>
        <v/>
      </c>
      <c r="O32" s="364">
        <v>11</v>
      </c>
      <c r="P32" s="372" t="str">
        <f>IF($C32="","",O32*VLOOKUP($C32,ATELIER!$B$2:$F$109,4,0))</f>
        <v/>
      </c>
      <c r="Q32" s="364">
        <v>12</v>
      </c>
      <c r="R32" s="372" t="str">
        <f>IF($C32="","",Q32*VLOOKUP($C32,ATELIER!$B$2:$F$109,4,0))</f>
        <v/>
      </c>
      <c r="S32" s="364">
        <v>13</v>
      </c>
      <c r="T32" s="372" t="str">
        <f>IF($C32="","",S32*VLOOKUP($C32,ATELIER!$B$2:$F$109,4,0))</f>
        <v/>
      </c>
      <c r="U32" s="364">
        <v>14</v>
      </c>
      <c r="V32" s="372" t="str">
        <f>IF($C32="","",U32*VLOOKUP($C32,ATELIER!$B$2:$F$109,4,0))</f>
        <v/>
      </c>
      <c r="W32" s="364">
        <v>15</v>
      </c>
      <c r="X32" s="372" t="str">
        <f>IF($C32="","",W32*VLOOKUP($C32,ATELIER!$B$2:$F$109,4,0))</f>
        <v/>
      </c>
      <c r="Y32" s="364">
        <v>16</v>
      </c>
      <c r="Z32" s="372" t="str">
        <f>IF($C32="","",Y32*VLOOKUP($C32,ATELIER!$B$2:$F$109,4,0))</f>
        <v/>
      </c>
      <c r="AA32" s="364">
        <v>17</v>
      </c>
      <c r="AB32" s="372" t="str">
        <f>IF($C32="","",AA32*VLOOKUP($C32,ATELIER!$B$2:$F$109,4,0))</f>
        <v/>
      </c>
      <c r="AC32" s="364">
        <v>18</v>
      </c>
      <c r="AD32" s="372" t="str">
        <f>IF($C32="","",AC32*VLOOKUP($C32,ATELIER!$B$2:$F$109,4,0))</f>
        <v/>
      </c>
      <c r="AE32" s="364">
        <v>19</v>
      </c>
      <c r="AF32" s="372" t="str">
        <f>IF($C32="","",AE32*VLOOKUP($C32,ATELIER!$B$2:$F$109,4,0))</f>
        <v/>
      </c>
      <c r="AG32" s="364">
        <v>20</v>
      </c>
      <c r="AH32" s="372" t="str">
        <f>IF($C32="","",AG32*VLOOKUP($C32,ATELIER!$B$2:$F$109,4,0))</f>
        <v/>
      </c>
      <c r="AI32" s="364">
        <v>21</v>
      </c>
      <c r="AJ32" s="372" t="str">
        <f>IF($C32="","",AI32*VLOOKUP($C32,ATELIER!$B$2:$F$109,4,0))</f>
        <v/>
      </c>
      <c r="AK32" s="364">
        <v>22</v>
      </c>
      <c r="AL32" s="372" t="str">
        <f>IF($C32="","",AK32*VLOOKUP($C32,ATELIER!$B$2:$F$109,4,0))</f>
        <v/>
      </c>
      <c r="AM32" s="364">
        <v>23</v>
      </c>
      <c r="AN32" s="372" t="str">
        <f>IF($C32="","",AM32*VLOOKUP($C32,ATELIER!$B$2:$F$109,4,0))</f>
        <v/>
      </c>
    </row>
    <row r="33" spans="1:42" ht="15" customHeight="1" x14ac:dyDescent="0.2">
      <c r="A33" s="1553"/>
      <c r="B33" s="361" t="str">
        <f>IF($C33="","",VLOOKUP($C33,ATELIER!$B$2:$F$109,2,0))</f>
        <v/>
      </c>
      <c r="C33" s="362"/>
      <c r="D33" s="363" t="str">
        <f>IF($C33="","",VLOOKUP($C33,ATELIER!$B$2:$E$109,3,0))</f>
        <v/>
      </c>
      <c r="E33" s="364">
        <v>7</v>
      </c>
      <c r="F33" s="372" t="str">
        <f>IF($C33="","",E33*VLOOKUP($C33,ATELIER!$B$2:$F$109,4,0))</f>
        <v/>
      </c>
      <c r="G33" s="364">
        <v>8</v>
      </c>
      <c r="H33" s="372" t="str">
        <f>IF($C33="","",G33*VLOOKUP($C33,ATELIER!$B$2:$F$109,4,0))</f>
        <v/>
      </c>
      <c r="I33" s="364">
        <v>9</v>
      </c>
      <c r="J33" s="372" t="str">
        <f>IF($C33="","",I33*VLOOKUP($C33,ATELIER!$B$2:$F$109,4,0))</f>
        <v/>
      </c>
      <c r="K33" s="364">
        <v>10</v>
      </c>
      <c r="L33" s="372" t="str">
        <f>IF($C33="","",K33*VLOOKUP($C33,ATELIER!$B$2:$F$109,4,0))</f>
        <v/>
      </c>
      <c r="M33" s="364">
        <v>11</v>
      </c>
      <c r="N33" s="372" t="str">
        <f>IF($C33="","",M33*VLOOKUP($C33,ATELIER!$B$2:$F$109,4,0))</f>
        <v/>
      </c>
      <c r="O33" s="364">
        <v>12</v>
      </c>
      <c r="P33" s="372" t="str">
        <f>IF($C33="","",O33*VLOOKUP($C33,ATELIER!$B$2:$F$109,4,0))</f>
        <v/>
      </c>
      <c r="Q33" s="364">
        <v>13</v>
      </c>
      <c r="R33" s="372" t="str">
        <f>IF($C33="","",Q33*VLOOKUP($C33,ATELIER!$B$2:$F$109,4,0))</f>
        <v/>
      </c>
      <c r="S33" s="364">
        <v>14</v>
      </c>
      <c r="T33" s="372" t="str">
        <f>IF($C33="","",S33*VLOOKUP($C33,ATELIER!$B$2:$F$109,4,0))</f>
        <v/>
      </c>
      <c r="U33" s="364">
        <v>15</v>
      </c>
      <c r="V33" s="372" t="str">
        <f>IF($C33="","",U33*VLOOKUP($C33,ATELIER!$B$2:$F$109,4,0))</f>
        <v/>
      </c>
      <c r="W33" s="364">
        <v>16</v>
      </c>
      <c r="X33" s="372" t="str">
        <f>IF($C33="","",W33*VLOOKUP($C33,ATELIER!$B$2:$F$109,4,0))</f>
        <v/>
      </c>
      <c r="Y33" s="364">
        <v>17</v>
      </c>
      <c r="Z33" s="372" t="str">
        <f>IF($C33="","",Y33*VLOOKUP($C33,ATELIER!$B$2:$F$109,4,0))</f>
        <v/>
      </c>
      <c r="AA33" s="364">
        <v>18</v>
      </c>
      <c r="AB33" s="372" t="str">
        <f>IF($C33="","",AA33*VLOOKUP($C33,ATELIER!$B$2:$F$109,4,0))</f>
        <v/>
      </c>
      <c r="AC33" s="364">
        <v>19</v>
      </c>
      <c r="AD33" s="372" t="str">
        <f>IF($C33="","",AC33*VLOOKUP($C33,ATELIER!$B$2:$F$109,4,0))</f>
        <v/>
      </c>
      <c r="AE33" s="364">
        <v>20</v>
      </c>
      <c r="AF33" s="372" t="str">
        <f>IF($C33="","",AE33*VLOOKUP($C33,ATELIER!$B$2:$F$109,4,0))</f>
        <v/>
      </c>
      <c r="AG33" s="364">
        <v>21</v>
      </c>
      <c r="AH33" s="372" t="str">
        <f>IF($C33="","",AG33*VLOOKUP($C33,ATELIER!$B$2:$F$109,4,0))</f>
        <v/>
      </c>
      <c r="AI33" s="364">
        <v>22</v>
      </c>
      <c r="AJ33" s="372" t="str">
        <f>IF($C33="","",AI33*VLOOKUP($C33,ATELIER!$B$2:$F$109,4,0))</f>
        <v/>
      </c>
      <c r="AK33" s="364">
        <v>23</v>
      </c>
      <c r="AL33" s="372" t="str">
        <f>IF($C33="","",AK33*VLOOKUP($C33,ATELIER!$B$2:$F$109,4,0))</f>
        <v/>
      </c>
      <c r="AM33" s="364">
        <v>24</v>
      </c>
      <c r="AN33" s="372" t="str">
        <f>IF($C33="","",AM33*VLOOKUP($C33,ATELIER!$B$2:$F$109,4,0))</f>
        <v/>
      </c>
    </row>
    <row r="34" spans="1:42" ht="15" customHeight="1" x14ac:dyDescent="0.2">
      <c r="A34" s="1553"/>
      <c r="B34" s="361" t="str">
        <f>IF($C34="","",VLOOKUP($C34,ATELIER!$B$2:$F$109,2,0))</f>
        <v/>
      </c>
      <c r="C34" s="362"/>
      <c r="D34" s="363" t="str">
        <f>IF($C34="","",VLOOKUP($C34,ATELIER!$B$2:$E$109,3,0))</f>
        <v/>
      </c>
      <c r="E34" s="364">
        <v>8</v>
      </c>
      <c r="F34" s="372" t="str">
        <f>IF($C34="","",E34*VLOOKUP($C34,ATELIER!$B$2:$F$109,4,0))</f>
        <v/>
      </c>
      <c r="G34" s="364">
        <v>9</v>
      </c>
      <c r="H34" s="372" t="str">
        <f>IF($C34="","",G34*VLOOKUP($C34,ATELIER!$B$2:$F$109,4,0))</f>
        <v/>
      </c>
      <c r="I34" s="364">
        <v>10</v>
      </c>
      <c r="J34" s="372" t="str">
        <f>IF($C34="","",I34*VLOOKUP($C34,ATELIER!$B$2:$F$109,4,0))</f>
        <v/>
      </c>
      <c r="K34" s="364">
        <v>11</v>
      </c>
      <c r="L34" s="372" t="str">
        <f>IF($C34="","",K34*VLOOKUP($C34,ATELIER!$B$2:$F$109,4,0))</f>
        <v/>
      </c>
      <c r="M34" s="364">
        <v>12</v>
      </c>
      <c r="N34" s="372" t="str">
        <f>IF($C34="","",M34*VLOOKUP($C34,ATELIER!$B$2:$F$109,4,0))</f>
        <v/>
      </c>
      <c r="O34" s="364">
        <v>13</v>
      </c>
      <c r="P34" s="372" t="str">
        <f>IF($C34="","",O34*VLOOKUP($C34,ATELIER!$B$2:$F$109,4,0))</f>
        <v/>
      </c>
      <c r="Q34" s="364">
        <v>14</v>
      </c>
      <c r="R34" s="372" t="str">
        <f>IF($C34="","",Q34*VLOOKUP($C34,ATELIER!$B$2:$F$109,4,0))</f>
        <v/>
      </c>
      <c r="S34" s="364">
        <v>15</v>
      </c>
      <c r="T34" s="372" t="str">
        <f>IF($C34="","",S34*VLOOKUP($C34,ATELIER!$B$2:$F$109,4,0))</f>
        <v/>
      </c>
      <c r="U34" s="364">
        <v>16</v>
      </c>
      <c r="V34" s="372" t="str">
        <f>IF($C34="","",U34*VLOOKUP($C34,ATELIER!$B$2:$F$109,4,0))</f>
        <v/>
      </c>
      <c r="W34" s="364">
        <v>17</v>
      </c>
      <c r="X34" s="372" t="str">
        <f>IF($C34="","",W34*VLOOKUP($C34,ATELIER!$B$2:$F$109,4,0))</f>
        <v/>
      </c>
      <c r="Y34" s="364">
        <v>18</v>
      </c>
      <c r="Z34" s="372" t="str">
        <f>IF($C34="","",Y34*VLOOKUP($C34,ATELIER!$B$2:$F$109,4,0))</f>
        <v/>
      </c>
      <c r="AA34" s="364">
        <v>19</v>
      </c>
      <c r="AB34" s="372" t="str">
        <f>IF($C34="","",AA34*VLOOKUP($C34,ATELIER!$B$2:$F$109,4,0))</f>
        <v/>
      </c>
      <c r="AC34" s="364">
        <v>20</v>
      </c>
      <c r="AD34" s="372" t="str">
        <f>IF($C34="","",AC34*VLOOKUP($C34,ATELIER!$B$2:$F$109,4,0))</f>
        <v/>
      </c>
      <c r="AE34" s="364">
        <v>21</v>
      </c>
      <c r="AF34" s="372" t="str">
        <f>IF($C34="","",AE34*VLOOKUP($C34,ATELIER!$B$2:$F$109,4,0))</f>
        <v/>
      </c>
      <c r="AG34" s="364">
        <v>22</v>
      </c>
      <c r="AH34" s="372" t="str">
        <f>IF($C34="","",AG34*VLOOKUP($C34,ATELIER!$B$2:$F$109,4,0))</f>
        <v/>
      </c>
      <c r="AI34" s="364">
        <v>23</v>
      </c>
      <c r="AJ34" s="372" t="str">
        <f>IF($C34="","",AI34*VLOOKUP($C34,ATELIER!$B$2:$F$109,4,0))</f>
        <v/>
      </c>
      <c r="AK34" s="364">
        <v>24</v>
      </c>
      <c r="AL34" s="372" t="str">
        <f>IF($C34="","",AK34*VLOOKUP($C34,ATELIER!$B$2:$F$109,4,0))</f>
        <v/>
      </c>
      <c r="AM34" s="364">
        <v>25</v>
      </c>
      <c r="AN34" s="372" t="str">
        <f>IF($C34="","",AM34*VLOOKUP($C34,ATELIER!$B$2:$F$109,4,0))</f>
        <v/>
      </c>
      <c r="AO34" s="222"/>
      <c r="AP34" s="223"/>
    </row>
    <row r="35" spans="1:42" ht="15" customHeight="1" x14ac:dyDescent="0.2">
      <c r="A35" s="1553"/>
      <c r="B35" s="361" t="str">
        <f>IF($C35="","",VLOOKUP($C35,ATELIER!$B$2:$F$109,2,0))</f>
        <v/>
      </c>
      <c r="C35" s="362"/>
      <c r="D35" s="363" t="str">
        <f>IF($C35="","",VLOOKUP($C35,ATELIER!$B$2:$E$109,3,0))</f>
        <v/>
      </c>
      <c r="E35" s="364">
        <v>9</v>
      </c>
      <c r="F35" s="372" t="str">
        <f>IF($C35="","",E35*VLOOKUP($C35,ATELIER!$B$2:$F$109,4,0))</f>
        <v/>
      </c>
      <c r="G35" s="364">
        <v>10</v>
      </c>
      <c r="H35" s="372" t="str">
        <f>IF($C35="","",G35*VLOOKUP($C35,ATELIER!$B$2:$F$109,4,0))</f>
        <v/>
      </c>
      <c r="I35" s="364">
        <v>11</v>
      </c>
      <c r="J35" s="372" t="str">
        <f>IF($C35="","",I35*VLOOKUP($C35,ATELIER!$B$2:$F$109,4,0))</f>
        <v/>
      </c>
      <c r="K35" s="364">
        <v>12</v>
      </c>
      <c r="L35" s="372" t="str">
        <f>IF($C35="","",K35*VLOOKUP($C35,ATELIER!$B$2:$F$109,4,0))</f>
        <v/>
      </c>
      <c r="M35" s="364">
        <v>13</v>
      </c>
      <c r="N35" s="372" t="str">
        <f>IF($C35="","",M35*VLOOKUP($C35,ATELIER!$B$2:$F$109,4,0))</f>
        <v/>
      </c>
      <c r="O35" s="364">
        <v>14</v>
      </c>
      <c r="P35" s="372" t="str">
        <f>IF($C35="","",O35*VLOOKUP($C35,ATELIER!$B$2:$F$109,4,0))</f>
        <v/>
      </c>
      <c r="Q35" s="364">
        <v>15</v>
      </c>
      <c r="R35" s="372" t="str">
        <f>IF($C35="","",Q35*VLOOKUP($C35,ATELIER!$B$2:$F$109,4,0))</f>
        <v/>
      </c>
      <c r="S35" s="364">
        <v>16</v>
      </c>
      <c r="T35" s="372" t="str">
        <f>IF($C35="","",S35*VLOOKUP($C35,ATELIER!$B$2:$F$109,4,0))</f>
        <v/>
      </c>
      <c r="U35" s="364">
        <v>17</v>
      </c>
      <c r="V35" s="372" t="str">
        <f>IF($C35="","",U35*VLOOKUP($C35,ATELIER!$B$2:$F$109,4,0))</f>
        <v/>
      </c>
      <c r="W35" s="364">
        <v>18</v>
      </c>
      <c r="X35" s="372" t="str">
        <f>IF($C35="","",W35*VLOOKUP($C35,ATELIER!$B$2:$F$109,4,0))</f>
        <v/>
      </c>
      <c r="Y35" s="364">
        <v>19</v>
      </c>
      <c r="Z35" s="372" t="str">
        <f>IF($C35="","",Y35*VLOOKUP($C35,ATELIER!$B$2:$F$109,4,0))</f>
        <v/>
      </c>
      <c r="AA35" s="364">
        <v>20</v>
      </c>
      <c r="AB35" s="372" t="str">
        <f>IF($C35="","",AA35*VLOOKUP($C35,ATELIER!$B$2:$F$109,4,0))</f>
        <v/>
      </c>
      <c r="AC35" s="364">
        <v>21</v>
      </c>
      <c r="AD35" s="372" t="str">
        <f>IF($C35="","",AC35*VLOOKUP($C35,ATELIER!$B$2:$F$109,4,0))</f>
        <v/>
      </c>
      <c r="AE35" s="364">
        <v>22</v>
      </c>
      <c r="AF35" s="372" t="str">
        <f>IF($C35="","",AE35*VLOOKUP($C35,ATELIER!$B$2:$F$109,4,0))</f>
        <v/>
      </c>
      <c r="AG35" s="364">
        <v>23</v>
      </c>
      <c r="AH35" s="372" t="str">
        <f>IF($C35="","",AG35*VLOOKUP($C35,ATELIER!$B$2:$F$109,4,0))</f>
        <v/>
      </c>
      <c r="AI35" s="364">
        <v>24</v>
      </c>
      <c r="AJ35" s="372" t="str">
        <f>IF($C35="","",AI35*VLOOKUP($C35,ATELIER!$B$2:$F$109,4,0))</f>
        <v/>
      </c>
      <c r="AK35" s="364">
        <v>25</v>
      </c>
      <c r="AL35" s="372" t="str">
        <f>IF($C35="","",AK35*VLOOKUP($C35,ATELIER!$B$2:$F$109,4,0))</f>
        <v/>
      </c>
      <c r="AM35" s="364">
        <v>26</v>
      </c>
      <c r="AN35" s="372" t="str">
        <f>IF($C35="","",AM35*VLOOKUP($C35,ATELIER!$B$2:$F$109,4,0))</f>
        <v/>
      </c>
      <c r="AO35" s="203"/>
      <c r="AP35" s="158"/>
    </row>
    <row r="36" spans="1:42" ht="15" customHeight="1" x14ac:dyDescent="0.2">
      <c r="A36" s="1553"/>
      <c r="B36" s="361" t="str">
        <f>IF($C36="","",VLOOKUP($C36,ATELIER!$B$2:$F$109,2,0))</f>
        <v/>
      </c>
      <c r="C36" s="362"/>
      <c r="D36" s="363" t="str">
        <f>IF($C36="","",VLOOKUP($C36,ATELIER!$B$2:$E$109,3,0))</f>
        <v/>
      </c>
      <c r="E36" s="364">
        <v>10</v>
      </c>
      <c r="F36" s="372" t="str">
        <f>IF($C36="","",E36*VLOOKUP($C36,ATELIER!$B$2:$F$109,4,0))</f>
        <v/>
      </c>
      <c r="G36" s="364">
        <v>11</v>
      </c>
      <c r="H36" s="372" t="str">
        <f>IF($C36="","",G36*VLOOKUP($C36,ATELIER!$B$2:$F$109,4,0))</f>
        <v/>
      </c>
      <c r="I36" s="364">
        <v>12</v>
      </c>
      <c r="J36" s="372" t="str">
        <f>IF($C36="","",I36*VLOOKUP($C36,ATELIER!$B$2:$F$109,4,0))</f>
        <v/>
      </c>
      <c r="K36" s="364">
        <v>13</v>
      </c>
      <c r="L36" s="372" t="str">
        <f>IF($C36="","",K36*VLOOKUP($C36,ATELIER!$B$2:$F$109,4,0))</f>
        <v/>
      </c>
      <c r="M36" s="364">
        <v>14</v>
      </c>
      <c r="N36" s="372" t="str">
        <f>IF($C36="","",M36*VLOOKUP($C36,ATELIER!$B$2:$F$109,4,0))</f>
        <v/>
      </c>
      <c r="O36" s="364">
        <v>15</v>
      </c>
      <c r="P36" s="372" t="str">
        <f>IF($C36="","",O36*VLOOKUP($C36,ATELIER!$B$2:$F$109,4,0))</f>
        <v/>
      </c>
      <c r="Q36" s="364">
        <v>16</v>
      </c>
      <c r="R36" s="372" t="str">
        <f>IF($C36="","",Q36*VLOOKUP($C36,ATELIER!$B$2:$F$109,4,0))</f>
        <v/>
      </c>
      <c r="S36" s="364">
        <v>17</v>
      </c>
      <c r="T36" s="372" t="str">
        <f>IF($C36="","",S36*VLOOKUP($C36,ATELIER!$B$2:$F$109,4,0))</f>
        <v/>
      </c>
      <c r="U36" s="364">
        <v>18</v>
      </c>
      <c r="V36" s="372" t="str">
        <f>IF($C36="","",U36*VLOOKUP($C36,ATELIER!$B$2:$F$109,4,0))</f>
        <v/>
      </c>
      <c r="W36" s="364">
        <v>19</v>
      </c>
      <c r="X36" s="372" t="str">
        <f>IF($C36="","",W36*VLOOKUP($C36,ATELIER!$B$2:$F$109,4,0))</f>
        <v/>
      </c>
      <c r="Y36" s="364">
        <v>20</v>
      </c>
      <c r="Z36" s="372" t="str">
        <f>IF($C36="","",Y36*VLOOKUP($C36,ATELIER!$B$2:$F$109,4,0))</f>
        <v/>
      </c>
      <c r="AA36" s="364">
        <v>21</v>
      </c>
      <c r="AB36" s="372" t="str">
        <f>IF($C36="","",AA36*VLOOKUP($C36,ATELIER!$B$2:$F$109,4,0))</f>
        <v/>
      </c>
      <c r="AC36" s="364">
        <v>22</v>
      </c>
      <c r="AD36" s="372" t="str">
        <f>IF($C36="","",AC36*VLOOKUP($C36,ATELIER!$B$2:$F$109,4,0))</f>
        <v/>
      </c>
      <c r="AE36" s="364">
        <v>23</v>
      </c>
      <c r="AF36" s="372" t="str">
        <f>IF($C36="","",AE36*VLOOKUP($C36,ATELIER!$B$2:$F$109,4,0))</f>
        <v/>
      </c>
      <c r="AG36" s="364">
        <v>24</v>
      </c>
      <c r="AH36" s="372" t="str">
        <f>IF($C36="","",AG36*VLOOKUP($C36,ATELIER!$B$2:$F$109,4,0))</f>
        <v/>
      </c>
      <c r="AI36" s="364">
        <v>25</v>
      </c>
      <c r="AJ36" s="372" t="str">
        <f>IF($C36="","",AI36*VLOOKUP($C36,ATELIER!$B$2:$F$109,4,0))</f>
        <v/>
      </c>
      <c r="AK36" s="364">
        <v>26</v>
      </c>
      <c r="AL36" s="372" t="str">
        <f>IF($C36="","",AK36*VLOOKUP($C36,ATELIER!$B$2:$F$109,4,0))</f>
        <v/>
      </c>
      <c r="AM36" s="364">
        <v>27</v>
      </c>
      <c r="AN36" s="372" t="str">
        <f>IF($C36="","",AM36*VLOOKUP($C36,ATELIER!$B$2:$F$109,4,0))</f>
        <v/>
      </c>
      <c r="AO36" s="203"/>
      <c r="AP36" s="158"/>
    </row>
    <row r="37" spans="1:42" ht="15" customHeight="1" x14ac:dyDescent="0.2">
      <c r="A37" s="1553"/>
      <c r="B37" s="361" t="str">
        <f>IF($C37="","",VLOOKUP($C37,ATELIER!$B$2:$F$109,2,0))</f>
        <v/>
      </c>
      <c r="C37" s="362"/>
      <c r="D37" s="363" t="str">
        <f>IF($C37="","",VLOOKUP($C37,ATELIER!$B$2:$E$109,3,0))</f>
        <v/>
      </c>
      <c r="E37" s="364">
        <v>11</v>
      </c>
      <c r="F37" s="372" t="str">
        <f>IF($C37="","",E37*VLOOKUP($C37,ATELIER!$B$2:$F$109,4,0))</f>
        <v/>
      </c>
      <c r="G37" s="364">
        <v>12</v>
      </c>
      <c r="H37" s="372" t="str">
        <f>IF($C37="","",G37*VLOOKUP($C37,ATELIER!$B$2:$F$109,4,0))</f>
        <v/>
      </c>
      <c r="I37" s="364">
        <v>13</v>
      </c>
      <c r="J37" s="372" t="str">
        <f>IF($C37="","",I37*VLOOKUP($C37,ATELIER!$B$2:$F$109,4,0))</f>
        <v/>
      </c>
      <c r="K37" s="364">
        <v>14</v>
      </c>
      <c r="L37" s="372" t="str">
        <f>IF($C37="","",K37*VLOOKUP($C37,ATELIER!$B$2:$F$109,4,0))</f>
        <v/>
      </c>
      <c r="M37" s="364">
        <v>15</v>
      </c>
      <c r="N37" s="372" t="str">
        <f>IF($C37="","",M37*VLOOKUP($C37,ATELIER!$B$2:$F$109,4,0))</f>
        <v/>
      </c>
      <c r="O37" s="364">
        <v>16</v>
      </c>
      <c r="P37" s="372" t="str">
        <f>IF($C37="","",O37*VLOOKUP($C37,ATELIER!$B$2:$F$109,4,0))</f>
        <v/>
      </c>
      <c r="Q37" s="364">
        <v>17</v>
      </c>
      <c r="R37" s="372" t="str">
        <f>IF($C37="","",Q37*VLOOKUP($C37,ATELIER!$B$2:$F$109,4,0))</f>
        <v/>
      </c>
      <c r="S37" s="364">
        <v>18</v>
      </c>
      <c r="T37" s="372" t="str">
        <f>IF($C37="","",S37*VLOOKUP($C37,ATELIER!$B$2:$F$109,4,0))</f>
        <v/>
      </c>
      <c r="U37" s="364">
        <v>19</v>
      </c>
      <c r="V37" s="372" t="str">
        <f>IF($C37="","",U37*VLOOKUP($C37,ATELIER!$B$2:$F$109,4,0))</f>
        <v/>
      </c>
      <c r="W37" s="364">
        <v>20</v>
      </c>
      <c r="X37" s="372" t="str">
        <f>IF($C37="","",W37*VLOOKUP($C37,ATELIER!$B$2:$F$109,4,0))</f>
        <v/>
      </c>
      <c r="Y37" s="364">
        <v>21</v>
      </c>
      <c r="Z37" s="372" t="str">
        <f>IF($C37="","",Y37*VLOOKUP($C37,ATELIER!$B$2:$F$109,4,0))</f>
        <v/>
      </c>
      <c r="AA37" s="364">
        <v>22</v>
      </c>
      <c r="AB37" s="372" t="str">
        <f>IF($C37="","",AA37*VLOOKUP($C37,ATELIER!$B$2:$F$109,4,0))</f>
        <v/>
      </c>
      <c r="AC37" s="364">
        <v>23</v>
      </c>
      <c r="AD37" s="372" t="str">
        <f>IF($C37="","",AC37*VLOOKUP($C37,ATELIER!$B$2:$F$109,4,0))</f>
        <v/>
      </c>
      <c r="AE37" s="364">
        <v>24</v>
      </c>
      <c r="AF37" s="372" t="str">
        <f>IF($C37="","",AE37*VLOOKUP($C37,ATELIER!$B$2:$F$109,4,0))</f>
        <v/>
      </c>
      <c r="AG37" s="364">
        <v>25</v>
      </c>
      <c r="AH37" s="372" t="str">
        <f>IF($C37="","",AG37*VLOOKUP($C37,ATELIER!$B$2:$F$109,4,0))</f>
        <v/>
      </c>
      <c r="AI37" s="364">
        <v>26</v>
      </c>
      <c r="AJ37" s="372" t="str">
        <f>IF($C37="","",AI37*VLOOKUP($C37,ATELIER!$B$2:$F$109,4,0))</f>
        <v/>
      </c>
      <c r="AK37" s="364">
        <v>27</v>
      </c>
      <c r="AL37" s="372" t="str">
        <f>IF($C37="","",AK37*VLOOKUP($C37,ATELIER!$B$2:$F$109,4,0))</f>
        <v/>
      </c>
      <c r="AM37" s="364">
        <v>28</v>
      </c>
      <c r="AN37" s="372" t="str">
        <f>IF($C37="","",AM37*VLOOKUP($C37,ATELIER!$B$2:$F$109,4,0))</f>
        <v/>
      </c>
      <c r="AO37" s="155"/>
      <c r="AP37" s="155"/>
    </row>
    <row r="38" spans="1:42" ht="35.25" customHeight="1" x14ac:dyDescent="0.2">
      <c r="A38" s="1553"/>
      <c r="B38" s="375" t="s">
        <v>449</v>
      </c>
      <c r="C38" s="376" t="s">
        <v>450</v>
      </c>
      <c r="D38" s="377" t="s">
        <v>451</v>
      </c>
      <c r="E38" s="376" t="e">
        <f>F38*Simulation!$P$8</f>
        <v>#N/A</v>
      </c>
      <c r="F38" s="377" t="e">
        <f>SUM(F27:F37)</f>
        <v>#N/A</v>
      </c>
      <c r="G38" s="376" t="e">
        <f>H38*Simulation!$P$8</f>
        <v>#N/A</v>
      </c>
      <c r="H38" s="377" t="e">
        <f>SUM(H27:H37)</f>
        <v>#N/A</v>
      </c>
      <c r="I38" s="376" t="e">
        <f>J38*Simulation!$P$8</f>
        <v>#N/A</v>
      </c>
      <c r="J38" s="377" t="e">
        <f>SUM(J27:J37)</f>
        <v>#N/A</v>
      </c>
      <c r="K38" s="376" t="e">
        <f>L38*Simulation!$P$8</f>
        <v>#N/A</v>
      </c>
      <c r="L38" s="377" t="e">
        <f>SUM(L27:L37)</f>
        <v>#N/A</v>
      </c>
      <c r="M38" s="376" t="e">
        <f>N38*Simulation!$P$8</f>
        <v>#N/A</v>
      </c>
      <c r="N38" s="377" t="e">
        <f>SUM(N27:N37)</f>
        <v>#N/A</v>
      </c>
      <c r="O38" s="376" t="e">
        <f>P38*Simulation!$P$8</f>
        <v>#N/A</v>
      </c>
      <c r="P38" s="377" t="e">
        <f>SUM(P27:P37)</f>
        <v>#N/A</v>
      </c>
      <c r="Q38" s="376" t="e">
        <f>R38*Simulation!$P$8</f>
        <v>#N/A</v>
      </c>
      <c r="R38" s="377" t="e">
        <f>SUM(R27:R37)</f>
        <v>#N/A</v>
      </c>
      <c r="S38" s="376" t="e">
        <f>T38*Simulation!$P$8</f>
        <v>#N/A</v>
      </c>
      <c r="T38" s="377" t="e">
        <f>SUM(T27:T37)</f>
        <v>#N/A</v>
      </c>
      <c r="U38" s="376" t="e">
        <f>V38*Simulation!$P$8</f>
        <v>#N/A</v>
      </c>
      <c r="V38" s="377" t="e">
        <f>SUM(V27:V37)</f>
        <v>#N/A</v>
      </c>
      <c r="W38" s="376" t="e">
        <f>X38*Simulation!$P$8</f>
        <v>#N/A</v>
      </c>
      <c r="X38" s="377" t="e">
        <f>SUM(X27:X37)</f>
        <v>#N/A</v>
      </c>
      <c r="Y38" s="376" t="e">
        <f>Z38*Simulation!$P$8</f>
        <v>#N/A</v>
      </c>
      <c r="Z38" s="377" t="e">
        <f>SUM(Z27:Z37)</f>
        <v>#N/A</v>
      </c>
      <c r="AA38" s="376" t="e">
        <f>AB38*Simulation!$P$8</f>
        <v>#N/A</v>
      </c>
      <c r="AB38" s="377" t="e">
        <f>SUM(AB27:AB37)</f>
        <v>#N/A</v>
      </c>
      <c r="AC38" s="376" t="e">
        <f>AD38*Simulation!$P$8</f>
        <v>#N/A</v>
      </c>
      <c r="AD38" s="377" t="e">
        <f>SUM(AD27:AD37)</f>
        <v>#N/A</v>
      </c>
      <c r="AE38" s="376" t="e">
        <f>AF38*Simulation!$P$8</f>
        <v>#N/A</v>
      </c>
      <c r="AF38" s="377" t="e">
        <f>SUM(AF27:AF37)</f>
        <v>#N/A</v>
      </c>
      <c r="AG38" s="376" t="e">
        <f>AH38*Simulation!$P$8</f>
        <v>#N/A</v>
      </c>
      <c r="AH38" s="377" t="e">
        <f>SUM(AH27:AH37)</f>
        <v>#N/A</v>
      </c>
      <c r="AI38" s="376" t="e">
        <f>AJ38*Simulation!$P$8</f>
        <v>#N/A</v>
      </c>
      <c r="AJ38" s="377" t="e">
        <f>SUM(AJ27:AJ37)</f>
        <v>#N/A</v>
      </c>
      <c r="AK38" s="376" t="e">
        <f>AL38*Simulation!$P$8</f>
        <v>#N/A</v>
      </c>
      <c r="AL38" s="377" t="e">
        <f>SUM(AL27:AL37)</f>
        <v>#N/A</v>
      </c>
      <c r="AM38" s="376" t="e">
        <f>AN38*Simulation!$P$8</f>
        <v>#N/A</v>
      </c>
      <c r="AN38" s="377" t="e">
        <f>SUM(AN27:AN37)</f>
        <v>#N/A</v>
      </c>
      <c r="AO38" s="224"/>
      <c r="AP38" s="224"/>
    </row>
    <row r="39" spans="1:42" ht="15" customHeight="1" x14ac:dyDescent="0.2">
      <c r="A39" s="1554" t="s">
        <v>452</v>
      </c>
      <c r="B39" s="361" t="s">
        <v>1082</v>
      </c>
      <c r="C39" s="378" t="s">
        <v>378</v>
      </c>
      <c r="D39" s="363" t="str">
        <f>IF(C39="","",VLOOKUP($C39,CHANTIER!$A$2:$C$83,3,0))</f>
        <v>forfait</v>
      </c>
      <c r="E39" s="364">
        <v>1</v>
      </c>
      <c r="F39" s="372">
        <f>IF($C39="","",E39*VLOOKUP($C39,CHANTIER!$A$2:$D$83,4,0))</f>
        <v>0.25</v>
      </c>
      <c r="G39" s="364">
        <v>2</v>
      </c>
      <c r="H39" s="372">
        <f>IF($C39="","",G39*VLOOKUP($C39,CHANTIER!$A$2:$D$83,4,0))</f>
        <v>0.5</v>
      </c>
      <c r="I39" s="364">
        <v>3</v>
      </c>
      <c r="J39" s="372">
        <f>IF($C39="","",I39*VLOOKUP($C39,CHANTIER!$A$2:$D$83,4,0))</f>
        <v>0.75</v>
      </c>
      <c r="K39" s="364">
        <v>4</v>
      </c>
      <c r="L39" s="372">
        <f>IF($C39="","",K39*VLOOKUP($C39,CHANTIER!$A$2:$D$83,4,0))</f>
        <v>1</v>
      </c>
      <c r="M39" s="364">
        <v>5</v>
      </c>
      <c r="N39" s="372">
        <f>IF($C39="","",M39*VLOOKUP($C39,CHANTIER!$A$2:$D$83,4,0))</f>
        <v>1.25</v>
      </c>
      <c r="O39" s="364">
        <v>6</v>
      </c>
      <c r="P39" s="372">
        <f>IF($C39="","",O39*VLOOKUP($C39,CHANTIER!$A$2:$D$83,4,0))</f>
        <v>1.5</v>
      </c>
      <c r="Q39" s="364">
        <v>7</v>
      </c>
      <c r="R39" s="372">
        <f>IF($C39="","",Q39*VLOOKUP($C39,CHANTIER!$A$2:$D$83,4,0))</f>
        <v>1.75</v>
      </c>
      <c r="S39" s="364">
        <v>8</v>
      </c>
      <c r="T39" s="372">
        <f>IF($C39="","",S39*VLOOKUP($C39,CHANTIER!$A$2:$D$83,4,0))</f>
        <v>2</v>
      </c>
      <c r="U39" s="364">
        <v>9</v>
      </c>
      <c r="V39" s="372">
        <f>IF($C39="","",U39*VLOOKUP($C39,CHANTIER!$A$2:$D$83,4,0))</f>
        <v>2.25</v>
      </c>
      <c r="W39" s="364">
        <v>10</v>
      </c>
      <c r="X39" s="372">
        <f>IF($C39="","",W39*VLOOKUP($C39,CHANTIER!$A$2:$D$83,4,0))</f>
        <v>2.5</v>
      </c>
      <c r="Y39" s="364">
        <v>11</v>
      </c>
      <c r="Z39" s="372">
        <f>IF($C39="","",Y39*VLOOKUP($C39,CHANTIER!$A$2:$D$83,4,0))</f>
        <v>2.75</v>
      </c>
      <c r="AA39" s="364">
        <v>12</v>
      </c>
      <c r="AB39" s="372">
        <f>IF($C39="","",AA39*VLOOKUP($C39,CHANTIER!$A$2:$D$83,4,0))</f>
        <v>3</v>
      </c>
      <c r="AC39" s="364">
        <v>13</v>
      </c>
      <c r="AD39" s="372">
        <f>IF($C39="","",AC39*VLOOKUP($C39,CHANTIER!$A$2:$D$83,4,0))</f>
        <v>3.25</v>
      </c>
      <c r="AE39" s="364">
        <v>14</v>
      </c>
      <c r="AF39" s="372">
        <f>IF($C39="","",AE39*VLOOKUP($C39,CHANTIER!$A$2:$D$83,4,0))</f>
        <v>3.5</v>
      </c>
      <c r="AG39" s="364">
        <v>15</v>
      </c>
      <c r="AH39" s="372">
        <f>IF($C39="","",AG39*VLOOKUP($C39,CHANTIER!$A$2:$D$83,4,0))</f>
        <v>3.75</v>
      </c>
      <c r="AI39" s="364">
        <v>16</v>
      </c>
      <c r="AJ39" s="372">
        <f>IF($C39="","",AI39*VLOOKUP($C39,CHANTIER!$A$2:$D$83,4,0))</f>
        <v>4</v>
      </c>
      <c r="AK39" s="364">
        <v>17</v>
      </c>
      <c r="AL39" s="372">
        <f>IF($C39="","",AK39*VLOOKUP($C39,CHANTIER!$A$2:$D$83,4,0))</f>
        <v>4.25</v>
      </c>
      <c r="AM39" s="364">
        <v>18</v>
      </c>
      <c r="AN39" s="372">
        <f>IF($C39="","",AM39*VLOOKUP($C39,CHANTIER!$A$2:$D$83,4,0))</f>
        <v>4.5</v>
      </c>
      <c r="AO39" s="224"/>
      <c r="AP39" s="224"/>
    </row>
    <row r="40" spans="1:42" ht="15" customHeight="1" x14ac:dyDescent="0.2">
      <c r="A40" s="1554"/>
      <c r="B40" s="361"/>
      <c r="C40" s="378"/>
      <c r="D40" s="363" t="str">
        <f>IF(C40="","",VLOOKUP($C40,CHANTIER!$A$2:$C$83,3,0))</f>
        <v/>
      </c>
      <c r="E40" s="364">
        <v>2</v>
      </c>
      <c r="F40" s="372" t="str">
        <f>IF($C40="","",E40*VLOOKUP($C40,CHANTIER!$A$2:$D$83,4,0))</f>
        <v/>
      </c>
      <c r="G40" s="364">
        <v>3</v>
      </c>
      <c r="H40" s="372" t="str">
        <f>IF($C40="","",G40*VLOOKUP($C40,CHANTIER!$A$2:$D$83,4,0))</f>
        <v/>
      </c>
      <c r="I40" s="364">
        <v>4</v>
      </c>
      <c r="J40" s="372" t="str">
        <f>IF($C40="","",I40*VLOOKUP($C40,CHANTIER!$A$2:$D$83,4,0))</f>
        <v/>
      </c>
      <c r="K40" s="364">
        <v>5</v>
      </c>
      <c r="L40" s="372" t="str">
        <f>IF($C40="","",K40*VLOOKUP($C40,CHANTIER!$A$2:$D$83,4,0))</f>
        <v/>
      </c>
      <c r="M40" s="364">
        <v>6</v>
      </c>
      <c r="N40" s="372" t="str">
        <f>IF($C40="","",M40*VLOOKUP($C40,CHANTIER!$A$2:$D$83,4,0))</f>
        <v/>
      </c>
      <c r="O40" s="364">
        <v>7</v>
      </c>
      <c r="P40" s="372" t="str">
        <f>IF($C40="","",O40*VLOOKUP($C40,CHANTIER!$A$2:$D$83,4,0))</f>
        <v/>
      </c>
      <c r="Q40" s="364">
        <v>8</v>
      </c>
      <c r="R40" s="372" t="str">
        <f>IF($C40="","",Q40*VLOOKUP($C40,CHANTIER!$A$2:$D$83,4,0))</f>
        <v/>
      </c>
      <c r="S40" s="364">
        <v>9</v>
      </c>
      <c r="T40" s="372" t="str">
        <f>IF($C40="","",S40*VLOOKUP($C40,CHANTIER!$A$2:$D$83,4,0))</f>
        <v/>
      </c>
      <c r="U40" s="364">
        <v>10</v>
      </c>
      <c r="V40" s="372" t="str">
        <f>IF($C40="","",U40*VLOOKUP($C40,CHANTIER!$A$2:$D$83,4,0))</f>
        <v/>
      </c>
      <c r="W40" s="364">
        <v>11</v>
      </c>
      <c r="X40" s="372" t="str">
        <f>IF($C40="","",W40*VLOOKUP($C40,CHANTIER!$A$2:$D$83,4,0))</f>
        <v/>
      </c>
      <c r="Y40" s="364">
        <v>12</v>
      </c>
      <c r="Z40" s="372" t="str">
        <f>IF($C40="","",Y40*VLOOKUP($C40,CHANTIER!$A$2:$D$83,4,0))</f>
        <v/>
      </c>
      <c r="AA40" s="364">
        <v>13</v>
      </c>
      <c r="AB40" s="372" t="str">
        <f>IF($C40="","",AA40*VLOOKUP($C40,CHANTIER!$A$2:$D$83,4,0))</f>
        <v/>
      </c>
      <c r="AC40" s="364">
        <v>14</v>
      </c>
      <c r="AD40" s="372" t="str">
        <f>IF($C40="","",AC40*VLOOKUP($C40,CHANTIER!$A$2:$D$83,4,0))</f>
        <v/>
      </c>
      <c r="AE40" s="364">
        <v>15</v>
      </c>
      <c r="AF40" s="372" t="str">
        <f>IF($C40="","",AE40*VLOOKUP($C40,CHANTIER!$A$2:$D$83,4,0))</f>
        <v/>
      </c>
      <c r="AG40" s="364">
        <v>16</v>
      </c>
      <c r="AH40" s="372" t="str">
        <f>IF($C40="","",AG40*VLOOKUP($C40,CHANTIER!$A$2:$D$83,4,0))</f>
        <v/>
      </c>
      <c r="AI40" s="364">
        <v>17</v>
      </c>
      <c r="AJ40" s="372" t="str">
        <f>IF($C40="","",AI40*VLOOKUP($C40,CHANTIER!$A$2:$D$83,4,0))</f>
        <v/>
      </c>
      <c r="AK40" s="364">
        <v>18</v>
      </c>
      <c r="AL40" s="372" t="str">
        <f>IF($C40="","",AK40*VLOOKUP($C40,CHANTIER!$A$2:$D$83,4,0))</f>
        <v/>
      </c>
      <c r="AM40" s="364">
        <v>19</v>
      </c>
      <c r="AN40" s="372" t="str">
        <f>IF($C40="","",AM40*VLOOKUP($C40,CHANTIER!$A$2:$D$83,4,0))</f>
        <v/>
      </c>
      <c r="AO40" s="224"/>
      <c r="AP40" s="224"/>
    </row>
    <row r="41" spans="1:42" ht="15" customHeight="1" x14ac:dyDescent="0.2">
      <c r="A41" s="1555"/>
      <c r="B41" s="361"/>
      <c r="C41" s="378"/>
      <c r="D41" s="363" t="str">
        <f>IF(C41="","",VLOOKUP($C41,CHANTIER!$A$2:$C$83,3,0))</f>
        <v/>
      </c>
      <c r="E41" s="364">
        <v>3</v>
      </c>
      <c r="F41" s="372" t="str">
        <f>IF($C41="","",E41*VLOOKUP($C41,CHANTIER!$A$2:$D$83,4,0))</f>
        <v/>
      </c>
      <c r="G41" s="364">
        <v>4</v>
      </c>
      <c r="H41" s="372" t="str">
        <f>IF($C41="","",G41*VLOOKUP($C41,CHANTIER!$A$2:$D$83,4,0))</f>
        <v/>
      </c>
      <c r="I41" s="364">
        <v>5</v>
      </c>
      <c r="J41" s="372" t="str">
        <f>IF($C41="","",I41*VLOOKUP($C41,CHANTIER!$A$2:$D$83,4,0))</f>
        <v/>
      </c>
      <c r="K41" s="364">
        <v>6</v>
      </c>
      <c r="L41" s="372" t="str">
        <f>IF($C41="","",K41*VLOOKUP($C41,CHANTIER!$A$2:$D$83,4,0))</f>
        <v/>
      </c>
      <c r="M41" s="364">
        <v>7</v>
      </c>
      <c r="N41" s="372" t="str">
        <f>IF($C41="","",M41*VLOOKUP($C41,CHANTIER!$A$2:$D$83,4,0))</f>
        <v/>
      </c>
      <c r="O41" s="364">
        <v>8</v>
      </c>
      <c r="P41" s="372" t="str">
        <f>IF($C41="","",O41*VLOOKUP($C41,CHANTIER!$A$2:$D$83,4,0))</f>
        <v/>
      </c>
      <c r="Q41" s="364">
        <v>9</v>
      </c>
      <c r="R41" s="372" t="str">
        <f>IF($C41="","",Q41*VLOOKUP($C41,CHANTIER!$A$2:$D$83,4,0))</f>
        <v/>
      </c>
      <c r="S41" s="364">
        <v>10</v>
      </c>
      <c r="T41" s="372" t="str">
        <f>IF($C41="","",S41*VLOOKUP($C41,CHANTIER!$A$2:$D$83,4,0))</f>
        <v/>
      </c>
      <c r="U41" s="364">
        <v>11</v>
      </c>
      <c r="V41" s="372" t="str">
        <f>IF($C41="","",U41*VLOOKUP($C41,CHANTIER!$A$2:$D$83,4,0))</f>
        <v/>
      </c>
      <c r="W41" s="364">
        <v>12</v>
      </c>
      <c r="X41" s="372" t="str">
        <f>IF($C41="","",W41*VLOOKUP($C41,CHANTIER!$A$2:$D$83,4,0))</f>
        <v/>
      </c>
      <c r="Y41" s="364">
        <v>13</v>
      </c>
      <c r="Z41" s="372" t="str">
        <f>IF($C41="","",Y41*VLOOKUP($C41,CHANTIER!$A$2:$D$83,4,0))</f>
        <v/>
      </c>
      <c r="AA41" s="364">
        <v>14</v>
      </c>
      <c r="AB41" s="372" t="str">
        <f>IF($C41="","",AA41*VLOOKUP($C41,CHANTIER!$A$2:$D$83,4,0))</f>
        <v/>
      </c>
      <c r="AC41" s="364">
        <v>15</v>
      </c>
      <c r="AD41" s="372" t="str">
        <f>IF($C41="","",AC41*VLOOKUP($C41,CHANTIER!$A$2:$D$83,4,0))</f>
        <v/>
      </c>
      <c r="AE41" s="364">
        <v>16</v>
      </c>
      <c r="AF41" s="372" t="str">
        <f>IF($C41="","",AE41*VLOOKUP($C41,CHANTIER!$A$2:$D$83,4,0))</f>
        <v/>
      </c>
      <c r="AG41" s="364">
        <v>17</v>
      </c>
      <c r="AH41" s="372" t="str">
        <f>IF($C41="","",AG41*VLOOKUP($C41,CHANTIER!$A$2:$D$83,4,0))</f>
        <v/>
      </c>
      <c r="AI41" s="364">
        <v>18</v>
      </c>
      <c r="AJ41" s="372" t="str">
        <f>IF($C41="","",AI41*VLOOKUP($C41,CHANTIER!$A$2:$D$83,4,0))</f>
        <v/>
      </c>
      <c r="AK41" s="364">
        <v>19</v>
      </c>
      <c r="AL41" s="372" t="str">
        <f>IF($C41="","",AK41*VLOOKUP($C41,CHANTIER!$A$2:$D$83,4,0))</f>
        <v/>
      </c>
      <c r="AM41" s="364">
        <v>20</v>
      </c>
      <c r="AN41" s="372" t="str">
        <f>IF($C41="","",AM41*VLOOKUP($C41,CHANTIER!$A$2:$D$83,4,0))</f>
        <v/>
      </c>
      <c r="AO41" s="224"/>
      <c r="AP41" s="224"/>
    </row>
    <row r="42" spans="1:42" ht="15" customHeight="1" x14ac:dyDescent="0.2">
      <c r="A42" s="1554"/>
      <c r="B42" s="361"/>
      <c r="C42" s="378"/>
      <c r="D42" s="363" t="str">
        <f>IF(C42="","",VLOOKUP($C42,CHANTIER!$A$2:$C$83,3,0))</f>
        <v/>
      </c>
      <c r="E42" s="364">
        <v>4</v>
      </c>
      <c r="F42" s="372" t="str">
        <f>IF($C42="","",E42*VLOOKUP($C42,CHANTIER!$A$2:$D$83,4,0))</f>
        <v/>
      </c>
      <c r="G42" s="364">
        <v>5</v>
      </c>
      <c r="H42" s="372" t="str">
        <f>IF($C42="","",G42*VLOOKUP($C42,CHANTIER!$A$2:$D$83,4,0))</f>
        <v/>
      </c>
      <c r="I42" s="364">
        <v>6</v>
      </c>
      <c r="J42" s="372" t="str">
        <f>IF($C42="","",I42*VLOOKUP($C42,CHANTIER!$A$2:$D$83,4,0))</f>
        <v/>
      </c>
      <c r="K42" s="364">
        <v>7</v>
      </c>
      <c r="L42" s="372" t="str">
        <f>IF($C42="","",K42*VLOOKUP($C42,CHANTIER!$A$2:$D$83,4,0))</f>
        <v/>
      </c>
      <c r="M42" s="364">
        <v>8</v>
      </c>
      <c r="N42" s="372" t="str">
        <f>IF($C42="","",M42*VLOOKUP($C42,CHANTIER!$A$2:$D$83,4,0))</f>
        <v/>
      </c>
      <c r="O42" s="364">
        <v>9</v>
      </c>
      <c r="P42" s="372" t="str">
        <f>IF($C42="","",O42*VLOOKUP($C42,CHANTIER!$A$2:$D$83,4,0))</f>
        <v/>
      </c>
      <c r="Q42" s="364">
        <v>10</v>
      </c>
      <c r="R42" s="372" t="str">
        <f>IF($C42="","",Q42*VLOOKUP($C42,CHANTIER!$A$2:$D$83,4,0))</f>
        <v/>
      </c>
      <c r="S42" s="364">
        <v>11</v>
      </c>
      <c r="T42" s="372" t="str">
        <f>IF($C42="","",S42*VLOOKUP($C42,CHANTIER!$A$2:$D$83,4,0))</f>
        <v/>
      </c>
      <c r="U42" s="364">
        <v>12</v>
      </c>
      <c r="V42" s="372" t="str">
        <f>IF($C42="","",U42*VLOOKUP($C42,CHANTIER!$A$2:$D$83,4,0))</f>
        <v/>
      </c>
      <c r="W42" s="364">
        <v>13</v>
      </c>
      <c r="X42" s="372" t="str">
        <f>IF($C42="","",W42*VLOOKUP($C42,CHANTIER!$A$2:$D$83,4,0))</f>
        <v/>
      </c>
      <c r="Y42" s="364">
        <v>14</v>
      </c>
      <c r="Z42" s="372" t="str">
        <f>IF($C42="","",Y42*VLOOKUP($C42,CHANTIER!$A$2:$D$83,4,0))</f>
        <v/>
      </c>
      <c r="AA42" s="364">
        <v>15</v>
      </c>
      <c r="AB42" s="372" t="str">
        <f>IF($C42="","",AA42*VLOOKUP($C42,CHANTIER!$A$2:$D$83,4,0))</f>
        <v/>
      </c>
      <c r="AC42" s="364">
        <v>16</v>
      </c>
      <c r="AD42" s="372" t="str">
        <f>IF($C42="","",AC42*VLOOKUP($C42,CHANTIER!$A$2:$D$83,4,0))</f>
        <v/>
      </c>
      <c r="AE42" s="364">
        <v>17</v>
      </c>
      <c r="AF42" s="372" t="str">
        <f>IF($C42="","",AE42*VLOOKUP($C42,CHANTIER!$A$2:$D$83,4,0))</f>
        <v/>
      </c>
      <c r="AG42" s="364">
        <v>18</v>
      </c>
      <c r="AH42" s="372" t="str">
        <f>IF($C42="","",AG42*VLOOKUP($C42,CHANTIER!$A$2:$D$83,4,0))</f>
        <v/>
      </c>
      <c r="AI42" s="364">
        <v>19</v>
      </c>
      <c r="AJ42" s="372" t="str">
        <f>IF($C42="","",AI42*VLOOKUP($C42,CHANTIER!$A$2:$D$83,4,0))</f>
        <v/>
      </c>
      <c r="AK42" s="364">
        <v>20</v>
      </c>
      <c r="AL42" s="372" t="str">
        <f>IF($C42="","",AK42*VLOOKUP($C42,CHANTIER!$A$2:$D$83,4,0))</f>
        <v/>
      </c>
      <c r="AM42" s="364">
        <v>21</v>
      </c>
      <c r="AN42" s="372" t="str">
        <f>IF($C42="","",AM42*VLOOKUP($C42,CHANTIER!$A$2:$D$83,4,0))</f>
        <v/>
      </c>
      <c r="AO42" s="224"/>
      <c r="AP42" s="224"/>
    </row>
    <row r="43" spans="1:42" ht="15" customHeight="1" x14ac:dyDescent="0.2">
      <c r="A43" s="1554"/>
      <c r="B43" s="361"/>
      <c r="C43" s="378"/>
      <c r="D43" s="363" t="str">
        <f>IF(C43="","",VLOOKUP($C43,CHANTIER!$A$2:$C$83,3,0))</f>
        <v/>
      </c>
      <c r="E43" s="364">
        <v>5</v>
      </c>
      <c r="F43" s="372" t="str">
        <f>IF($C43="","",E43*VLOOKUP($C43,CHANTIER!$A$2:$D$83,4,0))</f>
        <v/>
      </c>
      <c r="G43" s="364">
        <v>6</v>
      </c>
      <c r="H43" s="372" t="str">
        <f>IF($C43="","",G43*VLOOKUP($C43,CHANTIER!$A$2:$D$83,4,0))</f>
        <v/>
      </c>
      <c r="I43" s="364">
        <v>7</v>
      </c>
      <c r="J43" s="372" t="str">
        <f>IF($C43="","",I43*VLOOKUP($C43,CHANTIER!$A$2:$D$83,4,0))</f>
        <v/>
      </c>
      <c r="K43" s="364">
        <v>8</v>
      </c>
      <c r="L43" s="372" t="str">
        <f>IF($C43="","",K43*VLOOKUP($C43,CHANTIER!$A$2:$D$83,4,0))</f>
        <v/>
      </c>
      <c r="M43" s="364">
        <v>9</v>
      </c>
      <c r="N43" s="372" t="str">
        <f>IF($C43="","",M43*VLOOKUP($C43,CHANTIER!$A$2:$D$83,4,0))</f>
        <v/>
      </c>
      <c r="O43" s="364">
        <v>10</v>
      </c>
      <c r="P43" s="372" t="str">
        <f>IF($C43="","",O43*VLOOKUP($C43,CHANTIER!$A$2:$D$83,4,0))</f>
        <v/>
      </c>
      <c r="Q43" s="364">
        <v>11</v>
      </c>
      <c r="R43" s="372" t="str">
        <f>IF($C43="","",Q43*VLOOKUP($C43,CHANTIER!$A$2:$D$83,4,0))</f>
        <v/>
      </c>
      <c r="S43" s="364">
        <v>12</v>
      </c>
      <c r="T43" s="372" t="str">
        <f>IF($C43="","",S43*VLOOKUP($C43,CHANTIER!$A$2:$D$83,4,0))</f>
        <v/>
      </c>
      <c r="U43" s="364">
        <v>13</v>
      </c>
      <c r="V43" s="372" t="str">
        <f>IF($C43="","",U43*VLOOKUP($C43,CHANTIER!$A$2:$D$83,4,0))</f>
        <v/>
      </c>
      <c r="W43" s="364">
        <v>14</v>
      </c>
      <c r="X43" s="372" t="str">
        <f>IF($C43="","",W43*VLOOKUP($C43,CHANTIER!$A$2:$D$83,4,0))</f>
        <v/>
      </c>
      <c r="Y43" s="364">
        <v>15</v>
      </c>
      <c r="Z43" s="372" t="str">
        <f>IF($C43="","",Y43*VLOOKUP($C43,CHANTIER!$A$2:$D$83,4,0))</f>
        <v/>
      </c>
      <c r="AA43" s="364">
        <v>16</v>
      </c>
      <c r="AB43" s="372" t="str">
        <f>IF($C43="","",AA43*VLOOKUP($C43,CHANTIER!$A$2:$D$83,4,0))</f>
        <v/>
      </c>
      <c r="AC43" s="364">
        <v>17</v>
      </c>
      <c r="AD43" s="372" t="str">
        <f>IF($C43="","",AC43*VLOOKUP($C43,CHANTIER!$A$2:$D$83,4,0))</f>
        <v/>
      </c>
      <c r="AE43" s="364">
        <v>18</v>
      </c>
      <c r="AF43" s="372" t="str">
        <f>IF($C43="","",AE43*VLOOKUP($C43,CHANTIER!$A$2:$D$83,4,0))</f>
        <v/>
      </c>
      <c r="AG43" s="364">
        <v>19</v>
      </c>
      <c r="AH43" s="372" t="str">
        <f>IF($C43="","",AG43*VLOOKUP($C43,CHANTIER!$A$2:$D$83,4,0))</f>
        <v/>
      </c>
      <c r="AI43" s="364">
        <v>20</v>
      </c>
      <c r="AJ43" s="372" t="str">
        <f>IF($C43="","",AI43*VLOOKUP($C43,CHANTIER!$A$2:$D$83,4,0))</f>
        <v/>
      </c>
      <c r="AK43" s="364">
        <v>21</v>
      </c>
      <c r="AL43" s="372" t="str">
        <f>IF($C43="","",AK43*VLOOKUP($C43,CHANTIER!$A$2:$D$83,4,0))</f>
        <v/>
      </c>
      <c r="AM43" s="364">
        <v>22</v>
      </c>
      <c r="AN43" s="372" t="str">
        <f>IF($C43="","",AM43*VLOOKUP($C43,CHANTIER!$A$2:$D$83,4,0))</f>
        <v/>
      </c>
      <c r="AO43" s="224"/>
      <c r="AP43" s="224"/>
    </row>
    <row r="44" spans="1:42" ht="15" customHeight="1" x14ac:dyDescent="0.2">
      <c r="A44" s="1554"/>
      <c r="B44" s="361"/>
      <c r="C44" s="378"/>
      <c r="D44" s="363" t="str">
        <f>IF(C44="","",VLOOKUP($C44,CHANTIER!$A$2:$C$83,3,0))</f>
        <v/>
      </c>
      <c r="E44" s="364">
        <v>6</v>
      </c>
      <c r="F44" s="372" t="str">
        <f>IF($C44="","",E44*VLOOKUP($C44,CHANTIER!$A$2:$D$83,4,0))</f>
        <v/>
      </c>
      <c r="G44" s="364">
        <v>7</v>
      </c>
      <c r="H44" s="372" t="str">
        <f>IF($C44="","",G44*VLOOKUP($C44,CHANTIER!$A$2:$D$83,4,0))</f>
        <v/>
      </c>
      <c r="I44" s="364">
        <v>8</v>
      </c>
      <c r="J44" s="372" t="str">
        <f>IF($C44="","",I44*VLOOKUP($C44,CHANTIER!$A$2:$D$83,4,0))</f>
        <v/>
      </c>
      <c r="K44" s="364">
        <v>9</v>
      </c>
      <c r="L44" s="372" t="str">
        <f>IF($C44="","",K44*VLOOKUP($C44,CHANTIER!$A$2:$D$83,4,0))</f>
        <v/>
      </c>
      <c r="M44" s="364">
        <v>10</v>
      </c>
      <c r="N44" s="372" t="str">
        <f>IF($C44="","",M44*VLOOKUP($C44,CHANTIER!$A$2:$D$83,4,0))</f>
        <v/>
      </c>
      <c r="O44" s="364">
        <v>11</v>
      </c>
      <c r="P44" s="372" t="str">
        <f>IF($C44="","",O44*VLOOKUP($C44,CHANTIER!$A$2:$D$83,4,0))</f>
        <v/>
      </c>
      <c r="Q44" s="364">
        <v>12</v>
      </c>
      <c r="R44" s="372" t="str">
        <f>IF($C44="","",Q44*VLOOKUP($C44,CHANTIER!$A$2:$D$83,4,0))</f>
        <v/>
      </c>
      <c r="S44" s="364">
        <v>13</v>
      </c>
      <c r="T44" s="372" t="str">
        <f>IF($C44="","",S44*VLOOKUP($C44,CHANTIER!$A$2:$D$83,4,0))</f>
        <v/>
      </c>
      <c r="U44" s="364">
        <v>14</v>
      </c>
      <c r="V44" s="372" t="str">
        <f>IF($C44="","",U44*VLOOKUP($C44,CHANTIER!$A$2:$D$83,4,0))</f>
        <v/>
      </c>
      <c r="W44" s="364">
        <v>15</v>
      </c>
      <c r="X44" s="372" t="str">
        <f>IF($C44="","",W44*VLOOKUP($C44,CHANTIER!$A$2:$D$83,4,0))</f>
        <v/>
      </c>
      <c r="Y44" s="364">
        <v>16</v>
      </c>
      <c r="Z44" s="372" t="str">
        <f>IF($C44="","",Y44*VLOOKUP($C44,CHANTIER!$A$2:$D$83,4,0))</f>
        <v/>
      </c>
      <c r="AA44" s="364">
        <v>17</v>
      </c>
      <c r="AB44" s="372" t="str">
        <f>IF($C44="","",AA44*VLOOKUP($C44,CHANTIER!$A$2:$D$83,4,0))</f>
        <v/>
      </c>
      <c r="AC44" s="364">
        <v>18</v>
      </c>
      <c r="AD44" s="372" t="str">
        <f>IF($C44="","",AC44*VLOOKUP($C44,CHANTIER!$A$2:$D$83,4,0))</f>
        <v/>
      </c>
      <c r="AE44" s="364">
        <v>19</v>
      </c>
      <c r="AF44" s="372" t="str">
        <f>IF($C44="","",AE44*VLOOKUP($C44,CHANTIER!$A$2:$D$83,4,0))</f>
        <v/>
      </c>
      <c r="AG44" s="364">
        <v>20</v>
      </c>
      <c r="AH44" s="372" t="str">
        <f>IF($C44="","",AG44*VLOOKUP($C44,CHANTIER!$A$2:$D$83,4,0))</f>
        <v/>
      </c>
      <c r="AI44" s="364">
        <v>21</v>
      </c>
      <c r="AJ44" s="372" t="str">
        <f>IF($C44="","",AI44*VLOOKUP($C44,CHANTIER!$A$2:$D$83,4,0))</f>
        <v/>
      </c>
      <c r="AK44" s="364">
        <v>22</v>
      </c>
      <c r="AL44" s="372" t="str">
        <f>IF($C44="","",AK44*VLOOKUP($C44,CHANTIER!$A$2:$D$83,4,0))</f>
        <v/>
      </c>
      <c r="AM44" s="364">
        <v>23</v>
      </c>
      <c r="AN44" s="372" t="str">
        <f>IF($C44="","",AM44*VLOOKUP($C44,CHANTIER!$A$2:$D$83,4,0))</f>
        <v/>
      </c>
      <c r="AO44" s="224"/>
      <c r="AP44" s="224"/>
    </row>
    <row r="45" spans="1:42" ht="15" customHeight="1" x14ac:dyDescent="0.2">
      <c r="A45" s="1554"/>
      <c r="B45" s="361"/>
      <c r="C45" s="378"/>
      <c r="D45" s="363" t="str">
        <f>IF(C45="","",VLOOKUP($C45,CHANTIER!$A$2:$C$83,3,0))</f>
        <v/>
      </c>
      <c r="E45" s="364">
        <v>7</v>
      </c>
      <c r="F45" s="372" t="str">
        <f>IF($C45="","",E45*VLOOKUP($C45,CHANTIER!$A$2:$D$83,4,0))</f>
        <v/>
      </c>
      <c r="G45" s="364">
        <v>8</v>
      </c>
      <c r="H45" s="372" t="str">
        <f>IF($C45="","",G45*VLOOKUP($C45,CHANTIER!$A$2:$D$83,4,0))</f>
        <v/>
      </c>
      <c r="I45" s="364">
        <v>9</v>
      </c>
      <c r="J45" s="372" t="str">
        <f>IF($C45="","",I45*VLOOKUP($C45,CHANTIER!$A$2:$D$83,4,0))</f>
        <v/>
      </c>
      <c r="K45" s="364">
        <v>10</v>
      </c>
      <c r="L45" s="372" t="str">
        <f>IF($C45="","",K45*VLOOKUP($C45,CHANTIER!$A$2:$D$83,4,0))</f>
        <v/>
      </c>
      <c r="M45" s="364">
        <v>11</v>
      </c>
      <c r="N45" s="372" t="str">
        <f>IF($C45="","",M45*VLOOKUP($C45,CHANTIER!$A$2:$D$83,4,0))</f>
        <v/>
      </c>
      <c r="O45" s="364">
        <v>12</v>
      </c>
      <c r="P45" s="372" t="str">
        <f>IF($C45="","",O45*VLOOKUP($C45,CHANTIER!$A$2:$D$83,4,0))</f>
        <v/>
      </c>
      <c r="Q45" s="364">
        <v>13</v>
      </c>
      <c r="R45" s="372" t="str">
        <f>IF($C45="","",Q45*VLOOKUP($C45,CHANTIER!$A$2:$D$83,4,0))</f>
        <v/>
      </c>
      <c r="S45" s="364">
        <v>14</v>
      </c>
      <c r="T45" s="372" t="str">
        <f>IF($C45="","",S45*VLOOKUP($C45,CHANTIER!$A$2:$D$83,4,0))</f>
        <v/>
      </c>
      <c r="U45" s="364">
        <v>15</v>
      </c>
      <c r="V45" s="372" t="str">
        <f>IF($C45="","",U45*VLOOKUP($C45,CHANTIER!$A$2:$D$83,4,0))</f>
        <v/>
      </c>
      <c r="W45" s="364">
        <v>16</v>
      </c>
      <c r="X45" s="372" t="str">
        <f>IF($C45="","",W45*VLOOKUP($C45,CHANTIER!$A$2:$D$83,4,0))</f>
        <v/>
      </c>
      <c r="Y45" s="364">
        <v>17</v>
      </c>
      <c r="Z45" s="372" t="str">
        <f>IF($C45="","",Y45*VLOOKUP($C45,CHANTIER!$A$2:$D$83,4,0))</f>
        <v/>
      </c>
      <c r="AA45" s="364">
        <v>18</v>
      </c>
      <c r="AB45" s="372" t="str">
        <f>IF($C45="","",AA45*VLOOKUP($C45,CHANTIER!$A$2:$D$83,4,0))</f>
        <v/>
      </c>
      <c r="AC45" s="364">
        <v>19</v>
      </c>
      <c r="AD45" s="372" t="str">
        <f>IF($C45="","",AC45*VLOOKUP($C45,CHANTIER!$A$2:$D$83,4,0))</f>
        <v/>
      </c>
      <c r="AE45" s="364">
        <v>20</v>
      </c>
      <c r="AF45" s="372" t="str">
        <f>IF($C45="","",AE45*VLOOKUP($C45,CHANTIER!$A$2:$D$83,4,0))</f>
        <v/>
      </c>
      <c r="AG45" s="364">
        <v>21</v>
      </c>
      <c r="AH45" s="372" t="str">
        <f>IF($C45="","",AG45*VLOOKUP($C45,CHANTIER!$A$2:$D$83,4,0))</f>
        <v/>
      </c>
      <c r="AI45" s="364">
        <v>22</v>
      </c>
      <c r="AJ45" s="372" t="str">
        <f>IF($C45="","",AI45*VLOOKUP($C45,CHANTIER!$A$2:$D$83,4,0))</f>
        <v/>
      </c>
      <c r="AK45" s="364">
        <v>23</v>
      </c>
      <c r="AL45" s="372" t="str">
        <f>IF($C45="","",AK45*VLOOKUP($C45,CHANTIER!$A$2:$D$83,4,0))</f>
        <v/>
      </c>
      <c r="AM45" s="364">
        <v>24</v>
      </c>
      <c r="AN45" s="372" t="str">
        <f>IF($C45="","",AM45*VLOOKUP($C45,CHANTIER!$A$2:$D$83,4,0))</f>
        <v/>
      </c>
      <c r="AO45" s="224"/>
      <c r="AP45" s="224"/>
    </row>
    <row r="46" spans="1:42" ht="15" customHeight="1" x14ac:dyDescent="0.2">
      <c r="A46" s="1554"/>
      <c r="B46" s="361"/>
      <c r="C46" s="378"/>
      <c r="D46" s="363" t="str">
        <f>IF(C46="","",VLOOKUP($C46,CHANTIER!$A$2:$C$83,3,0))</f>
        <v/>
      </c>
      <c r="E46" s="364">
        <v>8</v>
      </c>
      <c r="F46" s="372" t="str">
        <f>IF($C46="","",E46*VLOOKUP($C46,CHANTIER!$A$2:$D$83,4,0))</f>
        <v/>
      </c>
      <c r="G46" s="364">
        <v>9</v>
      </c>
      <c r="H46" s="372" t="str">
        <f>IF($C46="","",G46*VLOOKUP($C46,CHANTIER!$A$2:$D$83,4,0))</f>
        <v/>
      </c>
      <c r="I46" s="364">
        <v>10</v>
      </c>
      <c r="J46" s="372" t="str">
        <f>IF($C46="","",I46*VLOOKUP($C46,CHANTIER!$A$2:$D$83,4,0))</f>
        <v/>
      </c>
      <c r="K46" s="364">
        <v>11</v>
      </c>
      <c r="L46" s="372" t="str">
        <f>IF($C46="","",K46*VLOOKUP($C46,CHANTIER!$A$2:$D$83,4,0))</f>
        <v/>
      </c>
      <c r="M46" s="364">
        <v>12</v>
      </c>
      <c r="N46" s="372" t="str">
        <f>IF($C46="","",M46*VLOOKUP($C46,CHANTIER!$A$2:$D$83,4,0))</f>
        <v/>
      </c>
      <c r="O46" s="364">
        <v>13</v>
      </c>
      <c r="P46" s="372" t="str">
        <f>IF($C46="","",O46*VLOOKUP($C46,CHANTIER!$A$2:$D$83,4,0))</f>
        <v/>
      </c>
      <c r="Q46" s="364">
        <v>14</v>
      </c>
      <c r="R46" s="372" t="str">
        <f>IF($C46="","",Q46*VLOOKUP($C46,CHANTIER!$A$2:$D$83,4,0))</f>
        <v/>
      </c>
      <c r="S46" s="364">
        <v>15</v>
      </c>
      <c r="T46" s="372" t="str">
        <f>IF($C46="","",S46*VLOOKUP($C46,CHANTIER!$A$2:$D$83,4,0))</f>
        <v/>
      </c>
      <c r="U46" s="364">
        <v>16</v>
      </c>
      <c r="V46" s="372" t="str">
        <f>IF($C46="","",U46*VLOOKUP($C46,CHANTIER!$A$2:$D$83,4,0))</f>
        <v/>
      </c>
      <c r="W46" s="364">
        <v>17</v>
      </c>
      <c r="X46" s="372" t="str">
        <f>IF($C46="","",W46*VLOOKUP($C46,CHANTIER!$A$2:$D$83,4,0))</f>
        <v/>
      </c>
      <c r="Y46" s="364">
        <v>18</v>
      </c>
      <c r="Z46" s="372" t="str">
        <f>IF($C46="","",Y46*VLOOKUP($C46,CHANTIER!$A$2:$D$83,4,0))</f>
        <v/>
      </c>
      <c r="AA46" s="364">
        <v>19</v>
      </c>
      <c r="AB46" s="372" t="str">
        <f>IF($C46="","",AA46*VLOOKUP($C46,CHANTIER!$A$2:$D$83,4,0))</f>
        <v/>
      </c>
      <c r="AC46" s="364">
        <v>20</v>
      </c>
      <c r="AD46" s="372" t="str">
        <f>IF($C46="","",AC46*VLOOKUP($C46,CHANTIER!$A$2:$D$83,4,0))</f>
        <v/>
      </c>
      <c r="AE46" s="364">
        <v>21</v>
      </c>
      <c r="AF46" s="372" t="str">
        <f>IF($C46="","",AE46*VLOOKUP($C46,CHANTIER!$A$2:$D$83,4,0))</f>
        <v/>
      </c>
      <c r="AG46" s="364">
        <v>22</v>
      </c>
      <c r="AH46" s="372" t="str">
        <f>IF($C46="","",AG46*VLOOKUP($C46,CHANTIER!$A$2:$D$83,4,0))</f>
        <v/>
      </c>
      <c r="AI46" s="364">
        <v>23</v>
      </c>
      <c r="AJ46" s="372" t="str">
        <f>IF($C46="","",AI46*VLOOKUP($C46,CHANTIER!$A$2:$D$83,4,0))</f>
        <v/>
      </c>
      <c r="AK46" s="364">
        <v>24</v>
      </c>
      <c r="AL46" s="372" t="str">
        <f>IF($C46="","",AK46*VLOOKUP($C46,CHANTIER!$A$2:$D$83,4,0))</f>
        <v/>
      </c>
      <c r="AM46" s="364">
        <v>25</v>
      </c>
      <c r="AN46" s="372" t="str">
        <f>IF($C46="","",AM46*VLOOKUP($C46,CHANTIER!$A$2:$D$83,4,0))</f>
        <v/>
      </c>
      <c r="AO46" s="225"/>
      <c r="AP46" s="226"/>
    </row>
    <row r="47" spans="1:42" ht="15" customHeight="1" x14ac:dyDescent="0.2">
      <c r="A47" s="1554"/>
      <c r="B47" s="361"/>
      <c r="C47" s="378"/>
      <c r="D47" s="363" t="str">
        <f>IF(C47="","",VLOOKUP($C47,CHANTIER!$A$2:$C$83,3,0))</f>
        <v/>
      </c>
      <c r="E47" s="364">
        <v>9</v>
      </c>
      <c r="F47" s="372" t="str">
        <f>IF($C47="","",E47*VLOOKUP($C47,CHANTIER!$A$2:$D$83,4,0))</f>
        <v/>
      </c>
      <c r="G47" s="364">
        <v>10</v>
      </c>
      <c r="H47" s="372" t="str">
        <f>IF($C47="","",G47*VLOOKUP($C47,CHANTIER!$A$2:$D$83,4,0))</f>
        <v/>
      </c>
      <c r="I47" s="364">
        <v>11</v>
      </c>
      <c r="J47" s="372" t="str">
        <f>IF($C47="","",I47*VLOOKUP($C47,CHANTIER!$A$2:$D$83,4,0))</f>
        <v/>
      </c>
      <c r="K47" s="364">
        <v>12</v>
      </c>
      <c r="L47" s="372" t="str">
        <f>IF($C47="","",K47*VLOOKUP($C47,CHANTIER!$A$2:$D$83,4,0))</f>
        <v/>
      </c>
      <c r="M47" s="364">
        <v>13</v>
      </c>
      <c r="N47" s="372" t="str">
        <f>IF($C47="","",M47*VLOOKUP($C47,CHANTIER!$A$2:$D$83,4,0))</f>
        <v/>
      </c>
      <c r="O47" s="364">
        <v>14</v>
      </c>
      <c r="P47" s="372" t="str">
        <f>IF($C47="","",O47*VLOOKUP($C47,CHANTIER!$A$2:$D$83,4,0))</f>
        <v/>
      </c>
      <c r="Q47" s="364">
        <v>15</v>
      </c>
      <c r="R47" s="372" t="str">
        <f>IF($C47="","",Q47*VLOOKUP($C47,CHANTIER!$A$2:$D$83,4,0))</f>
        <v/>
      </c>
      <c r="S47" s="364">
        <v>16</v>
      </c>
      <c r="T47" s="372" t="str">
        <f>IF($C47="","",S47*VLOOKUP($C47,CHANTIER!$A$2:$D$83,4,0))</f>
        <v/>
      </c>
      <c r="U47" s="364">
        <v>17</v>
      </c>
      <c r="V47" s="372" t="str">
        <f>IF($C47="","",U47*VLOOKUP($C47,CHANTIER!$A$2:$D$83,4,0))</f>
        <v/>
      </c>
      <c r="W47" s="364">
        <v>18</v>
      </c>
      <c r="X47" s="372" t="str">
        <f>IF($C47="","",W47*VLOOKUP($C47,CHANTIER!$A$2:$D$83,4,0))</f>
        <v/>
      </c>
      <c r="Y47" s="364">
        <v>19</v>
      </c>
      <c r="Z47" s="372" t="str">
        <f>IF($C47="","",Y47*VLOOKUP($C47,CHANTIER!$A$2:$D$83,4,0))</f>
        <v/>
      </c>
      <c r="AA47" s="364">
        <v>20</v>
      </c>
      <c r="AB47" s="372" t="str">
        <f>IF($C47="","",AA47*VLOOKUP($C47,CHANTIER!$A$2:$D$83,4,0))</f>
        <v/>
      </c>
      <c r="AC47" s="364">
        <v>21</v>
      </c>
      <c r="AD47" s="372" t="str">
        <f>IF($C47="","",AC47*VLOOKUP($C47,CHANTIER!$A$2:$D$83,4,0))</f>
        <v/>
      </c>
      <c r="AE47" s="364">
        <v>22</v>
      </c>
      <c r="AF47" s="372" t="str">
        <f>IF($C47="","",AE47*VLOOKUP($C47,CHANTIER!$A$2:$D$83,4,0))</f>
        <v/>
      </c>
      <c r="AG47" s="364">
        <v>23</v>
      </c>
      <c r="AH47" s="372" t="str">
        <f>IF($C47="","",AG47*VLOOKUP($C47,CHANTIER!$A$2:$D$83,4,0))</f>
        <v/>
      </c>
      <c r="AI47" s="364">
        <v>24</v>
      </c>
      <c r="AJ47" s="372" t="str">
        <f>IF($C47="","",AI47*VLOOKUP($C47,CHANTIER!$A$2:$D$83,4,0))</f>
        <v/>
      </c>
      <c r="AK47" s="364">
        <v>25</v>
      </c>
      <c r="AL47" s="372" t="str">
        <f>IF($C47="","",AK47*VLOOKUP($C47,CHANTIER!$A$2:$D$83,4,0))</f>
        <v/>
      </c>
      <c r="AM47" s="364">
        <v>26</v>
      </c>
      <c r="AN47" s="372" t="str">
        <f>IF($C47="","",AM47*VLOOKUP($C47,CHANTIER!$A$2:$D$83,4,0))</f>
        <v/>
      </c>
    </row>
    <row r="48" spans="1:42" ht="15" customHeight="1" x14ac:dyDescent="0.2">
      <c r="A48" s="1554"/>
      <c r="B48" s="361"/>
      <c r="C48" s="378"/>
      <c r="D48" s="363" t="str">
        <f>IF(C48="","",VLOOKUP($C48,CHANTIER!$A$2:$C$83,3,0))</f>
        <v/>
      </c>
      <c r="E48" s="364">
        <v>10</v>
      </c>
      <c r="F48" s="372" t="str">
        <f>IF($C48="","",E48*VLOOKUP($C48,CHANTIER!$A$2:$D$83,4,0))</f>
        <v/>
      </c>
      <c r="G48" s="364">
        <v>11</v>
      </c>
      <c r="H48" s="372" t="str">
        <f>IF($C48="","",G48*VLOOKUP($C48,CHANTIER!$A$2:$D$83,4,0))</f>
        <v/>
      </c>
      <c r="I48" s="364">
        <v>12</v>
      </c>
      <c r="J48" s="372" t="str">
        <f>IF($C48="","",I48*VLOOKUP($C48,CHANTIER!$A$2:$D$83,4,0))</f>
        <v/>
      </c>
      <c r="K48" s="364">
        <v>13</v>
      </c>
      <c r="L48" s="372" t="str">
        <f>IF($C48="","",K48*VLOOKUP($C48,CHANTIER!$A$2:$D$83,4,0))</f>
        <v/>
      </c>
      <c r="M48" s="364">
        <v>14</v>
      </c>
      <c r="N48" s="372" t="str">
        <f>IF($C48="","",M48*VLOOKUP($C48,CHANTIER!$A$2:$D$83,4,0))</f>
        <v/>
      </c>
      <c r="O48" s="364">
        <v>15</v>
      </c>
      <c r="P48" s="372" t="str">
        <f>IF($C48="","",O48*VLOOKUP($C48,CHANTIER!$A$2:$D$83,4,0))</f>
        <v/>
      </c>
      <c r="Q48" s="364">
        <v>16</v>
      </c>
      <c r="R48" s="372" t="str">
        <f>IF($C48="","",Q48*VLOOKUP($C48,CHANTIER!$A$2:$D$83,4,0))</f>
        <v/>
      </c>
      <c r="S48" s="364">
        <v>17</v>
      </c>
      <c r="T48" s="372" t="str">
        <f>IF($C48="","",S48*VLOOKUP($C48,CHANTIER!$A$2:$D$83,4,0))</f>
        <v/>
      </c>
      <c r="U48" s="364">
        <v>18</v>
      </c>
      <c r="V48" s="372" t="str">
        <f>IF($C48="","",U48*VLOOKUP($C48,CHANTIER!$A$2:$D$83,4,0))</f>
        <v/>
      </c>
      <c r="W48" s="364">
        <v>19</v>
      </c>
      <c r="X48" s="372" t="str">
        <f>IF($C48="","",W48*VLOOKUP($C48,CHANTIER!$A$2:$D$83,4,0))</f>
        <v/>
      </c>
      <c r="Y48" s="364">
        <v>20</v>
      </c>
      <c r="Z48" s="372" t="str">
        <f>IF($C48="","",Y48*VLOOKUP($C48,CHANTIER!$A$2:$D$83,4,0))</f>
        <v/>
      </c>
      <c r="AA48" s="364">
        <v>21</v>
      </c>
      <c r="AB48" s="372" t="str">
        <f>IF($C48="","",AA48*VLOOKUP($C48,CHANTIER!$A$2:$D$83,4,0))</f>
        <v/>
      </c>
      <c r="AC48" s="364">
        <v>22</v>
      </c>
      <c r="AD48" s="372" t="str">
        <f>IF($C48="","",AC48*VLOOKUP($C48,CHANTIER!$A$2:$D$83,4,0))</f>
        <v/>
      </c>
      <c r="AE48" s="364">
        <v>23</v>
      </c>
      <c r="AF48" s="372" t="str">
        <f>IF($C48="","",AE48*VLOOKUP($C48,CHANTIER!$A$2:$D$83,4,0))</f>
        <v/>
      </c>
      <c r="AG48" s="364">
        <v>24</v>
      </c>
      <c r="AH48" s="372" t="str">
        <f>IF($C48="","",AG48*VLOOKUP($C48,CHANTIER!$A$2:$D$83,4,0))</f>
        <v/>
      </c>
      <c r="AI48" s="364">
        <v>25</v>
      </c>
      <c r="AJ48" s="372" t="str">
        <f>IF($C48="","",AI48*VLOOKUP($C48,CHANTIER!$A$2:$D$83,4,0))</f>
        <v/>
      </c>
      <c r="AK48" s="364">
        <v>26</v>
      </c>
      <c r="AL48" s="372" t="str">
        <f>IF($C48="","",AK48*VLOOKUP($C48,CHANTIER!$A$2:$D$83,4,0))</f>
        <v/>
      </c>
      <c r="AM48" s="364">
        <v>27</v>
      </c>
      <c r="AN48" s="372" t="str">
        <f>IF($C48="","",AM48*VLOOKUP($C48,CHANTIER!$A$2:$D$83,4,0))</f>
        <v/>
      </c>
    </row>
    <row r="49" spans="1:42" ht="15" customHeight="1" x14ac:dyDescent="0.2">
      <c r="A49" s="1554"/>
      <c r="B49" s="361"/>
      <c r="C49" s="378"/>
      <c r="D49" s="363" t="str">
        <f>IF(C49="","",VLOOKUP($C49,CHANTIER!$A$2:$C$83,3,0))</f>
        <v/>
      </c>
      <c r="E49" s="364">
        <v>11</v>
      </c>
      <c r="F49" s="372" t="str">
        <f>IF($C49="","",E49*VLOOKUP($C49,CHANTIER!$A$2:$D$83,4,0))</f>
        <v/>
      </c>
      <c r="G49" s="364">
        <v>12</v>
      </c>
      <c r="H49" s="372" t="str">
        <f>IF($C49="","",G49*VLOOKUP($C49,CHANTIER!$A$2:$D$83,4,0))</f>
        <v/>
      </c>
      <c r="I49" s="364">
        <v>13</v>
      </c>
      <c r="J49" s="372" t="str">
        <f>IF($C49="","",I49*VLOOKUP($C49,CHANTIER!$A$2:$D$83,4,0))</f>
        <v/>
      </c>
      <c r="K49" s="364">
        <v>14</v>
      </c>
      <c r="L49" s="372" t="str">
        <f>IF($C49="","",K49*VLOOKUP($C49,CHANTIER!$A$2:$D$83,4,0))</f>
        <v/>
      </c>
      <c r="M49" s="364">
        <v>15</v>
      </c>
      <c r="N49" s="372" t="str">
        <f>IF($C49="","",M49*VLOOKUP($C49,CHANTIER!$A$2:$D$83,4,0))</f>
        <v/>
      </c>
      <c r="O49" s="364">
        <v>16</v>
      </c>
      <c r="P49" s="372" t="str">
        <f>IF($C49="","",O49*VLOOKUP($C49,CHANTIER!$A$2:$D$83,4,0))</f>
        <v/>
      </c>
      <c r="Q49" s="364">
        <v>17</v>
      </c>
      <c r="R49" s="372" t="str">
        <f>IF($C49="","",Q49*VLOOKUP($C49,CHANTIER!$A$2:$D$83,4,0))</f>
        <v/>
      </c>
      <c r="S49" s="364">
        <v>18</v>
      </c>
      <c r="T49" s="372" t="str">
        <f>IF($C49="","",S49*VLOOKUP($C49,CHANTIER!$A$2:$D$83,4,0))</f>
        <v/>
      </c>
      <c r="U49" s="364">
        <v>19</v>
      </c>
      <c r="V49" s="372" t="str">
        <f>IF($C49="","",U49*VLOOKUP($C49,CHANTIER!$A$2:$D$83,4,0))</f>
        <v/>
      </c>
      <c r="W49" s="364">
        <v>20</v>
      </c>
      <c r="X49" s="372" t="str">
        <f>IF($C49="","",W49*VLOOKUP($C49,CHANTIER!$A$2:$D$83,4,0))</f>
        <v/>
      </c>
      <c r="Y49" s="364">
        <v>21</v>
      </c>
      <c r="Z49" s="372" t="str">
        <f>IF($C49="","",Y49*VLOOKUP($C49,CHANTIER!$A$2:$D$83,4,0))</f>
        <v/>
      </c>
      <c r="AA49" s="364">
        <v>22</v>
      </c>
      <c r="AB49" s="372" t="str">
        <f>IF($C49="","",AA49*VLOOKUP($C49,CHANTIER!$A$2:$D$83,4,0))</f>
        <v/>
      </c>
      <c r="AC49" s="364">
        <v>23</v>
      </c>
      <c r="AD49" s="372" t="str">
        <f>IF($C49="","",AC49*VLOOKUP($C49,CHANTIER!$A$2:$D$83,4,0))</f>
        <v/>
      </c>
      <c r="AE49" s="364">
        <v>24</v>
      </c>
      <c r="AF49" s="372" t="str">
        <f>IF($C49="","",AE49*VLOOKUP($C49,CHANTIER!$A$2:$D$83,4,0))</f>
        <v/>
      </c>
      <c r="AG49" s="364">
        <v>25</v>
      </c>
      <c r="AH49" s="372" t="str">
        <f>IF($C49="","",AG49*VLOOKUP($C49,CHANTIER!$A$2:$D$83,4,0))</f>
        <v/>
      </c>
      <c r="AI49" s="364">
        <v>26</v>
      </c>
      <c r="AJ49" s="372" t="str">
        <f>IF($C49="","",AI49*VLOOKUP($C49,CHANTIER!$A$2:$D$83,4,0))</f>
        <v/>
      </c>
      <c r="AK49" s="364">
        <v>27</v>
      </c>
      <c r="AL49" s="372" t="str">
        <f>IF($C49="","",AK49*VLOOKUP($C49,CHANTIER!$A$2:$D$83,4,0))</f>
        <v/>
      </c>
      <c r="AM49" s="364">
        <v>28</v>
      </c>
      <c r="AN49" s="372" t="str">
        <f>IF($C49="","",AM49*VLOOKUP($C49,CHANTIER!$A$2:$D$83,4,0))</f>
        <v/>
      </c>
    </row>
    <row r="50" spans="1:42" ht="30.75" customHeight="1" x14ac:dyDescent="0.2">
      <c r="A50" s="1554"/>
      <c r="B50" s="379" t="s">
        <v>453</v>
      </c>
      <c r="C50" s="380" t="s">
        <v>450</v>
      </c>
      <c r="D50" s="381" t="s">
        <v>451</v>
      </c>
      <c r="E50" s="382">
        <f>F50*Simulation!$P$9</f>
        <v>11.25</v>
      </c>
      <c r="F50" s="383">
        <f>SUM(F39:F49)</f>
        <v>0.25</v>
      </c>
      <c r="G50" s="382">
        <f>H50*Simulation!$P$9</f>
        <v>22.5</v>
      </c>
      <c r="H50" s="383">
        <f>SUM(H39:H49)</f>
        <v>0.5</v>
      </c>
      <c r="I50" s="382">
        <f>J50*Simulation!$P$9</f>
        <v>33.75</v>
      </c>
      <c r="J50" s="383">
        <f>SUM(J39:J49)</f>
        <v>0.75</v>
      </c>
      <c r="K50" s="382">
        <f>L50*Simulation!$P$9</f>
        <v>45</v>
      </c>
      <c r="L50" s="383">
        <f>SUM(L39:L49)</f>
        <v>1</v>
      </c>
      <c r="M50" s="382">
        <f>N50*Simulation!$P$9</f>
        <v>56.25</v>
      </c>
      <c r="N50" s="383">
        <f>SUM(N39:N49)</f>
        <v>1.25</v>
      </c>
      <c r="O50" s="382">
        <f>P50*Simulation!$P$9</f>
        <v>67.5</v>
      </c>
      <c r="P50" s="383">
        <f>SUM(P39:P49)</f>
        <v>1.5</v>
      </c>
      <c r="Q50" s="382">
        <f>R50*Simulation!$P$9</f>
        <v>78.75</v>
      </c>
      <c r="R50" s="383">
        <f>SUM(R39:R49)</f>
        <v>1.75</v>
      </c>
      <c r="S50" s="382">
        <f>T50*Simulation!$P$9</f>
        <v>90</v>
      </c>
      <c r="T50" s="383">
        <f>SUM(T39:T49)</f>
        <v>2</v>
      </c>
      <c r="U50" s="382">
        <f>V50*Simulation!$P$9</f>
        <v>101.25</v>
      </c>
      <c r="V50" s="383">
        <f>SUM(V39:V49)</f>
        <v>2.25</v>
      </c>
      <c r="W50" s="382">
        <f>X50*Simulation!$P$9</f>
        <v>112.5</v>
      </c>
      <c r="X50" s="383">
        <f>SUM(X39:X49)</f>
        <v>2.5</v>
      </c>
      <c r="Y50" s="382">
        <f>Z50*Simulation!$P$9</f>
        <v>123.75</v>
      </c>
      <c r="Z50" s="383">
        <f>SUM(Z39:Z49)</f>
        <v>2.75</v>
      </c>
      <c r="AA50" s="382">
        <f>AB50*Simulation!$P$9</f>
        <v>135</v>
      </c>
      <c r="AB50" s="383">
        <f>SUM(AB39:AB49)</f>
        <v>3</v>
      </c>
      <c r="AC50" s="382">
        <f>AD50*Simulation!$P$9</f>
        <v>146.25</v>
      </c>
      <c r="AD50" s="383">
        <f>SUM(AD39:AD49)</f>
        <v>3.25</v>
      </c>
      <c r="AE50" s="382">
        <f>AF50*Simulation!$P$9</f>
        <v>157.5</v>
      </c>
      <c r="AF50" s="383">
        <f>SUM(AF39:AF49)</f>
        <v>3.5</v>
      </c>
      <c r="AG50" s="382">
        <f>AH50*Simulation!$P$9</f>
        <v>168.75</v>
      </c>
      <c r="AH50" s="383">
        <f>SUM(AH39:AH49)</f>
        <v>3.75</v>
      </c>
      <c r="AI50" s="382">
        <f>AJ50*Simulation!$P$9</f>
        <v>180</v>
      </c>
      <c r="AJ50" s="383">
        <f>SUM(AJ39:AJ49)</f>
        <v>4</v>
      </c>
      <c r="AK50" s="382">
        <f>AL50*Simulation!$P$9</f>
        <v>191.25</v>
      </c>
      <c r="AL50" s="383">
        <f>SUM(AL39:AL49)</f>
        <v>4.25</v>
      </c>
      <c r="AM50" s="382">
        <f>AN50*Simulation!$P$9</f>
        <v>202.5</v>
      </c>
      <c r="AN50" s="383">
        <f>SUM(AN39:AN49)</f>
        <v>4.5</v>
      </c>
    </row>
    <row r="51" spans="1:42" ht="15" customHeight="1" x14ac:dyDescent="0.2">
      <c r="A51" s="1559" t="s">
        <v>4</v>
      </c>
      <c r="B51" s="361" t="s">
        <v>371</v>
      </c>
      <c r="C51" s="378" t="s">
        <v>400</v>
      </c>
      <c r="D51" s="363" t="str">
        <f>IF(C51="","",VLOOKUP($C51,MINIPELLE!$A$2:$C$28,3,0))</f>
        <v>cm</v>
      </c>
      <c r="E51" s="364">
        <v>2</v>
      </c>
      <c r="F51" s="372">
        <f>IF($C51="","",E51*VLOOKUP($C51,MINIPELLE!$A$2:$D$28,4,0))</f>
        <v>0.05</v>
      </c>
      <c r="G51" s="364">
        <v>2</v>
      </c>
      <c r="H51" s="372">
        <f>IF($C51="","",G51*VLOOKUP($C51,MINIPELLE!$A$2:$D$28,4,0))</f>
        <v>0.05</v>
      </c>
      <c r="I51" s="364">
        <v>2</v>
      </c>
      <c r="J51" s="372">
        <f>IF($C51="","",I51*VLOOKUP($C51,MINIPELLE!$A$2:$D$28,4,0))</f>
        <v>0.05</v>
      </c>
      <c r="K51" s="364">
        <v>2</v>
      </c>
      <c r="L51" s="372">
        <f>IF($C51="","",K51*VLOOKUP($C51,MINIPELLE!$A$2:$D$28,4,0))</f>
        <v>0.05</v>
      </c>
      <c r="M51" s="364">
        <v>2</v>
      </c>
      <c r="N51" s="372">
        <f>IF($C51="","",M51*VLOOKUP($C51,MINIPELLE!$A$2:$D$28,4,0))</f>
        <v>0.05</v>
      </c>
      <c r="O51" s="364">
        <v>2</v>
      </c>
      <c r="P51" s="372">
        <f>IF($C51="","",O51*VLOOKUP($C51,MINIPELLE!$A$2:$D$28,4,0))</f>
        <v>0.05</v>
      </c>
      <c r="Q51" s="364">
        <v>2</v>
      </c>
      <c r="R51" s="372">
        <f>IF($C51="","",Q51*VLOOKUP($C51,MINIPELLE!$A$2:$D$28,4,0))</f>
        <v>0.05</v>
      </c>
      <c r="S51" s="364">
        <v>2</v>
      </c>
      <c r="T51" s="372">
        <f>IF($C51="","",S51*VLOOKUP($C51,MINIPELLE!$A$2:$D$28,4,0))</f>
        <v>0.05</v>
      </c>
      <c r="U51" s="364">
        <v>2</v>
      </c>
      <c r="V51" s="372">
        <f>IF($C51="","",U51*VLOOKUP($C51,MINIPELLE!$A$2:$D$28,4,0))</f>
        <v>0.05</v>
      </c>
      <c r="W51" s="364">
        <v>2</v>
      </c>
      <c r="X51" s="372">
        <f>IF($C51="","",W51*VLOOKUP($C51,MINIPELLE!$A$2:$D$28,4,0))</f>
        <v>0.05</v>
      </c>
      <c r="Y51" s="364">
        <v>2</v>
      </c>
      <c r="Z51" s="372">
        <f>IF($C51="","",Y51*VLOOKUP($C51,MINIPELLE!$A$2:$D$28,4,0))</f>
        <v>0.05</v>
      </c>
      <c r="AA51" s="364">
        <v>2</v>
      </c>
      <c r="AB51" s="372">
        <f>IF($C51="","",AA51*VLOOKUP($C51,MINIPELLE!$A$2:$D$28,4,0))</f>
        <v>0.05</v>
      </c>
      <c r="AC51" s="364">
        <v>2</v>
      </c>
      <c r="AD51" s="372">
        <f>IF($C51="","",AC51*VLOOKUP($C51,MINIPELLE!$A$2:$D$28,4,0))</f>
        <v>0.05</v>
      </c>
      <c r="AE51" s="364">
        <v>2</v>
      </c>
      <c r="AF51" s="372">
        <f>IF($C51="","",AE51*VLOOKUP($C51,MINIPELLE!$A$2:$D$28,4,0))</f>
        <v>0.05</v>
      </c>
      <c r="AG51" s="364">
        <v>2</v>
      </c>
      <c r="AH51" s="372">
        <f>IF($C51="","",AG51*VLOOKUP($C51,MINIPELLE!$A$2:$D$28,4,0))</f>
        <v>0.05</v>
      </c>
      <c r="AI51" s="364">
        <v>2</v>
      </c>
      <c r="AJ51" s="372">
        <f>IF($C51="","",AI51*VLOOKUP($C51,MINIPELLE!$A$2:$D$28,4,0))</f>
        <v>0.05</v>
      </c>
      <c r="AK51" s="364">
        <v>2</v>
      </c>
      <c r="AL51" s="372">
        <f>IF($C51="","",AK51*VLOOKUP($C51,MINIPELLE!$A$2:$D$28,4,0))</f>
        <v>0.05</v>
      </c>
      <c r="AM51" s="364">
        <v>2</v>
      </c>
      <c r="AN51" s="372">
        <f>IF($C51="","",AM51*VLOOKUP($C51,MINIPELLE!$A$2:$D$28,4,0))</f>
        <v>0.05</v>
      </c>
    </row>
    <row r="52" spans="1:42" ht="15" customHeight="1" x14ac:dyDescent="0.2">
      <c r="A52" s="1560"/>
      <c r="B52" s="361"/>
      <c r="C52" s="378"/>
      <c r="D52" s="363" t="str">
        <f>IF(C52="","",VLOOKUP($C52,MINIPELLE!$A$2:$C$28,3,0))</f>
        <v/>
      </c>
      <c r="E52" s="364">
        <v>3</v>
      </c>
      <c r="F52" s="389" t="str">
        <f>IF($C52="","",E52*VLOOKUP($C52,MINIPELLE!$A$2:$D$28,4,0))</f>
        <v/>
      </c>
      <c r="G52" s="364">
        <v>3</v>
      </c>
      <c r="H52" s="389" t="str">
        <f>IF($C52="","",G52*VLOOKUP($C52,MINIPELLE!$A$2:$D$28,4,0))</f>
        <v/>
      </c>
      <c r="I52" s="364">
        <v>3</v>
      </c>
      <c r="J52" s="389" t="str">
        <f>IF($C52="","",I52*VLOOKUP($C52,MINIPELLE!$A$2:$D$28,4,0))</f>
        <v/>
      </c>
      <c r="K52" s="364">
        <v>3</v>
      </c>
      <c r="L52" s="389" t="str">
        <f>IF($C52="","",K52*VLOOKUP($C52,MINIPELLE!$A$2:$D$28,4,0))</f>
        <v/>
      </c>
      <c r="M52" s="364">
        <v>3</v>
      </c>
      <c r="N52" s="389" t="str">
        <f>IF($C52="","",M52*VLOOKUP($C52,MINIPELLE!$A$2:$D$28,4,0))</f>
        <v/>
      </c>
      <c r="O52" s="364">
        <v>3</v>
      </c>
      <c r="P52" s="389" t="str">
        <f>IF($C52="","",O52*VLOOKUP($C52,MINIPELLE!$A$2:$D$28,4,0))</f>
        <v/>
      </c>
      <c r="Q52" s="364">
        <v>3</v>
      </c>
      <c r="R52" s="389" t="str">
        <f>IF($C52="","",Q52*VLOOKUP($C52,MINIPELLE!$A$2:$D$28,4,0))</f>
        <v/>
      </c>
      <c r="S52" s="364">
        <v>3</v>
      </c>
      <c r="T52" s="389" t="str">
        <f>IF($C52="","",S52*VLOOKUP($C52,MINIPELLE!$A$2:$D$28,4,0))</f>
        <v/>
      </c>
      <c r="U52" s="364">
        <v>3</v>
      </c>
      <c r="V52" s="389" t="str">
        <f>IF($C52="","",U52*VLOOKUP($C52,MINIPELLE!$A$2:$D$28,4,0))</f>
        <v/>
      </c>
      <c r="W52" s="364">
        <v>3</v>
      </c>
      <c r="X52" s="389" t="str">
        <f>IF($C52="","",W52*VLOOKUP($C52,MINIPELLE!$A$2:$D$28,4,0))</f>
        <v/>
      </c>
      <c r="Y52" s="364">
        <v>3</v>
      </c>
      <c r="Z52" s="389" t="str">
        <f>IF($C52="","",Y52*VLOOKUP($C52,MINIPELLE!$A$2:$D$28,4,0))</f>
        <v/>
      </c>
      <c r="AA52" s="364">
        <v>3</v>
      </c>
      <c r="AB52" s="389" t="str">
        <f>IF($C52="","",AA52*VLOOKUP($C52,MINIPELLE!$A$2:$D$28,4,0))</f>
        <v/>
      </c>
      <c r="AC52" s="364">
        <v>3</v>
      </c>
      <c r="AD52" s="389" t="str">
        <f>IF($C52="","",AC52*VLOOKUP($C52,MINIPELLE!$A$2:$D$28,4,0))</f>
        <v/>
      </c>
      <c r="AE52" s="364">
        <v>3</v>
      </c>
      <c r="AF52" s="389" t="str">
        <f>IF($C52="","",AE52*VLOOKUP($C52,MINIPELLE!$A$2:$D$28,4,0))</f>
        <v/>
      </c>
      <c r="AG52" s="364">
        <v>3</v>
      </c>
      <c r="AH52" s="389" t="str">
        <f>IF($C52="","",AG52*VLOOKUP($C52,MINIPELLE!$A$2:$D$28,4,0))</f>
        <v/>
      </c>
      <c r="AI52" s="364">
        <v>3</v>
      </c>
      <c r="AJ52" s="389" t="str">
        <f>IF($C52="","",AI52*VLOOKUP($C52,MINIPELLE!$A$2:$D$28,4,0))</f>
        <v/>
      </c>
      <c r="AK52" s="364">
        <v>3</v>
      </c>
      <c r="AL52" s="389" t="str">
        <f>IF($C52="","",AK52*VLOOKUP($C52,MINIPELLE!$A$2:$D$28,4,0))</f>
        <v/>
      </c>
      <c r="AM52" s="364">
        <v>3</v>
      </c>
      <c r="AN52" s="389" t="str">
        <f>IF($C52="","",AM52*VLOOKUP($C52,MINIPELLE!$A$2:$D$28,4,0))</f>
        <v/>
      </c>
    </row>
    <row r="53" spans="1:42" ht="15" customHeight="1" x14ac:dyDescent="0.2">
      <c r="A53" s="1560"/>
      <c r="B53" s="361"/>
      <c r="C53" s="378"/>
      <c r="D53" s="363" t="str">
        <f>IF(C53="","",VLOOKUP($C53,MINIPELLE!$A$2:$C$28,3,0))</f>
        <v/>
      </c>
      <c r="E53" s="364">
        <v>4</v>
      </c>
      <c r="F53" s="389" t="str">
        <f>IF($C53="","",E53*VLOOKUP($C53,MINIPELLE!$A$2:$D$28,4,0))</f>
        <v/>
      </c>
      <c r="G53" s="364">
        <v>4</v>
      </c>
      <c r="H53" s="389" t="str">
        <f>IF($C53="","",G53*VLOOKUP($C53,MINIPELLE!$A$2:$D$28,4,0))</f>
        <v/>
      </c>
      <c r="I53" s="364">
        <v>4</v>
      </c>
      <c r="J53" s="389" t="str">
        <f>IF($C53="","",I53*VLOOKUP($C53,MINIPELLE!$A$2:$D$28,4,0))</f>
        <v/>
      </c>
      <c r="K53" s="364">
        <v>4</v>
      </c>
      <c r="L53" s="389" t="str">
        <f>IF($C53="","",K53*VLOOKUP($C53,MINIPELLE!$A$2:$D$28,4,0))</f>
        <v/>
      </c>
      <c r="M53" s="364">
        <v>4</v>
      </c>
      <c r="N53" s="389" t="str">
        <f>IF($C53="","",M53*VLOOKUP($C53,MINIPELLE!$A$2:$D$28,4,0))</f>
        <v/>
      </c>
      <c r="O53" s="364">
        <v>4</v>
      </c>
      <c r="P53" s="389" t="str">
        <f>IF($C53="","",O53*VLOOKUP($C53,MINIPELLE!$A$2:$D$28,4,0))</f>
        <v/>
      </c>
      <c r="Q53" s="364">
        <v>4</v>
      </c>
      <c r="R53" s="389" t="str">
        <f>IF($C53="","",Q53*VLOOKUP($C53,MINIPELLE!$A$2:$D$28,4,0))</f>
        <v/>
      </c>
      <c r="S53" s="364">
        <v>4</v>
      </c>
      <c r="T53" s="389" t="str">
        <f>IF($C53="","",S53*VLOOKUP($C53,MINIPELLE!$A$2:$D$28,4,0))</f>
        <v/>
      </c>
      <c r="U53" s="364">
        <v>4</v>
      </c>
      <c r="V53" s="389" t="str">
        <f>IF($C53="","",U53*VLOOKUP($C53,MINIPELLE!$A$2:$D$28,4,0))</f>
        <v/>
      </c>
      <c r="W53" s="364">
        <v>4</v>
      </c>
      <c r="X53" s="389" t="str">
        <f>IF($C53="","",W53*VLOOKUP($C53,MINIPELLE!$A$2:$D$28,4,0))</f>
        <v/>
      </c>
      <c r="Y53" s="364">
        <v>4</v>
      </c>
      <c r="Z53" s="389" t="str">
        <f>IF($C53="","",Y53*VLOOKUP($C53,MINIPELLE!$A$2:$D$28,4,0))</f>
        <v/>
      </c>
      <c r="AA53" s="364">
        <v>4</v>
      </c>
      <c r="AB53" s="389" t="str">
        <f>IF($C53="","",AA53*VLOOKUP($C53,MINIPELLE!$A$2:$D$28,4,0))</f>
        <v/>
      </c>
      <c r="AC53" s="364">
        <v>4</v>
      </c>
      <c r="AD53" s="389" t="str">
        <f>IF($C53="","",AC53*VLOOKUP($C53,MINIPELLE!$A$2:$D$28,4,0))</f>
        <v/>
      </c>
      <c r="AE53" s="364">
        <v>4</v>
      </c>
      <c r="AF53" s="389" t="str">
        <f>IF($C53="","",AE53*VLOOKUP($C53,MINIPELLE!$A$2:$D$28,4,0))</f>
        <v/>
      </c>
      <c r="AG53" s="364">
        <v>4</v>
      </c>
      <c r="AH53" s="389" t="str">
        <f>IF($C53="","",AG53*VLOOKUP($C53,MINIPELLE!$A$2:$D$28,4,0))</f>
        <v/>
      </c>
      <c r="AI53" s="364">
        <v>4</v>
      </c>
      <c r="AJ53" s="389" t="str">
        <f>IF($C53="","",AI53*VLOOKUP($C53,MINIPELLE!$A$2:$D$28,4,0))</f>
        <v/>
      </c>
      <c r="AK53" s="364">
        <v>4</v>
      </c>
      <c r="AL53" s="389" t="str">
        <f>IF($C53="","",AK53*VLOOKUP($C53,MINIPELLE!$A$2:$D$28,4,0))</f>
        <v/>
      </c>
      <c r="AM53" s="364">
        <v>4</v>
      </c>
      <c r="AN53" s="389" t="str">
        <f>IF($C53="","",AM53*VLOOKUP($C53,MINIPELLE!$A$2:$D$28,4,0))</f>
        <v/>
      </c>
    </row>
    <row r="54" spans="1:42" ht="15" customHeight="1" x14ac:dyDescent="0.2">
      <c r="A54" s="1560"/>
      <c r="B54" s="361"/>
      <c r="C54" s="378"/>
      <c r="D54" s="363" t="str">
        <f>IF(C54="","",VLOOKUP($C54,MINIPELLE!$A$2:$C$28,3,0))</f>
        <v/>
      </c>
      <c r="E54" s="364">
        <v>5</v>
      </c>
      <c r="F54" s="389" t="str">
        <f>IF($C54="","",E54*VLOOKUP($C54,MINIPELLE!$A$2:$D$28,4,0))</f>
        <v/>
      </c>
      <c r="G54" s="364">
        <v>5</v>
      </c>
      <c r="H54" s="389" t="str">
        <f>IF($C54="","",G54*VLOOKUP($C54,MINIPELLE!$A$2:$D$28,4,0))</f>
        <v/>
      </c>
      <c r="I54" s="364">
        <v>5</v>
      </c>
      <c r="J54" s="389" t="str">
        <f>IF($C54="","",I54*VLOOKUP($C54,MINIPELLE!$A$2:$D$28,4,0))</f>
        <v/>
      </c>
      <c r="K54" s="364">
        <v>5</v>
      </c>
      <c r="L54" s="389" t="str">
        <f>IF($C54="","",K54*VLOOKUP($C54,MINIPELLE!$A$2:$D$28,4,0))</f>
        <v/>
      </c>
      <c r="M54" s="364">
        <v>5</v>
      </c>
      <c r="N54" s="389" t="str">
        <f>IF($C54="","",M54*VLOOKUP($C54,MINIPELLE!$A$2:$D$28,4,0))</f>
        <v/>
      </c>
      <c r="O54" s="364">
        <v>5</v>
      </c>
      <c r="P54" s="389" t="str">
        <f>IF($C54="","",O54*VLOOKUP($C54,MINIPELLE!$A$2:$D$28,4,0))</f>
        <v/>
      </c>
      <c r="Q54" s="364">
        <v>5</v>
      </c>
      <c r="R54" s="389" t="str">
        <f>IF($C54="","",Q54*VLOOKUP($C54,MINIPELLE!$A$2:$D$28,4,0))</f>
        <v/>
      </c>
      <c r="S54" s="364">
        <v>5</v>
      </c>
      <c r="T54" s="389" t="str">
        <f>IF($C54="","",S54*VLOOKUP($C54,MINIPELLE!$A$2:$D$28,4,0))</f>
        <v/>
      </c>
      <c r="U54" s="364">
        <v>5</v>
      </c>
      <c r="V54" s="389" t="str">
        <f>IF($C54="","",U54*VLOOKUP($C54,MINIPELLE!$A$2:$D$28,4,0))</f>
        <v/>
      </c>
      <c r="W54" s="364">
        <v>5</v>
      </c>
      <c r="X54" s="389" t="str">
        <f>IF($C54="","",W54*VLOOKUP($C54,MINIPELLE!$A$2:$D$28,4,0))</f>
        <v/>
      </c>
      <c r="Y54" s="364">
        <v>5</v>
      </c>
      <c r="Z54" s="389" t="str">
        <f>IF($C54="","",Y54*VLOOKUP($C54,MINIPELLE!$A$2:$D$28,4,0))</f>
        <v/>
      </c>
      <c r="AA54" s="364">
        <v>5</v>
      </c>
      <c r="AB54" s="389" t="str">
        <f>IF($C54="","",AA54*VLOOKUP($C54,MINIPELLE!$A$2:$D$28,4,0))</f>
        <v/>
      </c>
      <c r="AC54" s="364">
        <v>5</v>
      </c>
      <c r="AD54" s="389" t="str">
        <f>IF($C54="","",AC54*VLOOKUP($C54,MINIPELLE!$A$2:$D$28,4,0))</f>
        <v/>
      </c>
      <c r="AE54" s="364">
        <v>5</v>
      </c>
      <c r="AF54" s="389" t="str">
        <f>IF($C54="","",AE54*VLOOKUP($C54,MINIPELLE!$A$2:$D$28,4,0))</f>
        <v/>
      </c>
      <c r="AG54" s="364">
        <v>5</v>
      </c>
      <c r="AH54" s="389" t="str">
        <f>IF($C54="","",AG54*VLOOKUP($C54,MINIPELLE!$A$2:$D$28,4,0))</f>
        <v/>
      </c>
      <c r="AI54" s="364">
        <v>5</v>
      </c>
      <c r="AJ54" s="389" t="str">
        <f>IF($C54="","",AI54*VLOOKUP($C54,MINIPELLE!$A$2:$D$28,4,0))</f>
        <v/>
      </c>
      <c r="AK54" s="364">
        <v>5</v>
      </c>
      <c r="AL54" s="389" t="str">
        <f>IF($C54="","",AK54*VLOOKUP($C54,MINIPELLE!$A$2:$D$28,4,0))</f>
        <v/>
      </c>
      <c r="AM54" s="364">
        <v>5</v>
      </c>
      <c r="AN54" s="389" t="str">
        <f>IF($C54="","",AM54*VLOOKUP($C54,MINIPELLE!$A$2:$D$28,4,0))</f>
        <v/>
      </c>
    </row>
    <row r="55" spans="1:42" ht="15" customHeight="1" x14ac:dyDescent="0.2">
      <c r="A55" s="1560"/>
      <c r="B55" s="361"/>
      <c r="C55" s="378"/>
      <c r="D55" s="363" t="str">
        <f>IF(C55="","",VLOOKUP($C55,MINIPELLE!$A$2:$C$28,3,0))</f>
        <v/>
      </c>
      <c r="E55" s="364">
        <v>6</v>
      </c>
      <c r="F55" s="389" t="str">
        <f>IF($C55="","",E55*VLOOKUP($C55,MINIPELLE!$A$2:$D$28,4,0))</f>
        <v/>
      </c>
      <c r="G55" s="364">
        <v>6</v>
      </c>
      <c r="H55" s="389" t="str">
        <f>IF($C55="","",G55*VLOOKUP($C55,MINIPELLE!$A$2:$D$28,4,0))</f>
        <v/>
      </c>
      <c r="I55" s="364">
        <v>6</v>
      </c>
      <c r="J55" s="389" t="str">
        <f>IF($C55="","",I55*VLOOKUP($C55,MINIPELLE!$A$2:$D$28,4,0))</f>
        <v/>
      </c>
      <c r="K55" s="364">
        <v>6</v>
      </c>
      <c r="L55" s="389" t="str">
        <f>IF($C55="","",K55*VLOOKUP($C55,MINIPELLE!$A$2:$D$28,4,0))</f>
        <v/>
      </c>
      <c r="M55" s="364">
        <v>6</v>
      </c>
      <c r="N55" s="389" t="str">
        <f>IF($C55="","",M55*VLOOKUP($C55,MINIPELLE!$A$2:$D$28,4,0))</f>
        <v/>
      </c>
      <c r="O55" s="364">
        <v>6</v>
      </c>
      <c r="P55" s="389" t="str">
        <f>IF($C55="","",O55*VLOOKUP($C55,MINIPELLE!$A$2:$D$28,4,0))</f>
        <v/>
      </c>
      <c r="Q55" s="364">
        <v>6</v>
      </c>
      <c r="R55" s="389" t="str">
        <f>IF($C55="","",Q55*VLOOKUP($C55,MINIPELLE!$A$2:$D$28,4,0))</f>
        <v/>
      </c>
      <c r="S55" s="364">
        <v>6</v>
      </c>
      <c r="T55" s="389" t="str">
        <f>IF($C55="","",S55*VLOOKUP($C55,MINIPELLE!$A$2:$D$28,4,0))</f>
        <v/>
      </c>
      <c r="U55" s="364">
        <v>6</v>
      </c>
      <c r="V55" s="389" t="str">
        <f>IF($C55="","",U55*VLOOKUP($C55,MINIPELLE!$A$2:$D$28,4,0))</f>
        <v/>
      </c>
      <c r="W55" s="364">
        <v>6</v>
      </c>
      <c r="X55" s="389" t="str">
        <f>IF($C55="","",W55*VLOOKUP($C55,MINIPELLE!$A$2:$D$28,4,0))</f>
        <v/>
      </c>
      <c r="Y55" s="364">
        <v>6</v>
      </c>
      <c r="Z55" s="389" t="str">
        <f>IF($C55="","",Y55*VLOOKUP($C55,MINIPELLE!$A$2:$D$28,4,0))</f>
        <v/>
      </c>
      <c r="AA55" s="364">
        <v>6</v>
      </c>
      <c r="AB55" s="389" t="str">
        <f>IF($C55="","",AA55*VLOOKUP($C55,MINIPELLE!$A$2:$D$28,4,0))</f>
        <v/>
      </c>
      <c r="AC55" s="364">
        <v>6</v>
      </c>
      <c r="AD55" s="389" t="str">
        <f>IF($C55="","",AC55*VLOOKUP($C55,MINIPELLE!$A$2:$D$28,4,0))</f>
        <v/>
      </c>
      <c r="AE55" s="364">
        <v>6</v>
      </c>
      <c r="AF55" s="389" t="str">
        <f>IF($C55="","",AE55*VLOOKUP($C55,MINIPELLE!$A$2:$D$28,4,0))</f>
        <v/>
      </c>
      <c r="AG55" s="364">
        <v>6</v>
      </c>
      <c r="AH55" s="389" t="str">
        <f>IF($C55="","",AG55*VLOOKUP($C55,MINIPELLE!$A$2:$D$28,4,0))</f>
        <v/>
      </c>
      <c r="AI55" s="364">
        <v>6</v>
      </c>
      <c r="AJ55" s="389" t="str">
        <f>IF($C55="","",AI55*VLOOKUP($C55,MINIPELLE!$A$2:$D$28,4,0))</f>
        <v/>
      </c>
      <c r="AK55" s="364">
        <v>6</v>
      </c>
      <c r="AL55" s="389" t="str">
        <f>IF($C55="","",AK55*VLOOKUP($C55,MINIPELLE!$A$2:$D$28,4,0))</f>
        <v/>
      </c>
      <c r="AM55" s="364">
        <v>6</v>
      </c>
      <c r="AN55" s="389" t="str">
        <f>IF($C55="","",AM55*VLOOKUP($C55,MINIPELLE!$A$2:$D$28,4,0))</f>
        <v/>
      </c>
    </row>
    <row r="56" spans="1:42" ht="15" customHeight="1" x14ac:dyDescent="0.2">
      <c r="A56" s="1560"/>
      <c r="B56" s="361"/>
      <c r="C56" s="378"/>
      <c r="D56" s="363" t="str">
        <f>IF(C56="","",VLOOKUP($C56,MINIPELLE!$A$2:$C$28,3,0))</f>
        <v/>
      </c>
      <c r="E56" s="364">
        <v>7</v>
      </c>
      <c r="F56" s="389" t="str">
        <f>IF($C56="","",E56*VLOOKUP($C56,MINIPELLE!$A$2:$D$28,4,0))</f>
        <v/>
      </c>
      <c r="G56" s="364">
        <v>7</v>
      </c>
      <c r="H56" s="389" t="str">
        <f>IF($C56="","",G56*VLOOKUP($C56,MINIPELLE!$A$2:$D$28,4,0))</f>
        <v/>
      </c>
      <c r="I56" s="364">
        <v>7</v>
      </c>
      <c r="J56" s="389" t="str">
        <f>IF($C56="","",I56*VLOOKUP($C56,MINIPELLE!$A$2:$D$28,4,0))</f>
        <v/>
      </c>
      <c r="K56" s="364">
        <v>7</v>
      </c>
      <c r="L56" s="389" t="str">
        <f>IF($C56="","",K56*VLOOKUP($C56,MINIPELLE!$A$2:$D$28,4,0))</f>
        <v/>
      </c>
      <c r="M56" s="364">
        <v>7</v>
      </c>
      <c r="N56" s="389" t="str">
        <f>IF($C56="","",M56*VLOOKUP($C56,MINIPELLE!$A$2:$D$28,4,0))</f>
        <v/>
      </c>
      <c r="O56" s="364">
        <v>7</v>
      </c>
      <c r="P56" s="389" t="str">
        <f>IF($C56="","",O56*VLOOKUP($C56,MINIPELLE!$A$2:$D$28,4,0))</f>
        <v/>
      </c>
      <c r="Q56" s="364">
        <v>7</v>
      </c>
      <c r="R56" s="389" t="str">
        <f>IF($C56="","",Q56*VLOOKUP($C56,MINIPELLE!$A$2:$D$28,4,0))</f>
        <v/>
      </c>
      <c r="S56" s="364">
        <v>7</v>
      </c>
      <c r="T56" s="389" t="str">
        <f>IF($C56="","",S56*VLOOKUP($C56,MINIPELLE!$A$2:$D$28,4,0))</f>
        <v/>
      </c>
      <c r="U56" s="364">
        <v>7</v>
      </c>
      <c r="V56" s="389" t="str">
        <f>IF($C56="","",U56*VLOOKUP($C56,MINIPELLE!$A$2:$D$28,4,0))</f>
        <v/>
      </c>
      <c r="W56" s="364">
        <v>7</v>
      </c>
      <c r="X56" s="389" t="str">
        <f>IF($C56="","",W56*VLOOKUP($C56,MINIPELLE!$A$2:$D$28,4,0))</f>
        <v/>
      </c>
      <c r="Y56" s="364">
        <v>7</v>
      </c>
      <c r="Z56" s="389" t="str">
        <f>IF($C56="","",Y56*VLOOKUP($C56,MINIPELLE!$A$2:$D$28,4,0))</f>
        <v/>
      </c>
      <c r="AA56" s="364">
        <v>7</v>
      </c>
      <c r="AB56" s="389" t="str">
        <f>IF($C56="","",AA56*VLOOKUP($C56,MINIPELLE!$A$2:$D$28,4,0))</f>
        <v/>
      </c>
      <c r="AC56" s="364">
        <v>7</v>
      </c>
      <c r="AD56" s="389" t="str">
        <f>IF($C56="","",AC56*VLOOKUP($C56,MINIPELLE!$A$2:$D$28,4,0))</f>
        <v/>
      </c>
      <c r="AE56" s="364">
        <v>7</v>
      </c>
      <c r="AF56" s="389" t="str">
        <f>IF($C56="","",AE56*VLOOKUP($C56,MINIPELLE!$A$2:$D$28,4,0))</f>
        <v/>
      </c>
      <c r="AG56" s="364">
        <v>7</v>
      </c>
      <c r="AH56" s="389" t="str">
        <f>IF($C56="","",AG56*VLOOKUP($C56,MINIPELLE!$A$2:$D$28,4,0))</f>
        <v/>
      </c>
      <c r="AI56" s="364">
        <v>7</v>
      </c>
      <c r="AJ56" s="389" t="str">
        <f>IF($C56="","",AI56*VLOOKUP($C56,MINIPELLE!$A$2:$D$28,4,0))</f>
        <v/>
      </c>
      <c r="AK56" s="364">
        <v>7</v>
      </c>
      <c r="AL56" s="389" t="str">
        <f>IF($C56="","",AK56*VLOOKUP($C56,MINIPELLE!$A$2:$D$28,4,0))</f>
        <v/>
      </c>
      <c r="AM56" s="364">
        <v>7</v>
      </c>
      <c r="AN56" s="389" t="str">
        <f>IF($C56="","",AM56*VLOOKUP($C56,MINIPELLE!$A$2:$D$28,4,0))</f>
        <v/>
      </c>
    </row>
    <row r="57" spans="1:42" ht="15" customHeight="1" x14ac:dyDescent="0.2">
      <c r="A57" s="1560"/>
      <c r="B57" s="361"/>
      <c r="C57" s="378"/>
      <c r="D57" s="363" t="str">
        <f>IF(C57="","",VLOOKUP($C57,MINIPELLE!$A$2:$C$28,3,0))</f>
        <v/>
      </c>
      <c r="E57" s="364">
        <v>8</v>
      </c>
      <c r="F57" s="389" t="str">
        <f>IF($C57="","",E57*VLOOKUP($C57,MINIPELLE!$A$2:$D$28,4,0))</f>
        <v/>
      </c>
      <c r="G57" s="364">
        <v>8</v>
      </c>
      <c r="H57" s="389" t="str">
        <f>IF($C57="","",G57*VLOOKUP($C57,MINIPELLE!$A$2:$D$28,4,0))</f>
        <v/>
      </c>
      <c r="I57" s="364">
        <v>8</v>
      </c>
      <c r="J57" s="389" t="str">
        <f>IF($C57="","",I57*VLOOKUP($C57,MINIPELLE!$A$2:$D$28,4,0))</f>
        <v/>
      </c>
      <c r="K57" s="364">
        <v>8</v>
      </c>
      <c r="L57" s="389" t="str">
        <f>IF($C57="","",K57*VLOOKUP($C57,MINIPELLE!$A$2:$D$28,4,0))</f>
        <v/>
      </c>
      <c r="M57" s="364">
        <v>8</v>
      </c>
      <c r="N57" s="389" t="str">
        <f>IF($C57="","",M57*VLOOKUP($C57,MINIPELLE!$A$2:$D$28,4,0))</f>
        <v/>
      </c>
      <c r="O57" s="364">
        <v>8</v>
      </c>
      <c r="P57" s="389" t="str">
        <f>IF($C57="","",O57*VLOOKUP($C57,MINIPELLE!$A$2:$D$28,4,0))</f>
        <v/>
      </c>
      <c r="Q57" s="364">
        <v>8</v>
      </c>
      <c r="R57" s="389" t="str">
        <f>IF($C57="","",Q57*VLOOKUP($C57,MINIPELLE!$A$2:$D$28,4,0))</f>
        <v/>
      </c>
      <c r="S57" s="364">
        <v>8</v>
      </c>
      <c r="T57" s="389" t="str">
        <f>IF($C57="","",S57*VLOOKUP($C57,MINIPELLE!$A$2:$D$28,4,0))</f>
        <v/>
      </c>
      <c r="U57" s="364">
        <v>8</v>
      </c>
      <c r="V57" s="389" t="str">
        <f>IF($C57="","",U57*VLOOKUP($C57,MINIPELLE!$A$2:$D$28,4,0))</f>
        <v/>
      </c>
      <c r="W57" s="364">
        <v>8</v>
      </c>
      <c r="X57" s="389" t="str">
        <f>IF($C57="","",W57*VLOOKUP($C57,MINIPELLE!$A$2:$D$28,4,0))</f>
        <v/>
      </c>
      <c r="Y57" s="364">
        <v>8</v>
      </c>
      <c r="Z57" s="389" t="str">
        <f>IF($C57="","",Y57*VLOOKUP($C57,MINIPELLE!$A$2:$D$28,4,0))</f>
        <v/>
      </c>
      <c r="AA57" s="364">
        <v>8</v>
      </c>
      <c r="AB57" s="389" t="str">
        <f>IF($C57="","",AA57*VLOOKUP($C57,MINIPELLE!$A$2:$D$28,4,0))</f>
        <v/>
      </c>
      <c r="AC57" s="364">
        <v>8</v>
      </c>
      <c r="AD57" s="389" t="str">
        <f>IF($C57="","",AC57*VLOOKUP($C57,MINIPELLE!$A$2:$D$28,4,0))</f>
        <v/>
      </c>
      <c r="AE57" s="364">
        <v>8</v>
      </c>
      <c r="AF57" s="389" t="str">
        <f>IF($C57="","",AE57*VLOOKUP($C57,MINIPELLE!$A$2:$D$28,4,0))</f>
        <v/>
      </c>
      <c r="AG57" s="364">
        <v>8</v>
      </c>
      <c r="AH57" s="389" t="str">
        <f>IF($C57="","",AG57*VLOOKUP($C57,MINIPELLE!$A$2:$D$28,4,0))</f>
        <v/>
      </c>
      <c r="AI57" s="364">
        <v>8</v>
      </c>
      <c r="AJ57" s="389" t="str">
        <f>IF($C57="","",AI57*VLOOKUP($C57,MINIPELLE!$A$2:$D$28,4,0))</f>
        <v/>
      </c>
      <c r="AK57" s="364">
        <v>8</v>
      </c>
      <c r="AL57" s="389" t="str">
        <f>IF($C57="","",AK57*VLOOKUP($C57,MINIPELLE!$A$2:$D$28,4,0))</f>
        <v/>
      </c>
      <c r="AM57" s="364">
        <v>8</v>
      </c>
      <c r="AN57" s="389" t="str">
        <f>IF($C57="","",AM57*VLOOKUP($C57,MINIPELLE!$A$2:$D$28,4,0))</f>
        <v/>
      </c>
    </row>
    <row r="58" spans="1:42" ht="15" customHeight="1" x14ac:dyDescent="0.2">
      <c r="A58" s="1560"/>
      <c r="B58" s="361"/>
      <c r="C58" s="378"/>
      <c r="D58" s="363" t="str">
        <f>IF(C58="","",VLOOKUP($C58,MINIPELLE!$A$2:$C$28,3,0))</f>
        <v/>
      </c>
      <c r="E58" s="364">
        <v>9</v>
      </c>
      <c r="F58" s="389" t="str">
        <f>IF($C58="","",E58*VLOOKUP($C58,MINIPELLE!$A$2:$D$28,4,0))</f>
        <v/>
      </c>
      <c r="G58" s="364">
        <v>9</v>
      </c>
      <c r="H58" s="389" t="str">
        <f>IF($C58="","",G58*VLOOKUP($C58,MINIPELLE!$A$2:$D$28,4,0))</f>
        <v/>
      </c>
      <c r="I58" s="364">
        <v>9</v>
      </c>
      <c r="J58" s="389" t="str">
        <f>IF($C58="","",I58*VLOOKUP($C58,MINIPELLE!$A$2:$D$28,4,0))</f>
        <v/>
      </c>
      <c r="K58" s="364">
        <v>9</v>
      </c>
      <c r="L58" s="389" t="str">
        <f>IF($C58="","",K58*VLOOKUP($C58,MINIPELLE!$A$2:$D$28,4,0))</f>
        <v/>
      </c>
      <c r="M58" s="364">
        <v>9</v>
      </c>
      <c r="N58" s="389" t="str">
        <f>IF($C58="","",M58*VLOOKUP($C58,MINIPELLE!$A$2:$D$28,4,0))</f>
        <v/>
      </c>
      <c r="O58" s="364">
        <v>9</v>
      </c>
      <c r="P58" s="389" t="str">
        <f>IF($C58="","",O58*VLOOKUP($C58,MINIPELLE!$A$2:$D$28,4,0))</f>
        <v/>
      </c>
      <c r="Q58" s="364">
        <v>9</v>
      </c>
      <c r="R58" s="389" t="str">
        <f>IF($C58="","",Q58*VLOOKUP($C58,MINIPELLE!$A$2:$D$28,4,0))</f>
        <v/>
      </c>
      <c r="S58" s="364">
        <v>9</v>
      </c>
      <c r="T58" s="389" t="str">
        <f>IF($C58="","",S58*VLOOKUP($C58,MINIPELLE!$A$2:$D$28,4,0))</f>
        <v/>
      </c>
      <c r="U58" s="364">
        <v>9</v>
      </c>
      <c r="V58" s="389" t="str">
        <f>IF($C58="","",U58*VLOOKUP($C58,MINIPELLE!$A$2:$D$28,4,0))</f>
        <v/>
      </c>
      <c r="W58" s="364">
        <v>9</v>
      </c>
      <c r="X58" s="389" t="str">
        <f>IF($C58="","",W58*VLOOKUP($C58,MINIPELLE!$A$2:$D$28,4,0))</f>
        <v/>
      </c>
      <c r="Y58" s="364">
        <v>9</v>
      </c>
      <c r="Z58" s="389" t="str">
        <f>IF($C58="","",Y58*VLOOKUP($C58,MINIPELLE!$A$2:$D$28,4,0))</f>
        <v/>
      </c>
      <c r="AA58" s="364">
        <v>9</v>
      </c>
      <c r="AB58" s="389" t="str">
        <f>IF($C58="","",AA58*VLOOKUP($C58,MINIPELLE!$A$2:$D$28,4,0))</f>
        <v/>
      </c>
      <c r="AC58" s="364">
        <v>9</v>
      </c>
      <c r="AD58" s="389" t="str">
        <f>IF($C58="","",AC58*VLOOKUP($C58,MINIPELLE!$A$2:$D$28,4,0))</f>
        <v/>
      </c>
      <c r="AE58" s="364">
        <v>9</v>
      </c>
      <c r="AF58" s="389" t="str">
        <f>IF($C58="","",AE58*VLOOKUP($C58,MINIPELLE!$A$2:$D$28,4,0))</f>
        <v/>
      </c>
      <c r="AG58" s="364">
        <v>9</v>
      </c>
      <c r="AH58" s="389" t="str">
        <f>IF($C58="","",AG58*VLOOKUP($C58,MINIPELLE!$A$2:$D$28,4,0))</f>
        <v/>
      </c>
      <c r="AI58" s="364">
        <v>9</v>
      </c>
      <c r="AJ58" s="389" t="str">
        <f>IF($C58="","",AI58*VLOOKUP($C58,MINIPELLE!$A$2:$D$28,4,0))</f>
        <v/>
      </c>
      <c r="AK58" s="364">
        <v>9</v>
      </c>
      <c r="AL58" s="389" t="str">
        <f>IF($C58="","",AK58*VLOOKUP($C58,MINIPELLE!$A$2:$D$28,4,0))</f>
        <v/>
      </c>
      <c r="AM58" s="364">
        <v>9</v>
      </c>
      <c r="AN58" s="389" t="str">
        <f>IF($C58="","",AM58*VLOOKUP($C58,MINIPELLE!$A$2:$D$28,4,0))</f>
        <v/>
      </c>
      <c r="AO58" s="223"/>
      <c r="AP58" s="223"/>
    </row>
    <row r="59" spans="1:42" ht="15" customHeight="1" x14ac:dyDescent="0.2">
      <c r="A59" s="1560"/>
      <c r="B59" s="361"/>
      <c r="C59" s="378"/>
      <c r="D59" s="363" t="str">
        <f>IF(C59="","",VLOOKUP($C59,MINIPELLE!$A$2:$C$28,3,0))</f>
        <v/>
      </c>
      <c r="E59" s="364">
        <v>10</v>
      </c>
      <c r="F59" s="389" t="str">
        <f>IF($C59="","",E59*VLOOKUP($C59,MINIPELLE!$A$2:$D$28,4,0))</f>
        <v/>
      </c>
      <c r="G59" s="364">
        <v>10</v>
      </c>
      <c r="H59" s="389" t="str">
        <f>IF($C59="","",G59*VLOOKUP($C59,MINIPELLE!$A$2:$D$28,4,0))</f>
        <v/>
      </c>
      <c r="I59" s="364">
        <v>10</v>
      </c>
      <c r="J59" s="389" t="str">
        <f>IF($C59="","",I59*VLOOKUP($C59,MINIPELLE!$A$2:$D$28,4,0))</f>
        <v/>
      </c>
      <c r="K59" s="364">
        <v>10</v>
      </c>
      <c r="L59" s="389" t="str">
        <f>IF($C59="","",K59*VLOOKUP($C59,MINIPELLE!$A$2:$D$28,4,0))</f>
        <v/>
      </c>
      <c r="M59" s="364">
        <v>10</v>
      </c>
      <c r="N59" s="389" t="str">
        <f>IF($C59="","",M59*VLOOKUP($C59,MINIPELLE!$A$2:$D$28,4,0))</f>
        <v/>
      </c>
      <c r="O59" s="364">
        <v>10</v>
      </c>
      <c r="P59" s="389" t="str">
        <f>IF($C59="","",O59*VLOOKUP($C59,MINIPELLE!$A$2:$D$28,4,0))</f>
        <v/>
      </c>
      <c r="Q59" s="364">
        <v>10</v>
      </c>
      <c r="R59" s="389" t="str">
        <f>IF($C59="","",Q59*VLOOKUP($C59,MINIPELLE!$A$2:$D$28,4,0))</f>
        <v/>
      </c>
      <c r="S59" s="364">
        <v>10</v>
      </c>
      <c r="T59" s="389" t="str">
        <f>IF($C59="","",S59*VLOOKUP($C59,MINIPELLE!$A$2:$D$28,4,0))</f>
        <v/>
      </c>
      <c r="U59" s="364">
        <v>10</v>
      </c>
      <c r="V59" s="389" t="str">
        <f>IF($C59="","",U59*VLOOKUP($C59,MINIPELLE!$A$2:$D$28,4,0))</f>
        <v/>
      </c>
      <c r="W59" s="364">
        <v>10</v>
      </c>
      <c r="X59" s="389" t="str">
        <f>IF($C59="","",W59*VLOOKUP($C59,MINIPELLE!$A$2:$D$28,4,0))</f>
        <v/>
      </c>
      <c r="Y59" s="364">
        <v>10</v>
      </c>
      <c r="Z59" s="389" t="str">
        <f>IF($C59="","",Y59*VLOOKUP($C59,MINIPELLE!$A$2:$D$28,4,0))</f>
        <v/>
      </c>
      <c r="AA59" s="364">
        <v>10</v>
      </c>
      <c r="AB59" s="389" t="str">
        <f>IF($C59="","",AA59*VLOOKUP($C59,MINIPELLE!$A$2:$D$28,4,0))</f>
        <v/>
      </c>
      <c r="AC59" s="364">
        <v>10</v>
      </c>
      <c r="AD59" s="389" t="str">
        <f>IF($C59="","",AC59*VLOOKUP($C59,MINIPELLE!$A$2:$D$28,4,0))</f>
        <v/>
      </c>
      <c r="AE59" s="364">
        <v>10</v>
      </c>
      <c r="AF59" s="389" t="str">
        <f>IF($C59="","",AE59*VLOOKUP($C59,MINIPELLE!$A$2:$D$28,4,0))</f>
        <v/>
      </c>
      <c r="AG59" s="364">
        <v>10</v>
      </c>
      <c r="AH59" s="389" t="str">
        <f>IF($C59="","",AG59*VLOOKUP($C59,MINIPELLE!$A$2:$D$28,4,0))</f>
        <v/>
      </c>
      <c r="AI59" s="364">
        <v>10</v>
      </c>
      <c r="AJ59" s="389" t="str">
        <f>IF($C59="","",AI59*VLOOKUP($C59,MINIPELLE!$A$2:$D$28,4,0))</f>
        <v/>
      </c>
      <c r="AK59" s="364">
        <v>10</v>
      </c>
      <c r="AL59" s="389" t="str">
        <f>IF($C59="","",AK59*VLOOKUP($C59,MINIPELLE!$A$2:$D$28,4,0))</f>
        <v/>
      </c>
      <c r="AM59" s="364">
        <v>10</v>
      </c>
      <c r="AN59" s="389" t="str">
        <f>IF($C59="","",AM59*VLOOKUP($C59,MINIPELLE!$A$2:$D$28,4,0))</f>
        <v/>
      </c>
    </row>
    <row r="60" spans="1:42" ht="15" customHeight="1" x14ac:dyDescent="0.2">
      <c r="A60" s="1560"/>
      <c r="B60" s="361"/>
      <c r="C60" s="378"/>
      <c r="D60" s="363" t="str">
        <f>IF(C60="","",VLOOKUP($C60,MINIPELLE!$A$2:$C$28,3,0))</f>
        <v/>
      </c>
      <c r="E60" s="364">
        <v>11</v>
      </c>
      <c r="F60" s="389" t="str">
        <f>IF($C60="","",E60*VLOOKUP($C60,MINIPELLE!$A$2:$D$28,4,0))</f>
        <v/>
      </c>
      <c r="G60" s="364">
        <v>11</v>
      </c>
      <c r="H60" s="389" t="str">
        <f>IF($C60="","",G60*VLOOKUP($C60,MINIPELLE!$A$2:$D$28,4,0))</f>
        <v/>
      </c>
      <c r="I60" s="364">
        <v>11</v>
      </c>
      <c r="J60" s="389" t="str">
        <f>IF($C60="","",I60*VLOOKUP($C60,MINIPELLE!$A$2:$D$28,4,0))</f>
        <v/>
      </c>
      <c r="K60" s="364">
        <v>11</v>
      </c>
      <c r="L60" s="389" t="str">
        <f>IF($C60="","",K60*VLOOKUP($C60,MINIPELLE!$A$2:$D$28,4,0))</f>
        <v/>
      </c>
      <c r="M60" s="364">
        <v>11</v>
      </c>
      <c r="N60" s="389" t="str">
        <f>IF($C60="","",M60*VLOOKUP($C60,MINIPELLE!$A$2:$D$28,4,0))</f>
        <v/>
      </c>
      <c r="O60" s="364">
        <v>11</v>
      </c>
      <c r="P60" s="389" t="str">
        <f>IF($C60="","",O60*VLOOKUP($C60,MINIPELLE!$A$2:$D$28,4,0))</f>
        <v/>
      </c>
      <c r="Q60" s="364">
        <v>11</v>
      </c>
      <c r="R60" s="389" t="str">
        <f>IF($C60="","",Q60*VLOOKUP($C60,MINIPELLE!$A$2:$D$28,4,0))</f>
        <v/>
      </c>
      <c r="S60" s="364">
        <v>11</v>
      </c>
      <c r="T60" s="389" t="str">
        <f>IF($C60="","",S60*VLOOKUP($C60,MINIPELLE!$A$2:$D$28,4,0))</f>
        <v/>
      </c>
      <c r="U60" s="364">
        <v>11</v>
      </c>
      <c r="V60" s="389" t="str">
        <f>IF($C60="","",U60*VLOOKUP($C60,MINIPELLE!$A$2:$D$28,4,0))</f>
        <v/>
      </c>
      <c r="W60" s="364">
        <v>11</v>
      </c>
      <c r="X60" s="389" t="str">
        <f>IF($C60="","",W60*VLOOKUP($C60,MINIPELLE!$A$2:$D$28,4,0))</f>
        <v/>
      </c>
      <c r="Y60" s="364">
        <v>11</v>
      </c>
      <c r="Z60" s="389" t="str">
        <f>IF($C60="","",Y60*VLOOKUP($C60,MINIPELLE!$A$2:$D$28,4,0))</f>
        <v/>
      </c>
      <c r="AA60" s="364">
        <v>11</v>
      </c>
      <c r="AB60" s="389" t="str">
        <f>IF($C60="","",AA60*VLOOKUP($C60,MINIPELLE!$A$2:$D$28,4,0))</f>
        <v/>
      </c>
      <c r="AC60" s="364">
        <v>11</v>
      </c>
      <c r="AD60" s="389" t="str">
        <f>IF($C60="","",AC60*VLOOKUP($C60,MINIPELLE!$A$2:$D$28,4,0))</f>
        <v/>
      </c>
      <c r="AE60" s="364">
        <v>11</v>
      </c>
      <c r="AF60" s="389" t="str">
        <f>IF($C60="","",AE60*VLOOKUP($C60,MINIPELLE!$A$2:$D$28,4,0))</f>
        <v/>
      </c>
      <c r="AG60" s="364">
        <v>11</v>
      </c>
      <c r="AH60" s="389" t="str">
        <f>IF($C60="","",AG60*VLOOKUP($C60,MINIPELLE!$A$2:$D$28,4,0))</f>
        <v/>
      </c>
      <c r="AI60" s="364">
        <v>11</v>
      </c>
      <c r="AJ60" s="389" t="str">
        <f>IF($C60="","",AI60*VLOOKUP($C60,MINIPELLE!$A$2:$D$28,4,0))</f>
        <v/>
      </c>
      <c r="AK60" s="364">
        <v>11</v>
      </c>
      <c r="AL60" s="389" t="str">
        <f>IF($C60="","",AK60*VLOOKUP($C60,MINIPELLE!$A$2:$D$28,4,0))</f>
        <v/>
      </c>
      <c r="AM60" s="364">
        <v>11</v>
      </c>
      <c r="AN60" s="389" t="str">
        <f>IF($C60="","",AM60*VLOOKUP($C60,MINIPELLE!$A$2:$D$28,4,0))</f>
        <v/>
      </c>
    </row>
    <row r="61" spans="1:42" ht="15" customHeight="1" x14ac:dyDescent="0.2">
      <c r="A61" s="1560"/>
      <c r="B61" s="361"/>
      <c r="C61" s="378"/>
      <c r="D61" s="363" t="str">
        <f>IF(C61="","",VLOOKUP($C61,MINIPELLE!$A$2:$C$28,3,0))</f>
        <v/>
      </c>
      <c r="E61" s="364">
        <v>12</v>
      </c>
      <c r="F61" s="389" t="str">
        <f>IF($C61="","",E61*VLOOKUP($C61,MINIPELLE!$A$2:$D$28,4,0))</f>
        <v/>
      </c>
      <c r="G61" s="364">
        <v>12</v>
      </c>
      <c r="H61" s="389" t="str">
        <f>IF($C61="","",G61*VLOOKUP($C61,MINIPELLE!$A$2:$D$28,4,0))</f>
        <v/>
      </c>
      <c r="I61" s="364">
        <v>12</v>
      </c>
      <c r="J61" s="389" t="str">
        <f>IF($C61="","",I61*VLOOKUP($C61,MINIPELLE!$A$2:$D$28,4,0))</f>
        <v/>
      </c>
      <c r="K61" s="364">
        <v>12</v>
      </c>
      <c r="L61" s="389" t="str">
        <f>IF($C61="","",K61*VLOOKUP($C61,MINIPELLE!$A$2:$D$28,4,0))</f>
        <v/>
      </c>
      <c r="M61" s="364">
        <v>12</v>
      </c>
      <c r="N61" s="389" t="str">
        <f>IF($C61="","",M61*VLOOKUP($C61,MINIPELLE!$A$2:$D$28,4,0))</f>
        <v/>
      </c>
      <c r="O61" s="364">
        <v>12</v>
      </c>
      <c r="P61" s="389" t="str">
        <f>IF($C61="","",O61*VLOOKUP($C61,MINIPELLE!$A$2:$D$28,4,0))</f>
        <v/>
      </c>
      <c r="Q61" s="364">
        <v>12</v>
      </c>
      <c r="R61" s="389" t="str">
        <f>IF($C61="","",Q61*VLOOKUP($C61,MINIPELLE!$A$2:$D$28,4,0))</f>
        <v/>
      </c>
      <c r="S61" s="364">
        <v>12</v>
      </c>
      <c r="T61" s="389" t="str">
        <f>IF($C61="","",S61*VLOOKUP($C61,MINIPELLE!$A$2:$D$28,4,0))</f>
        <v/>
      </c>
      <c r="U61" s="364">
        <v>12</v>
      </c>
      <c r="V61" s="389" t="str">
        <f>IF($C61="","",U61*VLOOKUP($C61,MINIPELLE!$A$2:$D$28,4,0))</f>
        <v/>
      </c>
      <c r="W61" s="364">
        <v>12</v>
      </c>
      <c r="X61" s="389" t="str">
        <f>IF($C61="","",W61*VLOOKUP($C61,MINIPELLE!$A$2:$D$28,4,0))</f>
        <v/>
      </c>
      <c r="Y61" s="364">
        <v>12</v>
      </c>
      <c r="Z61" s="389" t="str">
        <f>IF($C61="","",Y61*VLOOKUP($C61,MINIPELLE!$A$2:$D$28,4,0))</f>
        <v/>
      </c>
      <c r="AA61" s="364">
        <v>12</v>
      </c>
      <c r="AB61" s="389" t="str">
        <f>IF($C61="","",AA61*VLOOKUP($C61,MINIPELLE!$A$2:$D$28,4,0))</f>
        <v/>
      </c>
      <c r="AC61" s="364">
        <v>12</v>
      </c>
      <c r="AD61" s="389" t="str">
        <f>IF($C61="","",AC61*VLOOKUP($C61,MINIPELLE!$A$2:$D$28,4,0))</f>
        <v/>
      </c>
      <c r="AE61" s="364">
        <v>12</v>
      </c>
      <c r="AF61" s="389" t="str">
        <f>IF($C61="","",AE61*VLOOKUP($C61,MINIPELLE!$A$2:$D$28,4,0))</f>
        <v/>
      </c>
      <c r="AG61" s="364">
        <v>12</v>
      </c>
      <c r="AH61" s="389" t="str">
        <f>IF($C61="","",AG61*VLOOKUP($C61,MINIPELLE!$A$2:$D$28,4,0))</f>
        <v/>
      </c>
      <c r="AI61" s="364">
        <v>12</v>
      </c>
      <c r="AJ61" s="389" t="str">
        <f>IF($C61="","",AI61*VLOOKUP($C61,MINIPELLE!$A$2:$D$28,4,0))</f>
        <v/>
      </c>
      <c r="AK61" s="364">
        <v>12</v>
      </c>
      <c r="AL61" s="389" t="str">
        <f>IF($C61="","",AK61*VLOOKUP($C61,MINIPELLE!$A$2:$D$28,4,0))</f>
        <v/>
      </c>
      <c r="AM61" s="364">
        <v>12</v>
      </c>
      <c r="AN61" s="389" t="str">
        <f>IF($C61="","",AM61*VLOOKUP($C61,MINIPELLE!$A$2:$D$28,4,0))</f>
        <v/>
      </c>
    </row>
    <row r="62" spans="1:42" ht="29.25" customHeight="1" x14ac:dyDescent="0.2">
      <c r="A62" s="1560"/>
      <c r="B62" s="384" t="s">
        <v>454</v>
      </c>
      <c r="C62" s="385" t="s">
        <v>455</v>
      </c>
      <c r="D62" s="386" t="s">
        <v>451</v>
      </c>
      <c r="E62" s="387">
        <f>F62*Simulation!$P$10</f>
        <v>4</v>
      </c>
      <c r="F62" s="388">
        <f>SUM(F51:F61)</f>
        <v>0.05</v>
      </c>
      <c r="G62" s="387">
        <f>H62*Simulation!$P$10</f>
        <v>4</v>
      </c>
      <c r="H62" s="388">
        <f>SUM(H51:H61)</f>
        <v>0.05</v>
      </c>
      <c r="I62" s="387">
        <f>J62*Simulation!$P$10</f>
        <v>4</v>
      </c>
      <c r="J62" s="388">
        <f>SUM(J51:J61)</f>
        <v>0.05</v>
      </c>
      <c r="K62" s="387">
        <f>L62*Simulation!$P$10</f>
        <v>4</v>
      </c>
      <c r="L62" s="388">
        <f>SUM(L51:L61)</f>
        <v>0.05</v>
      </c>
      <c r="M62" s="387">
        <f>N62*Simulation!$P$10</f>
        <v>4</v>
      </c>
      <c r="N62" s="388">
        <f>SUM(N51:N61)</f>
        <v>0.05</v>
      </c>
      <c r="O62" s="387">
        <f>P62*Simulation!$P$10</f>
        <v>4</v>
      </c>
      <c r="P62" s="388">
        <f>SUM(P51:P61)</f>
        <v>0.05</v>
      </c>
      <c r="Q62" s="387">
        <f>R62*Simulation!$P$10</f>
        <v>4</v>
      </c>
      <c r="R62" s="388">
        <f>SUM(R51:R61)</f>
        <v>0.05</v>
      </c>
      <c r="S62" s="387">
        <f>T62*Simulation!$P$10</f>
        <v>4</v>
      </c>
      <c r="T62" s="388">
        <f>SUM(T51:T61)</f>
        <v>0.05</v>
      </c>
      <c r="U62" s="387">
        <f>V62*Simulation!$P$10</f>
        <v>4</v>
      </c>
      <c r="V62" s="388">
        <f>SUM(V51:V61)</f>
        <v>0.05</v>
      </c>
      <c r="W62" s="387">
        <f>X62*Simulation!$P$10</f>
        <v>4</v>
      </c>
      <c r="X62" s="388">
        <f>SUM(X51:X61)</f>
        <v>0.05</v>
      </c>
      <c r="Y62" s="387">
        <f>Z62*Simulation!$P$10</f>
        <v>4</v>
      </c>
      <c r="Z62" s="388">
        <f>SUM(Z51:Z61)</f>
        <v>0.05</v>
      </c>
      <c r="AA62" s="387">
        <f>AB62*Simulation!$P$10</f>
        <v>4</v>
      </c>
      <c r="AB62" s="388">
        <f>SUM(AB51:AB61)</f>
        <v>0.05</v>
      </c>
      <c r="AC62" s="387">
        <f>AD62*Simulation!$P$10</f>
        <v>4</v>
      </c>
      <c r="AD62" s="388">
        <f>SUM(AD51:AD61)</f>
        <v>0.05</v>
      </c>
      <c r="AE62" s="387">
        <f>AF62*Simulation!$P$10</f>
        <v>4</v>
      </c>
      <c r="AF62" s="388">
        <f>SUM(AF51:AF61)</f>
        <v>0.05</v>
      </c>
      <c r="AG62" s="387">
        <f>AH62*Simulation!$P$10</f>
        <v>4</v>
      </c>
      <c r="AH62" s="388">
        <f>SUM(AH51:AH61)</f>
        <v>0.05</v>
      </c>
      <c r="AI62" s="387">
        <f>AJ62*Simulation!$P$10</f>
        <v>4</v>
      </c>
      <c r="AJ62" s="388">
        <f>SUM(AJ51:AJ61)</f>
        <v>0.05</v>
      </c>
      <c r="AK62" s="387">
        <f>AL62*Simulation!$P$10</f>
        <v>4</v>
      </c>
      <c r="AL62" s="388">
        <f>SUM(AL51:AL61)</f>
        <v>0.05</v>
      </c>
      <c r="AM62" s="387">
        <f>AN62*Simulation!$P$10</f>
        <v>4</v>
      </c>
      <c r="AN62" s="388">
        <f>SUM(AN51:AN61)</f>
        <v>0.05</v>
      </c>
    </row>
    <row r="63" spans="1:42" x14ac:dyDescent="0.2">
      <c r="A63" s="199"/>
      <c r="B63" s="172"/>
      <c r="C63" s="200"/>
      <c r="D63" s="201"/>
      <c r="E63" s="202"/>
      <c r="F63" s="203"/>
      <c r="G63" s="202"/>
      <c r="H63" s="203"/>
      <c r="I63" s="202"/>
      <c r="J63" s="203"/>
      <c r="K63" s="202"/>
      <c r="L63" s="203"/>
      <c r="M63" s="202"/>
      <c r="N63" s="203"/>
      <c r="O63" s="202"/>
      <c r="P63" s="203"/>
      <c r="Q63" s="202"/>
      <c r="R63" s="203"/>
      <c r="S63" s="202"/>
      <c r="T63" s="203"/>
      <c r="U63" s="202"/>
      <c r="V63" s="203"/>
      <c r="W63" s="202"/>
      <c r="X63" s="203"/>
      <c r="Y63" s="202"/>
      <c r="Z63" s="203"/>
      <c r="AA63" s="202"/>
      <c r="AB63" s="203"/>
      <c r="AC63" s="202"/>
      <c r="AD63" s="203"/>
      <c r="AE63" s="202"/>
      <c r="AF63" s="203"/>
      <c r="AG63" s="202"/>
      <c r="AH63" s="203"/>
      <c r="AI63" s="202"/>
      <c r="AJ63" s="203"/>
      <c r="AK63" s="202"/>
      <c r="AL63" s="203"/>
      <c r="AM63" s="202"/>
      <c r="AN63" s="203"/>
    </row>
    <row r="64" spans="1:42" ht="36" customHeight="1" x14ac:dyDescent="0.2">
      <c r="A64" s="204"/>
      <c r="B64" s="1561" t="s">
        <v>456</v>
      </c>
      <c r="C64" s="1564" t="s">
        <v>445</v>
      </c>
      <c r="D64" s="1564"/>
      <c r="E64" s="1547" t="e">
        <f>E62+E50+E38+E26</f>
        <v>#N/A</v>
      </c>
      <c r="F64" s="1547"/>
      <c r="G64" s="1547" t="e">
        <f>G62+G50+G38+G26</f>
        <v>#N/A</v>
      </c>
      <c r="H64" s="1547"/>
      <c r="I64" s="1547" t="e">
        <f>I62+I50+I38+I26</f>
        <v>#N/A</v>
      </c>
      <c r="J64" s="1547"/>
      <c r="K64" s="1547" t="e">
        <f>K62+K50+K38+K26</f>
        <v>#N/A</v>
      </c>
      <c r="L64" s="1547"/>
      <c r="M64" s="1547" t="e">
        <f>M62+M50+M38+M26</f>
        <v>#N/A</v>
      </c>
      <c r="N64" s="1547"/>
      <c r="O64" s="1547" t="e">
        <f>O62+O50+O38+O26</f>
        <v>#N/A</v>
      </c>
      <c r="P64" s="1547"/>
      <c r="Q64" s="1547" t="e">
        <f>Q62+Q50+Q38+Q26</f>
        <v>#N/A</v>
      </c>
      <c r="R64" s="1547"/>
      <c r="S64" s="1547" t="e">
        <f>S62+S50+S38+S26</f>
        <v>#N/A</v>
      </c>
      <c r="T64" s="1547"/>
      <c r="U64" s="1547" t="e">
        <f>U62+U50+U38+U26</f>
        <v>#N/A</v>
      </c>
      <c r="V64" s="1547"/>
      <c r="W64" s="1547" t="e">
        <f>W62+W50+W38+W26</f>
        <v>#N/A</v>
      </c>
      <c r="X64" s="1547"/>
      <c r="Y64" s="1547" t="e">
        <f>Y62+Y50+Y38+Y26</f>
        <v>#N/A</v>
      </c>
      <c r="Z64" s="1547"/>
      <c r="AA64" s="1547" t="e">
        <f>AA62+AA50+AA38+AA26</f>
        <v>#N/A</v>
      </c>
      <c r="AB64" s="1547"/>
      <c r="AC64" s="1547" t="e">
        <f>AC62+AC50+AC38+AC26</f>
        <v>#N/A</v>
      </c>
      <c r="AD64" s="1547"/>
      <c r="AE64" s="1547" t="e">
        <f>AE62+AE50+AE38+AE26</f>
        <v>#N/A</v>
      </c>
      <c r="AF64" s="1547"/>
      <c r="AG64" s="1547" t="e">
        <f>AG62+AG50+AG38+AG26</f>
        <v>#N/A</v>
      </c>
      <c r="AH64" s="1547"/>
      <c r="AI64" s="1547" t="e">
        <f>AI62+AI50+AI38+AI26</f>
        <v>#N/A</v>
      </c>
      <c r="AJ64" s="1547"/>
      <c r="AK64" s="1547" t="e">
        <f>AK62+AK50+AK38+AK26</f>
        <v>#N/A</v>
      </c>
      <c r="AL64" s="1547"/>
      <c r="AM64" s="1547" t="e">
        <f>AM62+AM50+AM38+AM26</f>
        <v>#N/A</v>
      </c>
      <c r="AN64" s="1547"/>
    </row>
    <row r="65" spans="1:42" ht="18" customHeight="1" x14ac:dyDescent="0.2">
      <c r="A65" s="154"/>
      <c r="B65" s="1562"/>
      <c r="C65" s="1565" t="s">
        <v>457</v>
      </c>
      <c r="D65" s="1565"/>
      <c r="E65" s="149">
        <f>E26-F26</f>
        <v>0</v>
      </c>
      <c r="F65" s="207" t="e">
        <f>E65/E$64</f>
        <v>#N/A</v>
      </c>
      <c r="G65" s="149">
        <f>G26-H26</f>
        <v>0</v>
      </c>
      <c r="H65" s="207" t="e">
        <f>G65/G$64</f>
        <v>#N/A</v>
      </c>
      <c r="I65" s="149">
        <f>I26-J26</f>
        <v>0</v>
      </c>
      <c r="J65" s="207" t="e">
        <f>I65/I$64</f>
        <v>#N/A</v>
      </c>
      <c r="K65" s="149">
        <f>K26-L26</f>
        <v>0</v>
      </c>
      <c r="L65" s="207" t="e">
        <f>K65/K$64</f>
        <v>#N/A</v>
      </c>
      <c r="M65" s="149">
        <f>M26-N26</f>
        <v>0</v>
      </c>
      <c r="N65" s="207" t="e">
        <f>M65/M$64</f>
        <v>#N/A</v>
      </c>
      <c r="O65" s="149">
        <f>O26-P26</f>
        <v>0</v>
      </c>
      <c r="P65" s="207" t="e">
        <f>O65/O$64</f>
        <v>#N/A</v>
      </c>
      <c r="Q65" s="149">
        <f>Q26-R26</f>
        <v>0</v>
      </c>
      <c r="R65" s="207" t="e">
        <f>Q65/Q$64</f>
        <v>#N/A</v>
      </c>
      <c r="S65" s="149">
        <f>S26-T26</f>
        <v>0</v>
      </c>
      <c r="T65" s="207" t="e">
        <f>S65/S$64</f>
        <v>#N/A</v>
      </c>
      <c r="U65" s="149">
        <f>U26-V26</f>
        <v>0</v>
      </c>
      <c r="V65" s="207" t="e">
        <f>U65/U$64</f>
        <v>#N/A</v>
      </c>
      <c r="W65" s="149">
        <f>W26-X26</f>
        <v>0</v>
      </c>
      <c r="X65" s="207" t="e">
        <f>W65/W$64</f>
        <v>#N/A</v>
      </c>
      <c r="Y65" s="149">
        <f>Y26-Z26</f>
        <v>0</v>
      </c>
      <c r="Z65" s="207" t="e">
        <f>Y65/Y$64</f>
        <v>#N/A</v>
      </c>
      <c r="AA65" s="149">
        <f>AA26-AB26</f>
        <v>0</v>
      </c>
      <c r="AB65" s="207" t="e">
        <f>AA65/AA$64</f>
        <v>#N/A</v>
      </c>
      <c r="AC65" s="149">
        <f>AC26-AD26</f>
        <v>0</v>
      </c>
      <c r="AD65" s="207" t="e">
        <f>AC65/AC$64</f>
        <v>#N/A</v>
      </c>
      <c r="AE65" s="149">
        <f>AE26-AF26</f>
        <v>0</v>
      </c>
      <c r="AF65" s="207" t="e">
        <f>AE65/AE$64</f>
        <v>#N/A</v>
      </c>
      <c r="AG65" s="149">
        <f>AG26-AH26</f>
        <v>0</v>
      </c>
      <c r="AH65" s="207" t="e">
        <f>AG65/AG$64</f>
        <v>#N/A</v>
      </c>
      <c r="AI65" s="149">
        <f>AI26-AJ26</f>
        <v>0</v>
      </c>
      <c r="AJ65" s="207" t="e">
        <f>AI65/AI$64</f>
        <v>#N/A</v>
      </c>
      <c r="AK65" s="149">
        <f>AK26-AL26</f>
        <v>0</v>
      </c>
      <c r="AL65" s="207" t="e">
        <f>AK65/AK$64</f>
        <v>#N/A</v>
      </c>
      <c r="AM65" s="149">
        <f>AM26-AN26</f>
        <v>0</v>
      </c>
      <c r="AN65" s="207" t="e">
        <f>AM65/AM$64</f>
        <v>#N/A</v>
      </c>
    </row>
    <row r="66" spans="1:42" ht="18" customHeight="1" x14ac:dyDescent="0.2">
      <c r="A66" s="154"/>
      <c r="B66" s="1562"/>
      <c r="C66" s="1565" t="s">
        <v>9</v>
      </c>
      <c r="D66" s="1565"/>
      <c r="E66" s="149">
        <f>E26</f>
        <v>0</v>
      </c>
      <c r="F66" s="207" t="e">
        <f>E66/E$64</f>
        <v>#N/A</v>
      </c>
      <c r="G66" s="149">
        <f>G26</f>
        <v>0</v>
      </c>
      <c r="H66" s="207" t="e">
        <f>G66/G$64</f>
        <v>#N/A</v>
      </c>
      <c r="I66" s="149">
        <f>I26</f>
        <v>0</v>
      </c>
      <c r="J66" s="207" t="e">
        <f>I66/I$64</f>
        <v>#N/A</v>
      </c>
      <c r="K66" s="149">
        <f>K26</f>
        <v>0</v>
      </c>
      <c r="L66" s="207" t="e">
        <f>K66/K$64</f>
        <v>#N/A</v>
      </c>
      <c r="M66" s="149">
        <f>M26</f>
        <v>0</v>
      </c>
      <c r="N66" s="207" t="e">
        <f>M66/M$64</f>
        <v>#N/A</v>
      </c>
      <c r="O66" s="149">
        <f>O26</f>
        <v>0</v>
      </c>
      <c r="P66" s="207" t="e">
        <f>O66/O$64</f>
        <v>#N/A</v>
      </c>
      <c r="Q66" s="149">
        <f>Q26</f>
        <v>0</v>
      </c>
      <c r="R66" s="207" t="e">
        <f>Q66/Q$64</f>
        <v>#N/A</v>
      </c>
      <c r="S66" s="149">
        <f>S26</f>
        <v>0</v>
      </c>
      <c r="T66" s="207" t="e">
        <f>S66/S$64</f>
        <v>#N/A</v>
      </c>
      <c r="U66" s="149">
        <f>U26</f>
        <v>0</v>
      </c>
      <c r="V66" s="207" t="e">
        <f>U66/U$64</f>
        <v>#N/A</v>
      </c>
      <c r="W66" s="149">
        <f>W26</f>
        <v>0</v>
      </c>
      <c r="X66" s="207" t="e">
        <f>W66/W$64</f>
        <v>#N/A</v>
      </c>
      <c r="Y66" s="149">
        <f>Y26</f>
        <v>0</v>
      </c>
      <c r="Z66" s="207" t="e">
        <f>Y66/Y$64</f>
        <v>#N/A</v>
      </c>
      <c r="AA66" s="149">
        <f>AA26</f>
        <v>0</v>
      </c>
      <c r="AB66" s="207" t="e">
        <f>AA66/AA$64</f>
        <v>#N/A</v>
      </c>
      <c r="AC66" s="149">
        <f>AC26</f>
        <v>0</v>
      </c>
      <c r="AD66" s="207" t="e">
        <f>AC66/AC$64</f>
        <v>#N/A</v>
      </c>
      <c r="AE66" s="149">
        <f>AE26</f>
        <v>0</v>
      </c>
      <c r="AF66" s="207" t="e">
        <f>AE66/AE$64</f>
        <v>#N/A</v>
      </c>
      <c r="AG66" s="149">
        <f>AG26</f>
        <v>0</v>
      </c>
      <c r="AH66" s="207" t="e">
        <f>AG66/AG$64</f>
        <v>#N/A</v>
      </c>
      <c r="AI66" s="149">
        <f>AI26</f>
        <v>0</v>
      </c>
      <c r="AJ66" s="207" t="e">
        <f>AI66/AI$64</f>
        <v>#N/A</v>
      </c>
      <c r="AK66" s="149">
        <f>AK26</f>
        <v>0</v>
      </c>
      <c r="AL66" s="207" t="e">
        <f>AK66/AK$64</f>
        <v>#N/A</v>
      </c>
      <c r="AM66" s="149">
        <f>AM26</f>
        <v>0</v>
      </c>
      <c r="AN66" s="207" t="e">
        <f>AM66/AM$64</f>
        <v>#N/A</v>
      </c>
    </row>
    <row r="67" spans="1:42" ht="18" customHeight="1" x14ac:dyDescent="0.2">
      <c r="A67" s="154"/>
      <c r="B67" s="1562"/>
      <c r="C67" s="1565" t="s">
        <v>458</v>
      </c>
      <c r="D67" s="1565"/>
      <c r="E67" s="149" t="e">
        <f>E38</f>
        <v>#N/A</v>
      </c>
      <c r="F67" s="207" t="e">
        <f>E67/E$64</f>
        <v>#N/A</v>
      </c>
      <c r="G67" s="149" t="e">
        <f>G38</f>
        <v>#N/A</v>
      </c>
      <c r="H67" s="207" t="e">
        <f>G67/G$64</f>
        <v>#N/A</v>
      </c>
      <c r="I67" s="149" t="e">
        <f>I38</f>
        <v>#N/A</v>
      </c>
      <c r="J67" s="207" t="e">
        <f>I67/I$64</f>
        <v>#N/A</v>
      </c>
      <c r="K67" s="149" t="e">
        <f>K38</f>
        <v>#N/A</v>
      </c>
      <c r="L67" s="207" t="e">
        <f>K67/K$64</f>
        <v>#N/A</v>
      </c>
      <c r="M67" s="149" t="e">
        <f>M38</f>
        <v>#N/A</v>
      </c>
      <c r="N67" s="207" t="e">
        <f>M67/M$64</f>
        <v>#N/A</v>
      </c>
      <c r="O67" s="149" t="e">
        <f>O38</f>
        <v>#N/A</v>
      </c>
      <c r="P67" s="207" t="e">
        <f>O67/O$64</f>
        <v>#N/A</v>
      </c>
      <c r="Q67" s="149" t="e">
        <f>Q38</f>
        <v>#N/A</v>
      </c>
      <c r="R67" s="207" t="e">
        <f>Q67/Q$64</f>
        <v>#N/A</v>
      </c>
      <c r="S67" s="149" t="e">
        <f>S38</f>
        <v>#N/A</v>
      </c>
      <c r="T67" s="207" t="e">
        <f>S67/S$64</f>
        <v>#N/A</v>
      </c>
      <c r="U67" s="149" t="e">
        <f>U38</f>
        <v>#N/A</v>
      </c>
      <c r="V67" s="207" t="e">
        <f>U67/U$64</f>
        <v>#N/A</v>
      </c>
      <c r="W67" s="149" t="e">
        <f>W38</f>
        <v>#N/A</v>
      </c>
      <c r="X67" s="207" t="e">
        <f>W67/W$64</f>
        <v>#N/A</v>
      </c>
      <c r="Y67" s="149" t="e">
        <f>Y38</f>
        <v>#N/A</v>
      </c>
      <c r="Z67" s="207" t="e">
        <f>Y67/Y$64</f>
        <v>#N/A</v>
      </c>
      <c r="AA67" s="149" t="e">
        <f>AA38</f>
        <v>#N/A</v>
      </c>
      <c r="AB67" s="207" t="e">
        <f>AA67/AA$64</f>
        <v>#N/A</v>
      </c>
      <c r="AC67" s="149" t="e">
        <f>AC38</f>
        <v>#N/A</v>
      </c>
      <c r="AD67" s="207" t="e">
        <f>AC67/AC$64</f>
        <v>#N/A</v>
      </c>
      <c r="AE67" s="149" t="e">
        <f>AE38</f>
        <v>#N/A</v>
      </c>
      <c r="AF67" s="207" t="e">
        <f>AE67/AE$64</f>
        <v>#N/A</v>
      </c>
      <c r="AG67" s="149" t="e">
        <f>AG38</f>
        <v>#N/A</v>
      </c>
      <c r="AH67" s="207" t="e">
        <f>AG67/AG$64</f>
        <v>#N/A</v>
      </c>
      <c r="AI67" s="149" t="e">
        <f>AI38</f>
        <v>#N/A</v>
      </c>
      <c r="AJ67" s="207" t="e">
        <f>AI67/AI$64</f>
        <v>#N/A</v>
      </c>
      <c r="AK67" s="149" t="e">
        <f>AK38</f>
        <v>#N/A</v>
      </c>
      <c r="AL67" s="207" t="e">
        <f>AK67/AK$64</f>
        <v>#N/A</v>
      </c>
      <c r="AM67" s="149" t="e">
        <f>AM38</f>
        <v>#N/A</v>
      </c>
      <c r="AN67" s="207" t="e">
        <f>AM67/AM$64</f>
        <v>#N/A</v>
      </c>
    </row>
    <row r="68" spans="1:42" ht="18" customHeight="1" x14ac:dyDescent="0.2">
      <c r="A68" s="154"/>
      <c r="B68" s="1562"/>
      <c r="C68" s="1565" t="s">
        <v>459</v>
      </c>
      <c r="D68" s="1565"/>
      <c r="E68" s="149">
        <f>E50</f>
        <v>11.25</v>
      </c>
      <c r="F68" s="207" t="e">
        <f>E68/E$64</f>
        <v>#N/A</v>
      </c>
      <c r="G68" s="149">
        <f>G50</f>
        <v>22.5</v>
      </c>
      <c r="H68" s="207" t="e">
        <f>G68/G$64</f>
        <v>#N/A</v>
      </c>
      <c r="I68" s="149">
        <f>I50</f>
        <v>33.75</v>
      </c>
      <c r="J68" s="207" t="e">
        <f>I68/I$64</f>
        <v>#N/A</v>
      </c>
      <c r="K68" s="149">
        <f>K50</f>
        <v>45</v>
      </c>
      <c r="L68" s="207" t="e">
        <f>K68/K$64</f>
        <v>#N/A</v>
      </c>
      <c r="M68" s="149">
        <f>M50</f>
        <v>56.25</v>
      </c>
      <c r="N68" s="207" t="e">
        <f>M68/M$64</f>
        <v>#N/A</v>
      </c>
      <c r="O68" s="149">
        <f>O50</f>
        <v>67.5</v>
      </c>
      <c r="P68" s="207" t="e">
        <f>O68/O$64</f>
        <v>#N/A</v>
      </c>
      <c r="Q68" s="149">
        <f>Q50</f>
        <v>78.75</v>
      </c>
      <c r="R68" s="207" t="e">
        <f>Q68/Q$64</f>
        <v>#N/A</v>
      </c>
      <c r="S68" s="149">
        <f>S50</f>
        <v>90</v>
      </c>
      <c r="T68" s="207" t="e">
        <f>S68/S$64</f>
        <v>#N/A</v>
      </c>
      <c r="U68" s="149">
        <f>U50</f>
        <v>101.25</v>
      </c>
      <c r="V68" s="207" t="e">
        <f>U68/U$64</f>
        <v>#N/A</v>
      </c>
      <c r="W68" s="149">
        <f>W50</f>
        <v>112.5</v>
      </c>
      <c r="X68" s="207" t="e">
        <f>W68/W$64</f>
        <v>#N/A</v>
      </c>
      <c r="Y68" s="149">
        <f>Y50</f>
        <v>123.75</v>
      </c>
      <c r="Z68" s="207" t="e">
        <f>Y68/Y$64</f>
        <v>#N/A</v>
      </c>
      <c r="AA68" s="149">
        <f>AA50</f>
        <v>135</v>
      </c>
      <c r="AB68" s="207" t="e">
        <f>AA68/AA$64</f>
        <v>#N/A</v>
      </c>
      <c r="AC68" s="149">
        <f>AC50</f>
        <v>146.25</v>
      </c>
      <c r="AD68" s="207" t="e">
        <f>AC68/AC$64</f>
        <v>#N/A</v>
      </c>
      <c r="AE68" s="149">
        <f>AE50</f>
        <v>157.5</v>
      </c>
      <c r="AF68" s="207" t="e">
        <f>AE68/AE$64</f>
        <v>#N/A</v>
      </c>
      <c r="AG68" s="149">
        <f>AG50</f>
        <v>168.75</v>
      </c>
      <c r="AH68" s="207" t="e">
        <f>AG68/AG$64</f>
        <v>#N/A</v>
      </c>
      <c r="AI68" s="149">
        <f>AI50</f>
        <v>180</v>
      </c>
      <c r="AJ68" s="207" t="e">
        <f>AI68/AI$64</f>
        <v>#N/A</v>
      </c>
      <c r="AK68" s="149">
        <f>AK50</f>
        <v>191.25</v>
      </c>
      <c r="AL68" s="207" t="e">
        <f>AK68/AK$64</f>
        <v>#N/A</v>
      </c>
      <c r="AM68" s="149">
        <f>AM50</f>
        <v>202.5</v>
      </c>
      <c r="AN68" s="207" t="e">
        <f>AM68/AM$64</f>
        <v>#N/A</v>
      </c>
    </row>
    <row r="69" spans="1:42" ht="18" customHeight="1" x14ac:dyDescent="0.2">
      <c r="A69" s="154"/>
      <c r="B69" s="1563"/>
      <c r="C69" s="1565" t="s">
        <v>5</v>
      </c>
      <c r="D69" s="1565"/>
      <c r="E69" s="149">
        <f>E62</f>
        <v>4</v>
      </c>
      <c r="F69" s="207" t="e">
        <f>E69/E$64</f>
        <v>#N/A</v>
      </c>
      <c r="G69" s="149">
        <f>G62</f>
        <v>4</v>
      </c>
      <c r="H69" s="207" t="e">
        <f>G69/G$64</f>
        <v>#N/A</v>
      </c>
      <c r="I69" s="149">
        <f>I62</f>
        <v>4</v>
      </c>
      <c r="J69" s="207" t="e">
        <f>I69/I$64</f>
        <v>#N/A</v>
      </c>
      <c r="K69" s="149">
        <f>K62</f>
        <v>4</v>
      </c>
      <c r="L69" s="207" t="e">
        <f>K69/K$64</f>
        <v>#N/A</v>
      </c>
      <c r="M69" s="149">
        <f>M62</f>
        <v>4</v>
      </c>
      <c r="N69" s="207" t="e">
        <f>M69/M$64</f>
        <v>#N/A</v>
      </c>
      <c r="O69" s="149">
        <f>O62</f>
        <v>4</v>
      </c>
      <c r="P69" s="207" t="e">
        <f>O69/O$64</f>
        <v>#N/A</v>
      </c>
      <c r="Q69" s="149">
        <f>Q62</f>
        <v>4</v>
      </c>
      <c r="R69" s="207" t="e">
        <f>Q69/Q$64</f>
        <v>#N/A</v>
      </c>
      <c r="S69" s="149">
        <f>S62</f>
        <v>4</v>
      </c>
      <c r="T69" s="207" t="e">
        <f>S69/S$64</f>
        <v>#N/A</v>
      </c>
      <c r="U69" s="149">
        <f>U62</f>
        <v>4</v>
      </c>
      <c r="V69" s="207" t="e">
        <f>U69/U$64</f>
        <v>#N/A</v>
      </c>
      <c r="W69" s="149">
        <f>W62</f>
        <v>4</v>
      </c>
      <c r="X69" s="207" t="e">
        <f>W69/W$64</f>
        <v>#N/A</v>
      </c>
      <c r="Y69" s="149">
        <f>Y62</f>
        <v>4</v>
      </c>
      <c r="Z69" s="207" t="e">
        <f>Y69/Y$64</f>
        <v>#N/A</v>
      </c>
      <c r="AA69" s="149">
        <f>AA62</f>
        <v>4</v>
      </c>
      <c r="AB69" s="207" t="e">
        <f>AA69/AA$64</f>
        <v>#N/A</v>
      </c>
      <c r="AC69" s="149">
        <f>AC62</f>
        <v>4</v>
      </c>
      <c r="AD69" s="207" t="e">
        <f>AC69/AC$64</f>
        <v>#N/A</v>
      </c>
      <c r="AE69" s="149">
        <f>AE62</f>
        <v>4</v>
      </c>
      <c r="AF69" s="207" t="e">
        <f>AE69/AE$64</f>
        <v>#N/A</v>
      </c>
      <c r="AG69" s="149">
        <f>AG62</f>
        <v>4</v>
      </c>
      <c r="AH69" s="207" t="e">
        <f>AG69/AG$64</f>
        <v>#N/A</v>
      </c>
      <c r="AI69" s="149">
        <f>AI62</f>
        <v>4</v>
      </c>
      <c r="AJ69" s="207" t="e">
        <f>AI69/AI$64</f>
        <v>#N/A</v>
      </c>
      <c r="AK69" s="149">
        <f>AK62</f>
        <v>4</v>
      </c>
      <c r="AL69" s="207" t="e">
        <f>AK69/AK$64</f>
        <v>#N/A</v>
      </c>
      <c r="AM69" s="149">
        <f>AM62</f>
        <v>4</v>
      </c>
      <c r="AN69" s="207" t="e">
        <f>AM69/AM$64</f>
        <v>#N/A</v>
      </c>
    </row>
    <row r="70" spans="1:42" x14ac:dyDescent="0.2">
      <c r="A70" s="154"/>
      <c r="B70" s="172"/>
      <c r="C70" s="154"/>
      <c r="D70" s="227"/>
      <c r="E70" s="154"/>
      <c r="F70" s="154"/>
      <c r="G70" s="154"/>
      <c r="H70" s="154"/>
      <c r="I70" s="154"/>
      <c r="J70" s="154"/>
      <c r="K70" s="154"/>
      <c r="L70" s="154"/>
      <c r="M70" s="154"/>
      <c r="N70" s="154"/>
      <c r="O70" s="154"/>
      <c r="P70" s="154"/>
      <c r="Q70" s="228"/>
      <c r="R70" s="229"/>
      <c r="S70" s="154"/>
      <c r="T70" s="230"/>
      <c r="U70" s="154"/>
      <c r="V70" s="154"/>
      <c r="W70" s="154"/>
      <c r="X70" s="154"/>
      <c r="Y70" s="154"/>
      <c r="Z70" s="154"/>
      <c r="AA70" s="154"/>
      <c r="AB70" s="154"/>
      <c r="AC70" s="154"/>
      <c r="AD70" s="154"/>
      <c r="AE70" s="154"/>
      <c r="AF70" s="154"/>
      <c r="AG70" s="154"/>
      <c r="AH70" s="154"/>
      <c r="AI70" s="154"/>
      <c r="AJ70" s="154"/>
      <c r="AK70" s="154"/>
      <c r="AL70" s="154"/>
      <c r="AM70" s="154"/>
      <c r="AN70" s="154"/>
      <c r="AO70" s="154"/>
      <c r="AP70" s="154"/>
    </row>
    <row r="71" spans="1:42" x14ac:dyDescent="0.2">
      <c r="A71" s="154"/>
      <c r="B71" s="172"/>
      <c r="C71" s="154"/>
      <c r="D71" s="227"/>
      <c r="E71" s="154"/>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c r="AD71" s="154"/>
      <c r="AE71" s="154"/>
      <c r="AF71" s="154"/>
      <c r="AG71" s="154"/>
      <c r="AH71" s="154"/>
      <c r="AI71" s="154"/>
      <c r="AJ71" s="154"/>
      <c r="AK71" s="154"/>
      <c r="AL71" s="154"/>
      <c r="AM71" s="154"/>
      <c r="AN71" s="154"/>
      <c r="AO71" s="154"/>
      <c r="AP71" s="154"/>
    </row>
    <row r="72" spans="1:42" x14ac:dyDescent="0.2">
      <c r="A72" s="154"/>
      <c r="B72" s="1375" t="s">
        <v>1462</v>
      </c>
      <c r="C72" s="1568" t="s">
        <v>1463</v>
      </c>
      <c r="D72" s="1569"/>
      <c r="E72" s="149" t="e">
        <f>(VLOOKUP("Prix HT",$C$1:$N$64,E$1,0))-(VLOOKUP("Non margé",$D$1:$N$64,E$1,0))</f>
        <v>#N/A</v>
      </c>
      <c r="F72" s="207" t="e">
        <f>E72/VLOOKUP("Prix HT",$C$1:$N$64,E$1,0)</f>
        <v>#N/A</v>
      </c>
      <c r="G72" s="149" t="e">
        <f>(VLOOKUP("Prix HT",$C$1:$N$64,G$1,0))-(VLOOKUP("Non margé",$D$1:$N$64,G$1,0))</f>
        <v>#N/A</v>
      </c>
      <c r="H72" s="207" t="e">
        <f>G72/VLOOKUP("Prix HT",$C$1:$N$64,G$1,0)</f>
        <v>#N/A</v>
      </c>
      <c r="I72" s="149" t="e">
        <f>(VLOOKUP("Prix HT",$C$1:$N$64,I$1,0))-(VLOOKUP("Non margé",$D$1:$N$64,I$1,0))</f>
        <v>#N/A</v>
      </c>
      <c r="J72" s="207" t="e">
        <f>I72/VLOOKUP("Prix HT",$C$1:$N$64,I$1,0)</f>
        <v>#N/A</v>
      </c>
      <c r="K72" s="149" t="e">
        <f>(VLOOKUP("Prix HT",$C$1:$N$64,K$1,0))-(VLOOKUP("Non margé",$D$1:$N$64,K$1,0))</f>
        <v>#N/A</v>
      </c>
      <c r="L72" s="207" t="e">
        <f>K72/VLOOKUP("Prix HT",$C$1:$N$64,K$1,0)</f>
        <v>#N/A</v>
      </c>
      <c r="M72" s="149" t="e">
        <f>(VLOOKUP("Prix HT",$C$1:$N$64,M$1,0))-(VLOOKUP("Non margé",$D$1:$N$64,M$1,0))</f>
        <v>#N/A</v>
      </c>
      <c r="N72" s="207" t="e">
        <f>M72/VLOOKUP("Prix HT",$C$1:$N$64,M$1,0)</f>
        <v>#N/A</v>
      </c>
      <c r="O72" s="149" t="e">
        <f>(VLOOKUP("Prix HT",$C$1:$AN$64,O$1,0))-(VLOOKUP("Non margé",$D$1:$AN$64,O$1,0))</f>
        <v>#N/A</v>
      </c>
      <c r="P72" s="207" t="e">
        <f>O72/VLOOKUP("Prix HT",$C$1:$AN$64,O$1,0)</f>
        <v>#N/A</v>
      </c>
      <c r="Q72" s="149" t="e">
        <f>(VLOOKUP("Prix HT",$C$1:$AN$64,Q$1,0))-(VLOOKUP("Non margé",$D$1:$AN$64,Q$1,0))</f>
        <v>#N/A</v>
      </c>
      <c r="R72" s="207" t="e">
        <f>Q72/VLOOKUP("Prix HT",$C$1:$AN$64,Q$1,0)</f>
        <v>#N/A</v>
      </c>
      <c r="S72" s="149" t="e">
        <f>(VLOOKUP("Prix HT",$C$1:$AN$64,S$1,0))-(VLOOKUP("Non margé",$D$1:$AN$64,S$1,0))</f>
        <v>#N/A</v>
      </c>
      <c r="T72" s="207" t="e">
        <f>S72/VLOOKUP("Prix HT",$C$1:$AN$64,S$1,0)</f>
        <v>#N/A</v>
      </c>
      <c r="U72" s="149" t="e">
        <f>(VLOOKUP("Prix HT",$C$1:$AN$64,U$1,0))-(VLOOKUP("Non margé",$D$1:$AN$64,U$1,0))</f>
        <v>#N/A</v>
      </c>
      <c r="V72" s="207" t="e">
        <f>U72/VLOOKUP("Prix HT",$C$1:$AN$64,U$1,0)</f>
        <v>#N/A</v>
      </c>
      <c r="W72" s="149" t="e">
        <f>(VLOOKUP("Prix HT",$C$1:$AN$64,W$1,0))-(VLOOKUP("Non margé",$D$1:$AN$64,W$1,0))</f>
        <v>#N/A</v>
      </c>
      <c r="X72" s="207" t="e">
        <f>W72/VLOOKUP("Prix HT",$C$1:$AN$64,W$1,0)</f>
        <v>#N/A</v>
      </c>
      <c r="Y72" s="149" t="e">
        <f>(VLOOKUP("Prix HT",$C$1:$AN$64,Y$1,0))-(VLOOKUP("Non margé",$D$1:$AN$64,Y$1,0))</f>
        <v>#N/A</v>
      </c>
      <c r="Z72" s="207" t="e">
        <f>Y72/VLOOKUP("Prix HT",$C$1:$AN$64,Y$1,0)</f>
        <v>#N/A</v>
      </c>
      <c r="AA72" s="149" t="e">
        <f>(VLOOKUP("Prix HT",$C$1:$AN$64,AA$1,0))-(VLOOKUP("Non margé",$D$1:$AN$64,AA$1,0))</f>
        <v>#N/A</v>
      </c>
      <c r="AB72" s="207" t="e">
        <f>AA72/VLOOKUP("Prix HT",$C$1:$AN$64,AA$1,0)</f>
        <v>#N/A</v>
      </c>
      <c r="AC72" s="149" t="e">
        <f>(VLOOKUP("Prix HT",$C$1:$AN$64,AC$1,0))-(VLOOKUP("Non margé",$D$1:$AN$64,AC$1,0))</f>
        <v>#N/A</v>
      </c>
      <c r="AD72" s="207" t="e">
        <f>AC72/VLOOKUP("Prix HT",$C$1:$AN$64,AC$1,0)</f>
        <v>#N/A</v>
      </c>
      <c r="AE72" s="149" t="e">
        <f>(VLOOKUP("Prix HT",$C$1:$AN$64,AE$1,0))-(VLOOKUP("Non margé",$D$1:$AN$64,AE$1,0))</f>
        <v>#N/A</v>
      </c>
      <c r="AF72" s="207" t="e">
        <f>AE72/VLOOKUP("Prix HT",$C$1:$AN$64,AE$1,0)</f>
        <v>#N/A</v>
      </c>
      <c r="AG72" s="149" t="e">
        <f>(VLOOKUP("Prix HT",$C$1:$AN$64,AG$1,0))-(VLOOKUP("Non margé",$D$1:$AN$64,AG$1,0))</f>
        <v>#N/A</v>
      </c>
      <c r="AH72" s="207" t="e">
        <f>AG72/VLOOKUP("Prix HT",$C$1:$AN$64,AG$1,0)</f>
        <v>#N/A</v>
      </c>
      <c r="AI72" s="149" t="e">
        <f>(VLOOKUP("Prix HT",$C$1:$AN$64,AI$1,0))-(VLOOKUP("Non margé",$D$1:$AN$64,AI$1,0))</f>
        <v>#N/A</v>
      </c>
      <c r="AJ72" s="207" t="e">
        <f>AI72/VLOOKUP("Prix HT",$C$1:$AN$64,AI$1,0)</f>
        <v>#N/A</v>
      </c>
      <c r="AK72" s="149" t="e">
        <f>(VLOOKUP("Prix HT",$C$1:$AN$64,AK$1,0))-(VLOOKUP("Non margé",$D$1:$AN$64,AK$1,0))</f>
        <v>#N/A</v>
      </c>
      <c r="AL72" s="207" t="e">
        <f>AK72/VLOOKUP("Prix HT",$C$1:$AN$64,AK$1,0)</f>
        <v>#N/A</v>
      </c>
      <c r="AM72" s="149" t="e">
        <f>(VLOOKUP("Prix HT",$C$1:$AN$64,AM$1,0))-(VLOOKUP("Non margé",$D$1:$AN$64,AM$1,0))</f>
        <v>#N/A</v>
      </c>
      <c r="AN72" s="207" t="e">
        <f>AM72/VLOOKUP("Prix HT",$C$1:$AN$64,AM$1,0)</f>
        <v>#N/A</v>
      </c>
      <c r="AO72" s="154"/>
      <c r="AP72" s="154"/>
    </row>
  </sheetData>
  <mergeCells count="42">
    <mergeCell ref="C72:D72"/>
    <mergeCell ref="AE2:AF2"/>
    <mergeCell ref="B2:B3"/>
    <mergeCell ref="C2:C3"/>
    <mergeCell ref="E2:F2"/>
    <mergeCell ref="G2:H2"/>
    <mergeCell ref="I2:J2"/>
    <mergeCell ref="K2:L2"/>
    <mergeCell ref="M2:N2"/>
    <mergeCell ref="O2:P2"/>
    <mergeCell ref="Q2:R2"/>
    <mergeCell ref="S2:T2"/>
    <mergeCell ref="U2:V2"/>
    <mergeCell ref="C69:D69"/>
    <mergeCell ref="E64:F64"/>
    <mergeCell ref="G64:H64"/>
    <mergeCell ref="A4:A25"/>
    <mergeCell ref="A27:A38"/>
    <mergeCell ref="A39:A50"/>
    <mergeCell ref="A51:A62"/>
    <mergeCell ref="B64:B69"/>
    <mergeCell ref="AM64:AN64"/>
    <mergeCell ref="Q64:R64"/>
    <mergeCell ref="S64:T64"/>
    <mergeCell ref="U64:V64"/>
    <mergeCell ref="W64:X64"/>
    <mergeCell ref="Y64:Z64"/>
    <mergeCell ref="AA64:AB64"/>
    <mergeCell ref="AC64:AD64"/>
    <mergeCell ref="AE64:AF64"/>
    <mergeCell ref="AG64:AH64"/>
    <mergeCell ref="AI64:AJ64"/>
    <mergeCell ref="K64:L64"/>
    <mergeCell ref="M64:N64"/>
    <mergeCell ref="O64:P64"/>
    <mergeCell ref="C64:D64"/>
    <mergeCell ref="AK64:AL64"/>
    <mergeCell ref="C65:D65"/>
    <mergeCell ref="C66:D66"/>
    <mergeCell ref="C67:D67"/>
    <mergeCell ref="C68:D68"/>
    <mergeCell ref="I64:J64"/>
  </mergeCells>
  <dataValidations count="8">
    <dataValidation type="list" allowBlank="1" showInputMessage="1" showErrorMessage="1" promptTitle="MINIPELLE" prompt="choisir catégorie" sqref="B51:B61" xr:uid="{00000000-0002-0000-1A00-000000000000}">
      <formula1>CATEGORIE_MP</formula1>
    </dataValidation>
    <dataValidation type="list" allowBlank="1" showInputMessage="1" promptTitle="MINIPELLE" prompt="choisir la prestation" sqref="C51:C61" xr:uid="{00000000-0002-0000-1A00-000001000000}">
      <formula1>INDIRECT(B51)</formula1>
    </dataValidation>
    <dataValidation type="list" allowBlank="1" showInputMessage="1" showErrorMessage="1" promptTitle="Catégorie MOC" prompt="choisir" sqref="B39:B48" xr:uid="{00000000-0002-0000-1A00-000002000000}">
      <formula1>CATEGORIE_MOC</formula1>
    </dataValidation>
    <dataValidation type="list" allowBlank="1" showInputMessage="1" promptTitle="Main d'oeuvre CHANTIER" prompt="choisir la prestation" sqref="C39:C49" xr:uid="{00000000-0002-0000-1A00-000003000000}">
      <formula1>INDIRECT(B39)</formula1>
    </dataValidation>
    <dataValidation type="list" allowBlank="1" showInputMessage="1" showErrorMessage="1" promptTitle="MO ATELIER" prompt="choisir catégorie" sqref="B27" xr:uid="{00000000-0002-0000-1A00-000004000000}">
      <formula1>CATEGORIE_MOA</formula1>
    </dataValidation>
    <dataValidation type="list" allowBlank="1" showInputMessage="1" showErrorMessage="1" promptTitle="Main d'oeuvre ATELIER" prompt="choisir la prestation" sqref="C27" xr:uid="{00000000-0002-0000-1A00-000005000000}">
      <formula1>INDIRECT(B27)</formula1>
    </dataValidation>
    <dataValidation type="list" allowBlank="1" showInputMessage="1" showErrorMessage="1" promptTitle="MATIERES" prompt="choisir catégorie" sqref="B4:B25" xr:uid="{00000000-0002-0000-1A00-000006000000}">
      <formula1>MOA_ALIM</formula1>
    </dataValidation>
    <dataValidation type="list" allowBlank="1" showInputMessage="1" showErrorMessage="1" promptTitle="MATIERES" prompt="choisir le produit" sqref="C4:C25" xr:uid="{00000000-0002-0000-1A00-000007000000}">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ErrorMessage="1" xr:uid="{00000000-0002-0000-1A00-000008000000}">
          <x14:formula1>
            <xm:f>ATELIER!$B$2:$B$109</xm:f>
          </x14:formula1>
          <xm:sqref>C28:C37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published="0" codeName="Feuil28"/>
  <dimension ref="A1:AP73"/>
  <sheetViews>
    <sheetView workbookViewId="0">
      <selection activeCell="A73" sqref="A73:XFD77"/>
    </sheetView>
  </sheetViews>
  <sheetFormatPr baseColWidth="10" defaultRowHeight="18" x14ac:dyDescent="0.2"/>
  <cols>
    <col min="1" max="1" width="18.125" style="210" customWidth="1"/>
    <col min="2" max="2" width="32.625" style="233" bestFit="1"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40" width="10" style="135" customWidth="1"/>
    <col min="41" max="42" width="11.5" style="135" customWidth="1"/>
    <col min="43" max="810" width="11.5" customWidth="1"/>
  </cols>
  <sheetData>
    <row r="1" spans="1:42"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s="535" t="s">
        <v>467</v>
      </c>
      <c r="AO1" s="535"/>
      <c r="AP1" s="535"/>
    </row>
    <row r="2" spans="1:42" ht="46.5" customHeight="1" x14ac:dyDescent="0.2">
      <c r="A2" s="174"/>
      <c r="B2" s="1572" t="s">
        <v>966</v>
      </c>
      <c r="C2" s="1574" t="s">
        <v>468</v>
      </c>
      <c r="D2" s="115" t="s">
        <v>203</v>
      </c>
      <c r="E2" s="1571">
        <v>2</v>
      </c>
      <c r="F2" s="1571"/>
      <c r="G2" s="1571">
        <v>3</v>
      </c>
      <c r="H2" s="1571"/>
      <c r="I2" s="1571">
        <v>4</v>
      </c>
      <c r="J2" s="1571"/>
      <c r="K2" s="1571">
        <v>5</v>
      </c>
      <c r="L2" s="1571"/>
      <c r="M2" s="1571">
        <v>6</v>
      </c>
      <c r="N2" s="1571"/>
      <c r="O2" s="1571">
        <v>7</v>
      </c>
      <c r="P2" s="1571"/>
      <c r="Q2" s="1571">
        <v>8</v>
      </c>
      <c r="R2" s="1571"/>
      <c r="S2" s="1571">
        <v>9</v>
      </c>
      <c r="T2" s="1571"/>
      <c r="U2" s="1571">
        <v>10</v>
      </c>
      <c r="V2" s="1571"/>
      <c r="W2" s="218">
        <v>12</v>
      </c>
      <c r="X2" s="213" t="s">
        <v>469</v>
      </c>
      <c r="Y2" s="213">
        <v>12</v>
      </c>
      <c r="Z2" s="214" t="s">
        <v>470</v>
      </c>
      <c r="AA2" s="218">
        <v>14</v>
      </c>
      <c r="AB2" s="213" t="s">
        <v>471</v>
      </c>
      <c r="AC2" s="218">
        <v>14</v>
      </c>
      <c r="AD2" s="213" t="s">
        <v>472</v>
      </c>
      <c r="AE2" s="1571">
        <v>16</v>
      </c>
      <c r="AF2" s="1571"/>
      <c r="AG2" s="218">
        <v>18</v>
      </c>
      <c r="AH2" s="213" t="s">
        <v>473</v>
      </c>
      <c r="AI2" s="218">
        <v>18</v>
      </c>
      <c r="AJ2" s="213" t="s">
        <v>474</v>
      </c>
      <c r="AK2" s="218">
        <v>20</v>
      </c>
      <c r="AL2" s="213" t="s">
        <v>475</v>
      </c>
      <c r="AM2" s="218">
        <v>20</v>
      </c>
      <c r="AN2" s="213" t="s">
        <v>476</v>
      </c>
      <c r="AO2" s="178"/>
      <c r="AP2" s="178"/>
    </row>
    <row r="3" spans="1:42" ht="35.1" customHeight="1" x14ac:dyDescent="0.2">
      <c r="A3" s="174"/>
      <c r="B3" s="1573"/>
      <c r="C3" s="1574"/>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303" t="s">
        <v>477</v>
      </c>
      <c r="AO3" s="178"/>
      <c r="AP3" s="178"/>
    </row>
    <row r="4" spans="1:42" ht="15" customHeight="1" x14ac:dyDescent="0.2">
      <c r="A4" s="1549" t="s">
        <v>1078</v>
      </c>
      <c r="B4" s="361" t="s">
        <v>1065</v>
      </c>
      <c r="C4" s="362"/>
      <c r="D4" s="363" t="str">
        <f>IF($C4="","",VLOOKUP($C4,MATIERES!$A$2:$F$227,5,0))</f>
        <v/>
      </c>
      <c r="E4" s="364">
        <v>1</v>
      </c>
      <c r="F4" s="365" t="str">
        <f>IF($C4="","",E4*VLOOKUP($C4,MATIERES!$A$2:$F$349,4,0))</f>
        <v/>
      </c>
      <c r="G4" s="364">
        <v>2</v>
      </c>
      <c r="H4" s="365" t="str">
        <f>IF($C4="","",G4*VLOOKUP($C4,MATIERES!$A$2:$F$349,4,0))</f>
        <v/>
      </c>
      <c r="I4" s="364">
        <v>3</v>
      </c>
      <c r="J4" s="365" t="str">
        <f>IF($C4="","",I4*VLOOKUP($C4,MATIERES!$A$2:$F$349,4,0))</f>
        <v/>
      </c>
      <c r="K4" s="364">
        <v>4</v>
      </c>
      <c r="L4" s="365" t="str">
        <f>IF($C4="","",K4*VLOOKUP($C4,MATIERES!$A$2:$F$349,4,0))</f>
        <v/>
      </c>
      <c r="M4" s="364">
        <v>5</v>
      </c>
      <c r="N4" s="365" t="str">
        <f>IF($C4="","",M4*VLOOKUP($C4,MATIERES!$A$2:$F$349,4,0))</f>
        <v/>
      </c>
      <c r="O4" s="364">
        <v>6</v>
      </c>
      <c r="P4" s="365" t="str">
        <f>IF($C4="","",O4*VLOOKUP($C4,MATIERES!$A$2:$F$349,4,0))</f>
        <v/>
      </c>
      <c r="Q4" s="364">
        <v>7</v>
      </c>
      <c r="R4" s="365" t="str">
        <f>IF($C4="","",Q4*VLOOKUP($C4,MATIERES!$A$2:$F$349,4,0))</f>
        <v/>
      </c>
      <c r="S4" s="364">
        <v>8</v>
      </c>
      <c r="T4" s="365" t="str">
        <f>IF($C4="","",S4*VLOOKUP($C4,MATIERES!$A$2:$F$349,4,0))</f>
        <v/>
      </c>
      <c r="U4" s="364">
        <v>9</v>
      </c>
      <c r="V4" s="365" t="str">
        <f>IF($C4="","",U4*VLOOKUP($C4,MATIERES!$A$2:$F$349,4,0))</f>
        <v/>
      </c>
      <c r="W4" s="364">
        <v>10</v>
      </c>
      <c r="X4" s="365" t="str">
        <f>IF($C4="","",W4*VLOOKUP($C4,MATIERES!$A$2:$F$349,4,0))</f>
        <v/>
      </c>
      <c r="Y4" s="364">
        <v>11</v>
      </c>
      <c r="Z4" s="365" t="str">
        <f>IF($C4="","",Y4*VLOOKUP($C4,MATIERES!$A$2:$F$349,4,0))</f>
        <v/>
      </c>
      <c r="AA4" s="364">
        <v>12</v>
      </c>
      <c r="AB4" s="365" t="str">
        <f>IF($C4="","",AA4*VLOOKUP($C4,MATIERES!$A$2:$F$349,4,0))</f>
        <v/>
      </c>
      <c r="AC4" s="364">
        <v>13</v>
      </c>
      <c r="AD4" s="365" t="str">
        <f>IF($C4="","",AC4*VLOOKUP($C4,MATIERES!$A$2:$F$349,4,0))</f>
        <v/>
      </c>
      <c r="AE4" s="364">
        <v>14</v>
      </c>
      <c r="AF4" s="365" t="str">
        <f>IF($C4="","",AE4*VLOOKUP($C4,MATIERES!$A$2:$F$349,4,0))</f>
        <v/>
      </c>
      <c r="AG4" s="364">
        <v>15</v>
      </c>
      <c r="AH4" s="365" t="str">
        <f>IF($C4="","",AG4*VLOOKUP($C4,MATIERES!$A$2:$F$349,4,0))</f>
        <v/>
      </c>
      <c r="AI4" s="364">
        <v>16</v>
      </c>
      <c r="AJ4" s="365" t="str">
        <f>IF($C4="","",AI4*VLOOKUP($C4,MATIERES!$A$2:$F$349,4,0))</f>
        <v/>
      </c>
      <c r="AK4" s="364">
        <v>17</v>
      </c>
      <c r="AL4" s="365" t="str">
        <f>IF($C4="","",AK4*VLOOKUP($C4,MATIERES!$A$2:$F$349,4,0))</f>
        <v/>
      </c>
      <c r="AM4" s="364">
        <v>18</v>
      </c>
      <c r="AN4" s="365" t="str">
        <f>IF($C4="","",AM4*VLOOKUP($C4,MATIERES!$A$2:$F$349,4,0))</f>
        <v/>
      </c>
    </row>
    <row r="5" spans="1:42" ht="15" customHeight="1" x14ac:dyDescent="0.2">
      <c r="A5" s="1550"/>
      <c r="B5" s="361"/>
      <c r="C5" s="362"/>
      <c r="D5" s="363" t="str">
        <f>IF($C5="","",VLOOKUP($C5,MATIERES!$A$2:$F$227,5,0))</f>
        <v/>
      </c>
      <c r="E5" s="364">
        <v>2</v>
      </c>
      <c r="F5" s="365" t="str">
        <f>IF($C5="","",E5*VLOOKUP($C5,MATIERES!$A$2:$F$349,4,0))</f>
        <v/>
      </c>
      <c r="G5" s="364">
        <v>3</v>
      </c>
      <c r="H5" s="365" t="str">
        <f>IF($C5="","",G5*VLOOKUP($C5,MATIERES!$A$2:$F$349,4,0))</f>
        <v/>
      </c>
      <c r="I5" s="364">
        <v>4</v>
      </c>
      <c r="J5" s="365" t="str">
        <f>IF($C5="","",I5*VLOOKUP($C5,MATIERES!$A$2:$F$349,4,0))</f>
        <v/>
      </c>
      <c r="K5" s="364">
        <v>5</v>
      </c>
      <c r="L5" s="365" t="str">
        <f>IF($C5="","",K5*VLOOKUP($C5,MATIERES!$A$2:$F$349,4,0))</f>
        <v/>
      </c>
      <c r="M5" s="364">
        <v>6</v>
      </c>
      <c r="N5" s="365" t="str">
        <f>IF($C5="","",M5*VLOOKUP($C5,MATIERES!$A$2:$F$349,4,0))</f>
        <v/>
      </c>
      <c r="O5" s="364">
        <v>7</v>
      </c>
      <c r="P5" s="365" t="str">
        <f>IF($C5="","",O5*VLOOKUP($C5,MATIERES!$A$2:$F$349,4,0))</f>
        <v/>
      </c>
      <c r="Q5" s="364">
        <v>8</v>
      </c>
      <c r="R5" s="365" t="str">
        <f>IF($C5="","",Q5*VLOOKUP($C5,MATIERES!$A$2:$F$349,4,0))</f>
        <v/>
      </c>
      <c r="S5" s="364">
        <v>9</v>
      </c>
      <c r="T5" s="365" t="str">
        <f>IF($C5="","",S5*VLOOKUP($C5,MATIERES!$A$2:$F$349,4,0))</f>
        <v/>
      </c>
      <c r="U5" s="364">
        <v>10</v>
      </c>
      <c r="V5" s="365" t="str">
        <f>IF($C5="","",U5*VLOOKUP($C5,MATIERES!$A$2:$F$349,4,0))</f>
        <v/>
      </c>
      <c r="W5" s="364">
        <v>11</v>
      </c>
      <c r="X5" s="365" t="str">
        <f>IF($C5="","",W5*VLOOKUP($C5,MATIERES!$A$2:$F$349,4,0))</f>
        <v/>
      </c>
      <c r="Y5" s="364">
        <v>12</v>
      </c>
      <c r="Z5" s="365" t="str">
        <f>IF($C5="","",Y5*VLOOKUP($C5,MATIERES!$A$2:$F$349,4,0))</f>
        <v/>
      </c>
      <c r="AA5" s="364">
        <v>13</v>
      </c>
      <c r="AB5" s="365" t="str">
        <f>IF($C5="","",AA5*VLOOKUP($C5,MATIERES!$A$2:$F$349,4,0))</f>
        <v/>
      </c>
      <c r="AC5" s="364">
        <v>14</v>
      </c>
      <c r="AD5" s="365" t="str">
        <f>IF($C5="","",AC5*VLOOKUP($C5,MATIERES!$A$2:$F$349,4,0))</f>
        <v/>
      </c>
      <c r="AE5" s="364">
        <v>15</v>
      </c>
      <c r="AF5" s="365" t="str">
        <f>IF($C5="","",AE5*VLOOKUP($C5,MATIERES!$A$2:$F$349,4,0))</f>
        <v/>
      </c>
      <c r="AG5" s="364">
        <v>16</v>
      </c>
      <c r="AH5" s="365" t="str">
        <f>IF($C5="","",AG5*VLOOKUP($C5,MATIERES!$A$2:$F$349,4,0))</f>
        <v/>
      </c>
      <c r="AI5" s="364">
        <v>17</v>
      </c>
      <c r="AJ5" s="365" t="str">
        <f>IF($C5="","",AI5*VLOOKUP($C5,MATIERES!$A$2:$F$349,4,0))</f>
        <v/>
      </c>
      <c r="AK5" s="364">
        <v>18</v>
      </c>
      <c r="AL5" s="365" t="str">
        <f>IF($C5="","",AK5*VLOOKUP($C5,MATIERES!$A$2:$F$349,4,0))</f>
        <v/>
      </c>
      <c r="AM5" s="364">
        <v>19</v>
      </c>
      <c r="AN5" s="365" t="str">
        <f>IF($C5="","",AM5*VLOOKUP($C5,MATIERES!$A$2:$F$349,4,0))</f>
        <v/>
      </c>
    </row>
    <row r="6" spans="1:42" ht="15" customHeight="1" x14ac:dyDescent="0.2">
      <c r="A6" s="1550"/>
      <c r="B6" s="361"/>
      <c r="C6" s="362"/>
      <c r="D6" s="363" t="str">
        <f>IF($C6="","",VLOOKUP($C6,MATIERES!$A$2:$F$227,5,0))</f>
        <v/>
      </c>
      <c r="E6" s="364">
        <v>3</v>
      </c>
      <c r="F6" s="365" t="str">
        <f>IF($C6="","",E6*VLOOKUP($C6,MATIERES!$A$2:$F$349,4,0))</f>
        <v/>
      </c>
      <c r="G6" s="364">
        <v>4</v>
      </c>
      <c r="H6" s="365" t="str">
        <f>IF($C6="","",G6*VLOOKUP($C6,MATIERES!$A$2:$F$349,4,0))</f>
        <v/>
      </c>
      <c r="I6" s="364">
        <v>5</v>
      </c>
      <c r="J6" s="365" t="str">
        <f>IF($C6="","",I6*VLOOKUP($C6,MATIERES!$A$2:$F$349,4,0))</f>
        <v/>
      </c>
      <c r="K6" s="364">
        <v>6</v>
      </c>
      <c r="L6" s="365" t="str">
        <f>IF($C6="","",K6*VLOOKUP($C6,MATIERES!$A$2:$F$349,4,0))</f>
        <v/>
      </c>
      <c r="M6" s="364">
        <v>7</v>
      </c>
      <c r="N6" s="365" t="str">
        <f>IF($C6="","",M6*VLOOKUP($C6,MATIERES!$A$2:$F$349,4,0))</f>
        <v/>
      </c>
      <c r="O6" s="364">
        <v>8</v>
      </c>
      <c r="P6" s="365" t="str">
        <f>IF($C6="","",O6*VLOOKUP($C6,MATIERES!$A$2:$F$349,4,0))</f>
        <v/>
      </c>
      <c r="Q6" s="364">
        <v>9</v>
      </c>
      <c r="R6" s="365" t="str">
        <f>IF($C6="","",Q6*VLOOKUP($C6,MATIERES!$A$2:$F$349,4,0))</f>
        <v/>
      </c>
      <c r="S6" s="364">
        <v>10</v>
      </c>
      <c r="T6" s="365" t="str">
        <f>IF($C6="","",S6*VLOOKUP($C6,MATIERES!$A$2:$F$349,4,0))</f>
        <v/>
      </c>
      <c r="U6" s="364">
        <v>11</v>
      </c>
      <c r="V6" s="365" t="str">
        <f>IF($C6="","",U6*VLOOKUP($C6,MATIERES!$A$2:$F$349,4,0))</f>
        <v/>
      </c>
      <c r="W6" s="364">
        <v>12</v>
      </c>
      <c r="X6" s="365" t="str">
        <f>IF($C6="","",W6*VLOOKUP($C6,MATIERES!$A$2:$F$349,4,0))</f>
        <v/>
      </c>
      <c r="Y6" s="364">
        <v>13</v>
      </c>
      <c r="Z6" s="365" t="str">
        <f>IF($C6="","",Y6*VLOOKUP($C6,MATIERES!$A$2:$F$349,4,0))</f>
        <v/>
      </c>
      <c r="AA6" s="364">
        <v>14</v>
      </c>
      <c r="AB6" s="365" t="str">
        <f>IF($C6="","",AA6*VLOOKUP($C6,MATIERES!$A$2:$F$349,4,0))</f>
        <v/>
      </c>
      <c r="AC6" s="364">
        <v>15</v>
      </c>
      <c r="AD6" s="365" t="str">
        <f>IF($C6="","",AC6*VLOOKUP($C6,MATIERES!$A$2:$F$349,4,0))</f>
        <v/>
      </c>
      <c r="AE6" s="364">
        <v>16</v>
      </c>
      <c r="AF6" s="365" t="str">
        <f>IF($C6="","",AE6*VLOOKUP($C6,MATIERES!$A$2:$F$349,4,0))</f>
        <v/>
      </c>
      <c r="AG6" s="364">
        <v>17</v>
      </c>
      <c r="AH6" s="365" t="str">
        <f>IF($C6="","",AG6*VLOOKUP($C6,MATIERES!$A$2:$F$349,4,0))</f>
        <v/>
      </c>
      <c r="AI6" s="364">
        <v>18</v>
      </c>
      <c r="AJ6" s="365" t="str">
        <f>IF($C6="","",AI6*VLOOKUP($C6,MATIERES!$A$2:$F$349,4,0))</f>
        <v/>
      </c>
      <c r="AK6" s="364">
        <v>19</v>
      </c>
      <c r="AL6" s="365" t="str">
        <f>IF($C6="","",AK6*VLOOKUP($C6,MATIERES!$A$2:$F$349,4,0))</f>
        <v/>
      </c>
      <c r="AM6" s="364">
        <v>20</v>
      </c>
      <c r="AN6" s="365" t="str">
        <f>IF($C6="","",AM6*VLOOKUP($C6,MATIERES!$A$2:$F$349,4,0))</f>
        <v/>
      </c>
    </row>
    <row r="7" spans="1:42" ht="15" customHeight="1" x14ac:dyDescent="0.2">
      <c r="A7" s="1550"/>
      <c r="B7" s="361"/>
      <c r="C7" s="362"/>
      <c r="D7" s="363" t="str">
        <f>IF($C7="","",VLOOKUP($C7,MATIERES!$A$2:$F$227,5,0))</f>
        <v/>
      </c>
      <c r="E7" s="364">
        <v>4</v>
      </c>
      <c r="F7" s="365" t="str">
        <f>IF($C7="","",E7*VLOOKUP($C7,MATIERES!$A$2:$F$349,4,0))</f>
        <v/>
      </c>
      <c r="G7" s="364">
        <v>5</v>
      </c>
      <c r="H7" s="365" t="str">
        <f>IF($C7="","",G7*VLOOKUP($C7,MATIERES!$A$2:$F$349,4,0))</f>
        <v/>
      </c>
      <c r="I7" s="364">
        <v>6</v>
      </c>
      <c r="J7" s="365" t="str">
        <f>IF($C7="","",I7*VLOOKUP($C7,MATIERES!$A$2:$F$349,4,0))</f>
        <v/>
      </c>
      <c r="K7" s="364">
        <v>7</v>
      </c>
      <c r="L7" s="365" t="str">
        <f>IF($C7="","",K7*VLOOKUP($C7,MATIERES!$A$2:$F$349,4,0))</f>
        <v/>
      </c>
      <c r="M7" s="364">
        <v>8</v>
      </c>
      <c r="N7" s="365" t="str">
        <f>IF($C7="","",M7*VLOOKUP($C7,MATIERES!$A$2:$F$349,4,0))</f>
        <v/>
      </c>
      <c r="O7" s="364">
        <v>9</v>
      </c>
      <c r="P7" s="365" t="str">
        <f>IF($C7="","",O7*VLOOKUP($C7,MATIERES!$A$2:$F$349,4,0))</f>
        <v/>
      </c>
      <c r="Q7" s="364">
        <v>10</v>
      </c>
      <c r="R7" s="365" t="str">
        <f>IF($C7="","",Q7*VLOOKUP($C7,MATIERES!$A$2:$F$349,4,0))</f>
        <v/>
      </c>
      <c r="S7" s="364">
        <v>11</v>
      </c>
      <c r="T7" s="365" t="str">
        <f>IF($C7="","",S7*VLOOKUP($C7,MATIERES!$A$2:$F$349,4,0))</f>
        <v/>
      </c>
      <c r="U7" s="364">
        <v>12</v>
      </c>
      <c r="V7" s="365" t="str">
        <f>IF($C7="","",U7*VLOOKUP($C7,MATIERES!$A$2:$F$349,4,0))</f>
        <v/>
      </c>
      <c r="W7" s="364">
        <v>13</v>
      </c>
      <c r="X7" s="365" t="str">
        <f>IF($C7="","",W7*VLOOKUP($C7,MATIERES!$A$2:$F$349,4,0))</f>
        <v/>
      </c>
      <c r="Y7" s="364">
        <v>14</v>
      </c>
      <c r="Z7" s="365" t="str">
        <f>IF($C7="","",Y7*VLOOKUP($C7,MATIERES!$A$2:$F$349,4,0))</f>
        <v/>
      </c>
      <c r="AA7" s="364">
        <v>15</v>
      </c>
      <c r="AB7" s="365" t="str">
        <f>IF($C7="","",AA7*VLOOKUP($C7,MATIERES!$A$2:$F$349,4,0))</f>
        <v/>
      </c>
      <c r="AC7" s="364">
        <v>16</v>
      </c>
      <c r="AD7" s="365" t="str">
        <f>IF($C7="","",AC7*VLOOKUP($C7,MATIERES!$A$2:$F$349,4,0))</f>
        <v/>
      </c>
      <c r="AE7" s="364">
        <v>17</v>
      </c>
      <c r="AF7" s="365" t="str">
        <f>IF($C7="","",AE7*VLOOKUP($C7,MATIERES!$A$2:$F$349,4,0))</f>
        <v/>
      </c>
      <c r="AG7" s="364">
        <v>18</v>
      </c>
      <c r="AH7" s="365" t="str">
        <f>IF($C7="","",AG7*VLOOKUP($C7,MATIERES!$A$2:$F$349,4,0))</f>
        <v/>
      </c>
      <c r="AI7" s="364">
        <v>19</v>
      </c>
      <c r="AJ7" s="365" t="str">
        <f>IF($C7="","",AI7*VLOOKUP($C7,MATIERES!$A$2:$F$349,4,0))</f>
        <v/>
      </c>
      <c r="AK7" s="364">
        <v>20</v>
      </c>
      <c r="AL7" s="365" t="str">
        <f>IF($C7="","",AK7*VLOOKUP($C7,MATIERES!$A$2:$F$349,4,0))</f>
        <v/>
      </c>
      <c r="AM7" s="364">
        <v>21</v>
      </c>
      <c r="AN7" s="365" t="str">
        <f>IF($C7="","",AM7*VLOOKUP($C7,MATIERES!$A$2:$F$349,4,0))</f>
        <v/>
      </c>
    </row>
    <row r="8" spans="1:42" ht="15" customHeight="1" x14ac:dyDescent="0.2">
      <c r="A8" s="1550"/>
      <c r="B8" s="361"/>
      <c r="C8" s="362"/>
      <c r="D8" s="363" t="str">
        <f>IF($C8="","",VLOOKUP($C8,MATIERES!$A$2:$F$227,5,0))</f>
        <v/>
      </c>
      <c r="E8" s="364">
        <v>5</v>
      </c>
      <c r="F8" s="365" t="str">
        <f>IF($C8="","",E8*VLOOKUP($C8,MATIERES!$A$2:$F$349,4,0))</f>
        <v/>
      </c>
      <c r="G8" s="364">
        <v>6</v>
      </c>
      <c r="H8" s="365" t="str">
        <f>IF($C8="","",G8*VLOOKUP($C8,MATIERES!$A$2:$F$349,4,0))</f>
        <v/>
      </c>
      <c r="I8" s="364">
        <v>7</v>
      </c>
      <c r="J8" s="365" t="str">
        <f>IF($C8="","",I8*VLOOKUP($C8,MATIERES!$A$2:$F$349,4,0))</f>
        <v/>
      </c>
      <c r="K8" s="364">
        <v>8</v>
      </c>
      <c r="L8" s="365" t="str">
        <f>IF($C8="","",K8*VLOOKUP($C8,MATIERES!$A$2:$F$349,4,0))</f>
        <v/>
      </c>
      <c r="M8" s="364">
        <v>9</v>
      </c>
      <c r="N8" s="365" t="str">
        <f>IF($C8="","",M8*VLOOKUP($C8,MATIERES!$A$2:$F$349,4,0))</f>
        <v/>
      </c>
      <c r="O8" s="364">
        <v>10</v>
      </c>
      <c r="P8" s="365" t="str">
        <f>IF($C8="","",O8*VLOOKUP($C8,MATIERES!$A$2:$F$349,4,0))</f>
        <v/>
      </c>
      <c r="Q8" s="364">
        <v>11</v>
      </c>
      <c r="R8" s="365" t="str">
        <f>IF($C8="","",Q8*VLOOKUP($C8,MATIERES!$A$2:$F$349,4,0))</f>
        <v/>
      </c>
      <c r="S8" s="364">
        <v>12</v>
      </c>
      <c r="T8" s="365" t="str">
        <f>IF($C8="","",S8*VLOOKUP($C8,MATIERES!$A$2:$F$349,4,0))</f>
        <v/>
      </c>
      <c r="U8" s="364">
        <v>13</v>
      </c>
      <c r="V8" s="365" t="str">
        <f>IF($C8="","",U8*VLOOKUP($C8,MATIERES!$A$2:$F$349,4,0))</f>
        <v/>
      </c>
      <c r="W8" s="364">
        <v>14</v>
      </c>
      <c r="X8" s="365" t="str">
        <f>IF($C8="","",W8*VLOOKUP($C8,MATIERES!$A$2:$F$349,4,0))</f>
        <v/>
      </c>
      <c r="Y8" s="364">
        <v>15</v>
      </c>
      <c r="Z8" s="365" t="str">
        <f>IF($C8="","",Y8*VLOOKUP($C8,MATIERES!$A$2:$F$349,4,0))</f>
        <v/>
      </c>
      <c r="AA8" s="364">
        <v>16</v>
      </c>
      <c r="AB8" s="365" t="str">
        <f>IF($C8="","",AA8*VLOOKUP($C8,MATIERES!$A$2:$F$349,4,0))</f>
        <v/>
      </c>
      <c r="AC8" s="364">
        <v>17</v>
      </c>
      <c r="AD8" s="365" t="str">
        <f>IF($C8="","",AC8*VLOOKUP($C8,MATIERES!$A$2:$F$349,4,0))</f>
        <v/>
      </c>
      <c r="AE8" s="364">
        <v>18</v>
      </c>
      <c r="AF8" s="365" t="str">
        <f>IF($C8="","",AE8*VLOOKUP($C8,MATIERES!$A$2:$F$349,4,0))</f>
        <v/>
      </c>
      <c r="AG8" s="364">
        <v>19</v>
      </c>
      <c r="AH8" s="365" t="str">
        <f>IF($C8="","",AG8*VLOOKUP($C8,MATIERES!$A$2:$F$349,4,0))</f>
        <v/>
      </c>
      <c r="AI8" s="364">
        <v>20</v>
      </c>
      <c r="AJ8" s="365" t="str">
        <f>IF($C8="","",AI8*VLOOKUP($C8,MATIERES!$A$2:$F$349,4,0))</f>
        <v/>
      </c>
      <c r="AK8" s="364">
        <v>21</v>
      </c>
      <c r="AL8" s="365" t="str">
        <f>IF($C8="","",AK8*VLOOKUP($C8,MATIERES!$A$2:$F$349,4,0))</f>
        <v/>
      </c>
      <c r="AM8" s="364">
        <v>22</v>
      </c>
      <c r="AN8" s="365" t="str">
        <f>IF($C8="","",AM8*VLOOKUP($C8,MATIERES!$A$2:$F$349,4,0))</f>
        <v/>
      </c>
    </row>
    <row r="9" spans="1:42" ht="15" customHeight="1" x14ac:dyDescent="0.2">
      <c r="A9" s="1550"/>
      <c r="B9" s="361"/>
      <c r="C9" s="362"/>
      <c r="D9" s="363" t="str">
        <f>IF($C9="","",VLOOKUP($C9,MATIERES!$A$2:$F$227,5,0))</f>
        <v/>
      </c>
      <c r="E9" s="364">
        <v>6</v>
      </c>
      <c r="F9" s="365" t="str">
        <f>IF($C9="","",E9*VLOOKUP($C9,MATIERES!$A$2:$F$349,4,0))</f>
        <v/>
      </c>
      <c r="G9" s="364">
        <v>7</v>
      </c>
      <c r="H9" s="365" t="str">
        <f>IF($C9="","",G9*VLOOKUP($C9,MATIERES!$A$2:$F$349,4,0))</f>
        <v/>
      </c>
      <c r="I9" s="364">
        <v>8</v>
      </c>
      <c r="J9" s="365" t="str">
        <f>IF($C9="","",I9*VLOOKUP($C9,MATIERES!$A$2:$F$349,4,0))</f>
        <v/>
      </c>
      <c r="K9" s="364">
        <v>9</v>
      </c>
      <c r="L9" s="365" t="str">
        <f>IF($C9="","",K9*VLOOKUP($C9,MATIERES!$A$2:$F$349,4,0))</f>
        <v/>
      </c>
      <c r="M9" s="364">
        <v>10</v>
      </c>
      <c r="N9" s="365" t="str">
        <f>IF($C9="","",M9*VLOOKUP($C9,MATIERES!$A$2:$F$349,4,0))</f>
        <v/>
      </c>
      <c r="O9" s="364">
        <v>11</v>
      </c>
      <c r="P9" s="365" t="str">
        <f>IF($C9="","",O9*VLOOKUP($C9,MATIERES!$A$2:$F$349,4,0))</f>
        <v/>
      </c>
      <c r="Q9" s="364">
        <v>12</v>
      </c>
      <c r="R9" s="365" t="str">
        <f>IF($C9="","",Q9*VLOOKUP($C9,MATIERES!$A$2:$F$349,4,0))</f>
        <v/>
      </c>
      <c r="S9" s="364">
        <v>13</v>
      </c>
      <c r="T9" s="365" t="str">
        <f>IF($C9="","",S9*VLOOKUP($C9,MATIERES!$A$2:$F$349,4,0))</f>
        <v/>
      </c>
      <c r="U9" s="364">
        <v>14</v>
      </c>
      <c r="V9" s="365" t="str">
        <f>IF($C9="","",U9*VLOOKUP($C9,MATIERES!$A$2:$F$349,4,0))</f>
        <v/>
      </c>
      <c r="W9" s="364">
        <v>15</v>
      </c>
      <c r="X9" s="365" t="str">
        <f>IF($C9="","",W9*VLOOKUP($C9,MATIERES!$A$2:$F$349,4,0))</f>
        <v/>
      </c>
      <c r="Y9" s="364">
        <v>16</v>
      </c>
      <c r="Z9" s="365" t="str">
        <f>IF($C9="","",Y9*VLOOKUP($C9,MATIERES!$A$2:$F$349,4,0))</f>
        <v/>
      </c>
      <c r="AA9" s="364">
        <v>17</v>
      </c>
      <c r="AB9" s="365" t="str">
        <f>IF($C9="","",AA9*VLOOKUP($C9,MATIERES!$A$2:$F$349,4,0))</f>
        <v/>
      </c>
      <c r="AC9" s="364">
        <v>18</v>
      </c>
      <c r="AD9" s="365" t="str">
        <f>IF($C9="","",AC9*VLOOKUP($C9,MATIERES!$A$2:$F$349,4,0))</f>
        <v/>
      </c>
      <c r="AE9" s="364">
        <v>19</v>
      </c>
      <c r="AF9" s="365" t="str">
        <f>IF($C9="","",AE9*VLOOKUP($C9,MATIERES!$A$2:$F$349,4,0))</f>
        <v/>
      </c>
      <c r="AG9" s="364">
        <v>20</v>
      </c>
      <c r="AH9" s="365" t="str">
        <f>IF($C9="","",AG9*VLOOKUP($C9,MATIERES!$A$2:$F$349,4,0))</f>
        <v/>
      </c>
      <c r="AI9" s="364">
        <v>21</v>
      </c>
      <c r="AJ9" s="365" t="str">
        <f>IF($C9="","",AI9*VLOOKUP($C9,MATIERES!$A$2:$F$349,4,0))</f>
        <v/>
      </c>
      <c r="AK9" s="364">
        <v>22</v>
      </c>
      <c r="AL9" s="365" t="str">
        <f>IF($C9="","",AK9*VLOOKUP($C9,MATIERES!$A$2:$F$349,4,0))</f>
        <v/>
      </c>
      <c r="AM9" s="364">
        <v>23</v>
      </c>
      <c r="AN9" s="365" t="str">
        <f>IF($C9="","",AM9*VLOOKUP($C9,MATIERES!$A$2:$F$349,4,0))</f>
        <v/>
      </c>
    </row>
    <row r="10" spans="1:42" ht="15" customHeight="1" x14ac:dyDescent="0.2">
      <c r="A10" s="1550"/>
      <c r="B10" s="361"/>
      <c r="C10" s="362"/>
      <c r="D10" s="363" t="str">
        <f>IF($C10="","",VLOOKUP($C10,MATIERES!$A$2:$F$227,5,0))</f>
        <v/>
      </c>
      <c r="E10" s="364">
        <v>7</v>
      </c>
      <c r="F10" s="365" t="str">
        <f>IF($C10="","",E10*VLOOKUP($C10,MATIERES!$A$2:$F$349,4,0))</f>
        <v/>
      </c>
      <c r="G10" s="364">
        <v>8</v>
      </c>
      <c r="H10" s="365" t="str">
        <f>IF($C10="","",G10*VLOOKUP($C10,MATIERES!$A$2:$F$349,4,0))</f>
        <v/>
      </c>
      <c r="I10" s="364">
        <v>9</v>
      </c>
      <c r="J10" s="365" t="str">
        <f>IF($C10="","",I10*VLOOKUP($C10,MATIERES!$A$2:$F$349,4,0))</f>
        <v/>
      </c>
      <c r="K10" s="364">
        <v>10</v>
      </c>
      <c r="L10" s="365" t="str">
        <f>IF($C10="","",K10*VLOOKUP($C10,MATIERES!$A$2:$F$349,4,0))</f>
        <v/>
      </c>
      <c r="M10" s="364">
        <v>11</v>
      </c>
      <c r="N10" s="365" t="str">
        <f>IF($C10="","",M10*VLOOKUP($C10,MATIERES!$A$2:$F$349,4,0))</f>
        <v/>
      </c>
      <c r="O10" s="364">
        <v>12</v>
      </c>
      <c r="P10" s="365" t="str">
        <f>IF($C10="","",O10*VLOOKUP($C10,MATIERES!$A$2:$F$349,4,0))</f>
        <v/>
      </c>
      <c r="Q10" s="364">
        <v>13</v>
      </c>
      <c r="R10" s="365" t="str">
        <f>IF($C10="","",Q10*VLOOKUP($C10,MATIERES!$A$2:$F$349,4,0))</f>
        <v/>
      </c>
      <c r="S10" s="364">
        <v>14</v>
      </c>
      <c r="T10" s="365" t="str">
        <f>IF($C10="","",S10*VLOOKUP($C10,MATIERES!$A$2:$F$349,4,0))</f>
        <v/>
      </c>
      <c r="U10" s="364">
        <v>15</v>
      </c>
      <c r="V10" s="365" t="str">
        <f>IF($C10="","",U10*VLOOKUP($C10,MATIERES!$A$2:$F$349,4,0))</f>
        <v/>
      </c>
      <c r="W10" s="364">
        <v>16</v>
      </c>
      <c r="X10" s="365" t="str">
        <f>IF($C10="","",W10*VLOOKUP($C10,MATIERES!$A$2:$F$349,4,0))</f>
        <v/>
      </c>
      <c r="Y10" s="364">
        <v>17</v>
      </c>
      <c r="Z10" s="365" t="str">
        <f>IF($C10="","",Y10*VLOOKUP($C10,MATIERES!$A$2:$F$349,4,0))</f>
        <v/>
      </c>
      <c r="AA10" s="364">
        <v>18</v>
      </c>
      <c r="AB10" s="365" t="str">
        <f>IF($C10="","",AA10*VLOOKUP($C10,MATIERES!$A$2:$F$349,4,0))</f>
        <v/>
      </c>
      <c r="AC10" s="364">
        <v>19</v>
      </c>
      <c r="AD10" s="365" t="str">
        <f>IF($C10="","",AC10*VLOOKUP($C10,MATIERES!$A$2:$F$349,4,0))</f>
        <v/>
      </c>
      <c r="AE10" s="364">
        <v>20</v>
      </c>
      <c r="AF10" s="365" t="str">
        <f>IF($C10="","",AE10*VLOOKUP($C10,MATIERES!$A$2:$F$349,4,0))</f>
        <v/>
      </c>
      <c r="AG10" s="364">
        <v>21</v>
      </c>
      <c r="AH10" s="365" t="str">
        <f>IF($C10="","",AG10*VLOOKUP($C10,MATIERES!$A$2:$F$349,4,0))</f>
        <v/>
      </c>
      <c r="AI10" s="364">
        <v>22</v>
      </c>
      <c r="AJ10" s="365" t="str">
        <f>IF($C10="","",AI10*VLOOKUP($C10,MATIERES!$A$2:$F$349,4,0))</f>
        <v/>
      </c>
      <c r="AK10" s="364">
        <v>23</v>
      </c>
      <c r="AL10" s="365" t="str">
        <f>IF($C10="","",AK10*VLOOKUP($C10,MATIERES!$A$2:$F$349,4,0))</f>
        <v/>
      </c>
      <c r="AM10" s="364">
        <v>24</v>
      </c>
      <c r="AN10" s="365" t="str">
        <f>IF($C10="","",AM10*VLOOKUP($C10,MATIERES!$A$2:$F$349,4,0))</f>
        <v/>
      </c>
    </row>
    <row r="11" spans="1:42" ht="15" customHeight="1" x14ac:dyDescent="0.2">
      <c r="A11" s="1550"/>
      <c r="B11" s="361"/>
      <c r="C11" s="362"/>
      <c r="D11" s="363" t="str">
        <f>IF($C11="","",VLOOKUP($C11,MATIERES!$A$2:$F$227,5,0))</f>
        <v/>
      </c>
      <c r="E11" s="364">
        <v>8</v>
      </c>
      <c r="F11" s="365" t="str">
        <f>IF($C11="","",E11*VLOOKUP($C11,MATIERES!$A$2:$F$349,4,0))</f>
        <v/>
      </c>
      <c r="G11" s="364">
        <v>9</v>
      </c>
      <c r="H11" s="365" t="str">
        <f>IF($C11="","",G11*VLOOKUP($C11,MATIERES!$A$2:$F$349,4,0))</f>
        <v/>
      </c>
      <c r="I11" s="364">
        <v>10</v>
      </c>
      <c r="J11" s="365" t="str">
        <f>IF($C11="","",I11*VLOOKUP($C11,MATIERES!$A$2:$F$349,4,0))</f>
        <v/>
      </c>
      <c r="K11" s="364">
        <v>11</v>
      </c>
      <c r="L11" s="365" t="str">
        <f>IF($C11="","",K11*VLOOKUP($C11,MATIERES!$A$2:$F$349,4,0))</f>
        <v/>
      </c>
      <c r="M11" s="364">
        <v>12</v>
      </c>
      <c r="N11" s="365" t="str">
        <f>IF($C11="","",M11*VLOOKUP($C11,MATIERES!$A$2:$F$349,4,0))</f>
        <v/>
      </c>
      <c r="O11" s="364">
        <v>13</v>
      </c>
      <c r="P11" s="365" t="str">
        <f>IF($C11="","",O11*VLOOKUP($C11,MATIERES!$A$2:$F$349,4,0))</f>
        <v/>
      </c>
      <c r="Q11" s="364">
        <v>14</v>
      </c>
      <c r="R11" s="365" t="str">
        <f>IF($C11="","",Q11*VLOOKUP($C11,MATIERES!$A$2:$F$349,4,0))</f>
        <v/>
      </c>
      <c r="S11" s="364">
        <v>15</v>
      </c>
      <c r="T11" s="365" t="str">
        <f>IF($C11="","",S11*VLOOKUP($C11,MATIERES!$A$2:$F$349,4,0))</f>
        <v/>
      </c>
      <c r="U11" s="364">
        <v>16</v>
      </c>
      <c r="V11" s="365" t="str">
        <f>IF($C11="","",U11*VLOOKUP($C11,MATIERES!$A$2:$F$349,4,0))</f>
        <v/>
      </c>
      <c r="W11" s="364">
        <v>17</v>
      </c>
      <c r="X11" s="365" t="str">
        <f>IF($C11="","",W11*VLOOKUP($C11,MATIERES!$A$2:$F$349,4,0))</f>
        <v/>
      </c>
      <c r="Y11" s="364">
        <v>18</v>
      </c>
      <c r="Z11" s="365" t="str">
        <f>IF($C11="","",Y11*VLOOKUP($C11,MATIERES!$A$2:$F$349,4,0))</f>
        <v/>
      </c>
      <c r="AA11" s="364">
        <v>19</v>
      </c>
      <c r="AB11" s="365" t="str">
        <f>IF($C11="","",AA11*VLOOKUP($C11,MATIERES!$A$2:$F$349,4,0))</f>
        <v/>
      </c>
      <c r="AC11" s="364">
        <v>20</v>
      </c>
      <c r="AD11" s="365" t="str">
        <f>IF($C11="","",AC11*VLOOKUP($C11,MATIERES!$A$2:$F$349,4,0))</f>
        <v/>
      </c>
      <c r="AE11" s="364">
        <v>21</v>
      </c>
      <c r="AF11" s="365" t="str">
        <f>IF($C11="","",AE11*VLOOKUP($C11,MATIERES!$A$2:$F$349,4,0))</f>
        <v/>
      </c>
      <c r="AG11" s="364">
        <v>22</v>
      </c>
      <c r="AH11" s="365" t="str">
        <f>IF($C11="","",AG11*VLOOKUP($C11,MATIERES!$A$2:$F$349,4,0))</f>
        <v/>
      </c>
      <c r="AI11" s="364">
        <v>23</v>
      </c>
      <c r="AJ11" s="365" t="str">
        <f>IF($C11="","",AI11*VLOOKUP($C11,MATIERES!$A$2:$F$349,4,0))</f>
        <v/>
      </c>
      <c r="AK11" s="364">
        <v>24</v>
      </c>
      <c r="AL11" s="365" t="str">
        <f>IF($C11="","",AK11*VLOOKUP($C11,MATIERES!$A$2:$F$349,4,0))</f>
        <v/>
      </c>
      <c r="AM11" s="364">
        <v>25</v>
      </c>
      <c r="AN11" s="365" t="str">
        <f>IF($C11="","",AM11*VLOOKUP($C11,MATIERES!$A$2:$F$349,4,0))</f>
        <v/>
      </c>
    </row>
    <row r="12" spans="1:42" ht="15" customHeight="1" x14ac:dyDescent="0.2">
      <c r="A12" s="1550"/>
      <c r="B12" s="361"/>
      <c r="C12" s="362"/>
      <c r="D12" s="363" t="str">
        <f>IF($C12="","",VLOOKUP($C12,MATIERES!$A$2:$F$227,5,0))</f>
        <v/>
      </c>
      <c r="E12" s="364">
        <v>9</v>
      </c>
      <c r="F12" s="365" t="str">
        <f>IF($C12="","",E12*VLOOKUP($C12,MATIERES!$A$2:$F$349,4,0))</f>
        <v/>
      </c>
      <c r="G12" s="364">
        <v>10</v>
      </c>
      <c r="H12" s="365" t="str">
        <f>IF($C12="","",G12*VLOOKUP($C12,MATIERES!$A$2:$F$349,4,0))</f>
        <v/>
      </c>
      <c r="I12" s="364">
        <v>11</v>
      </c>
      <c r="J12" s="365" t="str">
        <f>IF($C12="","",I12*VLOOKUP($C12,MATIERES!$A$2:$F$349,4,0))</f>
        <v/>
      </c>
      <c r="K12" s="364">
        <v>12</v>
      </c>
      <c r="L12" s="365" t="str">
        <f>IF($C12="","",K12*VLOOKUP($C12,MATIERES!$A$2:$F$349,4,0))</f>
        <v/>
      </c>
      <c r="M12" s="364">
        <v>13</v>
      </c>
      <c r="N12" s="365" t="str">
        <f>IF($C12="","",M12*VLOOKUP($C12,MATIERES!$A$2:$F$349,4,0))</f>
        <v/>
      </c>
      <c r="O12" s="364">
        <v>14</v>
      </c>
      <c r="P12" s="365" t="str">
        <f>IF($C12="","",O12*VLOOKUP($C12,MATIERES!$A$2:$F$349,4,0))</f>
        <v/>
      </c>
      <c r="Q12" s="364">
        <v>15</v>
      </c>
      <c r="R12" s="365" t="str">
        <f>IF($C12="","",Q12*VLOOKUP($C12,MATIERES!$A$2:$F$349,4,0))</f>
        <v/>
      </c>
      <c r="S12" s="364">
        <v>16</v>
      </c>
      <c r="T12" s="365" t="str">
        <f>IF($C12="","",S12*VLOOKUP($C12,MATIERES!$A$2:$F$349,4,0))</f>
        <v/>
      </c>
      <c r="U12" s="364">
        <v>17</v>
      </c>
      <c r="V12" s="365" t="str">
        <f>IF($C12="","",U12*VLOOKUP($C12,MATIERES!$A$2:$F$349,4,0))</f>
        <v/>
      </c>
      <c r="W12" s="364">
        <v>18</v>
      </c>
      <c r="X12" s="365" t="str">
        <f>IF($C12="","",W12*VLOOKUP($C12,MATIERES!$A$2:$F$349,4,0))</f>
        <v/>
      </c>
      <c r="Y12" s="364">
        <v>19</v>
      </c>
      <c r="Z12" s="365" t="str">
        <f>IF($C12="","",Y12*VLOOKUP($C12,MATIERES!$A$2:$F$349,4,0))</f>
        <v/>
      </c>
      <c r="AA12" s="364">
        <v>20</v>
      </c>
      <c r="AB12" s="365" t="str">
        <f>IF($C12="","",AA12*VLOOKUP($C12,MATIERES!$A$2:$F$349,4,0))</f>
        <v/>
      </c>
      <c r="AC12" s="364">
        <v>21</v>
      </c>
      <c r="AD12" s="365" t="str">
        <f>IF($C12="","",AC12*VLOOKUP($C12,MATIERES!$A$2:$F$349,4,0))</f>
        <v/>
      </c>
      <c r="AE12" s="364">
        <v>22</v>
      </c>
      <c r="AF12" s="365" t="str">
        <f>IF($C12="","",AE12*VLOOKUP($C12,MATIERES!$A$2:$F$349,4,0))</f>
        <v/>
      </c>
      <c r="AG12" s="364">
        <v>23</v>
      </c>
      <c r="AH12" s="365" t="str">
        <f>IF($C12="","",AG12*VLOOKUP($C12,MATIERES!$A$2:$F$349,4,0))</f>
        <v/>
      </c>
      <c r="AI12" s="364">
        <v>24</v>
      </c>
      <c r="AJ12" s="365" t="str">
        <f>IF($C12="","",AI12*VLOOKUP($C12,MATIERES!$A$2:$F$349,4,0))</f>
        <v/>
      </c>
      <c r="AK12" s="364">
        <v>25</v>
      </c>
      <c r="AL12" s="365" t="str">
        <f>IF($C12="","",AK12*VLOOKUP($C12,MATIERES!$A$2:$F$349,4,0))</f>
        <v/>
      </c>
      <c r="AM12" s="364">
        <v>26</v>
      </c>
      <c r="AN12" s="365" t="str">
        <f>IF($C12="","",AM12*VLOOKUP($C12,MATIERES!$A$2:$F$349,4,0))</f>
        <v/>
      </c>
    </row>
    <row r="13" spans="1:42" ht="15" customHeight="1" x14ac:dyDescent="0.2">
      <c r="A13" s="1550"/>
      <c r="B13" s="361"/>
      <c r="C13" s="362"/>
      <c r="D13" s="363" t="str">
        <f>IF($C13="","",VLOOKUP($C13,MATIERES!$A$2:$F$227,5,0))</f>
        <v/>
      </c>
      <c r="E13" s="364">
        <v>10</v>
      </c>
      <c r="F13" s="365" t="str">
        <f>IF($C13="","",E13*VLOOKUP($C13,MATIERES!$A$2:$F$349,4,0))</f>
        <v/>
      </c>
      <c r="G13" s="364">
        <v>11</v>
      </c>
      <c r="H13" s="365" t="str">
        <f>IF($C13="","",G13*VLOOKUP($C13,MATIERES!$A$2:$F$349,4,0))</f>
        <v/>
      </c>
      <c r="I13" s="364">
        <v>12</v>
      </c>
      <c r="J13" s="365" t="str">
        <f>IF($C13="","",I13*VLOOKUP($C13,MATIERES!$A$2:$F$349,4,0))</f>
        <v/>
      </c>
      <c r="K13" s="364">
        <v>13</v>
      </c>
      <c r="L13" s="365" t="str">
        <f>IF($C13="","",K13*VLOOKUP($C13,MATIERES!$A$2:$F$349,4,0))</f>
        <v/>
      </c>
      <c r="M13" s="364">
        <v>14</v>
      </c>
      <c r="N13" s="365" t="str">
        <f>IF($C13="","",M13*VLOOKUP($C13,MATIERES!$A$2:$F$349,4,0))</f>
        <v/>
      </c>
      <c r="O13" s="364">
        <v>15</v>
      </c>
      <c r="P13" s="365" t="str">
        <f>IF($C13="","",O13*VLOOKUP($C13,MATIERES!$A$2:$F$349,4,0))</f>
        <v/>
      </c>
      <c r="Q13" s="364">
        <v>16</v>
      </c>
      <c r="R13" s="365" t="str">
        <f>IF($C13="","",Q13*VLOOKUP($C13,MATIERES!$A$2:$F$349,4,0))</f>
        <v/>
      </c>
      <c r="S13" s="364">
        <v>17</v>
      </c>
      <c r="T13" s="365" t="str">
        <f>IF($C13="","",S13*VLOOKUP($C13,MATIERES!$A$2:$F$349,4,0))</f>
        <v/>
      </c>
      <c r="U13" s="364">
        <v>18</v>
      </c>
      <c r="V13" s="365" t="str">
        <f>IF($C13="","",U13*VLOOKUP($C13,MATIERES!$A$2:$F$349,4,0))</f>
        <v/>
      </c>
      <c r="W13" s="364">
        <v>19</v>
      </c>
      <c r="X13" s="365" t="str">
        <f>IF($C13="","",W13*VLOOKUP($C13,MATIERES!$A$2:$F$349,4,0))</f>
        <v/>
      </c>
      <c r="Y13" s="364">
        <v>20</v>
      </c>
      <c r="Z13" s="365" t="str">
        <f>IF($C13="","",Y13*VLOOKUP($C13,MATIERES!$A$2:$F$349,4,0))</f>
        <v/>
      </c>
      <c r="AA13" s="364">
        <v>21</v>
      </c>
      <c r="AB13" s="365" t="str">
        <f>IF($C13="","",AA13*VLOOKUP($C13,MATIERES!$A$2:$F$349,4,0))</f>
        <v/>
      </c>
      <c r="AC13" s="364">
        <v>22</v>
      </c>
      <c r="AD13" s="365" t="str">
        <f>IF($C13="","",AC13*VLOOKUP($C13,MATIERES!$A$2:$F$349,4,0))</f>
        <v/>
      </c>
      <c r="AE13" s="364">
        <v>23</v>
      </c>
      <c r="AF13" s="365" t="str">
        <f>IF($C13="","",AE13*VLOOKUP($C13,MATIERES!$A$2:$F$349,4,0))</f>
        <v/>
      </c>
      <c r="AG13" s="364">
        <v>24</v>
      </c>
      <c r="AH13" s="365" t="str">
        <f>IF($C13="","",AG13*VLOOKUP($C13,MATIERES!$A$2:$F$349,4,0))</f>
        <v/>
      </c>
      <c r="AI13" s="364">
        <v>25</v>
      </c>
      <c r="AJ13" s="365" t="str">
        <f>IF($C13="","",AI13*VLOOKUP($C13,MATIERES!$A$2:$F$349,4,0))</f>
        <v/>
      </c>
      <c r="AK13" s="364">
        <v>26</v>
      </c>
      <c r="AL13" s="365" t="str">
        <f>IF($C13="","",AK13*VLOOKUP($C13,MATIERES!$A$2:$F$349,4,0))</f>
        <v/>
      </c>
      <c r="AM13" s="364">
        <v>27</v>
      </c>
      <c r="AN13" s="365" t="str">
        <f>IF($C13="","",AM13*VLOOKUP($C13,MATIERES!$A$2:$F$349,4,0))</f>
        <v/>
      </c>
      <c r="AO13" s="186"/>
    </row>
    <row r="14" spans="1:42" ht="15" customHeight="1" x14ac:dyDescent="0.2">
      <c r="A14" s="1550"/>
      <c r="B14" s="361"/>
      <c r="C14" s="362"/>
      <c r="D14" s="363" t="str">
        <f>IF($C14="","",VLOOKUP($C14,MATIERES!$A$2:$F$227,5,0))</f>
        <v/>
      </c>
      <c r="E14" s="364">
        <v>11</v>
      </c>
      <c r="F14" s="365" t="str">
        <f>IF($C14="","",E14*VLOOKUP($C14,MATIERES!$A$2:$F$349,4,0))</f>
        <v/>
      </c>
      <c r="G14" s="364">
        <v>12</v>
      </c>
      <c r="H14" s="365" t="str">
        <f>IF($C14="","",G14*VLOOKUP($C14,MATIERES!$A$2:$F$349,4,0))</f>
        <v/>
      </c>
      <c r="I14" s="364">
        <v>13</v>
      </c>
      <c r="J14" s="365" t="str">
        <f>IF($C14="","",I14*VLOOKUP($C14,MATIERES!$A$2:$F$349,4,0))</f>
        <v/>
      </c>
      <c r="K14" s="364">
        <v>14</v>
      </c>
      <c r="L14" s="365" t="str">
        <f>IF($C14="","",K14*VLOOKUP($C14,MATIERES!$A$2:$F$349,4,0))</f>
        <v/>
      </c>
      <c r="M14" s="364">
        <v>15</v>
      </c>
      <c r="N14" s="365" t="str">
        <f>IF($C14="","",M14*VLOOKUP($C14,MATIERES!$A$2:$F$349,4,0))</f>
        <v/>
      </c>
      <c r="O14" s="364">
        <v>16</v>
      </c>
      <c r="P14" s="365" t="str">
        <f>IF($C14="","",O14*VLOOKUP($C14,MATIERES!$A$2:$F$349,4,0))</f>
        <v/>
      </c>
      <c r="Q14" s="364">
        <v>17</v>
      </c>
      <c r="R14" s="365" t="str">
        <f>IF($C14="","",Q14*VLOOKUP($C14,MATIERES!$A$2:$F$349,4,0))</f>
        <v/>
      </c>
      <c r="S14" s="364">
        <v>18</v>
      </c>
      <c r="T14" s="365" t="str">
        <f>IF($C14="","",S14*VLOOKUP($C14,MATIERES!$A$2:$F$349,4,0))</f>
        <v/>
      </c>
      <c r="U14" s="364">
        <v>19</v>
      </c>
      <c r="V14" s="365" t="str">
        <f>IF($C14="","",U14*VLOOKUP($C14,MATIERES!$A$2:$F$349,4,0))</f>
        <v/>
      </c>
      <c r="W14" s="364">
        <v>20</v>
      </c>
      <c r="X14" s="365" t="str">
        <f>IF($C14="","",W14*VLOOKUP($C14,MATIERES!$A$2:$F$349,4,0))</f>
        <v/>
      </c>
      <c r="Y14" s="364">
        <v>21</v>
      </c>
      <c r="Z14" s="365" t="str">
        <f>IF($C14="","",Y14*VLOOKUP($C14,MATIERES!$A$2:$F$349,4,0))</f>
        <v/>
      </c>
      <c r="AA14" s="364">
        <v>22</v>
      </c>
      <c r="AB14" s="365" t="str">
        <f>IF($C14="","",AA14*VLOOKUP($C14,MATIERES!$A$2:$F$349,4,0))</f>
        <v/>
      </c>
      <c r="AC14" s="364">
        <v>23</v>
      </c>
      <c r="AD14" s="365" t="str">
        <f>IF($C14="","",AC14*VLOOKUP($C14,MATIERES!$A$2:$F$349,4,0))</f>
        <v/>
      </c>
      <c r="AE14" s="364">
        <v>24</v>
      </c>
      <c r="AF14" s="365" t="str">
        <f>IF($C14="","",AE14*VLOOKUP($C14,MATIERES!$A$2:$F$349,4,0))</f>
        <v/>
      </c>
      <c r="AG14" s="364">
        <v>25</v>
      </c>
      <c r="AH14" s="365" t="str">
        <f>IF($C14="","",AG14*VLOOKUP($C14,MATIERES!$A$2:$F$349,4,0))</f>
        <v/>
      </c>
      <c r="AI14" s="364">
        <v>26</v>
      </c>
      <c r="AJ14" s="365" t="str">
        <f>IF($C14="","",AI14*VLOOKUP($C14,MATIERES!$A$2:$F$349,4,0))</f>
        <v/>
      </c>
      <c r="AK14" s="364">
        <v>27</v>
      </c>
      <c r="AL14" s="365" t="str">
        <f>IF($C14="","",AK14*VLOOKUP($C14,MATIERES!$A$2:$F$349,4,0))</f>
        <v/>
      </c>
      <c r="AM14" s="364">
        <v>28</v>
      </c>
      <c r="AN14" s="365" t="str">
        <f>IF($C14="","",AM14*VLOOKUP($C14,MATIERES!$A$2:$F$349,4,0))</f>
        <v/>
      </c>
    </row>
    <row r="15" spans="1:42" ht="15" customHeight="1" x14ac:dyDescent="0.2">
      <c r="A15" s="1550"/>
      <c r="B15" s="361"/>
      <c r="C15" s="362"/>
      <c r="D15" s="363" t="str">
        <f>IF($C15="","",VLOOKUP($C15,MATIERES!$A$2:$F$227,5,0))</f>
        <v/>
      </c>
      <c r="E15" s="364">
        <v>12</v>
      </c>
      <c r="F15" s="365" t="str">
        <f>IF($C15="","",E15*VLOOKUP($C15,MATIERES!$A$2:$F$349,4,0))</f>
        <v/>
      </c>
      <c r="G15" s="364">
        <v>13</v>
      </c>
      <c r="H15" s="365" t="str">
        <f>IF($C15="","",G15*VLOOKUP($C15,MATIERES!$A$2:$F$349,4,0))</f>
        <v/>
      </c>
      <c r="I15" s="364">
        <v>14</v>
      </c>
      <c r="J15" s="365" t="str">
        <f>IF($C15="","",I15*VLOOKUP($C15,MATIERES!$A$2:$F$349,4,0))</f>
        <v/>
      </c>
      <c r="K15" s="364">
        <v>15</v>
      </c>
      <c r="L15" s="365" t="str">
        <f>IF($C15="","",K15*VLOOKUP($C15,MATIERES!$A$2:$F$349,4,0))</f>
        <v/>
      </c>
      <c r="M15" s="364">
        <v>16</v>
      </c>
      <c r="N15" s="365" t="str">
        <f>IF($C15="","",M15*VLOOKUP($C15,MATIERES!$A$2:$F$349,4,0))</f>
        <v/>
      </c>
      <c r="O15" s="364">
        <v>17</v>
      </c>
      <c r="P15" s="365" t="str">
        <f>IF($C15="","",O15*VLOOKUP($C15,MATIERES!$A$2:$F$349,4,0))</f>
        <v/>
      </c>
      <c r="Q15" s="364">
        <v>18</v>
      </c>
      <c r="R15" s="365" t="str">
        <f>IF($C15="","",Q15*VLOOKUP($C15,MATIERES!$A$2:$F$349,4,0))</f>
        <v/>
      </c>
      <c r="S15" s="364">
        <v>19</v>
      </c>
      <c r="T15" s="365" t="str">
        <f>IF($C15="","",S15*VLOOKUP($C15,MATIERES!$A$2:$F$349,4,0))</f>
        <v/>
      </c>
      <c r="U15" s="364">
        <v>20</v>
      </c>
      <c r="V15" s="365" t="str">
        <f>IF($C15="","",U15*VLOOKUP($C15,MATIERES!$A$2:$F$349,4,0))</f>
        <v/>
      </c>
      <c r="W15" s="364">
        <v>21</v>
      </c>
      <c r="X15" s="365" t="str">
        <f>IF($C15="","",W15*VLOOKUP($C15,MATIERES!$A$2:$F$349,4,0))</f>
        <v/>
      </c>
      <c r="Y15" s="364">
        <v>22</v>
      </c>
      <c r="Z15" s="365" t="str">
        <f>IF($C15="","",Y15*VLOOKUP($C15,MATIERES!$A$2:$F$349,4,0))</f>
        <v/>
      </c>
      <c r="AA15" s="364">
        <v>23</v>
      </c>
      <c r="AB15" s="365" t="str">
        <f>IF($C15="","",AA15*VLOOKUP($C15,MATIERES!$A$2:$F$349,4,0))</f>
        <v/>
      </c>
      <c r="AC15" s="364">
        <v>24</v>
      </c>
      <c r="AD15" s="365" t="str">
        <f>IF($C15="","",AC15*VLOOKUP($C15,MATIERES!$A$2:$F$349,4,0))</f>
        <v/>
      </c>
      <c r="AE15" s="364">
        <v>25</v>
      </c>
      <c r="AF15" s="365" t="str">
        <f>IF($C15="","",AE15*VLOOKUP($C15,MATIERES!$A$2:$F$349,4,0))</f>
        <v/>
      </c>
      <c r="AG15" s="364">
        <v>26</v>
      </c>
      <c r="AH15" s="365" t="str">
        <f>IF($C15="","",AG15*VLOOKUP($C15,MATIERES!$A$2:$F$349,4,0))</f>
        <v/>
      </c>
      <c r="AI15" s="364">
        <v>27</v>
      </c>
      <c r="AJ15" s="365" t="str">
        <f>IF($C15="","",AI15*VLOOKUP($C15,MATIERES!$A$2:$F$349,4,0))</f>
        <v/>
      </c>
      <c r="AK15" s="364">
        <v>28</v>
      </c>
      <c r="AL15" s="365" t="str">
        <f>IF($C15="","",AK15*VLOOKUP($C15,MATIERES!$A$2:$F$349,4,0))</f>
        <v/>
      </c>
      <c r="AM15" s="364">
        <v>29</v>
      </c>
      <c r="AN15" s="365" t="str">
        <f>IF($C15="","",AM15*VLOOKUP($C15,MATIERES!$A$2:$F$349,4,0))</f>
        <v/>
      </c>
    </row>
    <row r="16" spans="1:42" ht="15" customHeight="1" x14ac:dyDescent="0.2">
      <c r="A16" s="1550"/>
      <c r="B16" s="361"/>
      <c r="C16" s="362"/>
      <c r="D16" s="363" t="str">
        <f>IF($C16="","",VLOOKUP($C16,MATIERES!$A$2:$F$227,5,0))</f>
        <v/>
      </c>
      <c r="E16" s="364">
        <v>13</v>
      </c>
      <c r="F16" s="365" t="str">
        <f>IF($C16="","",E16*VLOOKUP($C16,MATIERES!$A$2:$F$349,4,0))</f>
        <v/>
      </c>
      <c r="G16" s="364">
        <v>14</v>
      </c>
      <c r="H16" s="365" t="str">
        <f>IF($C16="","",G16*VLOOKUP($C16,MATIERES!$A$2:$F$349,4,0))</f>
        <v/>
      </c>
      <c r="I16" s="364">
        <v>15</v>
      </c>
      <c r="J16" s="365" t="str">
        <f>IF($C16="","",I16*VLOOKUP($C16,MATIERES!$A$2:$F$349,4,0))</f>
        <v/>
      </c>
      <c r="K16" s="364">
        <v>16</v>
      </c>
      <c r="L16" s="365" t="str">
        <f>IF($C16="","",K16*VLOOKUP($C16,MATIERES!$A$2:$F$349,4,0))</f>
        <v/>
      </c>
      <c r="M16" s="364">
        <v>17</v>
      </c>
      <c r="N16" s="365" t="str">
        <f>IF($C16="","",M16*VLOOKUP($C16,MATIERES!$A$2:$F$349,4,0))</f>
        <v/>
      </c>
      <c r="O16" s="364">
        <v>18</v>
      </c>
      <c r="P16" s="365" t="str">
        <f>IF($C16="","",O16*VLOOKUP($C16,MATIERES!$A$2:$F$349,4,0))</f>
        <v/>
      </c>
      <c r="Q16" s="364">
        <v>19</v>
      </c>
      <c r="R16" s="365" t="str">
        <f>IF($C16="","",Q16*VLOOKUP($C16,MATIERES!$A$2:$F$349,4,0))</f>
        <v/>
      </c>
      <c r="S16" s="364">
        <v>20</v>
      </c>
      <c r="T16" s="365" t="str">
        <f>IF($C16="","",S16*VLOOKUP($C16,MATIERES!$A$2:$F$349,4,0))</f>
        <v/>
      </c>
      <c r="U16" s="364">
        <v>21</v>
      </c>
      <c r="V16" s="365" t="str">
        <f>IF($C16="","",U16*VLOOKUP($C16,MATIERES!$A$2:$F$349,4,0))</f>
        <v/>
      </c>
      <c r="W16" s="364">
        <v>22</v>
      </c>
      <c r="X16" s="365" t="str">
        <f>IF($C16="","",W16*VLOOKUP($C16,MATIERES!$A$2:$F$349,4,0))</f>
        <v/>
      </c>
      <c r="Y16" s="364">
        <v>23</v>
      </c>
      <c r="Z16" s="365" t="str">
        <f>IF($C16="","",Y16*VLOOKUP($C16,MATIERES!$A$2:$F$349,4,0))</f>
        <v/>
      </c>
      <c r="AA16" s="364">
        <v>24</v>
      </c>
      <c r="AB16" s="365" t="str">
        <f>IF($C16="","",AA16*VLOOKUP($C16,MATIERES!$A$2:$F$349,4,0))</f>
        <v/>
      </c>
      <c r="AC16" s="364">
        <v>25</v>
      </c>
      <c r="AD16" s="365" t="str">
        <f>IF($C16="","",AC16*VLOOKUP($C16,MATIERES!$A$2:$F$349,4,0))</f>
        <v/>
      </c>
      <c r="AE16" s="364">
        <v>26</v>
      </c>
      <c r="AF16" s="365" t="str">
        <f>IF($C16="","",AE16*VLOOKUP($C16,MATIERES!$A$2:$F$349,4,0))</f>
        <v/>
      </c>
      <c r="AG16" s="364">
        <v>27</v>
      </c>
      <c r="AH16" s="365" t="str">
        <f>IF($C16="","",AG16*VLOOKUP($C16,MATIERES!$A$2:$F$349,4,0))</f>
        <v/>
      </c>
      <c r="AI16" s="364">
        <v>28</v>
      </c>
      <c r="AJ16" s="365" t="str">
        <f>IF($C16="","",AI16*VLOOKUP($C16,MATIERES!$A$2:$F$349,4,0))</f>
        <v/>
      </c>
      <c r="AK16" s="364">
        <v>29</v>
      </c>
      <c r="AL16" s="365" t="str">
        <f>IF($C16="","",AK16*VLOOKUP($C16,MATIERES!$A$2:$F$349,4,0))</f>
        <v/>
      </c>
      <c r="AM16" s="364">
        <v>30</v>
      </c>
      <c r="AN16" s="365" t="str">
        <f>IF($C16="","",AM16*VLOOKUP($C16,MATIERES!$A$2:$F$349,4,0))</f>
        <v/>
      </c>
    </row>
    <row r="17" spans="1:40" ht="15" customHeight="1" x14ac:dyDescent="0.2">
      <c r="A17" s="1551"/>
      <c r="B17" s="361"/>
      <c r="C17" s="362"/>
      <c r="D17" s="363" t="str">
        <f>IF($C17="","",VLOOKUP($C17,MATIERES!$A$2:$F$227,5,0))</f>
        <v/>
      </c>
      <c r="E17" s="364">
        <v>14</v>
      </c>
      <c r="F17" s="365" t="str">
        <f>IF($C17="","",E17*VLOOKUP($C17,MATIERES!$A$2:$F$349,4,0))</f>
        <v/>
      </c>
      <c r="G17" s="364">
        <v>15</v>
      </c>
      <c r="H17" s="365" t="str">
        <f>IF($C17="","",G17*VLOOKUP($C17,MATIERES!$A$2:$F$349,4,0))</f>
        <v/>
      </c>
      <c r="I17" s="364">
        <v>16</v>
      </c>
      <c r="J17" s="365" t="str">
        <f>IF($C17="","",I17*VLOOKUP($C17,MATIERES!$A$2:$F$349,4,0))</f>
        <v/>
      </c>
      <c r="K17" s="364">
        <v>17</v>
      </c>
      <c r="L17" s="365" t="str">
        <f>IF($C17="","",K17*VLOOKUP($C17,MATIERES!$A$2:$F$349,4,0))</f>
        <v/>
      </c>
      <c r="M17" s="364">
        <v>18</v>
      </c>
      <c r="N17" s="365" t="str">
        <f>IF($C17="","",M17*VLOOKUP($C17,MATIERES!$A$2:$F$349,4,0))</f>
        <v/>
      </c>
      <c r="O17" s="364">
        <v>19</v>
      </c>
      <c r="P17" s="365" t="str">
        <f>IF($C17="","",O17*VLOOKUP($C17,MATIERES!$A$2:$F$349,4,0))</f>
        <v/>
      </c>
      <c r="Q17" s="364">
        <v>20</v>
      </c>
      <c r="R17" s="365" t="str">
        <f>IF($C17="","",Q17*VLOOKUP($C17,MATIERES!$A$2:$F$349,4,0))</f>
        <v/>
      </c>
      <c r="S17" s="364">
        <v>21</v>
      </c>
      <c r="T17" s="365" t="str">
        <f>IF($C17="","",S17*VLOOKUP($C17,MATIERES!$A$2:$F$349,4,0))</f>
        <v/>
      </c>
      <c r="U17" s="364">
        <v>22</v>
      </c>
      <c r="V17" s="365" t="str">
        <f>IF($C17="","",U17*VLOOKUP($C17,MATIERES!$A$2:$F$349,4,0))</f>
        <v/>
      </c>
      <c r="W17" s="364">
        <v>23</v>
      </c>
      <c r="X17" s="365" t="str">
        <f>IF($C17="","",W17*VLOOKUP($C17,MATIERES!$A$2:$F$349,4,0))</f>
        <v/>
      </c>
      <c r="Y17" s="364">
        <v>24</v>
      </c>
      <c r="Z17" s="365" t="str">
        <f>IF($C17="","",Y17*VLOOKUP($C17,MATIERES!$A$2:$F$349,4,0))</f>
        <v/>
      </c>
      <c r="AA17" s="364">
        <v>25</v>
      </c>
      <c r="AB17" s="365" t="str">
        <f>IF($C17="","",AA17*VLOOKUP($C17,MATIERES!$A$2:$F$349,4,0))</f>
        <v/>
      </c>
      <c r="AC17" s="364">
        <v>26</v>
      </c>
      <c r="AD17" s="365" t="str">
        <f>IF($C17="","",AC17*VLOOKUP($C17,MATIERES!$A$2:$F$349,4,0))</f>
        <v/>
      </c>
      <c r="AE17" s="364">
        <v>27</v>
      </c>
      <c r="AF17" s="365" t="str">
        <f>IF($C17="","",AE17*VLOOKUP($C17,MATIERES!$A$2:$F$349,4,0))</f>
        <v/>
      </c>
      <c r="AG17" s="364">
        <v>28</v>
      </c>
      <c r="AH17" s="365" t="str">
        <f>IF($C17="","",AG17*VLOOKUP($C17,MATIERES!$A$2:$F$349,4,0))</f>
        <v/>
      </c>
      <c r="AI17" s="364">
        <v>29</v>
      </c>
      <c r="AJ17" s="365" t="str">
        <f>IF($C17="","",AI17*VLOOKUP($C17,MATIERES!$A$2:$F$349,4,0))</f>
        <v/>
      </c>
      <c r="AK17" s="364">
        <v>30</v>
      </c>
      <c r="AL17" s="365" t="str">
        <f>IF($C17="","",AK17*VLOOKUP($C17,MATIERES!$A$2:$F$349,4,0))</f>
        <v/>
      </c>
      <c r="AM17" s="364">
        <v>31</v>
      </c>
      <c r="AN17" s="365" t="str">
        <f>IF($C17="","",AM17*VLOOKUP($C17,MATIERES!$A$2:$F$349,4,0))</f>
        <v/>
      </c>
    </row>
    <row r="18" spans="1:40" ht="15" customHeight="1" x14ac:dyDescent="0.2">
      <c r="A18" s="1550"/>
      <c r="B18" s="361"/>
      <c r="C18" s="362"/>
      <c r="D18" s="363" t="str">
        <f>IF($C18="","",VLOOKUP($C18,MATIERES!$A$2:$F$227,5,0))</f>
        <v/>
      </c>
      <c r="E18" s="364">
        <v>15</v>
      </c>
      <c r="F18" s="365" t="str">
        <f>IF($C18="","",E18*VLOOKUP($C18,MATIERES!$A$2:$F$349,4,0))</f>
        <v/>
      </c>
      <c r="G18" s="364">
        <v>16</v>
      </c>
      <c r="H18" s="365" t="str">
        <f>IF($C18="","",G18*VLOOKUP($C18,MATIERES!$A$2:$F$349,4,0))</f>
        <v/>
      </c>
      <c r="I18" s="364">
        <v>17</v>
      </c>
      <c r="J18" s="365" t="str">
        <f>IF($C18="","",I18*VLOOKUP($C18,MATIERES!$A$2:$F$349,4,0))</f>
        <v/>
      </c>
      <c r="K18" s="364">
        <v>18</v>
      </c>
      <c r="L18" s="365" t="str">
        <f>IF($C18="","",K18*VLOOKUP($C18,MATIERES!$A$2:$F$349,4,0))</f>
        <v/>
      </c>
      <c r="M18" s="364">
        <v>19</v>
      </c>
      <c r="N18" s="365" t="str">
        <f>IF($C18="","",M18*VLOOKUP($C18,MATIERES!$A$2:$F$349,4,0))</f>
        <v/>
      </c>
      <c r="O18" s="364">
        <v>20</v>
      </c>
      <c r="P18" s="365" t="str">
        <f>IF($C18="","",O18*VLOOKUP($C18,MATIERES!$A$2:$F$349,4,0))</f>
        <v/>
      </c>
      <c r="Q18" s="364">
        <v>21</v>
      </c>
      <c r="R18" s="365" t="str">
        <f>IF($C18="","",Q18*VLOOKUP($C18,MATIERES!$A$2:$F$349,4,0))</f>
        <v/>
      </c>
      <c r="S18" s="364">
        <v>22</v>
      </c>
      <c r="T18" s="365" t="str">
        <f>IF($C18="","",S18*VLOOKUP($C18,MATIERES!$A$2:$F$349,4,0))</f>
        <v/>
      </c>
      <c r="U18" s="364">
        <v>23</v>
      </c>
      <c r="V18" s="365" t="str">
        <f>IF($C18="","",U18*VLOOKUP($C18,MATIERES!$A$2:$F$349,4,0))</f>
        <v/>
      </c>
      <c r="W18" s="364">
        <v>24</v>
      </c>
      <c r="X18" s="365" t="str">
        <f>IF($C18="","",W18*VLOOKUP($C18,MATIERES!$A$2:$F$349,4,0))</f>
        <v/>
      </c>
      <c r="Y18" s="364">
        <v>25</v>
      </c>
      <c r="Z18" s="365" t="str">
        <f>IF($C18="","",Y18*VLOOKUP($C18,MATIERES!$A$2:$F$349,4,0))</f>
        <v/>
      </c>
      <c r="AA18" s="364">
        <v>26</v>
      </c>
      <c r="AB18" s="365" t="str">
        <f>IF($C18="","",AA18*VLOOKUP($C18,MATIERES!$A$2:$F$349,4,0))</f>
        <v/>
      </c>
      <c r="AC18" s="364">
        <v>27</v>
      </c>
      <c r="AD18" s="365" t="str">
        <f>IF($C18="","",AC18*VLOOKUP($C18,MATIERES!$A$2:$F$349,4,0))</f>
        <v/>
      </c>
      <c r="AE18" s="364">
        <v>28</v>
      </c>
      <c r="AF18" s="365" t="str">
        <f>IF($C18="","",AE18*VLOOKUP($C18,MATIERES!$A$2:$F$349,4,0))</f>
        <v/>
      </c>
      <c r="AG18" s="364">
        <v>29</v>
      </c>
      <c r="AH18" s="365" t="str">
        <f>IF($C18="","",AG18*VLOOKUP($C18,MATIERES!$A$2:$F$349,4,0))</f>
        <v/>
      </c>
      <c r="AI18" s="364">
        <v>30</v>
      </c>
      <c r="AJ18" s="365" t="str">
        <f>IF($C18="","",AI18*VLOOKUP($C18,MATIERES!$A$2:$F$349,4,0))</f>
        <v/>
      </c>
      <c r="AK18" s="364">
        <v>31</v>
      </c>
      <c r="AL18" s="365" t="str">
        <f>IF($C18="","",AK18*VLOOKUP($C18,MATIERES!$A$2:$F$349,4,0))</f>
        <v/>
      </c>
      <c r="AM18" s="364">
        <v>32</v>
      </c>
      <c r="AN18" s="365" t="str">
        <f>IF($C18="","",AM18*VLOOKUP($C18,MATIERES!$A$2:$F$349,4,0))</f>
        <v/>
      </c>
    </row>
    <row r="19" spans="1:40" ht="15" customHeight="1" x14ac:dyDescent="0.2">
      <c r="A19" s="1550"/>
      <c r="B19" s="361"/>
      <c r="C19" s="362"/>
      <c r="D19" s="363" t="str">
        <f>IF($C19="","",VLOOKUP($C19,MATIERES!$A$2:$F$227,5,0))</f>
        <v/>
      </c>
      <c r="E19" s="364">
        <v>16</v>
      </c>
      <c r="F19" s="365" t="str">
        <f>IF($C19="","",E19*VLOOKUP($C19,MATIERES!$A$2:$F$349,4,0))</f>
        <v/>
      </c>
      <c r="G19" s="364">
        <v>17</v>
      </c>
      <c r="H19" s="365" t="str">
        <f>IF($C19="","",G19*VLOOKUP($C19,MATIERES!$A$2:$F$349,4,0))</f>
        <v/>
      </c>
      <c r="I19" s="364">
        <v>18</v>
      </c>
      <c r="J19" s="365" t="str">
        <f>IF($C19="","",I19*VLOOKUP($C19,MATIERES!$A$2:$F$349,4,0))</f>
        <v/>
      </c>
      <c r="K19" s="364">
        <v>19</v>
      </c>
      <c r="L19" s="365" t="str">
        <f>IF($C19="","",K19*VLOOKUP($C19,MATIERES!$A$2:$F$349,4,0))</f>
        <v/>
      </c>
      <c r="M19" s="364">
        <v>20</v>
      </c>
      <c r="N19" s="365" t="str">
        <f>IF($C19="","",M19*VLOOKUP($C19,MATIERES!$A$2:$F$349,4,0))</f>
        <v/>
      </c>
      <c r="O19" s="364">
        <v>21</v>
      </c>
      <c r="P19" s="365" t="str">
        <f>IF($C19="","",O19*VLOOKUP($C19,MATIERES!$A$2:$F$349,4,0))</f>
        <v/>
      </c>
      <c r="Q19" s="364">
        <v>22</v>
      </c>
      <c r="R19" s="365" t="str">
        <f>IF($C19="","",Q19*VLOOKUP($C19,MATIERES!$A$2:$F$349,4,0))</f>
        <v/>
      </c>
      <c r="S19" s="364">
        <v>23</v>
      </c>
      <c r="T19" s="365" t="str">
        <f>IF($C19="","",S19*VLOOKUP($C19,MATIERES!$A$2:$F$349,4,0))</f>
        <v/>
      </c>
      <c r="U19" s="364">
        <v>24</v>
      </c>
      <c r="V19" s="365" t="str">
        <f>IF($C19="","",U19*VLOOKUP($C19,MATIERES!$A$2:$F$349,4,0))</f>
        <v/>
      </c>
      <c r="W19" s="364">
        <v>25</v>
      </c>
      <c r="X19" s="365" t="str">
        <f>IF($C19="","",W19*VLOOKUP($C19,MATIERES!$A$2:$F$349,4,0))</f>
        <v/>
      </c>
      <c r="Y19" s="364">
        <v>26</v>
      </c>
      <c r="Z19" s="365" t="str">
        <f>IF($C19="","",Y19*VLOOKUP($C19,MATIERES!$A$2:$F$349,4,0))</f>
        <v/>
      </c>
      <c r="AA19" s="364">
        <v>27</v>
      </c>
      <c r="AB19" s="365" t="str">
        <f>IF($C19="","",AA19*VLOOKUP($C19,MATIERES!$A$2:$F$349,4,0))</f>
        <v/>
      </c>
      <c r="AC19" s="364">
        <v>28</v>
      </c>
      <c r="AD19" s="365" t="str">
        <f>IF($C19="","",AC19*VLOOKUP($C19,MATIERES!$A$2:$F$349,4,0))</f>
        <v/>
      </c>
      <c r="AE19" s="364">
        <v>29</v>
      </c>
      <c r="AF19" s="365" t="str">
        <f>IF($C19="","",AE19*VLOOKUP($C19,MATIERES!$A$2:$F$349,4,0))</f>
        <v/>
      </c>
      <c r="AG19" s="364">
        <v>30</v>
      </c>
      <c r="AH19" s="365" t="str">
        <f>IF($C19="","",AG19*VLOOKUP($C19,MATIERES!$A$2:$F$349,4,0))</f>
        <v/>
      </c>
      <c r="AI19" s="364">
        <v>31</v>
      </c>
      <c r="AJ19" s="365" t="str">
        <f>IF($C19="","",AI19*VLOOKUP($C19,MATIERES!$A$2:$F$349,4,0))</f>
        <v/>
      </c>
      <c r="AK19" s="364">
        <v>32</v>
      </c>
      <c r="AL19" s="365" t="str">
        <f>IF($C19="","",AK19*VLOOKUP($C19,MATIERES!$A$2:$F$349,4,0))</f>
        <v/>
      </c>
      <c r="AM19" s="364">
        <v>33</v>
      </c>
      <c r="AN19" s="365" t="str">
        <f>IF($C19="","",AM19*VLOOKUP($C19,MATIERES!$A$2:$F$349,4,0))</f>
        <v/>
      </c>
    </row>
    <row r="20" spans="1:40" ht="15" customHeight="1" x14ac:dyDescent="0.2">
      <c r="A20" s="1550"/>
      <c r="B20" s="361"/>
      <c r="C20" s="362"/>
      <c r="D20" s="363" t="str">
        <f>IF($C20="","",VLOOKUP($C20,MATIERES!$A$2:$F$227,5,0))</f>
        <v/>
      </c>
      <c r="E20" s="364">
        <v>17</v>
      </c>
      <c r="F20" s="365" t="str">
        <f>IF($C20="","",E20*VLOOKUP($C20,MATIERES!$A$2:$F$349,4,0))</f>
        <v/>
      </c>
      <c r="G20" s="364">
        <v>18</v>
      </c>
      <c r="H20" s="365" t="str">
        <f>IF($C20="","",G20*VLOOKUP($C20,MATIERES!$A$2:$F$349,4,0))</f>
        <v/>
      </c>
      <c r="I20" s="364">
        <v>19</v>
      </c>
      <c r="J20" s="365" t="str">
        <f>IF($C20="","",I20*VLOOKUP($C20,MATIERES!$A$2:$F$349,4,0))</f>
        <v/>
      </c>
      <c r="K20" s="364">
        <v>20</v>
      </c>
      <c r="L20" s="365" t="str">
        <f>IF($C20="","",K20*VLOOKUP($C20,MATIERES!$A$2:$F$349,4,0))</f>
        <v/>
      </c>
      <c r="M20" s="364">
        <v>21</v>
      </c>
      <c r="N20" s="365" t="str">
        <f>IF($C20="","",M20*VLOOKUP($C20,MATIERES!$A$2:$F$349,4,0))</f>
        <v/>
      </c>
      <c r="O20" s="364">
        <v>22</v>
      </c>
      <c r="P20" s="365" t="str">
        <f>IF($C20="","",O20*VLOOKUP($C20,MATIERES!$A$2:$F$349,4,0))</f>
        <v/>
      </c>
      <c r="Q20" s="364">
        <v>23</v>
      </c>
      <c r="R20" s="365" t="str">
        <f>IF($C20="","",Q20*VLOOKUP($C20,MATIERES!$A$2:$F$349,4,0))</f>
        <v/>
      </c>
      <c r="S20" s="364">
        <v>24</v>
      </c>
      <c r="T20" s="365" t="str">
        <f>IF($C20="","",S20*VLOOKUP($C20,MATIERES!$A$2:$F$349,4,0))</f>
        <v/>
      </c>
      <c r="U20" s="364">
        <v>25</v>
      </c>
      <c r="V20" s="365" t="str">
        <f>IF($C20="","",U20*VLOOKUP($C20,MATIERES!$A$2:$F$349,4,0))</f>
        <v/>
      </c>
      <c r="W20" s="364">
        <v>26</v>
      </c>
      <c r="X20" s="365" t="str">
        <f>IF($C20="","",W20*VLOOKUP($C20,MATIERES!$A$2:$F$349,4,0))</f>
        <v/>
      </c>
      <c r="Y20" s="364">
        <v>27</v>
      </c>
      <c r="Z20" s="365" t="str">
        <f>IF($C20="","",Y20*VLOOKUP($C20,MATIERES!$A$2:$F$349,4,0))</f>
        <v/>
      </c>
      <c r="AA20" s="364">
        <v>28</v>
      </c>
      <c r="AB20" s="365" t="str">
        <f>IF($C20="","",AA20*VLOOKUP($C20,MATIERES!$A$2:$F$349,4,0))</f>
        <v/>
      </c>
      <c r="AC20" s="364">
        <v>29</v>
      </c>
      <c r="AD20" s="365" t="str">
        <f>IF($C20="","",AC20*VLOOKUP($C20,MATIERES!$A$2:$F$349,4,0))</f>
        <v/>
      </c>
      <c r="AE20" s="364">
        <v>30</v>
      </c>
      <c r="AF20" s="365" t="str">
        <f>IF($C20="","",AE20*VLOOKUP($C20,MATIERES!$A$2:$F$349,4,0))</f>
        <v/>
      </c>
      <c r="AG20" s="364">
        <v>31</v>
      </c>
      <c r="AH20" s="365" t="str">
        <f>IF($C20="","",AG20*VLOOKUP($C20,MATIERES!$A$2:$F$349,4,0))</f>
        <v/>
      </c>
      <c r="AI20" s="364">
        <v>32</v>
      </c>
      <c r="AJ20" s="365" t="str">
        <f>IF($C20="","",AI20*VLOOKUP($C20,MATIERES!$A$2:$F$349,4,0))</f>
        <v/>
      </c>
      <c r="AK20" s="364">
        <v>33</v>
      </c>
      <c r="AL20" s="365" t="str">
        <f>IF($C20="","",AK20*VLOOKUP($C20,MATIERES!$A$2:$F$349,4,0))</f>
        <v/>
      </c>
      <c r="AM20" s="364">
        <v>34</v>
      </c>
      <c r="AN20" s="365" t="str">
        <f>IF($C20="","",AM20*VLOOKUP($C20,MATIERES!$A$2:$F$349,4,0))</f>
        <v/>
      </c>
    </row>
    <row r="21" spans="1:40" ht="15" customHeight="1" x14ac:dyDescent="0.2">
      <c r="A21" s="1550"/>
      <c r="B21" s="361"/>
      <c r="C21" s="362"/>
      <c r="D21" s="363" t="str">
        <f>IF($C21="","",VLOOKUP($C21,MATIERES!$A$2:$F$227,5,0))</f>
        <v/>
      </c>
      <c r="E21" s="364">
        <v>18</v>
      </c>
      <c r="F21" s="365" t="str">
        <f>IF($C21="","",E21*VLOOKUP($C21,MATIERES!$A$2:$F$349,4,0))</f>
        <v/>
      </c>
      <c r="G21" s="364">
        <v>19</v>
      </c>
      <c r="H21" s="365" t="str">
        <f>IF($C21="","",G21*VLOOKUP($C21,MATIERES!$A$2:$F$349,4,0))</f>
        <v/>
      </c>
      <c r="I21" s="364">
        <v>20</v>
      </c>
      <c r="J21" s="365" t="str">
        <f>IF($C21="","",I21*VLOOKUP($C21,MATIERES!$A$2:$F$349,4,0))</f>
        <v/>
      </c>
      <c r="K21" s="364">
        <v>21</v>
      </c>
      <c r="L21" s="365" t="str">
        <f>IF($C21="","",K21*VLOOKUP($C21,MATIERES!$A$2:$F$349,4,0))</f>
        <v/>
      </c>
      <c r="M21" s="364">
        <v>22</v>
      </c>
      <c r="N21" s="365" t="str">
        <f>IF($C21="","",M21*VLOOKUP($C21,MATIERES!$A$2:$F$349,4,0))</f>
        <v/>
      </c>
      <c r="O21" s="364">
        <v>23</v>
      </c>
      <c r="P21" s="365" t="str">
        <f>IF($C21="","",O21*VLOOKUP($C21,MATIERES!$A$2:$F$349,4,0))</f>
        <v/>
      </c>
      <c r="Q21" s="364">
        <v>24</v>
      </c>
      <c r="R21" s="365" t="str">
        <f>IF($C21="","",Q21*VLOOKUP($C21,MATIERES!$A$2:$F$349,4,0))</f>
        <v/>
      </c>
      <c r="S21" s="364">
        <v>25</v>
      </c>
      <c r="T21" s="365" t="str">
        <f>IF($C21="","",S21*VLOOKUP($C21,MATIERES!$A$2:$F$349,4,0))</f>
        <v/>
      </c>
      <c r="U21" s="364">
        <v>26</v>
      </c>
      <c r="V21" s="365" t="str">
        <f>IF($C21="","",U21*VLOOKUP($C21,MATIERES!$A$2:$F$349,4,0))</f>
        <v/>
      </c>
      <c r="W21" s="364">
        <v>27</v>
      </c>
      <c r="X21" s="365" t="str">
        <f>IF($C21="","",W21*VLOOKUP($C21,MATIERES!$A$2:$F$349,4,0))</f>
        <v/>
      </c>
      <c r="Y21" s="364">
        <v>28</v>
      </c>
      <c r="Z21" s="365" t="str">
        <f>IF($C21="","",Y21*VLOOKUP($C21,MATIERES!$A$2:$F$349,4,0))</f>
        <v/>
      </c>
      <c r="AA21" s="364">
        <v>29</v>
      </c>
      <c r="AB21" s="365" t="str">
        <f>IF($C21="","",AA21*VLOOKUP($C21,MATIERES!$A$2:$F$349,4,0))</f>
        <v/>
      </c>
      <c r="AC21" s="364">
        <v>30</v>
      </c>
      <c r="AD21" s="365" t="str">
        <f>IF($C21="","",AC21*VLOOKUP($C21,MATIERES!$A$2:$F$349,4,0))</f>
        <v/>
      </c>
      <c r="AE21" s="364">
        <v>31</v>
      </c>
      <c r="AF21" s="365" t="str">
        <f>IF($C21="","",AE21*VLOOKUP($C21,MATIERES!$A$2:$F$349,4,0))</f>
        <v/>
      </c>
      <c r="AG21" s="364">
        <v>32</v>
      </c>
      <c r="AH21" s="365" t="str">
        <f>IF($C21="","",AG21*VLOOKUP($C21,MATIERES!$A$2:$F$349,4,0))</f>
        <v/>
      </c>
      <c r="AI21" s="364">
        <v>33</v>
      </c>
      <c r="AJ21" s="365" t="str">
        <f>IF($C21="","",AI21*VLOOKUP($C21,MATIERES!$A$2:$F$349,4,0))</f>
        <v/>
      </c>
      <c r="AK21" s="364">
        <v>34</v>
      </c>
      <c r="AL21" s="365" t="str">
        <f>IF($C21="","",AK21*VLOOKUP($C21,MATIERES!$A$2:$F$349,4,0))</f>
        <v/>
      </c>
      <c r="AM21" s="364">
        <v>35</v>
      </c>
      <c r="AN21" s="365" t="str">
        <f>IF($C21="","",AM21*VLOOKUP($C21,MATIERES!$A$2:$F$349,4,0))</f>
        <v/>
      </c>
    </row>
    <row r="22" spans="1:40" ht="15" customHeight="1" x14ac:dyDescent="0.2">
      <c r="A22" s="1550"/>
      <c r="B22" s="361"/>
      <c r="C22" s="362"/>
      <c r="D22" s="363" t="str">
        <f>IF($C22="","",VLOOKUP($C22,MATIERES!$A$2:$F$227,5,0))</f>
        <v/>
      </c>
      <c r="E22" s="364">
        <v>19</v>
      </c>
      <c r="F22" s="365" t="str">
        <f>IF($C22="","",E22*VLOOKUP($C22,MATIERES!$A$2:$F$349,4,0))</f>
        <v/>
      </c>
      <c r="G22" s="364">
        <v>20</v>
      </c>
      <c r="H22" s="365" t="str">
        <f>IF($C22="","",G22*VLOOKUP($C22,MATIERES!$A$2:$F$349,4,0))</f>
        <v/>
      </c>
      <c r="I22" s="364">
        <v>21</v>
      </c>
      <c r="J22" s="365" t="str">
        <f>IF($C22="","",I22*VLOOKUP($C22,MATIERES!$A$2:$F$349,4,0))</f>
        <v/>
      </c>
      <c r="K22" s="364">
        <v>22</v>
      </c>
      <c r="L22" s="365" t="str">
        <f>IF($C22="","",K22*VLOOKUP($C22,MATIERES!$A$2:$F$349,4,0))</f>
        <v/>
      </c>
      <c r="M22" s="364">
        <v>23</v>
      </c>
      <c r="N22" s="365" t="str">
        <f>IF($C22="","",M22*VLOOKUP($C22,MATIERES!$A$2:$F$349,4,0))</f>
        <v/>
      </c>
      <c r="O22" s="364">
        <v>24</v>
      </c>
      <c r="P22" s="365" t="str">
        <f>IF($C22="","",O22*VLOOKUP($C22,MATIERES!$A$2:$F$349,4,0))</f>
        <v/>
      </c>
      <c r="Q22" s="364">
        <v>25</v>
      </c>
      <c r="R22" s="365" t="str">
        <f>IF($C22="","",Q22*VLOOKUP($C22,MATIERES!$A$2:$F$349,4,0))</f>
        <v/>
      </c>
      <c r="S22" s="364">
        <v>26</v>
      </c>
      <c r="T22" s="365" t="str">
        <f>IF($C22="","",S22*VLOOKUP($C22,MATIERES!$A$2:$F$349,4,0))</f>
        <v/>
      </c>
      <c r="U22" s="364">
        <v>27</v>
      </c>
      <c r="V22" s="365" t="str">
        <f>IF($C22="","",U22*VLOOKUP($C22,MATIERES!$A$2:$F$349,4,0))</f>
        <v/>
      </c>
      <c r="W22" s="364">
        <v>28</v>
      </c>
      <c r="X22" s="365" t="str">
        <f>IF($C22="","",W22*VLOOKUP($C22,MATIERES!$A$2:$F$349,4,0))</f>
        <v/>
      </c>
      <c r="Y22" s="364">
        <v>29</v>
      </c>
      <c r="Z22" s="365" t="str">
        <f>IF($C22="","",Y22*VLOOKUP($C22,MATIERES!$A$2:$F$349,4,0))</f>
        <v/>
      </c>
      <c r="AA22" s="364">
        <v>30</v>
      </c>
      <c r="AB22" s="365" t="str">
        <f>IF($C22="","",AA22*VLOOKUP($C22,MATIERES!$A$2:$F$349,4,0))</f>
        <v/>
      </c>
      <c r="AC22" s="364">
        <v>31</v>
      </c>
      <c r="AD22" s="365" t="str">
        <f>IF($C22="","",AC22*VLOOKUP($C22,MATIERES!$A$2:$F$349,4,0))</f>
        <v/>
      </c>
      <c r="AE22" s="364">
        <v>32</v>
      </c>
      <c r="AF22" s="365" t="str">
        <f>IF($C22="","",AE22*VLOOKUP($C22,MATIERES!$A$2:$F$349,4,0))</f>
        <v/>
      </c>
      <c r="AG22" s="364">
        <v>33</v>
      </c>
      <c r="AH22" s="365" t="str">
        <f>IF($C22="","",AG22*VLOOKUP($C22,MATIERES!$A$2:$F$349,4,0))</f>
        <v/>
      </c>
      <c r="AI22" s="364">
        <v>34</v>
      </c>
      <c r="AJ22" s="365" t="str">
        <f>IF($C22="","",AI22*VLOOKUP($C22,MATIERES!$A$2:$F$349,4,0))</f>
        <v/>
      </c>
      <c r="AK22" s="364">
        <v>35</v>
      </c>
      <c r="AL22" s="365" t="str">
        <f>IF($C22="","",AK22*VLOOKUP($C22,MATIERES!$A$2:$F$349,4,0))</f>
        <v/>
      </c>
      <c r="AM22" s="364">
        <v>36</v>
      </c>
      <c r="AN22" s="365" t="str">
        <f>IF($C22="","",AM22*VLOOKUP($C22,MATIERES!$A$2:$F$349,4,0))</f>
        <v/>
      </c>
    </row>
    <row r="23" spans="1:40" ht="15" customHeight="1" x14ac:dyDescent="0.2">
      <c r="A23" s="1550"/>
      <c r="B23" s="361"/>
      <c r="C23" s="362"/>
      <c r="D23" s="363" t="str">
        <f>IF($C23="","",VLOOKUP($C23,MATIERES!$A$2:$F$227,5,0))</f>
        <v/>
      </c>
      <c r="E23" s="364">
        <v>20</v>
      </c>
      <c r="F23" s="365" t="str">
        <f>IF($C23="","",E23*VLOOKUP($C23,MATIERES!$A$2:$F$349,4,0))</f>
        <v/>
      </c>
      <c r="G23" s="364">
        <v>21</v>
      </c>
      <c r="H23" s="365" t="str">
        <f>IF($C23="","",G23*VLOOKUP($C23,MATIERES!$A$2:$F$349,4,0))</f>
        <v/>
      </c>
      <c r="I23" s="364">
        <v>22</v>
      </c>
      <c r="J23" s="365" t="str">
        <f>IF($C23="","",I23*VLOOKUP($C23,MATIERES!$A$2:$F$349,4,0))</f>
        <v/>
      </c>
      <c r="K23" s="364">
        <v>23</v>
      </c>
      <c r="L23" s="365" t="str">
        <f>IF($C23="","",K23*VLOOKUP($C23,MATIERES!$A$2:$F$349,4,0))</f>
        <v/>
      </c>
      <c r="M23" s="364">
        <v>24</v>
      </c>
      <c r="N23" s="365" t="str">
        <f>IF($C23="","",M23*VLOOKUP($C23,MATIERES!$A$2:$F$349,4,0))</f>
        <v/>
      </c>
      <c r="O23" s="364">
        <v>25</v>
      </c>
      <c r="P23" s="365" t="str">
        <f>IF($C23="","",O23*VLOOKUP($C23,MATIERES!$A$2:$F$349,4,0))</f>
        <v/>
      </c>
      <c r="Q23" s="364">
        <v>26</v>
      </c>
      <c r="R23" s="365" t="str">
        <f>IF($C23="","",Q23*VLOOKUP($C23,MATIERES!$A$2:$F$349,4,0))</f>
        <v/>
      </c>
      <c r="S23" s="364">
        <v>27</v>
      </c>
      <c r="T23" s="365" t="str">
        <f>IF($C23="","",S23*VLOOKUP($C23,MATIERES!$A$2:$F$349,4,0))</f>
        <v/>
      </c>
      <c r="U23" s="364">
        <v>28</v>
      </c>
      <c r="V23" s="365" t="str">
        <f>IF($C23="","",U23*VLOOKUP($C23,MATIERES!$A$2:$F$349,4,0))</f>
        <v/>
      </c>
      <c r="W23" s="364">
        <v>29</v>
      </c>
      <c r="X23" s="365" t="str">
        <f>IF($C23="","",W23*VLOOKUP($C23,MATIERES!$A$2:$F$349,4,0))</f>
        <v/>
      </c>
      <c r="Y23" s="364">
        <v>30</v>
      </c>
      <c r="Z23" s="365" t="str">
        <f>IF($C23="","",Y23*VLOOKUP($C23,MATIERES!$A$2:$F$349,4,0))</f>
        <v/>
      </c>
      <c r="AA23" s="364">
        <v>31</v>
      </c>
      <c r="AB23" s="365" t="str">
        <f>IF($C23="","",AA23*VLOOKUP($C23,MATIERES!$A$2:$F$349,4,0))</f>
        <v/>
      </c>
      <c r="AC23" s="364">
        <v>32</v>
      </c>
      <c r="AD23" s="365" t="str">
        <f>IF($C23="","",AC23*VLOOKUP($C23,MATIERES!$A$2:$F$349,4,0))</f>
        <v/>
      </c>
      <c r="AE23" s="364">
        <v>33</v>
      </c>
      <c r="AF23" s="365" t="str">
        <f>IF($C23="","",AE23*VLOOKUP($C23,MATIERES!$A$2:$F$349,4,0))</f>
        <v/>
      </c>
      <c r="AG23" s="364">
        <v>34</v>
      </c>
      <c r="AH23" s="365" t="str">
        <f>IF($C23="","",AG23*VLOOKUP($C23,MATIERES!$A$2:$F$349,4,0))</f>
        <v/>
      </c>
      <c r="AI23" s="364">
        <v>35</v>
      </c>
      <c r="AJ23" s="365" t="str">
        <f>IF($C23="","",AI23*VLOOKUP($C23,MATIERES!$A$2:$F$349,4,0))</f>
        <v/>
      </c>
      <c r="AK23" s="364">
        <v>36</v>
      </c>
      <c r="AL23" s="365" t="str">
        <f>IF($C23="","",AK23*VLOOKUP($C23,MATIERES!$A$2:$F$349,4,0))</f>
        <v/>
      </c>
      <c r="AM23" s="364">
        <v>37</v>
      </c>
      <c r="AN23" s="365" t="str">
        <f>IF($C23="","",AM23*VLOOKUP($C23,MATIERES!$A$2:$F$349,4,0))</f>
        <v/>
      </c>
    </row>
    <row r="24" spans="1:40" ht="15" customHeight="1" x14ac:dyDescent="0.2">
      <c r="A24" s="1550"/>
      <c r="B24" s="361"/>
      <c r="C24" s="362"/>
      <c r="D24" s="363" t="str">
        <f>IF($C24="","",VLOOKUP($C24,MATIERES!$A$2:$F$227,5,0))</f>
        <v/>
      </c>
      <c r="E24" s="364">
        <v>21</v>
      </c>
      <c r="F24" s="365" t="str">
        <f>IF($C24="","",E24*VLOOKUP($C24,MATIERES!$A$2:$F$349,4,0))</f>
        <v/>
      </c>
      <c r="G24" s="364">
        <v>22</v>
      </c>
      <c r="H24" s="365" t="str">
        <f>IF($C24="","",G24*VLOOKUP($C24,MATIERES!$A$2:$F$349,4,0))</f>
        <v/>
      </c>
      <c r="I24" s="364">
        <v>23</v>
      </c>
      <c r="J24" s="365" t="str">
        <f>IF($C24="","",I24*VLOOKUP($C24,MATIERES!$A$2:$F$349,4,0))</f>
        <v/>
      </c>
      <c r="K24" s="364">
        <v>24</v>
      </c>
      <c r="L24" s="365" t="str">
        <f>IF($C24="","",K24*VLOOKUP($C24,MATIERES!$A$2:$F$349,4,0))</f>
        <v/>
      </c>
      <c r="M24" s="364">
        <v>25</v>
      </c>
      <c r="N24" s="365" t="str">
        <f>IF($C24="","",M24*VLOOKUP($C24,MATIERES!$A$2:$F$349,4,0))</f>
        <v/>
      </c>
      <c r="O24" s="364">
        <v>26</v>
      </c>
      <c r="P24" s="365" t="str">
        <f>IF($C24="","",O24*VLOOKUP($C24,MATIERES!$A$2:$F$349,4,0))</f>
        <v/>
      </c>
      <c r="Q24" s="364">
        <v>27</v>
      </c>
      <c r="R24" s="365" t="str">
        <f>IF($C24="","",Q24*VLOOKUP($C24,MATIERES!$A$2:$F$349,4,0))</f>
        <v/>
      </c>
      <c r="S24" s="364">
        <v>28</v>
      </c>
      <c r="T24" s="365" t="str">
        <f>IF($C24="","",S24*VLOOKUP($C24,MATIERES!$A$2:$F$349,4,0))</f>
        <v/>
      </c>
      <c r="U24" s="364">
        <v>29</v>
      </c>
      <c r="V24" s="365" t="str">
        <f>IF($C24="","",U24*VLOOKUP($C24,MATIERES!$A$2:$F$349,4,0))</f>
        <v/>
      </c>
      <c r="W24" s="364">
        <v>30</v>
      </c>
      <c r="X24" s="365" t="str">
        <f>IF($C24="","",W24*VLOOKUP($C24,MATIERES!$A$2:$F$349,4,0))</f>
        <v/>
      </c>
      <c r="Y24" s="364">
        <v>31</v>
      </c>
      <c r="Z24" s="365" t="str">
        <f>IF($C24="","",Y24*VLOOKUP($C24,MATIERES!$A$2:$F$349,4,0))</f>
        <v/>
      </c>
      <c r="AA24" s="364">
        <v>32</v>
      </c>
      <c r="AB24" s="365" t="str">
        <f>IF($C24="","",AA24*VLOOKUP($C24,MATIERES!$A$2:$F$349,4,0))</f>
        <v/>
      </c>
      <c r="AC24" s="364">
        <v>33</v>
      </c>
      <c r="AD24" s="365" t="str">
        <f>IF($C24="","",AC24*VLOOKUP($C24,MATIERES!$A$2:$F$349,4,0))</f>
        <v/>
      </c>
      <c r="AE24" s="364">
        <v>34</v>
      </c>
      <c r="AF24" s="365" t="str">
        <f>IF($C24="","",AE24*VLOOKUP($C24,MATIERES!$A$2:$F$349,4,0))</f>
        <v/>
      </c>
      <c r="AG24" s="364">
        <v>35</v>
      </c>
      <c r="AH24" s="365" t="str">
        <f>IF($C24="","",AG24*VLOOKUP($C24,MATIERES!$A$2:$F$349,4,0))</f>
        <v/>
      </c>
      <c r="AI24" s="364">
        <v>36</v>
      </c>
      <c r="AJ24" s="365" t="str">
        <f>IF($C24="","",AI24*VLOOKUP($C24,MATIERES!$A$2:$F$349,4,0))</f>
        <v/>
      </c>
      <c r="AK24" s="364">
        <v>37</v>
      </c>
      <c r="AL24" s="365" t="str">
        <f>IF($C24="","",AK24*VLOOKUP($C24,MATIERES!$A$2:$F$349,4,0))</f>
        <v/>
      </c>
      <c r="AM24" s="364">
        <v>38</v>
      </c>
      <c r="AN24" s="365" t="str">
        <f>IF($C24="","",AM24*VLOOKUP($C24,MATIERES!$A$2:$F$349,4,0))</f>
        <v/>
      </c>
    </row>
    <row r="25" spans="1:40" ht="15" customHeight="1" x14ac:dyDescent="0.2">
      <c r="A25" s="1550"/>
      <c r="B25" s="361"/>
      <c r="C25" s="362"/>
      <c r="D25" s="363" t="str">
        <f>IF($C25="","",VLOOKUP($C25,MATIERES!$A$2:$F$227,5,0))</f>
        <v/>
      </c>
      <c r="E25" s="364">
        <v>22</v>
      </c>
      <c r="F25" s="365" t="str">
        <f>IF($C25="","",E25*VLOOKUP($C25,MATIERES!$A$2:$F$349,4,0))</f>
        <v/>
      </c>
      <c r="G25" s="364">
        <v>23</v>
      </c>
      <c r="H25" s="365" t="str">
        <f>IF($C25="","",G25*VLOOKUP($C25,MATIERES!$A$2:$F$349,4,0))</f>
        <v/>
      </c>
      <c r="I25" s="364">
        <v>24</v>
      </c>
      <c r="J25" s="365" t="str">
        <f>IF($C25="","",I25*VLOOKUP($C25,MATIERES!$A$2:$F$349,4,0))</f>
        <v/>
      </c>
      <c r="K25" s="364">
        <v>25</v>
      </c>
      <c r="L25" s="365" t="str">
        <f>IF($C25="","",K25*VLOOKUP($C25,MATIERES!$A$2:$F$349,4,0))</f>
        <v/>
      </c>
      <c r="M25" s="364">
        <v>26</v>
      </c>
      <c r="N25" s="365" t="str">
        <f>IF($C25="","",M25*VLOOKUP($C25,MATIERES!$A$2:$F$349,4,0))</f>
        <v/>
      </c>
      <c r="O25" s="364">
        <v>27</v>
      </c>
      <c r="P25" s="365" t="str">
        <f>IF($C25="","",O25*VLOOKUP($C25,MATIERES!$A$2:$F$349,4,0))</f>
        <v/>
      </c>
      <c r="Q25" s="364">
        <v>28</v>
      </c>
      <c r="R25" s="365" t="str">
        <f>IF($C25="","",Q25*VLOOKUP($C25,MATIERES!$A$2:$F$349,4,0))</f>
        <v/>
      </c>
      <c r="S25" s="364">
        <v>29</v>
      </c>
      <c r="T25" s="365" t="str">
        <f>IF($C25="","",S25*VLOOKUP($C25,MATIERES!$A$2:$F$349,4,0))</f>
        <v/>
      </c>
      <c r="U25" s="364">
        <v>30</v>
      </c>
      <c r="V25" s="365" t="str">
        <f>IF($C25="","",U25*VLOOKUP($C25,MATIERES!$A$2:$F$349,4,0))</f>
        <v/>
      </c>
      <c r="W25" s="364">
        <v>31</v>
      </c>
      <c r="X25" s="365" t="str">
        <f>IF($C25="","",W25*VLOOKUP($C25,MATIERES!$A$2:$F$349,4,0))</f>
        <v/>
      </c>
      <c r="Y25" s="364">
        <v>32</v>
      </c>
      <c r="Z25" s="365" t="str">
        <f>IF($C25="","",Y25*VLOOKUP($C25,MATIERES!$A$2:$F$349,4,0))</f>
        <v/>
      </c>
      <c r="AA25" s="364">
        <v>33</v>
      </c>
      <c r="AB25" s="365" t="str">
        <f>IF($C25="","",AA25*VLOOKUP($C25,MATIERES!$A$2:$F$349,4,0))</f>
        <v/>
      </c>
      <c r="AC25" s="364">
        <v>34</v>
      </c>
      <c r="AD25" s="365" t="str">
        <f>IF($C25="","",AC25*VLOOKUP($C25,MATIERES!$A$2:$F$349,4,0))</f>
        <v/>
      </c>
      <c r="AE25" s="364">
        <v>35</v>
      </c>
      <c r="AF25" s="365" t="str">
        <f>IF($C25="","",AE25*VLOOKUP($C25,MATIERES!$A$2:$F$349,4,0))</f>
        <v/>
      </c>
      <c r="AG25" s="364">
        <v>36</v>
      </c>
      <c r="AH25" s="365" t="str">
        <f>IF($C25="","",AG25*VLOOKUP($C25,MATIERES!$A$2:$F$349,4,0))</f>
        <v/>
      </c>
      <c r="AI25" s="364">
        <v>37</v>
      </c>
      <c r="AJ25" s="365" t="str">
        <f>IF($C25="","",AI25*VLOOKUP($C25,MATIERES!$A$2:$F$349,4,0))</f>
        <v/>
      </c>
      <c r="AK25" s="364">
        <v>38</v>
      </c>
      <c r="AL25" s="365" t="str">
        <f>IF($C25="","",AK25*VLOOKUP($C25,MATIERES!$A$2:$F$349,4,0))</f>
        <v/>
      </c>
      <c r="AM25" s="364">
        <v>39</v>
      </c>
      <c r="AN25" s="365" t="str">
        <f>IF($C25="","",AM25*VLOOKUP($C25,MATIERES!$A$2:$F$349,4,0))</f>
        <v/>
      </c>
    </row>
    <row r="26" spans="1:40" ht="30" customHeight="1" x14ac:dyDescent="0.2">
      <c r="A26" s="366"/>
      <c r="B26" s="367" t="s">
        <v>683</v>
      </c>
      <c r="C26" s="368" t="s">
        <v>446</v>
      </c>
      <c r="D26" s="369" t="s">
        <v>447</v>
      </c>
      <c r="E26" s="370">
        <f>F26*(1+Simulation!$P$11)</f>
        <v>0</v>
      </c>
      <c r="F26" s="371">
        <f>SUM(F4:F25)</f>
        <v>0</v>
      </c>
      <c r="G26" s="370">
        <f>H26*(1+Simulation!$P$11)</f>
        <v>0</v>
      </c>
      <c r="H26" s="371">
        <f>SUM(H4:H25)</f>
        <v>0</v>
      </c>
      <c r="I26" s="370">
        <f>J26*(1+Simulation!$P$11)</f>
        <v>0</v>
      </c>
      <c r="J26" s="371">
        <f>SUM(J4:J25)</f>
        <v>0</v>
      </c>
      <c r="K26" s="370">
        <f>L26*(1+Simulation!$P$11)</f>
        <v>0</v>
      </c>
      <c r="L26" s="371">
        <f>SUM(L4:L25)</f>
        <v>0</v>
      </c>
      <c r="M26" s="370">
        <f>N26*(1+Simulation!$P$11)</f>
        <v>0</v>
      </c>
      <c r="N26" s="371">
        <f>SUM(N4:N25)</f>
        <v>0</v>
      </c>
      <c r="O26" s="370">
        <f>P26*(1+Simulation!$P$11)</f>
        <v>0</v>
      </c>
      <c r="P26" s="371">
        <f>SUM(P4:P25)</f>
        <v>0</v>
      </c>
      <c r="Q26" s="370">
        <f>R26*(1+Simulation!$P$11)</f>
        <v>0</v>
      </c>
      <c r="R26" s="371">
        <f>SUM(R4:R25)</f>
        <v>0</v>
      </c>
      <c r="S26" s="370">
        <f>T26*(1+Simulation!$P$11)</f>
        <v>0</v>
      </c>
      <c r="T26" s="371">
        <f>SUM(T4:T25)</f>
        <v>0</v>
      </c>
      <c r="U26" s="370">
        <f>V26*(1+Simulation!$P$11)</f>
        <v>0</v>
      </c>
      <c r="V26" s="371">
        <f>SUM(V4:V25)</f>
        <v>0</v>
      </c>
      <c r="W26" s="370">
        <f>X26*(1+Simulation!$P$11)</f>
        <v>0</v>
      </c>
      <c r="X26" s="371">
        <f>SUM(X4:X25)</f>
        <v>0</v>
      </c>
      <c r="Y26" s="370">
        <f>Z26*(1+Simulation!$P$11)</f>
        <v>0</v>
      </c>
      <c r="Z26" s="371">
        <f>SUM(Z4:Z25)</f>
        <v>0</v>
      </c>
      <c r="AA26" s="370">
        <f>AB26*(1+Simulation!$P$11)</f>
        <v>0</v>
      </c>
      <c r="AB26" s="371">
        <f>SUM(AB4:AB25)</f>
        <v>0</v>
      </c>
      <c r="AC26" s="370">
        <f>AD26*(1+Simulation!$P$11)</f>
        <v>0</v>
      </c>
      <c r="AD26" s="371">
        <f>SUM(AD4:AD25)</f>
        <v>0</v>
      </c>
      <c r="AE26" s="370">
        <f>AF26*(1+Simulation!$P$11)</f>
        <v>0</v>
      </c>
      <c r="AF26" s="371">
        <f>SUM(AF4:AF25)</f>
        <v>0</v>
      </c>
      <c r="AG26" s="370">
        <f>AH26*(1+Simulation!$P$11)</f>
        <v>0</v>
      </c>
      <c r="AH26" s="371">
        <f>SUM(AH4:AH25)</f>
        <v>0</v>
      </c>
      <c r="AI26" s="370">
        <f>AJ26*(1+Simulation!$P$11)</f>
        <v>0</v>
      </c>
      <c r="AJ26" s="371">
        <f>SUM(AJ4:AJ25)</f>
        <v>0</v>
      </c>
      <c r="AK26" s="370">
        <f>AL26*(1+Simulation!$P$11)</f>
        <v>0</v>
      </c>
      <c r="AL26" s="371">
        <f>SUM(AL4:AL25)</f>
        <v>0</v>
      </c>
      <c r="AM26" s="370">
        <f>AN26*(1+Simulation!$P$11)</f>
        <v>0</v>
      </c>
      <c r="AN26" s="371">
        <f>SUM(AN4:AN25)</f>
        <v>0</v>
      </c>
    </row>
    <row r="27" spans="1:40" ht="15" customHeight="1" x14ac:dyDescent="0.2">
      <c r="A27" s="1553" t="s">
        <v>448</v>
      </c>
      <c r="B27" s="361" t="s">
        <v>1079</v>
      </c>
      <c r="C27" s="362" t="s">
        <v>419</v>
      </c>
      <c r="D27" s="363" t="e">
        <f>IF($C27="","",VLOOKUP($C27,ATELIER!$B$2:$E$109,3,0))</f>
        <v>#N/A</v>
      </c>
      <c r="E27" s="364">
        <v>1</v>
      </c>
      <c r="F27" s="372" t="e">
        <f>IF($C27="","",E27*VLOOKUP($C27,ATELIER!$B$2:$F$109,4,0))</f>
        <v>#N/A</v>
      </c>
      <c r="G27" s="364">
        <v>2</v>
      </c>
      <c r="H27" s="372" t="e">
        <f>IF($C27="","",G27*VLOOKUP($C27,ATELIER!$B$2:$F$109,4,0))</f>
        <v>#N/A</v>
      </c>
      <c r="I27" s="364">
        <v>3</v>
      </c>
      <c r="J27" s="372" t="e">
        <f>IF($C27="","",I27*VLOOKUP($C27,ATELIER!$B$2:$F$109,4,0))</f>
        <v>#N/A</v>
      </c>
      <c r="K27" s="364">
        <v>4</v>
      </c>
      <c r="L27" s="372" t="e">
        <f>IF($C27="","",K27*VLOOKUP($C27,ATELIER!$B$2:$F$109,4,0))</f>
        <v>#N/A</v>
      </c>
      <c r="M27" s="364">
        <v>5</v>
      </c>
      <c r="N27" s="372" t="e">
        <f>IF($C27="","",M27*VLOOKUP($C27,ATELIER!$B$2:$F$109,4,0))</f>
        <v>#N/A</v>
      </c>
      <c r="O27" s="364">
        <v>6</v>
      </c>
      <c r="P27" s="372" t="e">
        <f>IF($C27="","",O27*VLOOKUP($C27,ATELIER!$B$2:$F$109,4,0))</f>
        <v>#N/A</v>
      </c>
      <c r="Q27" s="364">
        <v>7</v>
      </c>
      <c r="R27" s="372" t="e">
        <f>IF($C27="","",Q27*VLOOKUP($C27,ATELIER!$B$2:$F$109,4,0))</f>
        <v>#N/A</v>
      </c>
      <c r="S27" s="364">
        <v>8</v>
      </c>
      <c r="T27" s="372" t="e">
        <f>IF($C27="","",S27*VLOOKUP($C27,ATELIER!$B$2:$F$109,4,0))</f>
        <v>#N/A</v>
      </c>
      <c r="U27" s="364">
        <v>9</v>
      </c>
      <c r="V27" s="372" t="e">
        <f>IF($C27="","",U27*VLOOKUP($C27,ATELIER!$B$2:$F$109,4,0))</f>
        <v>#N/A</v>
      </c>
      <c r="W27" s="364">
        <v>10</v>
      </c>
      <c r="X27" s="372" t="e">
        <f>IF($C27="","",W27*VLOOKUP($C27,ATELIER!$B$2:$F$109,4,0))</f>
        <v>#N/A</v>
      </c>
      <c r="Y27" s="364">
        <v>11</v>
      </c>
      <c r="Z27" s="372" t="e">
        <f>IF($C27="","",Y27*VLOOKUP($C27,ATELIER!$B$2:$F$109,4,0))</f>
        <v>#N/A</v>
      </c>
      <c r="AA27" s="364">
        <v>12</v>
      </c>
      <c r="AB27" s="372" t="e">
        <f>IF($C27="","",AA27*VLOOKUP($C27,ATELIER!$B$2:$F$109,4,0))</f>
        <v>#N/A</v>
      </c>
      <c r="AC27" s="364">
        <v>13</v>
      </c>
      <c r="AD27" s="372" t="e">
        <f>IF($C27="","",AC27*VLOOKUP($C27,ATELIER!$B$2:$F$109,4,0))</f>
        <v>#N/A</v>
      </c>
      <c r="AE27" s="364">
        <v>14</v>
      </c>
      <c r="AF27" s="372" t="e">
        <f>IF($C27="","",AE27*VLOOKUP($C27,ATELIER!$B$2:$F$109,4,0))</f>
        <v>#N/A</v>
      </c>
      <c r="AG27" s="364">
        <v>15</v>
      </c>
      <c r="AH27" s="372" t="e">
        <f>IF($C27="","",AG27*VLOOKUP($C27,ATELIER!$B$2:$F$109,4,0))</f>
        <v>#N/A</v>
      </c>
      <c r="AI27" s="364">
        <v>16</v>
      </c>
      <c r="AJ27" s="372" t="e">
        <f>IF($C27="","",AI27*VLOOKUP($C27,ATELIER!$B$2:$F$109,4,0))</f>
        <v>#N/A</v>
      </c>
      <c r="AK27" s="364">
        <v>17</v>
      </c>
      <c r="AL27" s="372" t="e">
        <f>IF($C27="","",AK27*VLOOKUP($C27,ATELIER!$B$2:$F$109,4,0))</f>
        <v>#N/A</v>
      </c>
      <c r="AM27" s="364">
        <v>18</v>
      </c>
      <c r="AN27" s="372" t="e">
        <f>IF($C27="","",AM27*VLOOKUP($C27,ATELIER!$B$2:$F$109,4,0))</f>
        <v>#N/A</v>
      </c>
    </row>
    <row r="28" spans="1:40" ht="15" customHeight="1" x14ac:dyDescent="0.2">
      <c r="A28" s="1553"/>
      <c r="B28" s="361" t="str">
        <f>IF($C28="","",VLOOKUP($C28,ATELIER!$B$2:$F$109,2,0))</f>
        <v/>
      </c>
      <c r="C28" s="362"/>
      <c r="D28" s="363" t="str">
        <f>IF($C28="","",VLOOKUP($C28,ATELIER!$B$2:$E$109,3,0))</f>
        <v/>
      </c>
      <c r="E28" s="364">
        <v>2</v>
      </c>
      <c r="F28" s="372" t="str">
        <f>IF($C28="","",E28*VLOOKUP($C28,ATELIER!$B$2:$F$109,4,0))</f>
        <v/>
      </c>
      <c r="G28" s="364">
        <v>3</v>
      </c>
      <c r="H28" s="372" t="str">
        <f>IF($C28="","",G28*VLOOKUP($C28,ATELIER!$B$2:$F$109,4,0))</f>
        <v/>
      </c>
      <c r="I28" s="364">
        <v>4</v>
      </c>
      <c r="J28" s="372" t="str">
        <f>IF($C28="","",I28*VLOOKUP($C28,ATELIER!$B$2:$F$109,4,0))</f>
        <v/>
      </c>
      <c r="K28" s="364">
        <v>5</v>
      </c>
      <c r="L28" s="372" t="str">
        <f>IF($C28="","",K28*VLOOKUP($C28,ATELIER!$B$2:$F$109,4,0))</f>
        <v/>
      </c>
      <c r="M28" s="364">
        <v>6</v>
      </c>
      <c r="N28" s="372" t="str">
        <f>IF($C28="","",M28*VLOOKUP($C28,ATELIER!$B$2:$F$109,4,0))</f>
        <v/>
      </c>
      <c r="O28" s="364">
        <v>7</v>
      </c>
      <c r="P28" s="372" t="str">
        <f>IF($C28="","",O28*VLOOKUP($C28,ATELIER!$B$2:$F$109,4,0))</f>
        <v/>
      </c>
      <c r="Q28" s="364">
        <v>8</v>
      </c>
      <c r="R28" s="372" t="str">
        <f>IF($C28="","",Q28*VLOOKUP($C28,ATELIER!$B$2:$F$109,4,0))</f>
        <v/>
      </c>
      <c r="S28" s="364">
        <v>9</v>
      </c>
      <c r="T28" s="372" t="str">
        <f>IF($C28="","",S28*VLOOKUP($C28,ATELIER!$B$2:$F$109,4,0))</f>
        <v/>
      </c>
      <c r="U28" s="364">
        <v>10</v>
      </c>
      <c r="V28" s="372" t="str">
        <f>IF($C28="","",U28*VLOOKUP($C28,ATELIER!$B$2:$F$109,4,0))</f>
        <v/>
      </c>
      <c r="W28" s="364">
        <v>11</v>
      </c>
      <c r="X28" s="372" t="str">
        <f>IF($C28="","",W28*VLOOKUP($C28,ATELIER!$B$2:$F$109,4,0))</f>
        <v/>
      </c>
      <c r="Y28" s="364">
        <v>12</v>
      </c>
      <c r="Z28" s="372" t="str">
        <f>IF($C28="","",Y28*VLOOKUP($C28,ATELIER!$B$2:$F$109,4,0))</f>
        <v/>
      </c>
      <c r="AA28" s="364">
        <v>13</v>
      </c>
      <c r="AB28" s="372" t="str">
        <f>IF($C28="","",AA28*VLOOKUP($C28,ATELIER!$B$2:$F$109,4,0))</f>
        <v/>
      </c>
      <c r="AC28" s="364">
        <v>14</v>
      </c>
      <c r="AD28" s="372" t="str">
        <f>IF($C28="","",AC28*VLOOKUP($C28,ATELIER!$B$2:$F$109,4,0))</f>
        <v/>
      </c>
      <c r="AE28" s="364">
        <v>15</v>
      </c>
      <c r="AF28" s="372" t="str">
        <f>IF($C28="","",AE28*VLOOKUP($C28,ATELIER!$B$2:$F$109,4,0))</f>
        <v/>
      </c>
      <c r="AG28" s="364">
        <v>16</v>
      </c>
      <c r="AH28" s="372" t="str">
        <f>IF($C28="","",AG28*VLOOKUP($C28,ATELIER!$B$2:$F$109,4,0))</f>
        <v/>
      </c>
      <c r="AI28" s="364">
        <v>17</v>
      </c>
      <c r="AJ28" s="372" t="str">
        <f>IF($C28="","",AI28*VLOOKUP($C28,ATELIER!$B$2:$F$109,4,0))</f>
        <v/>
      </c>
      <c r="AK28" s="364">
        <v>18</v>
      </c>
      <c r="AL28" s="372" t="str">
        <f>IF($C28="","",AK28*VLOOKUP($C28,ATELIER!$B$2:$F$109,4,0))</f>
        <v/>
      </c>
      <c r="AM28" s="364">
        <v>19</v>
      </c>
      <c r="AN28" s="372" t="str">
        <f>IF($C28="","",AM28*VLOOKUP($C28,ATELIER!$B$2:$F$109,4,0))</f>
        <v/>
      </c>
    </row>
    <row r="29" spans="1:40" ht="15" customHeight="1" x14ac:dyDescent="0.2">
      <c r="A29" s="1552"/>
      <c r="B29" s="373" t="str">
        <f>IF($C29="","",VLOOKUP($C29,ATELIER!$B$2:$F$109,2,0))</f>
        <v/>
      </c>
      <c r="C29" s="374"/>
      <c r="D29" s="363" t="str">
        <f>IF($C29="","",VLOOKUP($C29,ATELIER!$B$2:$E$109,3,0))</f>
        <v/>
      </c>
      <c r="E29" s="364">
        <v>3</v>
      </c>
      <c r="F29" s="372" t="str">
        <f>IF($C29="","",E29*VLOOKUP($C29,ATELIER!$B$2:$F$109,4,0))</f>
        <v/>
      </c>
      <c r="G29" s="364">
        <v>4</v>
      </c>
      <c r="H29" s="372" t="str">
        <f>IF($C29="","",G29*VLOOKUP($C29,ATELIER!$B$2:$F$109,4,0))</f>
        <v/>
      </c>
      <c r="I29" s="364">
        <v>5</v>
      </c>
      <c r="J29" s="372" t="str">
        <f>IF($C29="","",I29*VLOOKUP($C29,ATELIER!$B$2:$F$109,4,0))</f>
        <v/>
      </c>
      <c r="K29" s="364">
        <v>6</v>
      </c>
      <c r="L29" s="372" t="str">
        <f>IF($C29="","",K29*VLOOKUP($C29,ATELIER!$B$2:$F$109,4,0))</f>
        <v/>
      </c>
      <c r="M29" s="364">
        <v>7</v>
      </c>
      <c r="N29" s="372" t="str">
        <f>IF($C29="","",M29*VLOOKUP($C29,ATELIER!$B$2:$F$109,4,0))</f>
        <v/>
      </c>
      <c r="O29" s="364">
        <v>8</v>
      </c>
      <c r="P29" s="372" t="str">
        <f>IF($C29="","",O29*VLOOKUP($C29,ATELIER!$B$2:$F$109,4,0))</f>
        <v/>
      </c>
      <c r="Q29" s="364">
        <v>9</v>
      </c>
      <c r="R29" s="372" t="str">
        <f>IF($C29="","",Q29*VLOOKUP($C29,ATELIER!$B$2:$F$109,4,0))</f>
        <v/>
      </c>
      <c r="S29" s="364">
        <v>10</v>
      </c>
      <c r="T29" s="372" t="str">
        <f>IF($C29="","",S29*VLOOKUP($C29,ATELIER!$B$2:$F$109,4,0))</f>
        <v/>
      </c>
      <c r="U29" s="364">
        <v>11</v>
      </c>
      <c r="V29" s="372" t="str">
        <f>IF($C29="","",U29*VLOOKUP($C29,ATELIER!$B$2:$F$109,4,0))</f>
        <v/>
      </c>
      <c r="W29" s="364">
        <v>12</v>
      </c>
      <c r="X29" s="372" t="str">
        <f>IF($C29="","",W29*VLOOKUP($C29,ATELIER!$B$2:$F$109,4,0))</f>
        <v/>
      </c>
      <c r="Y29" s="364">
        <v>13</v>
      </c>
      <c r="Z29" s="372" t="str">
        <f>IF($C29="","",Y29*VLOOKUP($C29,ATELIER!$B$2:$F$109,4,0))</f>
        <v/>
      </c>
      <c r="AA29" s="364">
        <v>14</v>
      </c>
      <c r="AB29" s="372" t="str">
        <f>IF($C29="","",AA29*VLOOKUP($C29,ATELIER!$B$2:$F$109,4,0))</f>
        <v/>
      </c>
      <c r="AC29" s="364">
        <v>15</v>
      </c>
      <c r="AD29" s="372" t="str">
        <f>IF($C29="","",AC29*VLOOKUP($C29,ATELIER!$B$2:$F$109,4,0))</f>
        <v/>
      </c>
      <c r="AE29" s="364">
        <v>16</v>
      </c>
      <c r="AF29" s="372" t="str">
        <f>IF($C29="","",AE29*VLOOKUP($C29,ATELIER!$B$2:$F$109,4,0))</f>
        <v/>
      </c>
      <c r="AG29" s="364">
        <v>17</v>
      </c>
      <c r="AH29" s="372" t="str">
        <f>IF($C29="","",AG29*VLOOKUP($C29,ATELIER!$B$2:$F$109,4,0))</f>
        <v/>
      </c>
      <c r="AI29" s="364">
        <v>18</v>
      </c>
      <c r="AJ29" s="372" t="str">
        <f>IF($C29="","",AI29*VLOOKUP($C29,ATELIER!$B$2:$F$109,4,0))</f>
        <v/>
      </c>
      <c r="AK29" s="364">
        <v>19</v>
      </c>
      <c r="AL29" s="372" t="str">
        <f>IF($C29="","",AK29*VLOOKUP($C29,ATELIER!$B$2:$F$109,4,0))</f>
        <v/>
      </c>
      <c r="AM29" s="364">
        <v>20</v>
      </c>
      <c r="AN29" s="372" t="str">
        <f>IF($C29="","",AM29*VLOOKUP($C29,ATELIER!$B$2:$F$109,4,0))</f>
        <v/>
      </c>
    </row>
    <row r="30" spans="1:40" ht="15" customHeight="1" x14ac:dyDescent="0.2">
      <c r="A30" s="1553"/>
      <c r="B30" s="361" t="str">
        <f>IF($C30="","",VLOOKUP($C30,ATELIER!$B$2:$F$109,2,0))</f>
        <v/>
      </c>
      <c r="C30" s="362"/>
      <c r="D30" s="363" t="str">
        <f>IF($C30="","",VLOOKUP($C30,ATELIER!$B$2:$E$109,3,0))</f>
        <v/>
      </c>
      <c r="E30" s="364">
        <v>4</v>
      </c>
      <c r="F30" s="372" t="str">
        <f>IF($C30="","",E30*VLOOKUP($C30,ATELIER!$B$2:$F$109,4,0))</f>
        <v/>
      </c>
      <c r="G30" s="364">
        <v>5</v>
      </c>
      <c r="H30" s="372" t="str">
        <f>IF($C30="","",G30*VLOOKUP($C30,ATELIER!$B$2:$F$109,4,0))</f>
        <v/>
      </c>
      <c r="I30" s="364">
        <v>6</v>
      </c>
      <c r="J30" s="372" t="str">
        <f>IF($C30="","",I30*VLOOKUP($C30,ATELIER!$B$2:$F$109,4,0))</f>
        <v/>
      </c>
      <c r="K30" s="364">
        <v>7</v>
      </c>
      <c r="L30" s="372" t="str">
        <f>IF($C30="","",K30*VLOOKUP($C30,ATELIER!$B$2:$F$109,4,0))</f>
        <v/>
      </c>
      <c r="M30" s="364">
        <v>8</v>
      </c>
      <c r="N30" s="372" t="str">
        <f>IF($C30="","",M30*VLOOKUP($C30,ATELIER!$B$2:$F$109,4,0))</f>
        <v/>
      </c>
      <c r="O30" s="364">
        <v>9</v>
      </c>
      <c r="P30" s="372" t="str">
        <f>IF($C30="","",O30*VLOOKUP($C30,ATELIER!$B$2:$F$109,4,0))</f>
        <v/>
      </c>
      <c r="Q30" s="364">
        <v>10</v>
      </c>
      <c r="R30" s="372" t="str">
        <f>IF($C30="","",Q30*VLOOKUP($C30,ATELIER!$B$2:$F$109,4,0))</f>
        <v/>
      </c>
      <c r="S30" s="364">
        <v>11</v>
      </c>
      <c r="T30" s="372" t="str">
        <f>IF($C30="","",S30*VLOOKUP($C30,ATELIER!$B$2:$F$109,4,0))</f>
        <v/>
      </c>
      <c r="U30" s="364">
        <v>12</v>
      </c>
      <c r="V30" s="372" t="str">
        <f>IF($C30="","",U30*VLOOKUP($C30,ATELIER!$B$2:$F$109,4,0))</f>
        <v/>
      </c>
      <c r="W30" s="364">
        <v>13</v>
      </c>
      <c r="X30" s="372" t="str">
        <f>IF($C30="","",W30*VLOOKUP($C30,ATELIER!$B$2:$F$109,4,0))</f>
        <v/>
      </c>
      <c r="Y30" s="364">
        <v>14</v>
      </c>
      <c r="Z30" s="372" t="str">
        <f>IF($C30="","",Y30*VLOOKUP($C30,ATELIER!$B$2:$F$109,4,0))</f>
        <v/>
      </c>
      <c r="AA30" s="364">
        <v>15</v>
      </c>
      <c r="AB30" s="372" t="str">
        <f>IF($C30="","",AA30*VLOOKUP($C30,ATELIER!$B$2:$F$109,4,0))</f>
        <v/>
      </c>
      <c r="AC30" s="364">
        <v>16</v>
      </c>
      <c r="AD30" s="372" t="str">
        <f>IF($C30="","",AC30*VLOOKUP($C30,ATELIER!$B$2:$F$109,4,0))</f>
        <v/>
      </c>
      <c r="AE30" s="364">
        <v>17</v>
      </c>
      <c r="AF30" s="372" t="str">
        <f>IF($C30="","",AE30*VLOOKUP($C30,ATELIER!$B$2:$F$109,4,0))</f>
        <v/>
      </c>
      <c r="AG30" s="364">
        <v>18</v>
      </c>
      <c r="AH30" s="372" t="str">
        <f>IF($C30="","",AG30*VLOOKUP($C30,ATELIER!$B$2:$F$109,4,0))</f>
        <v/>
      </c>
      <c r="AI30" s="364">
        <v>19</v>
      </c>
      <c r="AJ30" s="372" t="str">
        <f>IF($C30="","",AI30*VLOOKUP($C30,ATELIER!$B$2:$F$109,4,0))</f>
        <v/>
      </c>
      <c r="AK30" s="364">
        <v>20</v>
      </c>
      <c r="AL30" s="372" t="str">
        <f>IF($C30="","",AK30*VLOOKUP($C30,ATELIER!$B$2:$F$109,4,0))</f>
        <v/>
      </c>
      <c r="AM30" s="364">
        <v>21</v>
      </c>
      <c r="AN30" s="372" t="str">
        <f>IF($C30="","",AM30*VLOOKUP($C30,ATELIER!$B$2:$F$109,4,0))</f>
        <v/>
      </c>
    </row>
    <row r="31" spans="1:40" ht="15" customHeight="1" x14ac:dyDescent="0.2">
      <c r="A31" s="1553"/>
      <c r="B31" s="361" t="str">
        <f>IF($C31="","",VLOOKUP($C31,ATELIER!$B$2:$F$109,2,0))</f>
        <v/>
      </c>
      <c r="C31" s="362"/>
      <c r="D31" s="363" t="str">
        <f>IF($C31="","",VLOOKUP($C31,ATELIER!$B$2:$E$109,3,0))</f>
        <v/>
      </c>
      <c r="E31" s="364">
        <v>5</v>
      </c>
      <c r="F31" s="372" t="str">
        <f>IF($C31="","",E31*VLOOKUP($C31,ATELIER!$B$2:$F$109,4,0))</f>
        <v/>
      </c>
      <c r="G31" s="364">
        <v>6</v>
      </c>
      <c r="H31" s="372" t="str">
        <f>IF($C31="","",G31*VLOOKUP($C31,ATELIER!$B$2:$F$109,4,0))</f>
        <v/>
      </c>
      <c r="I31" s="364">
        <v>7</v>
      </c>
      <c r="J31" s="372" t="str">
        <f>IF($C31="","",I31*VLOOKUP($C31,ATELIER!$B$2:$F$109,4,0))</f>
        <v/>
      </c>
      <c r="K31" s="364">
        <v>8</v>
      </c>
      <c r="L31" s="372" t="str">
        <f>IF($C31="","",K31*VLOOKUP($C31,ATELIER!$B$2:$F$109,4,0))</f>
        <v/>
      </c>
      <c r="M31" s="364">
        <v>9</v>
      </c>
      <c r="N31" s="372" t="str">
        <f>IF($C31="","",M31*VLOOKUP($C31,ATELIER!$B$2:$F$109,4,0))</f>
        <v/>
      </c>
      <c r="O31" s="364">
        <v>10</v>
      </c>
      <c r="P31" s="372" t="str">
        <f>IF($C31="","",O31*VLOOKUP($C31,ATELIER!$B$2:$F$109,4,0))</f>
        <v/>
      </c>
      <c r="Q31" s="364">
        <v>11</v>
      </c>
      <c r="R31" s="372" t="str">
        <f>IF($C31="","",Q31*VLOOKUP($C31,ATELIER!$B$2:$F$109,4,0))</f>
        <v/>
      </c>
      <c r="S31" s="364">
        <v>12</v>
      </c>
      <c r="T31" s="372" t="str">
        <f>IF($C31="","",S31*VLOOKUP($C31,ATELIER!$B$2:$F$109,4,0))</f>
        <v/>
      </c>
      <c r="U31" s="364">
        <v>13</v>
      </c>
      <c r="V31" s="372" t="str">
        <f>IF($C31="","",U31*VLOOKUP($C31,ATELIER!$B$2:$F$109,4,0))</f>
        <v/>
      </c>
      <c r="W31" s="364">
        <v>14</v>
      </c>
      <c r="X31" s="372" t="str">
        <f>IF($C31="","",W31*VLOOKUP($C31,ATELIER!$B$2:$F$109,4,0))</f>
        <v/>
      </c>
      <c r="Y31" s="364">
        <v>15</v>
      </c>
      <c r="Z31" s="372" t="str">
        <f>IF($C31="","",Y31*VLOOKUP($C31,ATELIER!$B$2:$F$109,4,0))</f>
        <v/>
      </c>
      <c r="AA31" s="364">
        <v>16</v>
      </c>
      <c r="AB31" s="372" t="str">
        <f>IF($C31="","",AA31*VLOOKUP($C31,ATELIER!$B$2:$F$109,4,0))</f>
        <v/>
      </c>
      <c r="AC31" s="364">
        <v>17</v>
      </c>
      <c r="AD31" s="372" t="str">
        <f>IF($C31="","",AC31*VLOOKUP($C31,ATELIER!$B$2:$F$109,4,0))</f>
        <v/>
      </c>
      <c r="AE31" s="364">
        <v>18</v>
      </c>
      <c r="AF31" s="372" t="str">
        <f>IF($C31="","",AE31*VLOOKUP($C31,ATELIER!$B$2:$F$109,4,0))</f>
        <v/>
      </c>
      <c r="AG31" s="364">
        <v>19</v>
      </c>
      <c r="AH31" s="372" t="str">
        <f>IF($C31="","",AG31*VLOOKUP($C31,ATELIER!$B$2:$F$109,4,0))</f>
        <v/>
      </c>
      <c r="AI31" s="364">
        <v>20</v>
      </c>
      <c r="AJ31" s="372" t="str">
        <f>IF($C31="","",AI31*VLOOKUP($C31,ATELIER!$B$2:$F$109,4,0))</f>
        <v/>
      </c>
      <c r="AK31" s="364">
        <v>21</v>
      </c>
      <c r="AL31" s="372" t="str">
        <f>IF($C31="","",AK31*VLOOKUP($C31,ATELIER!$B$2:$F$109,4,0))</f>
        <v/>
      </c>
      <c r="AM31" s="364">
        <v>22</v>
      </c>
      <c r="AN31" s="372" t="str">
        <f>IF($C31="","",AM31*VLOOKUP($C31,ATELIER!$B$2:$F$109,4,0))</f>
        <v/>
      </c>
    </row>
    <row r="32" spans="1:40" ht="15" customHeight="1" x14ac:dyDescent="0.2">
      <c r="A32" s="1553"/>
      <c r="B32" s="361" t="str">
        <f>IF($C32="","",VLOOKUP($C32,ATELIER!$B$2:$F$109,2,0))</f>
        <v/>
      </c>
      <c r="C32" s="362"/>
      <c r="D32" s="363" t="str">
        <f>IF($C32="","",VLOOKUP($C32,ATELIER!$B$2:$E$109,3,0))</f>
        <v/>
      </c>
      <c r="E32" s="364">
        <v>6</v>
      </c>
      <c r="F32" s="372" t="str">
        <f>IF($C32="","",E32*VLOOKUP($C32,ATELIER!$B$2:$F$109,4,0))</f>
        <v/>
      </c>
      <c r="G32" s="364">
        <v>7</v>
      </c>
      <c r="H32" s="372" t="str">
        <f>IF($C32="","",G32*VLOOKUP($C32,ATELIER!$B$2:$F$109,4,0))</f>
        <v/>
      </c>
      <c r="I32" s="364">
        <v>8</v>
      </c>
      <c r="J32" s="372" t="str">
        <f>IF($C32="","",I32*VLOOKUP($C32,ATELIER!$B$2:$F$109,4,0))</f>
        <v/>
      </c>
      <c r="K32" s="364">
        <v>9</v>
      </c>
      <c r="L32" s="372" t="str">
        <f>IF($C32="","",K32*VLOOKUP($C32,ATELIER!$B$2:$F$109,4,0))</f>
        <v/>
      </c>
      <c r="M32" s="364">
        <v>10</v>
      </c>
      <c r="N32" s="372" t="str">
        <f>IF($C32="","",M32*VLOOKUP($C32,ATELIER!$B$2:$F$109,4,0))</f>
        <v/>
      </c>
      <c r="O32" s="364">
        <v>11</v>
      </c>
      <c r="P32" s="372" t="str">
        <f>IF($C32="","",O32*VLOOKUP($C32,ATELIER!$B$2:$F$109,4,0))</f>
        <v/>
      </c>
      <c r="Q32" s="364">
        <v>12</v>
      </c>
      <c r="R32" s="372" t="str">
        <f>IF($C32="","",Q32*VLOOKUP($C32,ATELIER!$B$2:$F$109,4,0))</f>
        <v/>
      </c>
      <c r="S32" s="364">
        <v>13</v>
      </c>
      <c r="T32" s="372" t="str">
        <f>IF($C32="","",S32*VLOOKUP($C32,ATELIER!$B$2:$F$109,4,0))</f>
        <v/>
      </c>
      <c r="U32" s="364">
        <v>14</v>
      </c>
      <c r="V32" s="372" t="str">
        <f>IF($C32="","",U32*VLOOKUP($C32,ATELIER!$B$2:$F$109,4,0))</f>
        <v/>
      </c>
      <c r="W32" s="364">
        <v>15</v>
      </c>
      <c r="X32" s="372" t="str">
        <f>IF($C32="","",W32*VLOOKUP($C32,ATELIER!$B$2:$F$109,4,0))</f>
        <v/>
      </c>
      <c r="Y32" s="364">
        <v>16</v>
      </c>
      <c r="Z32" s="372" t="str">
        <f>IF($C32="","",Y32*VLOOKUP($C32,ATELIER!$B$2:$F$109,4,0))</f>
        <v/>
      </c>
      <c r="AA32" s="364">
        <v>17</v>
      </c>
      <c r="AB32" s="372" t="str">
        <f>IF($C32="","",AA32*VLOOKUP($C32,ATELIER!$B$2:$F$109,4,0))</f>
        <v/>
      </c>
      <c r="AC32" s="364">
        <v>18</v>
      </c>
      <c r="AD32" s="372" t="str">
        <f>IF($C32="","",AC32*VLOOKUP($C32,ATELIER!$B$2:$F$109,4,0))</f>
        <v/>
      </c>
      <c r="AE32" s="364">
        <v>19</v>
      </c>
      <c r="AF32" s="372" t="str">
        <f>IF($C32="","",AE32*VLOOKUP($C32,ATELIER!$B$2:$F$109,4,0))</f>
        <v/>
      </c>
      <c r="AG32" s="364">
        <v>20</v>
      </c>
      <c r="AH32" s="372" t="str">
        <f>IF($C32="","",AG32*VLOOKUP($C32,ATELIER!$B$2:$F$109,4,0))</f>
        <v/>
      </c>
      <c r="AI32" s="364">
        <v>21</v>
      </c>
      <c r="AJ32" s="372" t="str">
        <f>IF($C32="","",AI32*VLOOKUP($C32,ATELIER!$B$2:$F$109,4,0))</f>
        <v/>
      </c>
      <c r="AK32" s="364">
        <v>22</v>
      </c>
      <c r="AL32" s="372" t="str">
        <f>IF($C32="","",AK32*VLOOKUP($C32,ATELIER!$B$2:$F$109,4,0))</f>
        <v/>
      </c>
      <c r="AM32" s="364">
        <v>23</v>
      </c>
      <c r="AN32" s="372" t="str">
        <f>IF($C32="","",AM32*VLOOKUP($C32,ATELIER!$B$2:$F$109,4,0))</f>
        <v/>
      </c>
    </row>
    <row r="33" spans="1:42" ht="15" customHeight="1" x14ac:dyDescent="0.2">
      <c r="A33" s="1553"/>
      <c r="B33" s="361" t="str">
        <f>IF($C33="","",VLOOKUP($C33,ATELIER!$B$2:$F$109,2,0))</f>
        <v/>
      </c>
      <c r="C33" s="362"/>
      <c r="D33" s="363" t="str">
        <f>IF($C33="","",VLOOKUP($C33,ATELIER!$B$2:$E$109,3,0))</f>
        <v/>
      </c>
      <c r="E33" s="364">
        <v>7</v>
      </c>
      <c r="F33" s="372" t="str">
        <f>IF($C33="","",E33*VLOOKUP($C33,ATELIER!$B$2:$F$109,4,0))</f>
        <v/>
      </c>
      <c r="G33" s="364">
        <v>8</v>
      </c>
      <c r="H33" s="372" t="str">
        <f>IF($C33="","",G33*VLOOKUP($C33,ATELIER!$B$2:$F$109,4,0))</f>
        <v/>
      </c>
      <c r="I33" s="364">
        <v>9</v>
      </c>
      <c r="J33" s="372" t="str">
        <f>IF($C33="","",I33*VLOOKUP($C33,ATELIER!$B$2:$F$109,4,0))</f>
        <v/>
      </c>
      <c r="K33" s="364">
        <v>10</v>
      </c>
      <c r="L33" s="372" t="str">
        <f>IF($C33="","",K33*VLOOKUP($C33,ATELIER!$B$2:$F$109,4,0))</f>
        <v/>
      </c>
      <c r="M33" s="364">
        <v>11</v>
      </c>
      <c r="N33" s="372" t="str">
        <f>IF($C33="","",M33*VLOOKUP($C33,ATELIER!$B$2:$F$109,4,0))</f>
        <v/>
      </c>
      <c r="O33" s="364">
        <v>12</v>
      </c>
      <c r="P33" s="372" t="str">
        <f>IF($C33="","",O33*VLOOKUP($C33,ATELIER!$B$2:$F$109,4,0))</f>
        <v/>
      </c>
      <c r="Q33" s="364">
        <v>13</v>
      </c>
      <c r="R33" s="372" t="str">
        <f>IF($C33="","",Q33*VLOOKUP($C33,ATELIER!$B$2:$F$109,4,0))</f>
        <v/>
      </c>
      <c r="S33" s="364">
        <v>14</v>
      </c>
      <c r="T33" s="372" t="str">
        <f>IF($C33="","",S33*VLOOKUP($C33,ATELIER!$B$2:$F$109,4,0))</f>
        <v/>
      </c>
      <c r="U33" s="364">
        <v>15</v>
      </c>
      <c r="V33" s="372" t="str">
        <f>IF($C33="","",U33*VLOOKUP($C33,ATELIER!$B$2:$F$109,4,0))</f>
        <v/>
      </c>
      <c r="W33" s="364">
        <v>16</v>
      </c>
      <c r="X33" s="372" t="str">
        <f>IF($C33="","",W33*VLOOKUP($C33,ATELIER!$B$2:$F$109,4,0))</f>
        <v/>
      </c>
      <c r="Y33" s="364">
        <v>17</v>
      </c>
      <c r="Z33" s="372" t="str">
        <f>IF($C33="","",Y33*VLOOKUP($C33,ATELIER!$B$2:$F$109,4,0))</f>
        <v/>
      </c>
      <c r="AA33" s="364">
        <v>18</v>
      </c>
      <c r="AB33" s="372" t="str">
        <f>IF($C33="","",AA33*VLOOKUP($C33,ATELIER!$B$2:$F$109,4,0))</f>
        <v/>
      </c>
      <c r="AC33" s="364">
        <v>19</v>
      </c>
      <c r="AD33" s="372" t="str">
        <f>IF($C33="","",AC33*VLOOKUP($C33,ATELIER!$B$2:$F$109,4,0))</f>
        <v/>
      </c>
      <c r="AE33" s="364">
        <v>20</v>
      </c>
      <c r="AF33" s="372" t="str">
        <f>IF($C33="","",AE33*VLOOKUP($C33,ATELIER!$B$2:$F$109,4,0))</f>
        <v/>
      </c>
      <c r="AG33" s="364">
        <v>21</v>
      </c>
      <c r="AH33" s="372" t="str">
        <f>IF($C33="","",AG33*VLOOKUP($C33,ATELIER!$B$2:$F$109,4,0))</f>
        <v/>
      </c>
      <c r="AI33" s="364">
        <v>22</v>
      </c>
      <c r="AJ33" s="372" t="str">
        <f>IF($C33="","",AI33*VLOOKUP($C33,ATELIER!$B$2:$F$109,4,0))</f>
        <v/>
      </c>
      <c r="AK33" s="364">
        <v>23</v>
      </c>
      <c r="AL33" s="372" t="str">
        <f>IF($C33="","",AK33*VLOOKUP($C33,ATELIER!$B$2:$F$109,4,0))</f>
        <v/>
      </c>
      <c r="AM33" s="364">
        <v>24</v>
      </c>
      <c r="AN33" s="372" t="str">
        <f>IF($C33="","",AM33*VLOOKUP($C33,ATELIER!$B$2:$F$109,4,0))</f>
        <v/>
      </c>
    </row>
    <row r="34" spans="1:42" ht="15" customHeight="1" x14ac:dyDescent="0.2">
      <c r="A34" s="1553"/>
      <c r="B34" s="361" t="str">
        <f>IF($C34="","",VLOOKUP($C34,ATELIER!$B$2:$F$109,2,0))</f>
        <v/>
      </c>
      <c r="C34" s="362"/>
      <c r="D34" s="363" t="str">
        <f>IF($C34="","",VLOOKUP($C34,ATELIER!$B$2:$E$109,3,0))</f>
        <v/>
      </c>
      <c r="E34" s="364">
        <v>8</v>
      </c>
      <c r="F34" s="372" t="str">
        <f>IF($C34="","",E34*VLOOKUP($C34,ATELIER!$B$2:$F$109,4,0))</f>
        <v/>
      </c>
      <c r="G34" s="364">
        <v>9</v>
      </c>
      <c r="H34" s="372" t="str">
        <f>IF($C34="","",G34*VLOOKUP($C34,ATELIER!$B$2:$F$109,4,0))</f>
        <v/>
      </c>
      <c r="I34" s="364">
        <v>10</v>
      </c>
      <c r="J34" s="372" t="str">
        <f>IF($C34="","",I34*VLOOKUP($C34,ATELIER!$B$2:$F$109,4,0))</f>
        <v/>
      </c>
      <c r="K34" s="364">
        <v>11</v>
      </c>
      <c r="L34" s="372" t="str">
        <f>IF($C34="","",K34*VLOOKUP($C34,ATELIER!$B$2:$F$109,4,0))</f>
        <v/>
      </c>
      <c r="M34" s="364">
        <v>12</v>
      </c>
      <c r="N34" s="372" t="str">
        <f>IF($C34="","",M34*VLOOKUP($C34,ATELIER!$B$2:$F$109,4,0))</f>
        <v/>
      </c>
      <c r="O34" s="364">
        <v>13</v>
      </c>
      <c r="P34" s="372" t="str">
        <f>IF($C34="","",O34*VLOOKUP($C34,ATELIER!$B$2:$F$109,4,0))</f>
        <v/>
      </c>
      <c r="Q34" s="364">
        <v>14</v>
      </c>
      <c r="R34" s="372" t="str">
        <f>IF($C34="","",Q34*VLOOKUP($C34,ATELIER!$B$2:$F$109,4,0))</f>
        <v/>
      </c>
      <c r="S34" s="364">
        <v>15</v>
      </c>
      <c r="T34" s="372" t="str">
        <f>IF($C34="","",S34*VLOOKUP($C34,ATELIER!$B$2:$F$109,4,0))</f>
        <v/>
      </c>
      <c r="U34" s="364">
        <v>16</v>
      </c>
      <c r="V34" s="372" t="str">
        <f>IF($C34="","",U34*VLOOKUP($C34,ATELIER!$B$2:$F$109,4,0))</f>
        <v/>
      </c>
      <c r="W34" s="364">
        <v>17</v>
      </c>
      <c r="X34" s="372" t="str">
        <f>IF($C34="","",W34*VLOOKUP($C34,ATELIER!$B$2:$F$109,4,0))</f>
        <v/>
      </c>
      <c r="Y34" s="364">
        <v>18</v>
      </c>
      <c r="Z34" s="372" t="str">
        <f>IF($C34="","",Y34*VLOOKUP($C34,ATELIER!$B$2:$F$109,4,0))</f>
        <v/>
      </c>
      <c r="AA34" s="364">
        <v>19</v>
      </c>
      <c r="AB34" s="372" t="str">
        <f>IF($C34="","",AA34*VLOOKUP($C34,ATELIER!$B$2:$F$109,4,0))</f>
        <v/>
      </c>
      <c r="AC34" s="364">
        <v>20</v>
      </c>
      <c r="AD34" s="372" t="str">
        <f>IF($C34="","",AC34*VLOOKUP($C34,ATELIER!$B$2:$F$109,4,0))</f>
        <v/>
      </c>
      <c r="AE34" s="364">
        <v>21</v>
      </c>
      <c r="AF34" s="372" t="str">
        <f>IF($C34="","",AE34*VLOOKUP($C34,ATELIER!$B$2:$F$109,4,0))</f>
        <v/>
      </c>
      <c r="AG34" s="364">
        <v>22</v>
      </c>
      <c r="AH34" s="372" t="str">
        <f>IF($C34="","",AG34*VLOOKUP($C34,ATELIER!$B$2:$F$109,4,0))</f>
        <v/>
      </c>
      <c r="AI34" s="364">
        <v>23</v>
      </c>
      <c r="AJ34" s="372" t="str">
        <f>IF($C34="","",AI34*VLOOKUP($C34,ATELIER!$B$2:$F$109,4,0))</f>
        <v/>
      </c>
      <c r="AK34" s="364">
        <v>24</v>
      </c>
      <c r="AL34" s="372" t="str">
        <f>IF($C34="","",AK34*VLOOKUP($C34,ATELIER!$B$2:$F$109,4,0))</f>
        <v/>
      </c>
      <c r="AM34" s="364">
        <v>25</v>
      </c>
      <c r="AN34" s="372" t="str">
        <f>IF($C34="","",AM34*VLOOKUP($C34,ATELIER!$B$2:$F$109,4,0))</f>
        <v/>
      </c>
      <c r="AO34" s="222"/>
      <c r="AP34" s="223"/>
    </row>
    <row r="35" spans="1:42" ht="15" customHeight="1" x14ac:dyDescent="0.2">
      <c r="A35" s="1553"/>
      <c r="B35" s="361" t="str">
        <f>IF($C35="","",VLOOKUP($C35,ATELIER!$B$2:$F$109,2,0))</f>
        <v/>
      </c>
      <c r="C35" s="362"/>
      <c r="D35" s="363" t="str">
        <f>IF($C35="","",VLOOKUP($C35,ATELIER!$B$2:$E$109,3,0))</f>
        <v/>
      </c>
      <c r="E35" s="364">
        <v>9</v>
      </c>
      <c r="F35" s="372" t="str">
        <f>IF($C35="","",E35*VLOOKUP($C35,ATELIER!$B$2:$F$109,4,0))</f>
        <v/>
      </c>
      <c r="G35" s="364">
        <v>10</v>
      </c>
      <c r="H35" s="372" t="str">
        <f>IF($C35="","",G35*VLOOKUP($C35,ATELIER!$B$2:$F$109,4,0))</f>
        <v/>
      </c>
      <c r="I35" s="364">
        <v>11</v>
      </c>
      <c r="J35" s="372" t="str">
        <f>IF($C35="","",I35*VLOOKUP($C35,ATELIER!$B$2:$F$109,4,0))</f>
        <v/>
      </c>
      <c r="K35" s="364">
        <v>12</v>
      </c>
      <c r="L35" s="372" t="str">
        <f>IF($C35="","",K35*VLOOKUP($C35,ATELIER!$B$2:$F$109,4,0))</f>
        <v/>
      </c>
      <c r="M35" s="364">
        <v>13</v>
      </c>
      <c r="N35" s="372" t="str">
        <f>IF($C35="","",M35*VLOOKUP($C35,ATELIER!$B$2:$F$109,4,0))</f>
        <v/>
      </c>
      <c r="O35" s="364">
        <v>14</v>
      </c>
      <c r="P35" s="372" t="str">
        <f>IF($C35="","",O35*VLOOKUP($C35,ATELIER!$B$2:$F$109,4,0))</f>
        <v/>
      </c>
      <c r="Q35" s="364">
        <v>15</v>
      </c>
      <c r="R35" s="372" t="str">
        <f>IF($C35="","",Q35*VLOOKUP($C35,ATELIER!$B$2:$F$109,4,0))</f>
        <v/>
      </c>
      <c r="S35" s="364">
        <v>16</v>
      </c>
      <c r="T35" s="372" t="str">
        <f>IF($C35="","",S35*VLOOKUP($C35,ATELIER!$B$2:$F$109,4,0))</f>
        <v/>
      </c>
      <c r="U35" s="364">
        <v>17</v>
      </c>
      <c r="V35" s="372" t="str">
        <f>IF($C35="","",U35*VLOOKUP($C35,ATELIER!$B$2:$F$109,4,0))</f>
        <v/>
      </c>
      <c r="W35" s="364">
        <v>18</v>
      </c>
      <c r="X35" s="372" t="str">
        <f>IF($C35="","",W35*VLOOKUP($C35,ATELIER!$B$2:$F$109,4,0))</f>
        <v/>
      </c>
      <c r="Y35" s="364">
        <v>19</v>
      </c>
      <c r="Z35" s="372" t="str">
        <f>IF($C35="","",Y35*VLOOKUP($C35,ATELIER!$B$2:$F$109,4,0))</f>
        <v/>
      </c>
      <c r="AA35" s="364">
        <v>20</v>
      </c>
      <c r="AB35" s="372" t="str">
        <f>IF($C35="","",AA35*VLOOKUP($C35,ATELIER!$B$2:$F$109,4,0))</f>
        <v/>
      </c>
      <c r="AC35" s="364">
        <v>21</v>
      </c>
      <c r="AD35" s="372" t="str">
        <f>IF($C35="","",AC35*VLOOKUP($C35,ATELIER!$B$2:$F$109,4,0))</f>
        <v/>
      </c>
      <c r="AE35" s="364">
        <v>22</v>
      </c>
      <c r="AF35" s="372" t="str">
        <f>IF($C35="","",AE35*VLOOKUP($C35,ATELIER!$B$2:$F$109,4,0))</f>
        <v/>
      </c>
      <c r="AG35" s="364">
        <v>23</v>
      </c>
      <c r="AH35" s="372" t="str">
        <f>IF($C35="","",AG35*VLOOKUP($C35,ATELIER!$B$2:$F$109,4,0))</f>
        <v/>
      </c>
      <c r="AI35" s="364">
        <v>24</v>
      </c>
      <c r="AJ35" s="372" t="str">
        <f>IF($C35="","",AI35*VLOOKUP($C35,ATELIER!$B$2:$F$109,4,0))</f>
        <v/>
      </c>
      <c r="AK35" s="364">
        <v>25</v>
      </c>
      <c r="AL35" s="372" t="str">
        <f>IF($C35="","",AK35*VLOOKUP($C35,ATELIER!$B$2:$F$109,4,0))</f>
        <v/>
      </c>
      <c r="AM35" s="364">
        <v>26</v>
      </c>
      <c r="AN35" s="372" t="str">
        <f>IF($C35="","",AM35*VLOOKUP($C35,ATELIER!$B$2:$F$109,4,0))</f>
        <v/>
      </c>
      <c r="AO35" s="203"/>
      <c r="AP35" s="158"/>
    </row>
    <row r="36" spans="1:42" ht="15" customHeight="1" x14ac:dyDescent="0.2">
      <c r="A36" s="1553"/>
      <c r="B36" s="361" t="str">
        <f>IF($C36="","",VLOOKUP($C36,ATELIER!$B$2:$F$109,2,0))</f>
        <v/>
      </c>
      <c r="C36" s="362"/>
      <c r="D36" s="363" t="str">
        <f>IF($C36="","",VLOOKUP($C36,ATELIER!$B$2:$E$109,3,0))</f>
        <v/>
      </c>
      <c r="E36" s="364">
        <v>10</v>
      </c>
      <c r="F36" s="372" t="str">
        <f>IF($C36="","",E36*VLOOKUP($C36,ATELIER!$B$2:$F$109,4,0))</f>
        <v/>
      </c>
      <c r="G36" s="364">
        <v>11</v>
      </c>
      <c r="H36" s="372" t="str">
        <f>IF($C36="","",G36*VLOOKUP($C36,ATELIER!$B$2:$F$109,4,0))</f>
        <v/>
      </c>
      <c r="I36" s="364">
        <v>12</v>
      </c>
      <c r="J36" s="372" t="str">
        <f>IF($C36="","",I36*VLOOKUP($C36,ATELIER!$B$2:$F$109,4,0))</f>
        <v/>
      </c>
      <c r="K36" s="364">
        <v>13</v>
      </c>
      <c r="L36" s="372" t="str">
        <f>IF($C36="","",K36*VLOOKUP($C36,ATELIER!$B$2:$F$109,4,0))</f>
        <v/>
      </c>
      <c r="M36" s="364">
        <v>14</v>
      </c>
      <c r="N36" s="372" t="str">
        <f>IF($C36="","",M36*VLOOKUP($C36,ATELIER!$B$2:$F$109,4,0))</f>
        <v/>
      </c>
      <c r="O36" s="364">
        <v>15</v>
      </c>
      <c r="P36" s="372" t="str">
        <f>IF($C36="","",O36*VLOOKUP($C36,ATELIER!$B$2:$F$109,4,0))</f>
        <v/>
      </c>
      <c r="Q36" s="364">
        <v>16</v>
      </c>
      <c r="R36" s="372" t="str">
        <f>IF($C36="","",Q36*VLOOKUP($C36,ATELIER!$B$2:$F$109,4,0))</f>
        <v/>
      </c>
      <c r="S36" s="364">
        <v>17</v>
      </c>
      <c r="T36" s="372" t="str">
        <f>IF($C36="","",S36*VLOOKUP($C36,ATELIER!$B$2:$F$109,4,0))</f>
        <v/>
      </c>
      <c r="U36" s="364">
        <v>18</v>
      </c>
      <c r="V36" s="372" t="str">
        <f>IF($C36="","",U36*VLOOKUP($C36,ATELIER!$B$2:$F$109,4,0))</f>
        <v/>
      </c>
      <c r="W36" s="364">
        <v>19</v>
      </c>
      <c r="X36" s="372" t="str">
        <f>IF($C36="","",W36*VLOOKUP($C36,ATELIER!$B$2:$F$109,4,0))</f>
        <v/>
      </c>
      <c r="Y36" s="364">
        <v>20</v>
      </c>
      <c r="Z36" s="372" t="str">
        <f>IF($C36="","",Y36*VLOOKUP($C36,ATELIER!$B$2:$F$109,4,0))</f>
        <v/>
      </c>
      <c r="AA36" s="364">
        <v>21</v>
      </c>
      <c r="AB36" s="372" t="str">
        <f>IF($C36="","",AA36*VLOOKUP($C36,ATELIER!$B$2:$F$109,4,0))</f>
        <v/>
      </c>
      <c r="AC36" s="364">
        <v>22</v>
      </c>
      <c r="AD36" s="372" t="str">
        <f>IF($C36="","",AC36*VLOOKUP($C36,ATELIER!$B$2:$F$109,4,0))</f>
        <v/>
      </c>
      <c r="AE36" s="364">
        <v>23</v>
      </c>
      <c r="AF36" s="372" t="str">
        <f>IF($C36="","",AE36*VLOOKUP($C36,ATELIER!$B$2:$F$109,4,0))</f>
        <v/>
      </c>
      <c r="AG36" s="364">
        <v>24</v>
      </c>
      <c r="AH36" s="372" t="str">
        <f>IF($C36="","",AG36*VLOOKUP($C36,ATELIER!$B$2:$F$109,4,0))</f>
        <v/>
      </c>
      <c r="AI36" s="364">
        <v>25</v>
      </c>
      <c r="AJ36" s="372" t="str">
        <f>IF($C36="","",AI36*VLOOKUP($C36,ATELIER!$B$2:$F$109,4,0))</f>
        <v/>
      </c>
      <c r="AK36" s="364">
        <v>26</v>
      </c>
      <c r="AL36" s="372" t="str">
        <f>IF($C36="","",AK36*VLOOKUP($C36,ATELIER!$B$2:$F$109,4,0))</f>
        <v/>
      </c>
      <c r="AM36" s="364">
        <v>27</v>
      </c>
      <c r="AN36" s="372" t="str">
        <f>IF($C36="","",AM36*VLOOKUP($C36,ATELIER!$B$2:$F$109,4,0))</f>
        <v/>
      </c>
      <c r="AO36" s="203"/>
      <c r="AP36" s="158"/>
    </row>
    <row r="37" spans="1:42" ht="15" customHeight="1" x14ac:dyDescent="0.2">
      <c r="A37" s="1553"/>
      <c r="B37" s="361" t="str">
        <f>IF($C37="","",VLOOKUP($C37,ATELIER!$B$2:$F$109,2,0))</f>
        <v/>
      </c>
      <c r="C37" s="362"/>
      <c r="D37" s="363" t="str">
        <f>IF($C37="","",VLOOKUP($C37,ATELIER!$B$2:$E$109,3,0))</f>
        <v/>
      </c>
      <c r="E37" s="364">
        <v>11</v>
      </c>
      <c r="F37" s="372" t="str">
        <f>IF($C37="","",E37*VLOOKUP($C37,ATELIER!$B$2:$F$109,4,0))</f>
        <v/>
      </c>
      <c r="G37" s="364">
        <v>12</v>
      </c>
      <c r="H37" s="372" t="str">
        <f>IF($C37="","",G37*VLOOKUP($C37,ATELIER!$B$2:$F$109,4,0))</f>
        <v/>
      </c>
      <c r="I37" s="364">
        <v>13</v>
      </c>
      <c r="J37" s="372" t="str">
        <f>IF($C37="","",I37*VLOOKUP($C37,ATELIER!$B$2:$F$109,4,0))</f>
        <v/>
      </c>
      <c r="K37" s="364">
        <v>14</v>
      </c>
      <c r="L37" s="372" t="str">
        <f>IF($C37="","",K37*VLOOKUP($C37,ATELIER!$B$2:$F$109,4,0))</f>
        <v/>
      </c>
      <c r="M37" s="364">
        <v>15</v>
      </c>
      <c r="N37" s="372" t="str">
        <f>IF($C37="","",M37*VLOOKUP($C37,ATELIER!$B$2:$F$109,4,0))</f>
        <v/>
      </c>
      <c r="O37" s="364">
        <v>16</v>
      </c>
      <c r="P37" s="372" t="str">
        <f>IF($C37="","",O37*VLOOKUP($C37,ATELIER!$B$2:$F$109,4,0))</f>
        <v/>
      </c>
      <c r="Q37" s="364">
        <v>17</v>
      </c>
      <c r="R37" s="372" t="str">
        <f>IF($C37="","",Q37*VLOOKUP($C37,ATELIER!$B$2:$F$109,4,0))</f>
        <v/>
      </c>
      <c r="S37" s="364">
        <v>18</v>
      </c>
      <c r="T37" s="372" t="str">
        <f>IF($C37="","",S37*VLOOKUP($C37,ATELIER!$B$2:$F$109,4,0))</f>
        <v/>
      </c>
      <c r="U37" s="364">
        <v>19</v>
      </c>
      <c r="V37" s="372" t="str">
        <f>IF($C37="","",U37*VLOOKUP($C37,ATELIER!$B$2:$F$109,4,0))</f>
        <v/>
      </c>
      <c r="W37" s="364">
        <v>20</v>
      </c>
      <c r="X37" s="372" t="str">
        <f>IF($C37="","",W37*VLOOKUP($C37,ATELIER!$B$2:$F$109,4,0))</f>
        <v/>
      </c>
      <c r="Y37" s="364">
        <v>21</v>
      </c>
      <c r="Z37" s="372" t="str">
        <f>IF($C37="","",Y37*VLOOKUP($C37,ATELIER!$B$2:$F$109,4,0))</f>
        <v/>
      </c>
      <c r="AA37" s="364">
        <v>22</v>
      </c>
      <c r="AB37" s="372" t="str">
        <f>IF($C37="","",AA37*VLOOKUP($C37,ATELIER!$B$2:$F$109,4,0))</f>
        <v/>
      </c>
      <c r="AC37" s="364">
        <v>23</v>
      </c>
      <c r="AD37" s="372" t="str">
        <f>IF($C37="","",AC37*VLOOKUP($C37,ATELIER!$B$2:$F$109,4,0))</f>
        <v/>
      </c>
      <c r="AE37" s="364">
        <v>24</v>
      </c>
      <c r="AF37" s="372" t="str">
        <f>IF($C37="","",AE37*VLOOKUP($C37,ATELIER!$B$2:$F$109,4,0))</f>
        <v/>
      </c>
      <c r="AG37" s="364">
        <v>25</v>
      </c>
      <c r="AH37" s="372" t="str">
        <f>IF($C37="","",AG37*VLOOKUP($C37,ATELIER!$B$2:$F$109,4,0))</f>
        <v/>
      </c>
      <c r="AI37" s="364">
        <v>26</v>
      </c>
      <c r="AJ37" s="372" t="str">
        <f>IF($C37="","",AI37*VLOOKUP($C37,ATELIER!$B$2:$F$109,4,0))</f>
        <v/>
      </c>
      <c r="AK37" s="364">
        <v>27</v>
      </c>
      <c r="AL37" s="372" t="str">
        <f>IF($C37="","",AK37*VLOOKUP($C37,ATELIER!$B$2:$F$109,4,0))</f>
        <v/>
      </c>
      <c r="AM37" s="364">
        <v>28</v>
      </c>
      <c r="AN37" s="372" t="str">
        <f>IF($C37="","",AM37*VLOOKUP($C37,ATELIER!$B$2:$F$109,4,0))</f>
        <v/>
      </c>
      <c r="AO37" s="155"/>
      <c r="AP37" s="155"/>
    </row>
    <row r="38" spans="1:42" ht="35.25" customHeight="1" x14ac:dyDescent="0.2">
      <c r="A38" s="1553"/>
      <c r="B38" s="375" t="s">
        <v>449</v>
      </c>
      <c r="C38" s="376" t="s">
        <v>450</v>
      </c>
      <c r="D38" s="377" t="s">
        <v>451</v>
      </c>
      <c r="E38" s="376" t="e">
        <f>F38*Simulation!$P$8</f>
        <v>#N/A</v>
      </c>
      <c r="F38" s="377" t="e">
        <f>SUM(F27:F37)</f>
        <v>#N/A</v>
      </c>
      <c r="G38" s="376" t="e">
        <f>H38*Simulation!$P$8</f>
        <v>#N/A</v>
      </c>
      <c r="H38" s="377" t="e">
        <f>SUM(H27:H37)</f>
        <v>#N/A</v>
      </c>
      <c r="I38" s="376" t="e">
        <f>J38*Simulation!$P$8</f>
        <v>#N/A</v>
      </c>
      <c r="J38" s="377" t="e">
        <f>SUM(J27:J37)</f>
        <v>#N/A</v>
      </c>
      <c r="K38" s="376" t="e">
        <f>L38*Simulation!$P$8</f>
        <v>#N/A</v>
      </c>
      <c r="L38" s="377" t="e">
        <f>SUM(L27:L37)</f>
        <v>#N/A</v>
      </c>
      <c r="M38" s="376" t="e">
        <f>N38*Simulation!$P$8</f>
        <v>#N/A</v>
      </c>
      <c r="N38" s="377" t="e">
        <f>SUM(N27:N37)</f>
        <v>#N/A</v>
      </c>
      <c r="O38" s="376" t="e">
        <f>P38*Simulation!$P$8</f>
        <v>#N/A</v>
      </c>
      <c r="P38" s="377" t="e">
        <f>SUM(P27:P37)</f>
        <v>#N/A</v>
      </c>
      <c r="Q38" s="376" t="e">
        <f>R38*Simulation!$P$8</f>
        <v>#N/A</v>
      </c>
      <c r="R38" s="377" t="e">
        <f>SUM(R27:R37)</f>
        <v>#N/A</v>
      </c>
      <c r="S38" s="376" t="e">
        <f>T38*Simulation!$P$8</f>
        <v>#N/A</v>
      </c>
      <c r="T38" s="377" t="e">
        <f>SUM(T27:T37)</f>
        <v>#N/A</v>
      </c>
      <c r="U38" s="376" t="e">
        <f>V38*Simulation!$P$8</f>
        <v>#N/A</v>
      </c>
      <c r="V38" s="377" t="e">
        <f>SUM(V27:V37)</f>
        <v>#N/A</v>
      </c>
      <c r="W38" s="376" t="e">
        <f>X38*Simulation!$P$8</f>
        <v>#N/A</v>
      </c>
      <c r="X38" s="377" t="e">
        <f>SUM(X27:X37)</f>
        <v>#N/A</v>
      </c>
      <c r="Y38" s="376" t="e">
        <f>Z38*Simulation!$P$8</f>
        <v>#N/A</v>
      </c>
      <c r="Z38" s="377" t="e">
        <f>SUM(Z27:Z37)</f>
        <v>#N/A</v>
      </c>
      <c r="AA38" s="376" t="e">
        <f>AB38*Simulation!$P$8</f>
        <v>#N/A</v>
      </c>
      <c r="AB38" s="377" t="e">
        <f>SUM(AB27:AB37)</f>
        <v>#N/A</v>
      </c>
      <c r="AC38" s="376" t="e">
        <f>AD38*Simulation!$P$8</f>
        <v>#N/A</v>
      </c>
      <c r="AD38" s="377" t="e">
        <f>SUM(AD27:AD37)</f>
        <v>#N/A</v>
      </c>
      <c r="AE38" s="376" t="e">
        <f>AF38*Simulation!$P$8</f>
        <v>#N/A</v>
      </c>
      <c r="AF38" s="377" t="e">
        <f>SUM(AF27:AF37)</f>
        <v>#N/A</v>
      </c>
      <c r="AG38" s="376" t="e">
        <f>AH38*Simulation!$P$8</f>
        <v>#N/A</v>
      </c>
      <c r="AH38" s="377" t="e">
        <f>SUM(AH27:AH37)</f>
        <v>#N/A</v>
      </c>
      <c r="AI38" s="376" t="e">
        <f>AJ38*Simulation!$P$8</f>
        <v>#N/A</v>
      </c>
      <c r="AJ38" s="377" t="e">
        <f>SUM(AJ27:AJ37)</f>
        <v>#N/A</v>
      </c>
      <c r="AK38" s="376" t="e">
        <f>AL38*Simulation!$P$8</f>
        <v>#N/A</v>
      </c>
      <c r="AL38" s="377" t="e">
        <f>SUM(AL27:AL37)</f>
        <v>#N/A</v>
      </c>
      <c r="AM38" s="376" t="e">
        <f>AN38*Simulation!$P$8</f>
        <v>#N/A</v>
      </c>
      <c r="AN38" s="377" t="e">
        <f>SUM(AN27:AN37)</f>
        <v>#N/A</v>
      </c>
      <c r="AO38" s="224"/>
      <c r="AP38" s="224"/>
    </row>
    <row r="39" spans="1:42" ht="15" customHeight="1" x14ac:dyDescent="0.2">
      <c r="A39" s="1554" t="s">
        <v>452</v>
      </c>
      <c r="B39" s="361" t="s">
        <v>1082</v>
      </c>
      <c r="C39" s="378" t="s">
        <v>378</v>
      </c>
      <c r="D39" s="363" t="str">
        <f>IF(C39="","",VLOOKUP($C39,CHANTIER!$A$2:$C$83,3,0))</f>
        <v>forfait</v>
      </c>
      <c r="E39" s="364">
        <v>1</v>
      </c>
      <c r="F39" s="372">
        <f>IF($C39="","",E39*VLOOKUP($C39,CHANTIER!$A$2:$D$83,4,0))</f>
        <v>0.25</v>
      </c>
      <c r="G39" s="364">
        <v>2</v>
      </c>
      <c r="H39" s="372">
        <f>IF($C39="","",G39*VLOOKUP($C39,CHANTIER!$A$2:$D$83,4,0))</f>
        <v>0.5</v>
      </c>
      <c r="I39" s="364">
        <v>3</v>
      </c>
      <c r="J39" s="372">
        <f>IF($C39="","",I39*VLOOKUP($C39,CHANTIER!$A$2:$D$83,4,0))</f>
        <v>0.75</v>
      </c>
      <c r="K39" s="364">
        <v>4</v>
      </c>
      <c r="L39" s="372">
        <f>IF($C39="","",K39*VLOOKUP($C39,CHANTIER!$A$2:$D$83,4,0))</f>
        <v>1</v>
      </c>
      <c r="M39" s="364">
        <v>5</v>
      </c>
      <c r="N39" s="372">
        <f>IF($C39="","",M39*VLOOKUP($C39,CHANTIER!$A$2:$D$83,4,0))</f>
        <v>1.25</v>
      </c>
      <c r="O39" s="364">
        <v>6</v>
      </c>
      <c r="P39" s="372">
        <f>IF($C39="","",O39*VLOOKUP($C39,CHANTIER!$A$2:$D$83,4,0))</f>
        <v>1.5</v>
      </c>
      <c r="Q39" s="364">
        <v>7</v>
      </c>
      <c r="R39" s="372">
        <f>IF($C39="","",Q39*VLOOKUP($C39,CHANTIER!$A$2:$D$83,4,0))</f>
        <v>1.75</v>
      </c>
      <c r="S39" s="364">
        <v>8</v>
      </c>
      <c r="T39" s="372">
        <f>IF($C39="","",S39*VLOOKUP($C39,CHANTIER!$A$2:$D$83,4,0))</f>
        <v>2</v>
      </c>
      <c r="U39" s="364">
        <v>9</v>
      </c>
      <c r="V39" s="372">
        <f>IF($C39="","",U39*VLOOKUP($C39,CHANTIER!$A$2:$D$83,4,0))</f>
        <v>2.25</v>
      </c>
      <c r="W39" s="364">
        <v>10</v>
      </c>
      <c r="X39" s="372">
        <f>IF($C39="","",W39*VLOOKUP($C39,CHANTIER!$A$2:$D$83,4,0))</f>
        <v>2.5</v>
      </c>
      <c r="Y39" s="364">
        <v>11</v>
      </c>
      <c r="Z39" s="372">
        <f>IF($C39="","",Y39*VLOOKUP($C39,CHANTIER!$A$2:$D$83,4,0))</f>
        <v>2.75</v>
      </c>
      <c r="AA39" s="364">
        <v>12</v>
      </c>
      <c r="AB39" s="372">
        <f>IF($C39="","",AA39*VLOOKUP($C39,CHANTIER!$A$2:$D$83,4,0))</f>
        <v>3</v>
      </c>
      <c r="AC39" s="364">
        <v>13</v>
      </c>
      <c r="AD39" s="372">
        <f>IF($C39="","",AC39*VLOOKUP($C39,CHANTIER!$A$2:$D$83,4,0))</f>
        <v>3.25</v>
      </c>
      <c r="AE39" s="364">
        <v>14</v>
      </c>
      <c r="AF39" s="372">
        <f>IF($C39="","",AE39*VLOOKUP($C39,CHANTIER!$A$2:$D$83,4,0))</f>
        <v>3.5</v>
      </c>
      <c r="AG39" s="364">
        <v>15</v>
      </c>
      <c r="AH39" s="372">
        <f>IF($C39="","",AG39*VLOOKUP($C39,CHANTIER!$A$2:$D$83,4,0))</f>
        <v>3.75</v>
      </c>
      <c r="AI39" s="364">
        <v>16</v>
      </c>
      <c r="AJ39" s="372">
        <f>IF($C39="","",AI39*VLOOKUP($C39,CHANTIER!$A$2:$D$83,4,0))</f>
        <v>4</v>
      </c>
      <c r="AK39" s="364">
        <v>17</v>
      </c>
      <c r="AL39" s="372">
        <f>IF($C39="","",AK39*VLOOKUP($C39,CHANTIER!$A$2:$D$83,4,0))</f>
        <v>4.25</v>
      </c>
      <c r="AM39" s="364">
        <v>18</v>
      </c>
      <c r="AN39" s="372">
        <f>IF($C39="","",AM39*VLOOKUP($C39,CHANTIER!$A$2:$D$83,4,0))</f>
        <v>4.5</v>
      </c>
      <c r="AO39" s="224"/>
      <c r="AP39" s="224"/>
    </row>
    <row r="40" spans="1:42" ht="15" customHeight="1" x14ac:dyDescent="0.2">
      <c r="A40" s="1554"/>
      <c r="B40" s="361"/>
      <c r="C40" s="378"/>
      <c r="D40" s="363" t="str">
        <f>IF(C40="","",VLOOKUP($C40,CHANTIER!$A$2:$C$83,3,0))</f>
        <v/>
      </c>
      <c r="E40" s="364">
        <v>2</v>
      </c>
      <c r="F40" s="372" t="str">
        <f>IF($C40="","",E40*VLOOKUP($C40,CHANTIER!$A$2:$D$83,4,0))</f>
        <v/>
      </c>
      <c r="G40" s="364">
        <v>3</v>
      </c>
      <c r="H40" s="372" t="str">
        <f>IF($C40="","",G40*VLOOKUP($C40,CHANTIER!$A$2:$D$83,4,0))</f>
        <v/>
      </c>
      <c r="I40" s="364">
        <v>4</v>
      </c>
      <c r="J40" s="372" t="str">
        <f>IF($C40="","",I40*VLOOKUP($C40,CHANTIER!$A$2:$D$83,4,0))</f>
        <v/>
      </c>
      <c r="K40" s="364">
        <v>5</v>
      </c>
      <c r="L40" s="372" t="str">
        <f>IF($C40="","",K40*VLOOKUP($C40,CHANTIER!$A$2:$D$83,4,0))</f>
        <v/>
      </c>
      <c r="M40" s="364">
        <v>6</v>
      </c>
      <c r="N40" s="372" t="str">
        <f>IF($C40="","",M40*VLOOKUP($C40,CHANTIER!$A$2:$D$83,4,0))</f>
        <v/>
      </c>
      <c r="O40" s="364">
        <v>7</v>
      </c>
      <c r="P40" s="372" t="str">
        <f>IF($C40="","",O40*VLOOKUP($C40,CHANTIER!$A$2:$D$83,4,0))</f>
        <v/>
      </c>
      <c r="Q40" s="364">
        <v>8</v>
      </c>
      <c r="R40" s="372" t="str">
        <f>IF($C40="","",Q40*VLOOKUP($C40,CHANTIER!$A$2:$D$83,4,0))</f>
        <v/>
      </c>
      <c r="S40" s="364">
        <v>9</v>
      </c>
      <c r="T40" s="372" t="str">
        <f>IF($C40="","",S40*VLOOKUP($C40,CHANTIER!$A$2:$D$83,4,0))</f>
        <v/>
      </c>
      <c r="U40" s="364">
        <v>10</v>
      </c>
      <c r="V40" s="372" t="str">
        <f>IF($C40="","",U40*VLOOKUP($C40,CHANTIER!$A$2:$D$83,4,0))</f>
        <v/>
      </c>
      <c r="W40" s="364">
        <v>11</v>
      </c>
      <c r="X40" s="372" t="str">
        <f>IF($C40="","",W40*VLOOKUP($C40,CHANTIER!$A$2:$D$83,4,0))</f>
        <v/>
      </c>
      <c r="Y40" s="364">
        <v>12</v>
      </c>
      <c r="Z40" s="372" t="str">
        <f>IF($C40="","",Y40*VLOOKUP($C40,CHANTIER!$A$2:$D$83,4,0))</f>
        <v/>
      </c>
      <c r="AA40" s="364">
        <v>13</v>
      </c>
      <c r="AB40" s="372" t="str">
        <f>IF($C40="","",AA40*VLOOKUP($C40,CHANTIER!$A$2:$D$83,4,0))</f>
        <v/>
      </c>
      <c r="AC40" s="364">
        <v>14</v>
      </c>
      <c r="AD40" s="372" t="str">
        <f>IF($C40="","",AC40*VLOOKUP($C40,CHANTIER!$A$2:$D$83,4,0))</f>
        <v/>
      </c>
      <c r="AE40" s="364">
        <v>15</v>
      </c>
      <c r="AF40" s="372" t="str">
        <f>IF($C40="","",AE40*VLOOKUP($C40,CHANTIER!$A$2:$D$83,4,0))</f>
        <v/>
      </c>
      <c r="AG40" s="364">
        <v>16</v>
      </c>
      <c r="AH40" s="372" t="str">
        <f>IF($C40="","",AG40*VLOOKUP($C40,CHANTIER!$A$2:$D$83,4,0))</f>
        <v/>
      </c>
      <c r="AI40" s="364">
        <v>17</v>
      </c>
      <c r="AJ40" s="372" t="str">
        <f>IF($C40="","",AI40*VLOOKUP($C40,CHANTIER!$A$2:$D$83,4,0))</f>
        <v/>
      </c>
      <c r="AK40" s="364">
        <v>18</v>
      </c>
      <c r="AL40" s="372" t="str">
        <f>IF($C40="","",AK40*VLOOKUP($C40,CHANTIER!$A$2:$D$83,4,0))</f>
        <v/>
      </c>
      <c r="AM40" s="364">
        <v>19</v>
      </c>
      <c r="AN40" s="372" t="str">
        <f>IF($C40="","",AM40*VLOOKUP($C40,CHANTIER!$A$2:$D$83,4,0))</f>
        <v/>
      </c>
      <c r="AO40" s="224"/>
      <c r="AP40" s="224"/>
    </row>
    <row r="41" spans="1:42" ht="15" customHeight="1" x14ac:dyDescent="0.2">
      <c r="A41" s="1555"/>
      <c r="B41" s="361"/>
      <c r="C41" s="378"/>
      <c r="D41" s="363" t="str">
        <f>IF(C41="","",VLOOKUP($C41,CHANTIER!$A$2:$C$83,3,0))</f>
        <v/>
      </c>
      <c r="E41" s="364">
        <v>3</v>
      </c>
      <c r="F41" s="372" t="str">
        <f>IF($C41="","",E41*VLOOKUP($C41,CHANTIER!$A$2:$D$83,4,0))</f>
        <v/>
      </c>
      <c r="G41" s="364">
        <v>4</v>
      </c>
      <c r="H41" s="372" t="str">
        <f>IF($C41="","",G41*VLOOKUP($C41,CHANTIER!$A$2:$D$83,4,0))</f>
        <v/>
      </c>
      <c r="I41" s="364">
        <v>5</v>
      </c>
      <c r="J41" s="372" t="str">
        <f>IF($C41="","",I41*VLOOKUP($C41,CHANTIER!$A$2:$D$83,4,0))</f>
        <v/>
      </c>
      <c r="K41" s="364">
        <v>6</v>
      </c>
      <c r="L41" s="372" t="str">
        <f>IF($C41="","",K41*VLOOKUP($C41,CHANTIER!$A$2:$D$83,4,0))</f>
        <v/>
      </c>
      <c r="M41" s="364">
        <v>7</v>
      </c>
      <c r="N41" s="372" t="str">
        <f>IF($C41="","",M41*VLOOKUP($C41,CHANTIER!$A$2:$D$83,4,0))</f>
        <v/>
      </c>
      <c r="O41" s="364">
        <v>8</v>
      </c>
      <c r="P41" s="372" t="str">
        <f>IF($C41="","",O41*VLOOKUP($C41,CHANTIER!$A$2:$D$83,4,0))</f>
        <v/>
      </c>
      <c r="Q41" s="364">
        <v>9</v>
      </c>
      <c r="R41" s="372" t="str">
        <f>IF($C41="","",Q41*VLOOKUP($C41,CHANTIER!$A$2:$D$83,4,0))</f>
        <v/>
      </c>
      <c r="S41" s="364">
        <v>10</v>
      </c>
      <c r="T41" s="372" t="str">
        <f>IF($C41="","",S41*VLOOKUP($C41,CHANTIER!$A$2:$D$83,4,0))</f>
        <v/>
      </c>
      <c r="U41" s="364">
        <v>11</v>
      </c>
      <c r="V41" s="372" t="str">
        <f>IF($C41="","",U41*VLOOKUP($C41,CHANTIER!$A$2:$D$83,4,0))</f>
        <v/>
      </c>
      <c r="W41" s="364">
        <v>12</v>
      </c>
      <c r="X41" s="372" t="str">
        <f>IF($C41="","",W41*VLOOKUP($C41,CHANTIER!$A$2:$D$83,4,0))</f>
        <v/>
      </c>
      <c r="Y41" s="364">
        <v>13</v>
      </c>
      <c r="Z41" s="372" t="str">
        <f>IF($C41="","",Y41*VLOOKUP($C41,CHANTIER!$A$2:$D$83,4,0))</f>
        <v/>
      </c>
      <c r="AA41" s="364">
        <v>14</v>
      </c>
      <c r="AB41" s="372" t="str">
        <f>IF($C41="","",AA41*VLOOKUP($C41,CHANTIER!$A$2:$D$83,4,0))</f>
        <v/>
      </c>
      <c r="AC41" s="364">
        <v>15</v>
      </c>
      <c r="AD41" s="372" t="str">
        <f>IF($C41="","",AC41*VLOOKUP($C41,CHANTIER!$A$2:$D$83,4,0))</f>
        <v/>
      </c>
      <c r="AE41" s="364">
        <v>16</v>
      </c>
      <c r="AF41" s="372" t="str">
        <f>IF($C41="","",AE41*VLOOKUP($C41,CHANTIER!$A$2:$D$83,4,0))</f>
        <v/>
      </c>
      <c r="AG41" s="364">
        <v>17</v>
      </c>
      <c r="AH41" s="372" t="str">
        <f>IF($C41="","",AG41*VLOOKUP($C41,CHANTIER!$A$2:$D$83,4,0))</f>
        <v/>
      </c>
      <c r="AI41" s="364">
        <v>18</v>
      </c>
      <c r="AJ41" s="372" t="str">
        <f>IF($C41="","",AI41*VLOOKUP($C41,CHANTIER!$A$2:$D$83,4,0))</f>
        <v/>
      </c>
      <c r="AK41" s="364">
        <v>19</v>
      </c>
      <c r="AL41" s="372" t="str">
        <f>IF($C41="","",AK41*VLOOKUP($C41,CHANTIER!$A$2:$D$83,4,0))</f>
        <v/>
      </c>
      <c r="AM41" s="364">
        <v>20</v>
      </c>
      <c r="AN41" s="372" t="str">
        <f>IF($C41="","",AM41*VLOOKUP($C41,CHANTIER!$A$2:$D$83,4,0))</f>
        <v/>
      </c>
      <c r="AO41" s="224"/>
      <c r="AP41" s="224"/>
    </row>
    <row r="42" spans="1:42" ht="15" customHeight="1" x14ac:dyDescent="0.2">
      <c r="A42" s="1554"/>
      <c r="B42" s="361"/>
      <c r="C42" s="378"/>
      <c r="D42" s="363" t="str">
        <f>IF(C42="","",VLOOKUP($C42,CHANTIER!$A$2:$C$83,3,0))</f>
        <v/>
      </c>
      <c r="E42" s="364">
        <v>4</v>
      </c>
      <c r="F42" s="372" t="str">
        <f>IF($C42="","",E42*VLOOKUP($C42,CHANTIER!$A$2:$D$83,4,0))</f>
        <v/>
      </c>
      <c r="G42" s="364">
        <v>5</v>
      </c>
      <c r="H42" s="372" t="str">
        <f>IF($C42="","",G42*VLOOKUP($C42,CHANTIER!$A$2:$D$83,4,0))</f>
        <v/>
      </c>
      <c r="I42" s="364">
        <v>6</v>
      </c>
      <c r="J42" s="372" t="str">
        <f>IF($C42="","",I42*VLOOKUP($C42,CHANTIER!$A$2:$D$83,4,0))</f>
        <v/>
      </c>
      <c r="K42" s="364">
        <v>7</v>
      </c>
      <c r="L42" s="372" t="str">
        <f>IF($C42="","",K42*VLOOKUP($C42,CHANTIER!$A$2:$D$83,4,0))</f>
        <v/>
      </c>
      <c r="M42" s="364">
        <v>8</v>
      </c>
      <c r="N42" s="372" t="str">
        <f>IF($C42="","",M42*VLOOKUP($C42,CHANTIER!$A$2:$D$83,4,0))</f>
        <v/>
      </c>
      <c r="O42" s="364">
        <v>9</v>
      </c>
      <c r="P42" s="372" t="str">
        <f>IF($C42="","",O42*VLOOKUP($C42,CHANTIER!$A$2:$D$83,4,0))</f>
        <v/>
      </c>
      <c r="Q42" s="364">
        <v>10</v>
      </c>
      <c r="R42" s="372" t="str">
        <f>IF($C42="","",Q42*VLOOKUP($C42,CHANTIER!$A$2:$D$83,4,0))</f>
        <v/>
      </c>
      <c r="S42" s="364">
        <v>11</v>
      </c>
      <c r="T42" s="372" t="str">
        <f>IF($C42="","",S42*VLOOKUP($C42,CHANTIER!$A$2:$D$83,4,0))</f>
        <v/>
      </c>
      <c r="U42" s="364">
        <v>12</v>
      </c>
      <c r="V42" s="372" t="str">
        <f>IF($C42="","",U42*VLOOKUP($C42,CHANTIER!$A$2:$D$83,4,0))</f>
        <v/>
      </c>
      <c r="W42" s="364">
        <v>13</v>
      </c>
      <c r="X42" s="372" t="str">
        <f>IF($C42="","",W42*VLOOKUP($C42,CHANTIER!$A$2:$D$83,4,0))</f>
        <v/>
      </c>
      <c r="Y42" s="364">
        <v>14</v>
      </c>
      <c r="Z42" s="372" t="str">
        <f>IF($C42="","",Y42*VLOOKUP($C42,CHANTIER!$A$2:$D$83,4,0))</f>
        <v/>
      </c>
      <c r="AA42" s="364">
        <v>15</v>
      </c>
      <c r="AB42" s="372" t="str">
        <f>IF($C42="","",AA42*VLOOKUP($C42,CHANTIER!$A$2:$D$83,4,0))</f>
        <v/>
      </c>
      <c r="AC42" s="364">
        <v>16</v>
      </c>
      <c r="AD42" s="372" t="str">
        <f>IF($C42="","",AC42*VLOOKUP($C42,CHANTIER!$A$2:$D$83,4,0))</f>
        <v/>
      </c>
      <c r="AE42" s="364">
        <v>17</v>
      </c>
      <c r="AF42" s="372" t="str">
        <f>IF($C42="","",AE42*VLOOKUP($C42,CHANTIER!$A$2:$D$83,4,0))</f>
        <v/>
      </c>
      <c r="AG42" s="364">
        <v>18</v>
      </c>
      <c r="AH42" s="372" t="str">
        <f>IF($C42="","",AG42*VLOOKUP($C42,CHANTIER!$A$2:$D$83,4,0))</f>
        <v/>
      </c>
      <c r="AI42" s="364">
        <v>19</v>
      </c>
      <c r="AJ42" s="372" t="str">
        <f>IF($C42="","",AI42*VLOOKUP($C42,CHANTIER!$A$2:$D$83,4,0))</f>
        <v/>
      </c>
      <c r="AK42" s="364">
        <v>20</v>
      </c>
      <c r="AL42" s="372" t="str">
        <f>IF($C42="","",AK42*VLOOKUP($C42,CHANTIER!$A$2:$D$83,4,0))</f>
        <v/>
      </c>
      <c r="AM42" s="364">
        <v>21</v>
      </c>
      <c r="AN42" s="372" t="str">
        <f>IF($C42="","",AM42*VLOOKUP($C42,CHANTIER!$A$2:$D$83,4,0))</f>
        <v/>
      </c>
      <c r="AO42" s="224"/>
      <c r="AP42" s="224"/>
    </row>
    <row r="43" spans="1:42" ht="15" customHeight="1" x14ac:dyDescent="0.2">
      <c r="A43" s="1554"/>
      <c r="B43" s="361"/>
      <c r="C43" s="378"/>
      <c r="D43" s="363" t="str">
        <f>IF(C43="","",VLOOKUP($C43,CHANTIER!$A$2:$C$83,3,0))</f>
        <v/>
      </c>
      <c r="E43" s="364">
        <v>5</v>
      </c>
      <c r="F43" s="372" t="str">
        <f>IF($C43="","",E43*VLOOKUP($C43,CHANTIER!$A$2:$D$83,4,0))</f>
        <v/>
      </c>
      <c r="G43" s="364">
        <v>6</v>
      </c>
      <c r="H43" s="372" t="str">
        <f>IF($C43="","",G43*VLOOKUP($C43,CHANTIER!$A$2:$D$83,4,0))</f>
        <v/>
      </c>
      <c r="I43" s="364">
        <v>7</v>
      </c>
      <c r="J43" s="372" t="str">
        <f>IF($C43="","",I43*VLOOKUP($C43,CHANTIER!$A$2:$D$83,4,0))</f>
        <v/>
      </c>
      <c r="K43" s="364">
        <v>8</v>
      </c>
      <c r="L43" s="372" t="str">
        <f>IF($C43="","",K43*VLOOKUP($C43,CHANTIER!$A$2:$D$83,4,0))</f>
        <v/>
      </c>
      <c r="M43" s="364">
        <v>9</v>
      </c>
      <c r="N43" s="372" t="str">
        <f>IF($C43="","",M43*VLOOKUP($C43,CHANTIER!$A$2:$D$83,4,0))</f>
        <v/>
      </c>
      <c r="O43" s="364">
        <v>10</v>
      </c>
      <c r="P43" s="372" t="str">
        <f>IF($C43="","",O43*VLOOKUP($C43,CHANTIER!$A$2:$D$83,4,0))</f>
        <v/>
      </c>
      <c r="Q43" s="364">
        <v>11</v>
      </c>
      <c r="R43" s="372" t="str">
        <f>IF($C43="","",Q43*VLOOKUP($C43,CHANTIER!$A$2:$D$83,4,0))</f>
        <v/>
      </c>
      <c r="S43" s="364">
        <v>12</v>
      </c>
      <c r="T43" s="372" t="str">
        <f>IF($C43="","",S43*VLOOKUP($C43,CHANTIER!$A$2:$D$83,4,0))</f>
        <v/>
      </c>
      <c r="U43" s="364">
        <v>13</v>
      </c>
      <c r="V43" s="372" t="str">
        <f>IF($C43="","",U43*VLOOKUP($C43,CHANTIER!$A$2:$D$83,4,0))</f>
        <v/>
      </c>
      <c r="W43" s="364">
        <v>14</v>
      </c>
      <c r="X43" s="372" t="str">
        <f>IF($C43="","",W43*VLOOKUP($C43,CHANTIER!$A$2:$D$83,4,0))</f>
        <v/>
      </c>
      <c r="Y43" s="364">
        <v>15</v>
      </c>
      <c r="Z43" s="372" t="str">
        <f>IF($C43="","",Y43*VLOOKUP($C43,CHANTIER!$A$2:$D$83,4,0))</f>
        <v/>
      </c>
      <c r="AA43" s="364">
        <v>16</v>
      </c>
      <c r="AB43" s="372" t="str">
        <f>IF($C43="","",AA43*VLOOKUP($C43,CHANTIER!$A$2:$D$83,4,0))</f>
        <v/>
      </c>
      <c r="AC43" s="364">
        <v>17</v>
      </c>
      <c r="AD43" s="372" t="str">
        <f>IF($C43="","",AC43*VLOOKUP($C43,CHANTIER!$A$2:$D$83,4,0))</f>
        <v/>
      </c>
      <c r="AE43" s="364">
        <v>18</v>
      </c>
      <c r="AF43" s="372" t="str">
        <f>IF($C43="","",AE43*VLOOKUP($C43,CHANTIER!$A$2:$D$83,4,0))</f>
        <v/>
      </c>
      <c r="AG43" s="364">
        <v>19</v>
      </c>
      <c r="AH43" s="372" t="str">
        <f>IF($C43="","",AG43*VLOOKUP($C43,CHANTIER!$A$2:$D$83,4,0))</f>
        <v/>
      </c>
      <c r="AI43" s="364">
        <v>20</v>
      </c>
      <c r="AJ43" s="372" t="str">
        <f>IF($C43="","",AI43*VLOOKUP($C43,CHANTIER!$A$2:$D$83,4,0))</f>
        <v/>
      </c>
      <c r="AK43" s="364">
        <v>21</v>
      </c>
      <c r="AL43" s="372" t="str">
        <f>IF($C43="","",AK43*VLOOKUP($C43,CHANTIER!$A$2:$D$83,4,0))</f>
        <v/>
      </c>
      <c r="AM43" s="364">
        <v>22</v>
      </c>
      <c r="AN43" s="372" t="str">
        <f>IF($C43="","",AM43*VLOOKUP($C43,CHANTIER!$A$2:$D$83,4,0))</f>
        <v/>
      </c>
      <c r="AO43" s="224"/>
      <c r="AP43" s="224"/>
    </row>
    <row r="44" spans="1:42" ht="15" customHeight="1" x14ac:dyDescent="0.2">
      <c r="A44" s="1554"/>
      <c r="B44" s="361"/>
      <c r="C44" s="378"/>
      <c r="D44" s="363" t="str">
        <f>IF(C44="","",VLOOKUP($C44,CHANTIER!$A$2:$C$83,3,0))</f>
        <v/>
      </c>
      <c r="E44" s="364">
        <v>6</v>
      </c>
      <c r="F44" s="372" t="str">
        <f>IF($C44="","",E44*VLOOKUP($C44,CHANTIER!$A$2:$D$83,4,0))</f>
        <v/>
      </c>
      <c r="G44" s="364">
        <v>7</v>
      </c>
      <c r="H44" s="372" t="str">
        <f>IF($C44="","",G44*VLOOKUP($C44,CHANTIER!$A$2:$D$83,4,0))</f>
        <v/>
      </c>
      <c r="I44" s="364">
        <v>8</v>
      </c>
      <c r="J44" s="372" t="str">
        <f>IF($C44="","",I44*VLOOKUP($C44,CHANTIER!$A$2:$D$83,4,0))</f>
        <v/>
      </c>
      <c r="K44" s="364">
        <v>9</v>
      </c>
      <c r="L44" s="372" t="str">
        <f>IF($C44="","",K44*VLOOKUP($C44,CHANTIER!$A$2:$D$83,4,0))</f>
        <v/>
      </c>
      <c r="M44" s="364">
        <v>10</v>
      </c>
      <c r="N44" s="372" t="str">
        <f>IF($C44="","",M44*VLOOKUP($C44,CHANTIER!$A$2:$D$83,4,0))</f>
        <v/>
      </c>
      <c r="O44" s="364">
        <v>11</v>
      </c>
      <c r="P44" s="372" t="str">
        <f>IF($C44="","",O44*VLOOKUP($C44,CHANTIER!$A$2:$D$83,4,0))</f>
        <v/>
      </c>
      <c r="Q44" s="364">
        <v>12</v>
      </c>
      <c r="R44" s="372" t="str">
        <f>IF($C44="","",Q44*VLOOKUP($C44,CHANTIER!$A$2:$D$83,4,0))</f>
        <v/>
      </c>
      <c r="S44" s="364">
        <v>13</v>
      </c>
      <c r="T44" s="372" t="str">
        <f>IF($C44="","",S44*VLOOKUP($C44,CHANTIER!$A$2:$D$83,4,0))</f>
        <v/>
      </c>
      <c r="U44" s="364">
        <v>14</v>
      </c>
      <c r="V44" s="372" t="str">
        <f>IF($C44="","",U44*VLOOKUP($C44,CHANTIER!$A$2:$D$83,4,0))</f>
        <v/>
      </c>
      <c r="W44" s="364">
        <v>15</v>
      </c>
      <c r="X44" s="372" t="str">
        <f>IF($C44="","",W44*VLOOKUP($C44,CHANTIER!$A$2:$D$83,4,0))</f>
        <v/>
      </c>
      <c r="Y44" s="364">
        <v>16</v>
      </c>
      <c r="Z44" s="372" t="str">
        <f>IF($C44="","",Y44*VLOOKUP($C44,CHANTIER!$A$2:$D$83,4,0))</f>
        <v/>
      </c>
      <c r="AA44" s="364">
        <v>17</v>
      </c>
      <c r="AB44" s="372" t="str">
        <f>IF($C44="","",AA44*VLOOKUP($C44,CHANTIER!$A$2:$D$83,4,0))</f>
        <v/>
      </c>
      <c r="AC44" s="364">
        <v>18</v>
      </c>
      <c r="AD44" s="372" t="str">
        <f>IF($C44="","",AC44*VLOOKUP($C44,CHANTIER!$A$2:$D$83,4,0))</f>
        <v/>
      </c>
      <c r="AE44" s="364">
        <v>19</v>
      </c>
      <c r="AF44" s="372" t="str">
        <f>IF($C44="","",AE44*VLOOKUP($C44,CHANTIER!$A$2:$D$83,4,0))</f>
        <v/>
      </c>
      <c r="AG44" s="364">
        <v>20</v>
      </c>
      <c r="AH44" s="372" t="str">
        <f>IF($C44="","",AG44*VLOOKUP($C44,CHANTIER!$A$2:$D$83,4,0))</f>
        <v/>
      </c>
      <c r="AI44" s="364">
        <v>21</v>
      </c>
      <c r="AJ44" s="372" t="str">
        <f>IF($C44="","",AI44*VLOOKUP($C44,CHANTIER!$A$2:$D$83,4,0))</f>
        <v/>
      </c>
      <c r="AK44" s="364">
        <v>22</v>
      </c>
      <c r="AL44" s="372" t="str">
        <f>IF($C44="","",AK44*VLOOKUP($C44,CHANTIER!$A$2:$D$83,4,0))</f>
        <v/>
      </c>
      <c r="AM44" s="364">
        <v>23</v>
      </c>
      <c r="AN44" s="372" t="str">
        <f>IF($C44="","",AM44*VLOOKUP($C44,CHANTIER!$A$2:$D$83,4,0))</f>
        <v/>
      </c>
      <c r="AO44" s="224"/>
      <c r="AP44" s="224"/>
    </row>
    <row r="45" spans="1:42" ht="15" customHeight="1" x14ac:dyDescent="0.2">
      <c r="A45" s="1554"/>
      <c r="B45" s="361"/>
      <c r="C45" s="378"/>
      <c r="D45" s="363" t="str">
        <f>IF(C45="","",VLOOKUP($C45,CHANTIER!$A$2:$C$83,3,0))</f>
        <v/>
      </c>
      <c r="E45" s="364">
        <v>7</v>
      </c>
      <c r="F45" s="372" t="str">
        <f>IF($C45="","",E45*VLOOKUP($C45,CHANTIER!$A$2:$D$83,4,0))</f>
        <v/>
      </c>
      <c r="G45" s="364">
        <v>8</v>
      </c>
      <c r="H45" s="372" t="str">
        <f>IF($C45="","",G45*VLOOKUP($C45,CHANTIER!$A$2:$D$83,4,0))</f>
        <v/>
      </c>
      <c r="I45" s="364">
        <v>9</v>
      </c>
      <c r="J45" s="372" t="str">
        <f>IF($C45="","",I45*VLOOKUP($C45,CHANTIER!$A$2:$D$83,4,0))</f>
        <v/>
      </c>
      <c r="K45" s="364">
        <v>10</v>
      </c>
      <c r="L45" s="372" t="str">
        <f>IF($C45="","",K45*VLOOKUP($C45,CHANTIER!$A$2:$D$83,4,0))</f>
        <v/>
      </c>
      <c r="M45" s="364">
        <v>11</v>
      </c>
      <c r="N45" s="372" t="str">
        <f>IF($C45="","",M45*VLOOKUP($C45,CHANTIER!$A$2:$D$83,4,0))</f>
        <v/>
      </c>
      <c r="O45" s="364">
        <v>12</v>
      </c>
      <c r="P45" s="372" t="str">
        <f>IF($C45="","",O45*VLOOKUP($C45,CHANTIER!$A$2:$D$83,4,0))</f>
        <v/>
      </c>
      <c r="Q45" s="364">
        <v>13</v>
      </c>
      <c r="R45" s="372" t="str">
        <f>IF($C45="","",Q45*VLOOKUP($C45,CHANTIER!$A$2:$D$83,4,0))</f>
        <v/>
      </c>
      <c r="S45" s="364">
        <v>14</v>
      </c>
      <c r="T45" s="372" t="str">
        <f>IF($C45="","",S45*VLOOKUP($C45,CHANTIER!$A$2:$D$83,4,0))</f>
        <v/>
      </c>
      <c r="U45" s="364">
        <v>15</v>
      </c>
      <c r="V45" s="372" t="str">
        <f>IF($C45="","",U45*VLOOKUP($C45,CHANTIER!$A$2:$D$83,4,0))</f>
        <v/>
      </c>
      <c r="W45" s="364">
        <v>16</v>
      </c>
      <c r="X45" s="372" t="str">
        <f>IF($C45="","",W45*VLOOKUP($C45,CHANTIER!$A$2:$D$83,4,0))</f>
        <v/>
      </c>
      <c r="Y45" s="364">
        <v>17</v>
      </c>
      <c r="Z45" s="372" t="str">
        <f>IF($C45="","",Y45*VLOOKUP($C45,CHANTIER!$A$2:$D$83,4,0))</f>
        <v/>
      </c>
      <c r="AA45" s="364">
        <v>18</v>
      </c>
      <c r="AB45" s="372" t="str">
        <f>IF($C45="","",AA45*VLOOKUP($C45,CHANTIER!$A$2:$D$83,4,0))</f>
        <v/>
      </c>
      <c r="AC45" s="364">
        <v>19</v>
      </c>
      <c r="AD45" s="372" t="str">
        <f>IF($C45="","",AC45*VLOOKUP($C45,CHANTIER!$A$2:$D$83,4,0))</f>
        <v/>
      </c>
      <c r="AE45" s="364">
        <v>20</v>
      </c>
      <c r="AF45" s="372" t="str">
        <f>IF($C45="","",AE45*VLOOKUP($C45,CHANTIER!$A$2:$D$83,4,0))</f>
        <v/>
      </c>
      <c r="AG45" s="364">
        <v>21</v>
      </c>
      <c r="AH45" s="372" t="str">
        <f>IF($C45="","",AG45*VLOOKUP($C45,CHANTIER!$A$2:$D$83,4,0))</f>
        <v/>
      </c>
      <c r="AI45" s="364">
        <v>22</v>
      </c>
      <c r="AJ45" s="372" t="str">
        <f>IF($C45="","",AI45*VLOOKUP($C45,CHANTIER!$A$2:$D$83,4,0))</f>
        <v/>
      </c>
      <c r="AK45" s="364">
        <v>23</v>
      </c>
      <c r="AL45" s="372" t="str">
        <f>IF($C45="","",AK45*VLOOKUP($C45,CHANTIER!$A$2:$D$83,4,0))</f>
        <v/>
      </c>
      <c r="AM45" s="364">
        <v>24</v>
      </c>
      <c r="AN45" s="372" t="str">
        <f>IF($C45="","",AM45*VLOOKUP($C45,CHANTIER!$A$2:$D$83,4,0))</f>
        <v/>
      </c>
      <c r="AO45" s="224"/>
      <c r="AP45" s="224"/>
    </row>
    <row r="46" spans="1:42" ht="15" customHeight="1" x14ac:dyDescent="0.2">
      <c r="A46" s="1554"/>
      <c r="B46" s="361"/>
      <c r="C46" s="378"/>
      <c r="D46" s="363" t="str">
        <f>IF(C46="","",VLOOKUP($C46,CHANTIER!$A$2:$C$83,3,0))</f>
        <v/>
      </c>
      <c r="E46" s="364">
        <v>8</v>
      </c>
      <c r="F46" s="372" t="str">
        <f>IF($C46="","",E46*VLOOKUP($C46,CHANTIER!$A$2:$D$83,4,0))</f>
        <v/>
      </c>
      <c r="G46" s="364">
        <v>9</v>
      </c>
      <c r="H46" s="372" t="str">
        <f>IF($C46="","",G46*VLOOKUP($C46,CHANTIER!$A$2:$D$83,4,0))</f>
        <v/>
      </c>
      <c r="I46" s="364">
        <v>10</v>
      </c>
      <c r="J46" s="372" t="str">
        <f>IF($C46="","",I46*VLOOKUP($C46,CHANTIER!$A$2:$D$83,4,0))</f>
        <v/>
      </c>
      <c r="K46" s="364">
        <v>11</v>
      </c>
      <c r="L46" s="372" t="str">
        <f>IF($C46="","",K46*VLOOKUP($C46,CHANTIER!$A$2:$D$83,4,0))</f>
        <v/>
      </c>
      <c r="M46" s="364">
        <v>12</v>
      </c>
      <c r="N46" s="372" t="str">
        <f>IF($C46="","",M46*VLOOKUP($C46,CHANTIER!$A$2:$D$83,4,0))</f>
        <v/>
      </c>
      <c r="O46" s="364">
        <v>13</v>
      </c>
      <c r="P46" s="372" t="str">
        <f>IF($C46="","",O46*VLOOKUP($C46,CHANTIER!$A$2:$D$83,4,0))</f>
        <v/>
      </c>
      <c r="Q46" s="364">
        <v>14</v>
      </c>
      <c r="R46" s="372" t="str">
        <f>IF($C46="","",Q46*VLOOKUP($C46,CHANTIER!$A$2:$D$83,4,0))</f>
        <v/>
      </c>
      <c r="S46" s="364">
        <v>15</v>
      </c>
      <c r="T46" s="372" t="str">
        <f>IF($C46="","",S46*VLOOKUP($C46,CHANTIER!$A$2:$D$83,4,0))</f>
        <v/>
      </c>
      <c r="U46" s="364">
        <v>16</v>
      </c>
      <c r="V46" s="372" t="str">
        <f>IF($C46="","",U46*VLOOKUP($C46,CHANTIER!$A$2:$D$83,4,0))</f>
        <v/>
      </c>
      <c r="W46" s="364">
        <v>17</v>
      </c>
      <c r="X46" s="372" t="str">
        <f>IF($C46="","",W46*VLOOKUP($C46,CHANTIER!$A$2:$D$83,4,0))</f>
        <v/>
      </c>
      <c r="Y46" s="364">
        <v>18</v>
      </c>
      <c r="Z46" s="372" t="str">
        <f>IF($C46="","",Y46*VLOOKUP($C46,CHANTIER!$A$2:$D$83,4,0))</f>
        <v/>
      </c>
      <c r="AA46" s="364">
        <v>19</v>
      </c>
      <c r="AB46" s="372" t="str">
        <f>IF($C46="","",AA46*VLOOKUP($C46,CHANTIER!$A$2:$D$83,4,0))</f>
        <v/>
      </c>
      <c r="AC46" s="364">
        <v>20</v>
      </c>
      <c r="AD46" s="372" t="str">
        <f>IF($C46="","",AC46*VLOOKUP($C46,CHANTIER!$A$2:$D$83,4,0))</f>
        <v/>
      </c>
      <c r="AE46" s="364">
        <v>21</v>
      </c>
      <c r="AF46" s="372" t="str">
        <f>IF($C46="","",AE46*VLOOKUP($C46,CHANTIER!$A$2:$D$83,4,0))</f>
        <v/>
      </c>
      <c r="AG46" s="364">
        <v>22</v>
      </c>
      <c r="AH46" s="372" t="str">
        <f>IF($C46="","",AG46*VLOOKUP($C46,CHANTIER!$A$2:$D$83,4,0))</f>
        <v/>
      </c>
      <c r="AI46" s="364">
        <v>23</v>
      </c>
      <c r="AJ46" s="372" t="str">
        <f>IF($C46="","",AI46*VLOOKUP($C46,CHANTIER!$A$2:$D$83,4,0))</f>
        <v/>
      </c>
      <c r="AK46" s="364">
        <v>24</v>
      </c>
      <c r="AL46" s="372" t="str">
        <f>IF($C46="","",AK46*VLOOKUP($C46,CHANTIER!$A$2:$D$83,4,0))</f>
        <v/>
      </c>
      <c r="AM46" s="364">
        <v>25</v>
      </c>
      <c r="AN46" s="372" t="str">
        <f>IF($C46="","",AM46*VLOOKUP($C46,CHANTIER!$A$2:$D$83,4,0))</f>
        <v/>
      </c>
      <c r="AO46" s="225"/>
      <c r="AP46" s="226"/>
    </row>
    <row r="47" spans="1:42" ht="15" customHeight="1" x14ac:dyDescent="0.2">
      <c r="A47" s="1554"/>
      <c r="B47" s="361"/>
      <c r="C47" s="378"/>
      <c r="D47" s="363" t="str">
        <f>IF(C47="","",VLOOKUP($C47,CHANTIER!$A$2:$C$83,3,0))</f>
        <v/>
      </c>
      <c r="E47" s="364">
        <v>9</v>
      </c>
      <c r="F47" s="372" t="str">
        <f>IF($C47="","",E47*VLOOKUP($C47,CHANTIER!$A$2:$D$83,4,0))</f>
        <v/>
      </c>
      <c r="G47" s="364">
        <v>10</v>
      </c>
      <c r="H47" s="372" t="str">
        <f>IF($C47="","",G47*VLOOKUP($C47,CHANTIER!$A$2:$D$83,4,0))</f>
        <v/>
      </c>
      <c r="I47" s="364">
        <v>11</v>
      </c>
      <c r="J47" s="372" t="str">
        <f>IF($C47="","",I47*VLOOKUP($C47,CHANTIER!$A$2:$D$83,4,0))</f>
        <v/>
      </c>
      <c r="K47" s="364">
        <v>12</v>
      </c>
      <c r="L47" s="372" t="str">
        <f>IF($C47="","",K47*VLOOKUP($C47,CHANTIER!$A$2:$D$83,4,0))</f>
        <v/>
      </c>
      <c r="M47" s="364">
        <v>13</v>
      </c>
      <c r="N47" s="372" t="str">
        <f>IF($C47="","",M47*VLOOKUP($C47,CHANTIER!$A$2:$D$83,4,0))</f>
        <v/>
      </c>
      <c r="O47" s="364">
        <v>14</v>
      </c>
      <c r="P47" s="372" t="str">
        <f>IF($C47="","",O47*VLOOKUP($C47,CHANTIER!$A$2:$D$83,4,0))</f>
        <v/>
      </c>
      <c r="Q47" s="364">
        <v>15</v>
      </c>
      <c r="R47" s="372" t="str">
        <f>IF($C47="","",Q47*VLOOKUP($C47,CHANTIER!$A$2:$D$83,4,0))</f>
        <v/>
      </c>
      <c r="S47" s="364">
        <v>16</v>
      </c>
      <c r="T47" s="372" t="str">
        <f>IF($C47="","",S47*VLOOKUP($C47,CHANTIER!$A$2:$D$83,4,0))</f>
        <v/>
      </c>
      <c r="U47" s="364">
        <v>17</v>
      </c>
      <c r="V47" s="372" t="str">
        <f>IF($C47="","",U47*VLOOKUP($C47,CHANTIER!$A$2:$D$83,4,0))</f>
        <v/>
      </c>
      <c r="W47" s="364">
        <v>18</v>
      </c>
      <c r="X47" s="372" t="str">
        <f>IF($C47="","",W47*VLOOKUP($C47,CHANTIER!$A$2:$D$83,4,0))</f>
        <v/>
      </c>
      <c r="Y47" s="364">
        <v>19</v>
      </c>
      <c r="Z47" s="372" t="str">
        <f>IF($C47="","",Y47*VLOOKUP($C47,CHANTIER!$A$2:$D$83,4,0))</f>
        <v/>
      </c>
      <c r="AA47" s="364">
        <v>20</v>
      </c>
      <c r="AB47" s="372" t="str">
        <f>IF($C47="","",AA47*VLOOKUP($C47,CHANTIER!$A$2:$D$83,4,0))</f>
        <v/>
      </c>
      <c r="AC47" s="364">
        <v>21</v>
      </c>
      <c r="AD47" s="372" t="str">
        <f>IF($C47="","",AC47*VLOOKUP($C47,CHANTIER!$A$2:$D$83,4,0))</f>
        <v/>
      </c>
      <c r="AE47" s="364">
        <v>22</v>
      </c>
      <c r="AF47" s="372" t="str">
        <f>IF($C47="","",AE47*VLOOKUP($C47,CHANTIER!$A$2:$D$83,4,0))</f>
        <v/>
      </c>
      <c r="AG47" s="364">
        <v>23</v>
      </c>
      <c r="AH47" s="372" t="str">
        <f>IF($C47="","",AG47*VLOOKUP($C47,CHANTIER!$A$2:$D$83,4,0))</f>
        <v/>
      </c>
      <c r="AI47" s="364">
        <v>24</v>
      </c>
      <c r="AJ47" s="372" t="str">
        <f>IF($C47="","",AI47*VLOOKUP($C47,CHANTIER!$A$2:$D$83,4,0))</f>
        <v/>
      </c>
      <c r="AK47" s="364">
        <v>25</v>
      </c>
      <c r="AL47" s="372" t="str">
        <f>IF($C47="","",AK47*VLOOKUP($C47,CHANTIER!$A$2:$D$83,4,0))</f>
        <v/>
      </c>
      <c r="AM47" s="364">
        <v>26</v>
      </c>
      <c r="AN47" s="372" t="str">
        <f>IF($C47="","",AM47*VLOOKUP($C47,CHANTIER!$A$2:$D$83,4,0))</f>
        <v/>
      </c>
    </row>
    <row r="48" spans="1:42" ht="15" customHeight="1" x14ac:dyDescent="0.2">
      <c r="A48" s="1554"/>
      <c r="B48" s="361"/>
      <c r="C48" s="378"/>
      <c r="D48" s="363" t="str">
        <f>IF(C48="","",VLOOKUP($C48,CHANTIER!$A$2:$C$83,3,0))</f>
        <v/>
      </c>
      <c r="E48" s="364">
        <v>10</v>
      </c>
      <c r="F48" s="372" t="str">
        <f>IF($C48="","",E48*VLOOKUP($C48,CHANTIER!$A$2:$D$83,4,0))</f>
        <v/>
      </c>
      <c r="G48" s="364">
        <v>11</v>
      </c>
      <c r="H48" s="372" t="str">
        <f>IF($C48="","",G48*VLOOKUP($C48,CHANTIER!$A$2:$D$83,4,0))</f>
        <v/>
      </c>
      <c r="I48" s="364">
        <v>12</v>
      </c>
      <c r="J48" s="372" t="str">
        <f>IF($C48="","",I48*VLOOKUP($C48,CHANTIER!$A$2:$D$83,4,0))</f>
        <v/>
      </c>
      <c r="K48" s="364">
        <v>13</v>
      </c>
      <c r="L48" s="372" t="str">
        <f>IF($C48="","",K48*VLOOKUP($C48,CHANTIER!$A$2:$D$83,4,0))</f>
        <v/>
      </c>
      <c r="M48" s="364">
        <v>14</v>
      </c>
      <c r="N48" s="372" t="str">
        <f>IF($C48="","",M48*VLOOKUP($C48,CHANTIER!$A$2:$D$83,4,0))</f>
        <v/>
      </c>
      <c r="O48" s="364">
        <v>15</v>
      </c>
      <c r="P48" s="372" t="str">
        <f>IF($C48="","",O48*VLOOKUP($C48,CHANTIER!$A$2:$D$83,4,0))</f>
        <v/>
      </c>
      <c r="Q48" s="364">
        <v>16</v>
      </c>
      <c r="R48" s="372" t="str">
        <f>IF($C48="","",Q48*VLOOKUP($C48,CHANTIER!$A$2:$D$83,4,0))</f>
        <v/>
      </c>
      <c r="S48" s="364">
        <v>17</v>
      </c>
      <c r="T48" s="372" t="str">
        <f>IF($C48="","",S48*VLOOKUP($C48,CHANTIER!$A$2:$D$83,4,0))</f>
        <v/>
      </c>
      <c r="U48" s="364">
        <v>18</v>
      </c>
      <c r="V48" s="372" t="str">
        <f>IF($C48="","",U48*VLOOKUP($C48,CHANTIER!$A$2:$D$83,4,0))</f>
        <v/>
      </c>
      <c r="W48" s="364">
        <v>19</v>
      </c>
      <c r="X48" s="372" t="str">
        <f>IF($C48="","",W48*VLOOKUP($C48,CHANTIER!$A$2:$D$83,4,0))</f>
        <v/>
      </c>
      <c r="Y48" s="364">
        <v>20</v>
      </c>
      <c r="Z48" s="372" t="str">
        <f>IF($C48="","",Y48*VLOOKUP($C48,CHANTIER!$A$2:$D$83,4,0))</f>
        <v/>
      </c>
      <c r="AA48" s="364">
        <v>21</v>
      </c>
      <c r="AB48" s="372" t="str">
        <f>IF($C48="","",AA48*VLOOKUP($C48,CHANTIER!$A$2:$D$83,4,0))</f>
        <v/>
      </c>
      <c r="AC48" s="364">
        <v>22</v>
      </c>
      <c r="AD48" s="372" t="str">
        <f>IF($C48="","",AC48*VLOOKUP($C48,CHANTIER!$A$2:$D$83,4,0))</f>
        <v/>
      </c>
      <c r="AE48" s="364">
        <v>23</v>
      </c>
      <c r="AF48" s="372" t="str">
        <f>IF($C48="","",AE48*VLOOKUP($C48,CHANTIER!$A$2:$D$83,4,0))</f>
        <v/>
      </c>
      <c r="AG48" s="364">
        <v>24</v>
      </c>
      <c r="AH48" s="372" t="str">
        <f>IF($C48="","",AG48*VLOOKUP($C48,CHANTIER!$A$2:$D$83,4,0))</f>
        <v/>
      </c>
      <c r="AI48" s="364">
        <v>25</v>
      </c>
      <c r="AJ48" s="372" t="str">
        <f>IF($C48="","",AI48*VLOOKUP($C48,CHANTIER!$A$2:$D$83,4,0))</f>
        <v/>
      </c>
      <c r="AK48" s="364">
        <v>26</v>
      </c>
      <c r="AL48" s="372" t="str">
        <f>IF($C48="","",AK48*VLOOKUP($C48,CHANTIER!$A$2:$D$83,4,0))</f>
        <v/>
      </c>
      <c r="AM48" s="364">
        <v>27</v>
      </c>
      <c r="AN48" s="372" t="str">
        <f>IF($C48="","",AM48*VLOOKUP($C48,CHANTIER!$A$2:$D$83,4,0))</f>
        <v/>
      </c>
    </row>
    <row r="49" spans="1:42" ht="15" customHeight="1" x14ac:dyDescent="0.2">
      <c r="A49" s="1554"/>
      <c r="B49" s="361"/>
      <c r="C49" s="378"/>
      <c r="D49" s="363" t="str">
        <f>IF(C49="","",VLOOKUP($C49,CHANTIER!$A$2:$C$83,3,0))</f>
        <v/>
      </c>
      <c r="E49" s="364">
        <v>11</v>
      </c>
      <c r="F49" s="372" t="str">
        <f>IF($C49="","",E49*VLOOKUP($C49,CHANTIER!$A$2:$D$83,4,0))</f>
        <v/>
      </c>
      <c r="G49" s="364">
        <v>12</v>
      </c>
      <c r="H49" s="372" t="str">
        <f>IF($C49="","",G49*VLOOKUP($C49,CHANTIER!$A$2:$D$83,4,0))</f>
        <v/>
      </c>
      <c r="I49" s="364">
        <v>13</v>
      </c>
      <c r="J49" s="372" t="str">
        <f>IF($C49="","",I49*VLOOKUP($C49,CHANTIER!$A$2:$D$83,4,0))</f>
        <v/>
      </c>
      <c r="K49" s="364">
        <v>14</v>
      </c>
      <c r="L49" s="372" t="str">
        <f>IF($C49="","",K49*VLOOKUP($C49,CHANTIER!$A$2:$D$83,4,0))</f>
        <v/>
      </c>
      <c r="M49" s="364">
        <v>15</v>
      </c>
      <c r="N49" s="372" t="str">
        <f>IF($C49="","",M49*VLOOKUP($C49,CHANTIER!$A$2:$D$83,4,0))</f>
        <v/>
      </c>
      <c r="O49" s="364">
        <v>16</v>
      </c>
      <c r="P49" s="372" t="str">
        <f>IF($C49="","",O49*VLOOKUP($C49,CHANTIER!$A$2:$D$83,4,0))</f>
        <v/>
      </c>
      <c r="Q49" s="364">
        <v>17</v>
      </c>
      <c r="R49" s="372" t="str">
        <f>IF($C49="","",Q49*VLOOKUP($C49,CHANTIER!$A$2:$D$83,4,0))</f>
        <v/>
      </c>
      <c r="S49" s="364">
        <v>18</v>
      </c>
      <c r="T49" s="372" t="str">
        <f>IF($C49="","",S49*VLOOKUP($C49,CHANTIER!$A$2:$D$83,4,0))</f>
        <v/>
      </c>
      <c r="U49" s="364">
        <v>19</v>
      </c>
      <c r="V49" s="372" t="str">
        <f>IF($C49="","",U49*VLOOKUP($C49,CHANTIER!$A$2:$D$83,4,0))</f>
        <v/>
      </c>
      <c r="W49" s="364">
        <v>20</v>
      </c>
      <c r="X49" s="372" t="str">
        <f>IF($C49="","",W49*VLOOKUP($C49,CHANTIER!$A$2:$D$83,4,0))</f>
        <v/>
      </c>
      <c r="Y49" s="364">
        <v>21</v>
      </c>
      <c r="Z49" s="372" t="str">
        <f>IF($C49="","",Y49*VLOOKUP($C49,CHANTIER!$A$2:$D$83,4,0))</f>
        <v/>
      </c>
      <c r="AA49" s="364">
        <v>22</v>
      </c>
      <c r="AB49" s="372" t="str">
        <f>IF($C49="","",AA49*VLOOKUP($C49,CHANTIER!$A$2:$D$83,4,0))</f>
        <v/>
      </c>
      <c r="AC49" s="364">
        <v>23</v>
      </c>
      <c r="AD49" s="372" t="str">
        <f>IF($C49="","",AC49*VLOOKUP($C49,CHANTIER!$A$2:$D$83,4,0))</f>
        <v/>
      </c>
      <c r="AE49" s="364">
        <v>24</v>
      </c>
      <c r="AF49" s="372" t="str">
        <f>IF($C49="","",AE49*VLOOKUP($C49,CHANTIER!$A$2:$D$83,4,0))</f>
        <v/>
      </c>
      <c r="AG49" s="364">
        <v>25</v>
      </c>
      <c r="AH49" s="372" t="str">
        <f>IF($C49="","",AG49*VLOOKUP($C49,CHANTIER!$A$2:$D$83,4,0))</f>
        <v/>
      </c>
      <c r="AI49" s="364">
        <v>26</v>
      </c>
      <c r="AJ49" s="372" t="str">
        <f>IF($C49="","",AI49*VLOOKUP($C49,CHANTIER!$A$2:$D$83,4,0))</f>
        <v/>
      </c>
      <c r="AK49" s="364">
        <v>27</v>
      </c>
      <c r="AL49" s="372" t="str">
        <f>IF($C49="","",AK49*VLOOKUP($C49,CHANTIER!$A$2:$D$83,4,0))</f>
        <v/>
      </c>
      <c r="AM49" s="364">
        <v>28</v>
      </c>
      <c r="AN49" s="372" t="str">
        <f>IF($C49="","",AM49*VLOOKUP($C49,CHANTIER!$A$2:$D$83,4,0))</f>
        <v/>
      </c>
    </row>
    <row r="50" spans="1:42" ht="30.75" customHeight="1" x14ac:dyDescent="0.2">
      <c r="A50" s="1554"/>
      <c r="B50" s="379" t="s">
        <v>453</v>
      </c>
      <c r="C50" s="380" t="s">
        <v>450</v>
      </c>
      <c r="D50" s="381" t="s">
        <v>451</v>
      </c>
      <c r="E50" s="382">
        <f>F50*Simulation!$P$9</f>
        <v>11.25</v>
      </c>
      <c r="F50" s="383">
        <f>SUM(F39:F49)</f>
        <v>0.25</v>
      </c>
      <c r="G50" s="382">
        <f>H50*Simulation!$P$9</f>
        <v>22.5</v>
      </c>
      <c r="H50" s="383">
        <f>SUM(H39:H49)</f>
        <v>0.5</v>
      </c>
      <c r="I50" s="382">
        <f>J50*Simulation!$P$9</f>
        <v>33.75</v>
      </c>
      <c r="J50" s="383">
        <f>SUM(J39:J49)</f>
        <v>0.75</v>
      </c>
      <c r="K50" s="382">
        <f>L50*Simulation!$P$9</f>
        <v>45</v>
      </c>
      <c r="L50" s="383">
        <f>SUM(L39:L49)</f>
        <v>1</v>
      </c>
      <c r="M50" s="382">
        <f>N50*Simulation!$P$9</f>
        <v>56.25</v>
      </c>
      <c r="N50" s="383">
        <f>SUM(N39:N49)</f>
        <v>1.25</v>
      </c>
      <c r="O50" s="382">
        <f>P50*Simulation!$P$9</f>
        <v>67.5</v>
      </c>
      <c r="P50" s="383">
        <f>SUM(P39:P49)</f>
        <v>1.5</v>
      </c>
      <c r="Q50" s="382">
        <f>R50*Simulation!$P$9</f>
        <v>78.75</v>
      </c>
      <c r="R50" s="383">
        <f>SUM(R39:R49)</f>
        <v>1.75</v>
      </c>
      <c r="S50" s="382">
        <f>T50*Simulation!$P$9</f>
        <v>90</v>
      </c>
      <c r="T50" s="383">
        <f>SUM(T39:T49)</f>
        <v>2</v>
      </c>
      <c r="U50" s="382">
        <f>V50*Simulation!$P$9</f>
        <v>101.25</v>
      </c>
      <c r="V50" s="383">
        <f>SUM(V39:V49)</f>
        <v>2.25</v>
      </c>
      <c r="W50" s="382">
        <f>X50*Simulation!$P$9</f>
        <v>112.5</v>
      </c>
      <c r="X50" s="383">
        <f>SUM(X39:X49)</f>
        <v>2.5</v>
      </c>
      <c r="Y50" s="382">
        <f>Z50*Simulation!$P$9</f>
        <v>123.75</v>
      </c>
      <c r="Z50" s="383">
        <f>SUM(Z39:Z49)</f>
        <v>2.75</v>
      </c>
      <c r="AA50" s="382">
        <f>AB50*Simulation!$P$9</f>
        <v>135</v>
      </c>
      <c r="AB50" s="383">
        <f>SUM(AB39:AB49)</f>
        <v>3</v>
      </c>
      <c r="AC50" s="382">
        <f>AD50*Simulation!$P$9</f>
        <v>146.25</v>
      </c>
      <c r="AD50" s="383">
        <f>SUM(AD39:AD49)</f>
        <v>3.25</v>
      </c>
      <c r="AE50" s="382">
        <f>AF50*Simulation!$P$9</f>
        <v>157.5</v>
      </c>
      <c r="AF50" s="383">
        <f>SUM(AF39:AF49)</f>
        <v>3.5</v>
      </c>
      <c r="AG50" s="382">
        <f>AH50*Simulation!$P$9</f>
        <v>168.75</v>
      </c>
      <c r="AH50" s="383">
        <f>SUM(AH39:AH49)</f>
        <v>3.75</v>
      </c>
      <c r="AI50" s="382">
        <f>AJ50*Simulation!$P$9</f>
        <v>180</v>
      </c>
      <c r="AJ50" s="383">
        <f>SUM(AJ39:AJ49)</f>
        <v>4</v>
      </c>
      <c r="AK50" s="382">
        <f>AL50*Simulation!$P$9</f>
        <v>191.25</v>
      </c>
      <c r="AL50" s="383">
        <f>SUM(AL39:AL49)</f>
        <v>4.25</v>
      </c>
      <c r="AM50" s="382">
        <f>AN50*Simulation!$P$9</f>
        <v>202.5</v>
      </c>
      <c r="AN50" s="383">
        <f>SUM(AN39:AN49)</f>
        <v>4.5</v>
      </c>
    </row>
    <row r="51" spans="1:42" ht="15" customHeight="1" x14ac:dyDescent="0.2">
      <c r="A51" s="1559" t="s">
        <v>4</v>
      </c>
      <c r="B51" s="361" t="s">
        <v>371</v>
      </c>
      <c r="C51" s="378" t="s">
        <v>400</v>
      </c>
      <c r="D51" s="363" t="str">
        <f>IF(C51="","",VLOOKUP($C51,MINIPELLE!$A$2:$C$28,3,0))</f>
        <v>cm</v>
      </c>
      <c r="E51" s="364">
        <v>2</v>
      </c>
      <c r="F51" s="372">
        <f>IF($C51="","",E51*VLOOKUP($C51,MINIPELLE!$A$2:$D$28,4,0))</f>
        <v>0.05</v>
      </c>
      <c r="G51" s="364">
        <v>2</v>
      </c>
      <c r="H51" s="372">
        <f>IF($C51="","",G51*VLOOKUP($C51,MINIPELLE!$A$2:$D$28,4,0))</f>
        <v>0.05</v>
      </c>
      <c r="I51" s="364">
        <v>2</v>
      </c>
      <c r="J51" s="372">
        <f>IF($C51="","",I51*VLOOKUP($C51,MINIPELLE!$A$2:$D$28,4,0))</f>
        <v>0.05</v>
      </c>
      <c r="K51" s="364">
        <v>2</v>
      </c>
      <c r="L51" s="372">
        <f>IF($C51="","",K51*VLOOKUP($C51,MINIPELLE!$A$2:$D$28,4,0))</f>
        <v>0.05</v>
      </c>
      <c r="M51" s="364">
        <v>2</v>
      </c>
      <c r="N51" s="372">
        <f>IF($C51="","",M51*VLOOKUP($C51,MINIPELLE!$A$2:$D$28,4,0))</f>
        <v>0.05</v>
      </c>
      <c r="O51" s="364">
        <v>2</v>
      </c>
      <c r="P51" s="372">
        <f>IF($C51="","",O51*VLOOKUP($C51,MINIPELLE!$A$2:$D$28,4,0))</f>
        <v>0.05</v>
      </c>
      <c r="Q51" s="364">
        <v>2</v>
      </c>
      <c r="R51" s="372">
        <f>IF($C51="","",Q51*VLOOKUP($C51,MINIPELLE!$A$2:$D$28,4,0))</f>
        <v>0.05</v>
      </c>
      <c r="S51" s="364">
        <v>2</v>
      </c>
      <c r="T51" s="372">
        <f>IF($C51="","",S51*VLOOKUP($C51,MINIPELLE!$A$2:$D$28,4,0))</f>
        <v>0.05</v>
      </c>
      <c r="U51" s="364">
        <v>2</v>
      </c>
      <c r="V51" s="372">
        <f>IF($C51="","",U51*VLOOKUP($C51,MINIPELLE!$A$2:$D$28,4,0))</f>
        <v>0.05</v>
      </c>
      <c r="W51" s="364">
        <v>2</v>
      </c>
      <c r="X51" s="372">
        <f>IF($C51="","",W51*VLOOKUP($C51,MINIPELLE!$A$2:$D$28,4,0))</f>
        <v>0.05</v>
      </c>
      <c r="Y51" s="364">
        <v>2</v>
      </c>
      <c r="Z51" s="372">
        <f>IF($C51="","",Y51*VLOOKUP($C51,MINIPELLE!$A$2:$D$28,4,0))</f>
        <v>0.05</v>
      </c>
      <c r="AA51" s="364">
        <v>2</v>
      </c>
      <c r="AB51" s="372">
        <f>IF($C51="","",AA51*VLOOKUP($C51,MINIPELLE!$A$2:$D$28,4,0))</f>
        <v>0.05</v>
      </c>
      <c r="AC51" s="364">
        <v>2</v>
      </c>
      <c r="AD51" s="372">
        <f>IF($C51="","",AC51*VLOOKUP($C51,MINIPELLE!$A$2:$D$28,4,0))</f>
        <v>0.05</v>
      </c>
      <c r="AE51" s="364">
        <v>2</v>
      </c>
      <c r="AF51" s="372">
        <f>IF($C51="","",AE51*VLOOKUP($C51,MINIPELLE!$A$2:$D$28,4,0))</f>
        <v>0.05</v>
      </c>
      <c r="AG51" s="364">
        <v>2</v>
      </c>
      <c r="AH51" s="372">
        <f>IF($C51="","",AG51*VLOOKUP($C51,MINIPELLE!$A$2:$D$28,4,0))</f>
        <v>0.05</v>
      </c>
      <c r="AI51" s="364">
        <v>2</v>
      </c>
      <c r="AJ51" s="372">
        <f>IF($C51="","",AI51*VLOOKUP($C51,MINIPELLE!$A$2:$D$28,4,0))</f>
        <v>0.05</v>
      </c>
      <c r="AK51" s="364">
        <v>2</v>
      </c>
      <c r="AL51" s="372">
        <f>IF($C51="","",AK51*VLOOKUP($C51,MINIPELLE!$A$2:$D$28,4,0))</f>
        <v>0.05</v>
      </c>
      <c r="AM51" s="364">
        <v>2</v>
      </c>
      <c r="AN51" s="372">
        <f>IF($C51="","",AM51*VLOOKUP($C51,MINIPELLE!$A$2:$D$28,4,0))</f>
        <v>0.05</v>
      </c>
    </row>
    <row r="52" spans="1:42" ht="15" customHeight="1" x14ac:dyDescent="0.2">
      <c r="A52" s="1560"/>
      <c r="B52" s="361"/>
      <c r="C52" s="378"/>
      <c r="D52" s="363" t="str">
        <f>IF(C52="","",VLOOKUP($C52,MINIPELLE!$A$2:$C$28,3,0))</f>
        <v/>
      </c>
      <c r="E52" s="364">
        <v>3</v>
      </c>
      <c r="F52" s="389" t="str">
        <f>IF($C52="","",E52*VLOOKUP($C52,MINIPELLE!$A$2:$D$28,4,0))</f>
        <v/>
      </c>
      <c r="G52" s="364">
        <v>3</v>
      </c>
      <c r="H52" s="389" t="str">
        <f>IF($C52="","",G52*VLOOKUP($C52,MINIPELLE!$A$2:$D$28,4,0))</f>
        <v/>
      </c>
      <c r="I52" s="364">
        <v>3</v>
      </c>
      <c r="J52" s="389" t="str">
        <f>IF($C52="","",I52*VLOOKUP($C52,MINIPELLE!$A$2:$D$28,4,0))</f>
        <v/>
      </c>
      <c r="K52" s="364">
        <v>3</v>
      </c>
      <c r="L52" s="389" t="str">
        <f>IF($C52="","",K52*VLOOKUP($C52,MINIPELLE!$A$2:$D$28,4,0))</f>
        <v/>
      </c>
      <c r="M52" s="364">
        <v>3</v>
      </c>
      <c r="N52" s="389" t="str">
        <f>IF($C52="","",M52*VLOOKUP($C52,MINIPELLE!$A$2:$D$28,4,0))</f>
        <v/>
      </c>
      <c r="O52" s="364">
        <v>3</v>
      </c>
      <c r="P52" s="389" t="str">
        <f>IF($C52="","",O52*VLOOKUP($C52,MINIPELLE!$A$2:$D$28,4,0))</f>
        <v/>
      </c>
      <c r="Q52" s="364">
        <v>3</v>
      </c>
      <c r="R52" s="389" t="str">
        <f>IF($C52="","",Q52*VLOOKUP($C52,MINIPELLE!$A$2:$D$28,4,0))</f>
        <v/>
      </c>
      <c r="S52" s="364">
        <v>3</v>
      </c>
      <c r="T52" s="389" t="str">
        <f>IF($C52="","",S52*VLOOKUP($C52,MINIPELLE!$A$2:$D$28,4,0))</f>
        <v/>
      </c>
      <c r="U52" s="364">
        <v>3</v>
      </c>
      <c r="V52" s="389" t="str">
        <f>IF($C52="","",U52*VLOOKUP($C52,MINIPELLE!$A$2:$D$28,4,0))</f>
        <v/>
      </c>
      <c r="W52" s="364">
        <v>3</v>
      </c>
      <c r="X52" s="389" t="str">
        <f>IF($C52="","",W52*VLOOKUP($C52,MINIPELLE!$A$2:$D$28,4,0))</f>
        <v/>
      </c>
      <c r="Y52" s="364">
        <v>3</v>
      </c>
      <c r="Z52" s="389" t="str">
        <f>IF($C52="","",Y52*VLOOKUP($C52,MINIPELLE!$A$2:$D$28,4,0))</f>
        <v/>
      </c>
      <c r="AA52" s="364">
        <v>3</v>
      </c>
      <c r="AB52" s="389" t="str">
        <f>IF($C52="","",AA52*VLOOKUP($C52,MINIPELLE!$A$2:$D$28,4,0))</f>
        <v/>
      </c>
      <c r="AC52" s="364">
        <v>3</v>
      </c>
      <c r="AD52" s="389" t="str">
        <f>IF($C52="","",AC52*VLOOKUP($C52,MINIPELLE!$A$2:$D$28,4,0))</f>
        <v/>
      </c>
      <c r="AE52" s="364">
        <v>3</v>
      </c>
      <c r="AF52" s="389" t="str">
        <f>IF($C52="","",AE52*VLOOKUP($C52,MINIPELLE!$A$2:$D$28,4,0))</f>
        <v/>
      </c>
      <c r="AG52" s="364">
        <v>3</v>
      </c>
      <c r="AH52" s="389" t="str">
        <f>IF($C52="","",AG52*VLOOKUP($C52,MINIPELLE!$A$2:$D$28,4,0))</f>
        <v/>
      </c>
      <c r="AI52" s="364">
        <v>3</v>
      </c>
      <c r="AJ52" s="389" t="str">
        <f>IF($C52="","",AI52*VLOOKUP($C52,MINIPELLE!$A$2:$D$28,4,0))</f>
        <v/>
      </c>
      <c r="AK52" s="364">
        <v>3</v>
      </c>
      <c r="AL52" s="389" t="str">
        <f>IF($C52="","",AK52*VLOOKUP($C52,MINIPELLE!$A$2:$D$28,4,0))</f>
        <v/>
      </c>
      <c r="AM52" s="364">
        <v>3</v>
      </c>
      <c r="AN52" s="389" t="str">
        <f>IF($C52="","",AM52*VLOOKUP($C52,MINIPELLE!$A$2:$D$28,4,0))</f>
        <v/>
      </c>
    </row>
    <row r="53" spans="1:42" ht="15" customHeight="1" x14ac:dyDescent="0.2">
      <c r="A53" s="1560"/>
      <c r="B53" s="361"/>
      <c r="C53" s="378"/>
      <c r="D53" s="363" t="str">
        <f>IF(C53="","",VLOOKUP($C53,MINIPELLE!$A$2:$C$28,3,0))</f>
        <v/>
      </c>
      <c r="E53" s="364">
        <v>4</v>
      </c>
      <c r="F53" s="389" t="str">
        <f>IF($C53="","",E53*VLOOKUP($C53,MINIPELLE!$A$2:$D$28,4,0))</f>
        <v/>
      </c>
      <c r="G53" s="364">
        <v>4</v>
      </c>
      <c r="H53" s="389" t="str">
        <f>IF($C53="","",G53*VLOOKUP($C53,MINIPELLE!$A$2:$D$28,4,0))</f>
        <v/>
      </c>
      <c r="I53" s="364">
        <v>4</v>
      </c>
      <c r="J53" s="389" t="str">
        <f>IF($C53="","",I53*VLOOKUP($C53,MINIPELLE!$A$2:$D$28,4,0))</f>
        <v/>
      </c>
      <c r="K53" s="364">
        <v>4</v>
      </c>
      <c r="L53" s="389" t="str">
        <f>IF($C53="","",K53*VLOOKUP($C53,MINIPELLE!$A$2:$D$28,4,0))</f>
        <v/>
      </c>
      <c r="M53" s="364">
        <v>4</v>
      </c>
      <c r="N53" s="389" t="str">
        <f>IF($C53="","",M53*VLOOKUP($C53,MINIPELLE!$A$2:$D$28,4,0))</f>
        <v/>
      </c>
      <c r="O53" s="364">
        <v>4</v>
      </c>
      <c r="P53" s="389" t="str">
        <f>IF($C53="","",O53*VLOOKUP($C53,MINIPELLE!$A$2:$D$28,4,0))</f>
        <v/>
      </c>
      <c r="Q53" s="364">
        <v>4</v>
      </c>
      <c r="R53" s="389" t="str">
        <f>IF($C53="","",Q53*VLOOKUP($C53,MINIPELLE!$A$2:$D$28,4,0))</f>
        <v/>
      </c>
      <c r="S53" s="364">
        <v>4</v>
      </c>
      <c r="T53" s="389" t="str">
        <f>IF($C53="","",S53*VLOOKUP($C53,MINIPELLE!$A$2:$D$28,4,0))</f>
        <v/>
      </c>
      <c r="U53" s="364">
        <v>4</v>
      </c>
      <c r="V53" s="389" t="str">
        <f>IF($C53="","",U53*VLOOKUP($C53,MINIPELLE!$A$2:$D$28,4,0))</f>
        <v/>
      </c>
      <c r="W53" s="364">
        <v>4</v>
      </c>
      <c r="X53" s="389" t="str">
        <f>IF($C53="","",W53*VLOOKUP($C53,MINIPELLE!$A$2:$D$28,4,0))</f>
        <v/>
      </c>
      <c r="Y53" s="364">
        <v>4</v>
      </c>
      <c r="Z53" s="389" t="str">
        <f>IF($C53="","",Y53*VLOOKUP($C53,MINIPELLE!$A$2:$D$28,4,0))</f>
        <v/>
      </c>
      <c r="AA53" s="364">
        <v>4</v>
      </c>
      <c r="AB53" s="389" t="str">
        <f>IF($C53="","",AA53*VLOOKUP($C53,MINIPELLE!$A$2:$D$28,4,0))</f>
        <v/>
      </c>
      <c r="AC53" s="364">
        <v>4</v>
      </c>
      <c r="AD53" s="389" t="str">
        <f>IF($C53="","",AC53*VLOOKUP($C53,MINIPELLE!$A$2:$D$28,4,0))</f>
        <v/>
      </c>
      <c r="AE53" s="364">
        <v>4</v>
      </c>
      <c r="AF53" s="389" t="str">
        <f>IF($C53="","",AE53*VLOOKUP($C53,MINIPELLE!$A$2:$D$28,4,0))</f>
        <v/>
      </c>
      <c r="AG53" s="364">
        <v>4</v>
      </c>
      <c r="AH53" s="389" t="str">
        <f>IF($C53="","",AG53*VLOOKUP($C53,MINIPELLE!$A$2:$D$28,4,0))</f>
        <v/>
      </c>
      <c r="AI53" s="364">
        <v>4</v>
      </c>
      <c r="AJ53" s="389" t="str">
        <f>IF($C53="","",AI53*VLOOKUP($C53,MINIPELLE!$A$2:$D$28,4,0))</f>
        <v/>
      </c>
      <c r="AK53" s="364">
        <v>4</v>
      </c>
      <c r="AL53" s="389" t="str">
        <f>IF($C53="","",AK53*VLOOKUP($C53,MINIPELLE!$A$2:$D$28,4,0))</f>
        <v/>
      </c>
      <c r="AM53" s="364">
        <v>4</v>
      </c>
      <c r="AN53" s="389" t="str">
        <f>IF($C53="","",AM53*VLOOKUP($C53,MINIPELLE!$A$2:$D$28,4,0))</f>
        <v/>
      </c>
    </row>
    <row r="54" spans="1:42" ht="15" customHeight="1" x14ac:dyDescent="0.2">
      <c r="A54" s="1560"/>
      <c r="B54" s="361"/>
      <c r="C54" s="378"/>
      <c r="D54" s="363" t="str">
        <f>IF(C54="","",VLOOKUP($C54,MINIPELLE!$A$2:$C$28,3,0))</f>
        <v/>
      </c>
      <c r="E54" s="364">
        <v>5</v>
      </c>
      <c r="F54" s="389" t="str">
        <f>IF($C54="","",E54*VLOOKUP($C54,MINIPELLE!$A$2:$D$28,4,0))</f>
        <v/>
      </c>
      <c r="G54" s="364">
        <v>5</v>
      </c>
      <c r="H54" s="389" t="str">
        <f>IF($C54="","",G54*VLOOKUP($C54,MINIPELLE!$A$2:$D$28,4,0))</f>
        <v/>
      </c>
      <c r="I54" s="364">
        <v>5</v>
      </c>
      <c r="J54" s="389" t="str">
        <f>IF($C54="","",I54*VLOOKUP($C54,MINIPELLE!$A$2:$D$28,4,0))</f>
        <v/>
      </c>
      <c r="K54" s="364">
        <v>5</v>
      </c>
      <c r="L54" s="389" t="str">
        <f>IF($C54="","",K54*VLOOKUP($C54,MINIPELLE!$A$2:$D$28,4,0))</f>
        <v/>
      </c>
      <c r="M54" s="364">
        <v>5</v>
      </c>
      <c r="N54" s="389" t="str">
        <f>IF($C54="","",M54*VLOOKUP($C54,MINIPELLE!$A$2:$D$28,4,0))</f>
        <v/>
      </c>
      <c r="O54" s="364">
        <v>5</v>
      </c>
      <c r="P54" s="389" t="str">
        <f>IF($C54="","",O54*VLOOKUP($C54,MINIPELLE!$A$2:$D$28,4,0))</f>
        <v/>
      </c>
      <c r="Q54" s="364">
        <v>5</v>
      </c>
      <c r="R54" s="389" t="str">
        <f>IF($C54="","",Q54*VLOOKUP($C54,MINIPELLE!$A$2:$D$28,4,0))</f>
        <v/>
      </c>
      <c r="S54" s="364">
        <v>5</v>
      </c>
      <c r="T54" s="389" t="str">
        <f>IF($C54="","",S54*VLOOKUP($C54,MINIPELLE!$A$2:$D$28,4,0))</f>
        <v/>
      </c>
      <c r="U54" s="364">
        <v>5</v>
      </c>
      <c r="V54" s="389" t="str">
        <f>IF($C54="","",U54*VLOOKUP($C54,MINIPELLE!$A$2:$D$28,4,0))</f>
        <v/>
      </c>
      <c r="W54" s="364">
        <v>5</v>
      </c>
      <c r="X54" s="389" t="str">
        <f>IF($C54="","",W54*VLOOKUP($C54,MINIPELLE!$A$2:$D$28,4,0))</f>
        <v/>
      </c>
      <c r="Y54" s="364">
        <v>5</v>
      </c>
      <c r="Z54" s="389" t="str">
        <f>IF($C54="","",Y54*VLOOKUP($C54,MINIPELLE!$A$2:$D$28,4,0))</f>
        <v/>
      </c>
      <c r="AA54" s="364">
        <v>5</v>
      </c>
      <c r="AB54" s="389" t="str">
        <f>IF($C54="","",AA54*VLOOKUP($C54,MINIPELLE!$A$2:$D$28,4,0))</f>
        <v/>
      </c>
      <c r="AC54" s="364">
        <v>5</v>
      </c>
      <c r="AD54" s="389" t="str">
        <f>IF($C54="","",AC54*VLOOKUP($C54,MINIPELLE!$A$2:$D$28,4,0))</f>
        <v/>
      </c>
      <c r="AE54" s="364">
        <v>5</v>
      </c>
      <c r="AF54" s="389" t="str">
        <f>IF($C54="","",AE54*VLOOKUP($C54,MINIPELLE!$A$2:$D$28,4,0))</f>
        <v/>
      </c>
      <c r="AG54" s="364">
        <v>5</v>
      </c>
      <c r="AH54" s="389" t="str">
        <f>IF($C54="","",AG54*VLOOKUP($C54,MINIPELLE!$A$2:$D$28,4,0))</f>
        <v/>
      </c>
      <c r="AI54" s="364">
        <v>5</v>
      </c>
      <c r="AJ54" s="389" t="str">
        <f>IF($C54="","",AI54*VLOOKUP($C54,MINIPELLE!$A$2:$D$28,4,0))</f>
        <v/>
      </c>
      <c r="AK54" s="364">
        <v>5</v>
      </c>
      <c r="AL54" s="389" t="str">
        <f>IF($C54="","",AK54*VLOOKUP($C54,MINIPELLE!$A$2:$D$28,4,0))</f>
        <v/>
      </c>
      <c r="AM54" s="364">
        <v>5</v>
      </c>
      <c r="AN54" s="389" t="str">
        <f>IF($C54="","",AM54*VLOOKUP($C54,MINIPELLE!$A$2:$D$28,4,0))</f>
        <v/>
      </c>
    </row>
    <row r="55" spans="1:42" ht="15" customHeight="1" x14ac:dyDescent="0.2">
      <c r="A55" s="1560"/>
      <c r="B55" s="361"/>
      <c r="C55" s="378"/>
      <c r="D55" s="363" t="str">
        <f>IF(C55="","",VLOOKUP($C55,MINIPELLE!$A$2:$C$28,3,0))</f>
        <v/>
      </c>
      <c r="E55" s="364">
        <v>6</v>
      </c>
      <c r="F55" s="389" t="str">
        <f>IF($C55="","",E55*VLOOKUP($C55,MINIPELLE!$A$2:$D$28,4,0))</f>
        <v/>
      </c>
      <c r="G55" s="364">
        <v>6</v>
      </c>
      <c r="H55" s="389" t="str">
        <f>IF($C55="","",G55*VLOOKUP($C55,MINIPELLE!$A$2:$D$28,4,0))</f>
        <v/>
      </c>
      <c r="I55" s="364">
        <v>6</v>
      </c>
      <c r="J55" s="389" t="str">
        <f>IF($C55="","",I55*VLOOKUP($C55,MINIPELLE!$A$2:$D$28,4,0))</f>
        <v/>
      </c>
      <c r="K55" s="364">
        <v>6</v>
      </c>
      <c r="L55" s="389" t="str">
        <f>IF($C55="","",K55*VLOOKUP($C55,MINIPELLE!$A$2:$D$28,4,0))</f>
        <v/>
      </c>
      <c r="M55" s="364">
        <v>6</v>
      </c>
      <c r="N55" s="389" t="str">
        <f>IF($C55="","",M55*VLOOKUP($C55,MINIPELLE!$A$2:$D$28,4,0))</f>
        <v/>
      </c>
      <c r="O55" s="364">
        <v>6</v>
      </c>
      <c r="P55" s="389" t="str">
        <f>IF($C55="","",O55*VLOOKUP($C55,MINIPELLE!$A$2:$D$28,4,0))</f>
        <v/>
      </c>
      <c r="Q55" s="364">
        <v>6</v>
      </c>
      <c r="R55" s="389" t="str">
        <f>IF($C55="","",Q55*VLOOKUP($C55,MINIPELLE!$A$2:$D$28,4,0))</f>
        <v/>
      </c>
      <c r="S55" s="364">
        <v>6</v>
      </c>
      <c r="T55" s="389" t="str">
        <f>IF($C55="","",S55*VLOOKUP($C55,MINIPELLE!$A$2:$D$28,4,0))</f>
        <v/>
      </c>
      <c r="U55" s="364">
        <v>6</v>
      </c>
      <c r="V55" s="389" t="str">
        <f>IF($C55="","",U55*VLOOKUP($C55,MINIPELLE!$A$2:$D$28,4,0))</f>
        <v/>
      </c>
      <c r="W55" s="364">
        <v>6</v>
      </c>
      <c r="X55" s="389" t="str">
        <f>IF($C55="","",W55*VLOOKUP($C55,MINIPELLE!$A$2:$D$28,4,0))</f>
        <v/>
      </c>
      <c r="Y55" s="364">
        <v>6</v>
      </c>
      <c r="Z55" s="389" t="str">
        <f>IF($C55="","",Y55*VLOOKUP($C55,MINIPELLE!$A$2:$D$28,4,0))</f>
        <v/>
      </c>
      <c r="AA55" s="364">
        <v>6</v>
      </c>
      <c r="AB55" s="389" t="str">
        <f>IF($C55="","",AA55*VLOOKUP($C55,MINIPELLE!$A$2:$D$28,4,0))</f>
        <v/>
      </c>
      <c r="AC55" s="364">
        <v>6</v>
      </c>
      <c r="AD55" s="389" t="str">
        <f>IF($C55="","",AC55*VLOOKUP($C55,MINIPELLE!$A$2:$D$28,4,0))</f>
        <v/>
      </c>
      <c r="AE55" s="364">
        <v>6</v>
      </c>
      <c r="AF55" s="389" t="str">
        <f>IF($C55="","",AE55*VLOOKUP($C55,MINIPELLE!$A$2:$D$28,4,0))</f>
        <v/>
      </c>
      <c r="AG55" s="364">
        <v>6</v>
      </c>
      <c r="AH55" s="389" t="str">
        <f>IF($C55="","",AG55*VLOOKUP($C55,MINIPELLE!$A$2:$D$28,4,0))</f>
        <v/>
      </c>
      <c r="AI55" s="364">
        <v>6</v>
      </c>
      <c r="AJ55" s="389" t="str">
        <f>IF($C55="","",AI55*VLOOKUP($C55,MINIPELLE!$A$2:$D$28,4,0))</f>
        <v/>
      </c>
      <c r="AK55" s="364">
        <v>6</v>
      </c>
      <c r="AL55" s="389" t="str">
        <f>IF($C55="","",AK55*VLOOKUP($C55,MINIPELLE!$A$2:$D$28,4,0))</f>
        <v/>
      </c>
      <c r="AM55" s="364">
        <v>6</v>
      </c>
      <c r="AN55" s="389" t="str">
        <f>IF($C55="","",AM55*VLOOKUP($C55,MINIPELLE!$A$2:$D$28,4,0))</f>
        <v/>
      </c>
    </row>
    <row r="56" spans="1:42" ht="15" customHeight="1" x14ac:dyDescent="0.2">
      <c r="A56" s="1560"/>
      <c r="B56" s="361"/>
      <c r="C56" s="378"/>
      <c r="D56" s="363" t="str">
        <f>IF(C56="","",VLOOKUP($C56,MINIPELLE!$A$2:$C$28,3,0))</f>
        <v/>
      </c>
      <c r="E56" s="364">
        <v>7</v>
      </c>
      <c r="F56" s="389" t="str">
        <f>IF($C56="","",E56*VLOOKUP($C56,MINIPELLE!$A$2:$D$28,4,0))</f>
        <v/>
      </c>
      <c r="G56" s="364">
        <v>7</v>
      </c>
      <c r="H56" s="389" t="str">
        <f>IF($C56="","",G56*VLOOKUP($C56,MINIPELLE!$A$2:$D$28,4,0))</f>
        <v/>
      </c>
      <c r="I56" s="364">
        <v>7</v>
      </c>
      <c r="J56" s="389" t="str">
        <f>IF($C56="","",I56*VLOOKUP($C56,MINIPELLE!$A$2:$D$28,4,0))</f>
        <v/>
      </c>
      <c r="K56" s="364">
        <v>7</v>
      </c>
      <c r="L56" s="389" t="str">
        <f>IF($C56="","",K56*VLOOKUP($C56,MINIPELLE!$A$2:$D$28,4,0))</f>
        <v/>
      </c>
      <c r="M56" s="364">
        <v>7</v>
      </c>
      <c r="N56" s="389" t="str">
        <f>IF($C56="","",M56*VLOOKUP($C56,MINIPELLE!$A$2:$D$28,4,0))</f>
        <v/>
      </c>
      <c r="O56" s="364">
        <v>7</v>
      </c>
      <c r="P56" s="389" t="str">
        <f>IF($C56="","",O56*VLOOKUP($C56,MINIPELLE!$A$2:$D$28,4,0))</f>
        <v/>
      </c>
      <c r="Q56" s="364">
        <v>7</v>
      </c>
      <c r="R56" s="389" t="str">
        <f>IF($C56="","",Q56*VLOOKUP($C56,MINIPELLE!$A$2:$D$28,4,0))</f>
        <v/>
      </c>
      <c r="S56" s="364">
        <v>7</v>
      </c>
      <c r="T56" s="389" t="str">
        <f>IF($C56="","",S56*VLOOKUP($C56,MINIPELLE!$A$2:$D$28,4,0))</f>
        <v/>
      </c>
      <c r="U56" s="364">
        <v>7</v>
      </c>
      <c r="V56" s="389" t="str">
        <f>IF($C56="","",U56*VLOOKUP($C56,MINIPELLE!$A$2:$D$28,4,0))</f>
        <v/>
      </c>
      <c r="W56" s="364">
        <v>7</v>
      </c>
      <c r="X56" s="389" t="str">
        <f>IF($C56="","",W56*VLOOKUP($C56,MINIPELLE!$A$2:$D$28,4,0))</f>
        <v/>
      </c>
      <c r="Y56" s="364">
        <v>7</v>
      </c>
      <c r="Z56" s="389" t="str">
        <f>IF($C56="","",Y56*VLOOKUP($C56,MINIPELLE!$A$2:$D$28,4,0))</f>
        <v/>
      </c>
      <c r="AA56" s="364">
        <v>7</v>
      </c>
      <c r="AB56" s="389" t="str">
        <f>IF($C56="","",AA56*VLOOKUP($C56,MINIPELLE!$A$2:$D$28,4,0))</f>
        <v/>
      </c>
      <c r="AC56" s="364">
        <v>7</v>
      </c>
      <c r="AD56" s="389" t="str">
        <f>IF($C56="","",AC56*VLOOKUP($C56,MINIPELLE!$A$2:$D$28,4,0))</f>
        <v/>
      </c>
      <c r="AE56" s="364">
        <v>7</v>
      </c>
      <c r="AF56" s="389" t="str">
        <f>IF($C56="","",AE56*VLOOKUP($C56,MINIPELLE!$A$2:$D$28,4,0))</f>
        <v/>
      </c>
      <c r="AG56" s="364">
        <v>7</v>
      </c>
      <c r="AH56" s="389" t="str">
        <f>IF($C56="","",AG56*VLOOKUP($C56,MINIPELLE!$A$2:$D$28,4,0))</f>
        <v/>
      </c>
      <c r="AI56" s="364">
        <v>7</v>
      </c>
      <c r="AJ56" s="389" t="str">
        <f>IF($C56="","",AI56*VLOOKUP($C56,MINIPELLE!$A$2:$D$28,4,0))</f>
        <v/>
      </c>
      <c r="AK56" s="364">
        <v>7</v>
      </c>
      <c r="AL56" s="389" t="str">
        <f>IF($C56="","",AK56*VLOOKUP($C56,MINIPELLE!$A$2:$D$28,4,0))</f>
        <v/>
      </c>
      <c r="AM56" s="364">
        <v>7</v>
      </c>
      <c r="AN56" s="389" t="str">
        <f>IF($C56="","",AM56*VLOOKUP($C56,MINIPELLE!$A$2:$D$28,4,0))</f>
        <v/>
      </c>
    </row>
    <row r="57" spans="1:42" ht="15" customHeight="1" x14ac:dyDescent="0.2">
      <c r="A57" s="1560"/>
      <c r="B57" s="361"/>
      <c r="C57" s="378"/>
      <c r="D57" s="363" t="str">
        <f>IF(C57="","",VLOOKUP($C57,MINIPELLE!$A$2:$C$28,3,0))</f>
        <v/>
      </c>
      <c r="E57" s="364">
        <v>8</v>
      </c>
      <c r="F57" s="389" t="str">
        <f>IF($C57="","",E57*VLOOKUP($C57,MINIPELLE!$A$2:$D$28,4,0))</f>
        <v/>
      </c>
      <c r="G57" s="364">
        <v>8</v>
      </c>
      <c r="H57" s="389" t="str">
        <f>IF($C57="","",G57*VLOOKUP($C57,MINIPELLE!$A$2:$D$28,4,0))</f>
        <v/>
      </c>
      <c r="I57" s="364">
        <v>8</v>
      </c>
      <c r="J57" s="389" t="str">
        <f>IF($C57="","",I57*VLOOKUP($C57,MINIPELLE!$A$2:$D$28,4,0))</f>
        <v/>
      </c>
      <c r="K57" s="364">
        <v>8</v>
      </c>
      <c r="L57" s="389" t="str">
        <f>IF($C57="","",K57*VLOOKUP($C57,MINIPELLE!$A$2:$D$28,4,0))</f>
        <v/>
      </c>
      <c r="M57" s="364">
        <v>8</v>
      </c>
      <c r="N57" s="389" t="str">
        <f>IF($C57="","",M57*VLOOKUP($C57,MINIPELLE!$A$2:$D$28,4,0))</f>
        <v/>
      </c>
      <c r="O57" s="364">
        <v>8</v>
      </c>
      <c r="P57" s="389" t="str">
        <f>IF($C57="","",O57*VLOOKUP($C57,MINIPELLE!$A$2:$D$28,4,0))</f>
        <v/>
      </c>
      <c r="Q57" s="364">
        <v>8</v>
      </c>
      <c r="R57" s="389" t="str">
        <f>IF($C57="","",Q57*VLOOKUP($C57,MINIPELLE!$A$2:$D$28,4,0))</f>
        <v/>
      </c>
      <c r="S57" s="364">
        <v>8</v>
      </c>
      <c r="T57" s="389" t="str">
        <f>IF($C57="","",S57*VLOOKUP($C57,MINIPELLE!$A$2:$D$28,4,0))</f>
        <v/>
      </c>
      <c r="U57" s="364">
        <v>8</v>
      </c>
      <c r="V57" s="389" t="str">
        <f>IF($C57="","",U57*VLOOKUP($C57,MINIPELLE!$A$2:$D$28,4,0))</f>
        <v/>
      </c>
      <c r="W57" s="364">
        <v>8</v>
      </c>
      <c r="X57" s="389" t="str">
        <f>IF($C57="","",W57*VLOOKUP($C57,MINIPELLE!$A$2:$D$28,4,0))</f>
        <v/>
      </c>
      <c r="Y57" s="364">
        <v>8</v>
      </c>
      <c r="Z57" s="389" t="str">
        <f>IF($C57="","",Y57*VLOOKUP($C57,MINIPELLE!$A$2:$D$28,4,0))</f>
        <v/>
      </c>
      <c r="AA57" s="364">
        <v>8</v>
      </c>
      <c r="AB57" s="389" t="str">
        <f>IF($C57="","",AA57*VLOOKUP($C57,MINIPELLE!$A$2:$D$28,4,0))</f>
        <v/>
      </c>
      <c r="AC57" s="364">
        <v>8</v>
      </c>
      <c r="AD57" s="389" t="str">
        <f>IF($C57="","",AC57*VLOOKUP($C57,MINIPELLE!$A$2:$D$28,4,0))</f>
        <v/>
      </c>
      <c r="AE57" s="364">
        <v>8</v>
      </c>
      <c r="AF57" s="389" t="str">
        <f>IF($C57="","",AE57*VLOOKUP($C57,MINIPELLE!$A$2:$D$28,4,0))</f>
        <v/>
      </c>
      <c r="AG57" s="364">
        <v>8</v>
      </c>
      <c r="AH57" s="389" t="str">
        <f>IF($C57="","",AG57*VLOOKUP($C57,MINIPELLE!$A$2:$D$28,4,0))</f>
        <v/>
      </c>
      <c r="AI57" s="364">
        <v>8</v>
      </c>
      <c r="AJ57" s="389" t="str">
        <f>IF($C57="","",AI57*VLOOKUP($C57,MINIPELLE!$A$2:$D$28,4,0))</f>
        <v/>
      </c>
      <c r="AK57" s="364">
        <v>8</v>
      </c>
      <c r="AL57" s="389" t="str">
        <f>IF($C57="","",AK57*VLOOKUP($C57,MINIPELLE!$A$2:$D$28,4,0))</f>
        <v/>
      </c>
      <c r="AM57" s="364">
        <v>8</v>
      </c>
      <c r="AN57" s="389" t="str">
        <f>IF($C57="","",AM57*VLOOKUP($C57,MINIPELLE!$A$2:$D$28,4,0))</f>
        <v/>
      </c>
    </row>
    <row r="58" spans="1:42" ht="15" customHeight="1" x14ac:dyDescent="0.2">
      <c r="A58" s="1560"/>
      <c r="B58" s="361"/>
      <c r="C58" s="378"/>
      <c r="D58" s="363" t="str">
        <f>IF(C58="","",VLOOKUP($C58,MINIPELLE!$A$2:$C$28,3,0))</f>
        <v/>
      </c>
      <c r="E58" s="364">
        <v>9</v>
      </c>
      <c r="F58" s="389" t="str">
        <f>IF($C58="","",E58*VLOOKUP($C58,MINIPELLE!$A$2:$D$28,4,0))</f>
        <v/>
      </c>
      <c r="G58" s="364">
        <v>9</v>
      </c>
      <c r="H58" s="389" t="str">
        <f>IF($C58="","",G58*VLOOKUP($C58,MINIPELLE!$A$2:$D$28,4,0))</f>
        <v/>
      </c>
      <c r="I58" s="364">
        <v>9</v>
      </c>
      <c r="J58" s="389" t="str">
        <f>IF($C58="","",I58*VLOOKUP($C58,MINIPELLE!$A$2:$D$28,4,0))</f>
        <v/>
      </c>
      <c r="K58" s="364">
        <v>9</v>
      </c>
      <c r="L58" s="389" t="str">
        <f>IF($C58="","",K58*VLOOKUP($C58,MINIPELLE!$A$2:$D$28,4,0))</f>
        <v/>
      </c>
      <c r="M58" s="364">
        <v>9</v>
      </c>
      <c r="N58" s="389" t="str">
        <f>IF($C58="","",M58*VLOOKUP($C58,MINIPELLE!$A$2:$D$28,4,0))</f>
        <v/>
      </c>
      <c r="O58" s="364">
        <v>9</v>
      </c>
      <c r="P58" s="389" t="str">
        <f>IF($C58="","",O58*VLOOKUP($C58,MINIPELLE!$A$2:$D$28,4,0))</f>
        <v/>
      </c>
      <c r="Q58" s="364">
        <v>9</v>
      </c>
      <c r="R58" s="389" t="str">
        <f>IF($C58="","",Q58*VLOOKUP($C58,MINIPELLE!$A$2:$D$28,4,0))</f>
        <v/>
      </c>
      <c r="S58" s="364">
        <v>9</v>
      </c>
      <c r="T58" s="389" t="str">
        <f>IF($C58="","",S58*VLOOKUP($C58,MINIPELLE!$A$2:$D$28,4,0))</f>
        <v/>
      </c>
      <c r="U58" s="364">
        <v>9</v>
      </c>
      <c r="V58" s="389" t="str">
        <f>IF($C58="","",U58*VLOOKUP($C58,MINIPELLE!$A$2:$D$28,4,0))</f>
        <v/>
      </c>
      <c r="W58" s="364">
        <v>9</v>
      </c>
      <c r="X58" s="389" t="str">
        <f>IF($C58="","",W58*VLOOKUP($C58,MINIPELLE!$A$2:$D$28,4,0))</f>
        <v/>
      </c>
      <c r="Y58" s="364">
        <v>9</v>
      </c>
      <c r="Z58" s="389" t="str">
        <f>IF($C58="","",Y58*VLOOKUP($C58,MINIPELLE!$A$2:$D$28,4,0))</f>
        <v/>
      </c>
      <c r="AA58" s="364">
        <v>9</v>
      </c>
      <c r="AB58" s="389" t="str">
        <f>IF($C58="","",AA58*VLOOKUP($C58,MINIPELLE!$A$2:$D$28,4,0))</f>
        <v/>
      </c>
      <c r="AC58" s="364">
        <v>9</v>
      </c>
      <c r="AD58" s="389" t="str">
        <f>IF($C58="","",AC58*VLOOKUP($C58,MINIPELLE!$A$2:$D$28,4,0))</f>
        <v/>
      </c>
      <c r="AE58" s="364">
        <v>9</v>
      </c>
      <c r="AF58" s="389" t="str">
        <f>IF($C58="","",AE58*VLOOKUP($C58,MINIPELLE!$A$2:$D$28,4,0))</f>
        <v/>
      </c>
      <c r="AG58" s="364">
        <v>9</v>
      </c>
      <c r="AH58" s="389" t="str">
        <f>IF($C58="","",AG58*VLOOKUP($C58,MINIPELLE!$A$2:$D$28,4,0))</f>
        <v/>
      </c>
      <c r="AI58" s="364">
        <v>9</v>
      </c>
      <c r="AJ58" s="389" t="str">
        <f>IF($C58="","",AI58*VLOOKUP($C58,MINIPELLE!$A$2:$D$28,4,0))</f>
        <v/>
      </c>
      <c r="AK58" s="364">
        <v>9</v>
      </c>
      <c r="AL58" s="389" t="str">
        <f>IF($C58="","",AK58*VLOOKUP($C58,MINIPELLE!$A$2:$D$28,4,0))</f>
        <v/>
      </c>
      <c r="AM58" s="364">
        <v>9</v>
      </c>
      <c r="AN58" s="389" t="str">
        <f>IF($C58="","",AM58*VLOOKUP($C58,MINIPELLE!$A$2:$D$28,4,0))</f>
        <v/>
      </c>
      <c r="AO58" s="223"/>
      <c r="AP58" s="223"/>
    </row>
    <row r="59" spans="1:42" ht="15" customHeight="1" x14ac:dyDescent="0.2">
      <c r="A59" s="1560"/>
      <c r="B59" s="361"/>
      <c r="C59" s="378"/>
      <c r="D59" s="363" t="str">
        <f>IF(C59="","",VLOOKUP($C59,MINIPELLE!$A$2:$C$28,3,0))</f>
        <v/>
      </c>
      <c r="E59" s="364">
        <v>10</v>
      </c>
      <c r="F59" s="389" t="str">
        <f>IF($C59="","",E59*VLOOKUP($C59,MINIPELLE!$A$2:$D$28,4,0))</f>
        <v/>
      </c>
      <c r="G59" s="364">
        <v>10</v>
      </c>
      <c r="H59" s="389" t="str">
        <f>IF($C59="","",G59*VLOOKUP($C59,MINIPELLE!$A$2:$D$28,4,0))</f>
        <v/>
      </c>
      <c r="I59" s="364">
        <v>10</v>
      </c>
      <c r="J59" s="389" t="str">
        <f>IF($C59="","",I59*VLOOKUP($C59,MINIPELLE!$A$2:$D$28,4,0))</f>
        <v/>
      </c>
      <c r="K59" s="364">
        <v>10</v>
      </c>
      <c r="L59" s="389" t="str">
        <f>IF($C59="","",K59*VLOOKUP($C59,MINIPELLE!$A$2:$D$28,4,0))</f>
        <v/>
      </c>
      <c r="M59" s="364">
        <v>10</v>
      </c>
      <c r="N59" s="389" t="str">
        <f>IF($C59="","",M59*VLOOKUP($C59,MINIPELLE!$A$2:$D$28,4,0))</f>
        <v/>
      </c>
      <c r="O59" s="364">
        <v>10</v>
      </c>
      <c r="P59" s="389" t="str">
        <f>IF($C59="","",O59*VLOOKUP($C59,MINIPELLE!$A$2:$D$28,4,0))</f>
        <v/>
      </c>
      <c r="Q59" s="364">
        <v>10</v>
      </c>
      <c r="R59" s="389" t="str">
        <f>IF($C59="","",Q59*VLOOKUP($C59,MINIPELLE!$A$2:$D$28,4,0))</f>
        <v/>
      </c>
      <c r="S59" s="364">
        <v>10</v>
      </c>
      <c r="T59" s="389" t="str">
        <f>IF($C59="","",S59*VLOOKUP($C59,MINIPELLE!$A$2:$D$28,4,0))</f>
        <v/>
      </c>
      <c r="U59" s="364">
        <v>10</v>
      </c>
      <c r="V59" s="389" t="str">
        <f>IF($C59="","",U59*VLOOKUP($C59,MINIPELLE!$A$2:$D$28,4,0))</f>
        <v/>
      </c>
      <c r="W59" s="364">
        <v>10</v>
      </c>
      <c r="X59" s="389" t="str">
        <f>IF($C59="","",W59*VLOOKUP($C59,MINIPELLE!$A$2:$D$28,4,0))</f>
        <v/>
      </c>
      <c r="Y59" s="364">
        <v>10</v>
      </c>
      <c r="Z59" s="389" t="str">
        <f>IF($C59="","",Y59*VLOOKUP($C59,MINIPELLE!$A$2:$D$28,4,0))</f>
        <v/>
      </c>
      <c r="AA59" s="364">
        <v>10</v>
      </c>
      <c r="AB59" s="389" t="str">
        <f>IF($C59="","",AA59*VLOOKUP($C59,MINIPELLE!$A$2:$D$28,4,0))</f>
        <v/>
      </c>
      <c r="AC59" s="364">
        <v>10</v>
      </c>
      <c r="AD59" s="389" t="str">
        <f>IF($C59="","",AC59*VLOOKUP($C59,MINIPELLE!$A$2:$D$28,4,0))</f>
        <v/>
      </c>
      <c r="AE59" s="364">
        <v>10</v>
      </c>
      <c r="AF59" s="389" t="str">
        <f>IF($C59="","",AE59*VLOOKUP($C59,MINIPELLE!$A$2:$D$28,4,0))</f>
        <v/>
      </c>
      <c r="AG59" s="364">
        <v>10</v>
      </c>
      <c r="AH59" s="389" t="str">
        <f>IF($C59="","",AG59*VLOOKUP($C59,MINIPELLE!$A$2:$D$28,4,0))</f>
        <v/>
      </c>
      <c r="AI59" s="364">
        <v>10</v>
      </c>
      <c r="AJ59" s="389" t="str">
        <f>IF($C59="","",AI59*VLOOKUP($C59,MINIPELLE!$A$2:$D$28,4,0))</f>
        <v/>
      </c>
      <c r="AK59" s="364">
        <v>10</v>
      </c>
      <c r="AL59" s="389" t="str">
        <f>IF($C59="","",AK59*VLOOKUP($C59,MINIPELLE!$A$2:$D$28,4,0))</f>
        <v/>
      </c>
      <c r="AM59" s="364">
        <v>10</v>
      </c>
      <c r="AN59" s="389" t="str">
        <f>IF($C59="","",AM59*VLOOKUP($C59,MINIPELLE!$A$2:$D$28,4,0))</f>
        <v/>
      </c>
    </row>
    <row r="60" spans="1:42" ht="15" customHeight="1" x14ac:dyDescent="0.2">
      <c r="A60" s="1560"/>
      <c r="B60" s="361"/>
      <c r="C60" s="378"/>
      <c r="D60" s="363" t="str">
        <f>IF(C60="","",VLOOKUP($C60,MINIPELLE!$A$2:$C$28,3,0))</f>
        <v/>
      </c>
      <c r="E60" s="364">
        <v>11</v>
      </c>
      <c r="F60" s="389" t="str">
        <f>IF($C60="","",E60*VLOOKUP($C60,MINIPELLE!$A$2:$D$28,4,0))</f>
        <v/>
      </c>
      <c r="G60" s="364">
        <v>11</v>
      </c>
      <c r="H60" s="389" t="str">
        <f>IF($C60="","",G60*VLOOKUP($C60,MINIPELLE!$A$2:$D$28,4,0))</f>
        <v/>
      </c>
      <c r="I60" s="364">
        <v>11</v>
      </c>
      <c r="J60" s="389" t="str">
        <f>IF($C60="","",I60*VLOOKUP($C60,MINIPELLE!$A$2:$D$28,4,0))</f>
        <v/>
      </c>
      <c r="K60" s="364">
        <v>11</v>
      </c>
      <c r="L60" s="389" t="str">
        <f>IF($C60="","",K60*VLOOKUP($C60,MINIPELLE!$A$2:$D$28,4,0))</f>
        <v/>
      </c>
      <c r="M60" s="364">
        <v>11</v>
      </c>
      <c r="N60" s="389" t="str">
        <f>IF($C60="","",M60*VLOOKUP($C60,MINIPELLE!$A$2:$D$28,4,0))</f>
        <v/>
      </c>
      <c r="O60" s="364">
        <v>11</v>
      </c>
      <c r="P60" s="389" t="str">
        <f>IF($C60="","",O60*VLOOKUP($C60,MINIPELLE!$A$2:$D$28,4,0))</f>
        <v/>
      </c>
      <c r="Q60" s="364">
        <v>11</v>
      </c>
      <c r="R60" s="389" t="str">
        <f>IF($C60="","",Q60*VLOOKUP($C60,MINIPELLE!$A$2:$D$28,4,0))</f>
        <v/>
      </c>
      <c r="S60" s="364">
        <v>11</v>
      </c>
      <c r="T60" s="389" t="str">
        <f>IF($C60="","",S60*VLOOKUP($C60,MINIPELLE!$A$2:$D$28,4,0))</f>
        <v/>
      </c>
      <c r="U60" s="364">
        <v>11</v>
      </c>
      <c r="V60" s="389" t="str">
        <f>IF($C60="","",U60*VLOOKUP($C60,MINIPELLE!$A$2:$D$28,4,0))</f>
        <v/>
      </c>
      <c r="W60" s="364">
        <v>11</v>
      </c>
      <c r="X60" s="389" t="str">
        <f>IF($C60="","",W60*VLOOKUP($C60,MINIPELLE!$A$2:$D$28,4,0))</f>
        <v/>
      </c>
      <c r="Y60" s="364">
        <v>11</v>
      </c>
      <c r="Z60" s="389" t="str">
        <f>IF($C60="","",Y60*VLOOKUP($C60,MINIPELLE!$A$2:$D$28,4,0))</f>
        <v/>
      </c>
      <c r="AA60" s="364">
        <v>11</v>
      </c>
      <c r="AB60" s="389" t="str">
        <f>IF($C60="","",AA60*VLOOKUP($C60,MINIPELLE!$A$2:$D$28,4,0))</f>
        <v/>
      </c>
      <c r="AC60" s="364">
        <v>11</v>
      </c>
      <c r="AD60" s="389" t="str">
        <f>IF($C60="","",AC60*VLOOKUP($C60,MINIPELLE!$A$2:$D$28,4,0))</f>
        <v/>
      </c>
      <c r="AE60" s="364">
        <v>11</v>
      </c>
      <c r="AF60" s="389" t="str">
        <f>IF($C60="","",AE60*VLOOKUP($C60,MINIPELLE!$A$2:$D$28,4,0))</f>
        <v/>
      </c>
      <c r="AG60" s="364">
        <v>11</v>
      </c>
      <c r="AH60" s="389" t="str">
        <f>IF($C60="","",AG60*VLOOKUP($C60,MINIPELLE!$A$2:$D$28,4,0))</f>
        <v/>
      </c>
      <c r="AI60" s="364">
        <v>11</v>
      </c>
      <c r="AJ60" s="389" t="str">
        <f>IF($C60="","",AI60*VLOOKUP($C60,MINIPELLE!$A$2:$D$28,4,0))</f>
        <v/>
      </c>
      <c r="AK60" s="364">
        <v>11</v>
      </c>
      <c r="AL60" s="389" t="str">
        <f>IF($C60="","",AK60*VLOOKUP($C60,MINIPELLE!$A$2:$D$28,4,0))</f>
        <v/>
      </c>
      <c r="AM60" s="364">
        <v>11</v>
      </c>
      <c r="AN60" s="389" t="str">
        <f>IF($C60="","",AM60*VLOOKUP($C60,MINIPELLE!$A$2:$D$28,4,0))</f>
        <v/>
      </c>
    </row>
    <row r="61" spans="1:42" ht="15" customHeight="1" x14ac:dyDescent="0.2">
      <c r="A61" s="1560"/>
      <c r="B61" s="361"/>
      <c r="C61" s="378"/>
      <c r="D61" s="363" t="str">
        <f>IF(C61="","",VLOOKUP($C61,MINIPELLE!$A$2:$C$28,3,0))</f>
        <v/>
      </c>
      <c r="E61" s="364">
        <v>12</v>
      </c>
      <c r="F61" s="389" t="str">
        <f>IF($C61="","",E61*VLOOKUP($C61,MINIPELLE!$A$2:$D$28,4,0))</f>
        <v/>
      </c>
      <c r="G61" s="364">
        <v>12</v>
      </c>
      <c r="H61" s="389" t="str">
        <f>IF($C61="","",G61*VLOOKUP($C61,MINIPELLE!$A$2:$D$28,4,0))</f>
        <v/>
      </c>
      <c r="I61" s="364">
        <v>12</v>
      </c>
      <c r="J61" s="389" t="str">
        <f>IF($C61="","",I61*VLOOKUP($C61,MINIPELLE!$A$2:$D$28,4,0))</f>
        <v/>
      </c>
      <c r="K61" s="364">
        <v>12</v>
      </c>
      <c r="L61" s="389" t="str">
        <f>IF($C61="","",K61*VLOOKUP($C61,MINIPELLE!$A$2:$D$28,4,0))</f>
        <v/>
      </c>
      <c r="M61" s="364">
        <v>12</v>
      </c>
      <c r="N61" s="389" t="str">
        <f>IF($C61="","",M61*VLOOKUP($C61,MINIPELLE!$A$2:$D$28,4,0))</f>
        <v/>
      </c>
      <c r="O61" s="364">
        <v>12</v>
      </c>
      <c r="P61" s="389" t="str">
        <f>IF($C61="","",O61*VLOOKUP($C61,MINIPELLE!$A$2:$D$28,4,0))</f>
        <v/>
      </c>
      <c r="Q61" s="364">
        <v>12</v>
      </c>
      <c r="R61" s="389" t="str">
        <f>IF($C61="","",Q61*VLOOKUP($C61,MINIPELLE!$A$2:$D$28,4,0))</f>
        <v/>
      </c>
      <c r="S61" s="364">
        <v>12</v>
      </c>
      <c r="T61" s="389" t="str">
        <f>IF($C61="","",S61*VLOOKUP($C61,MINIPELLE!$A$2:$D$28,4,0))</f>
        <v/>
      </c>
      <c r="U61" s="364">
        <v>12</v>
      </c>
      <c r="V61" s="389" t="str">
        <f>IF($C61="","",U61*VLOOKUP($C61,MINIPELLE!$A$2:$D$28,4,0))</f>
        <v/>
      </c>
      <c r="W61" s="364">
        <v>12</v>
      </c>
      <c r="X61" s="389" t="str">
        <f>IF($C61="","",W61*VLOOKUP($C61,MINIPELLE!$A$2:$D$28,4,0))</f>
        <v/>
      </c>
      <c r="Y61" s="364">
        <v>12</v>
      </c>
      <c r="Z61" s="389" t="str">
        <f>IF($C61="","",Y61*VLOOKUP($C61,MINIPELLE!$A$2:$D$28,4,0))</f>
        <v/>
      </c>
      <c r="AA61" s="364">
        <v>12</v>
      </c>
      <c r="AB61" s="389" t="str">
        <f>IF($C61="","",AA61*VLOOKUP($C61,MINIPELLE!$A$2:$D$28,4,0))</f>
        <v/>
      </c>
      <c r="AC61" s="364">
        <v>12</v>
      </c>
      <c r="AD61" s="389" t="str">
        <f>IF($C61="","",AC61*VLOOKUP($C61,MINIPELLE!$A$2:$D$28,4,0))</f>
        <v/>
      </c>
      <c r="AE61" s="364">
        <v>12</v>
      </c>
      <c r="AF61" s="389" t="str">
        <f>IF($C61="","",AE61*VLOOKUP($C61,MINIPELLE!$A$2:$D$28,4,0))</f>
        <v/>
      </c>
      <c r="AG61" s="364">
        <v>12</v>
      </c>
      <c r="AH61" s="389" t="str">
        <f>IF($C61="","",AG61*VLOOKUP($C61,MINIPELLE!$A$2:$D$28,4,0))</f>
        <v/>
      </c>
      <c r="AI61" s="364">
        <v>12</v>
      </c>
      <c r="AJ61" s="389" t="str">
        <f>IF($C61="","",AI61*VLOOKUP($C61,MINIPELLE!$A$2:$D$28,4,0))</f>
        <v/>
      </c>
      <c r="AK61" s="364">
        <v>12</v>
      </c>
      <c r="AL61" s="389" t="str">
        <f>IF($C61="","",AK61*VLOOKUP($C61,MINIPELLE!$A$2:$D$28,4,0))</f>
        <v/>
      </c>
      <c r="AM61" s="364">
        <v>12</v>
      </c>
      <c r="AN61" s="389" t="str">
        <f>IF($C61="","",AM61*VLOOKUP($C61,MINIPELLE!$A$2:$D$28,4,0))</f>
        <v/>
      </c>
    </row>
    <row r="62" spans="1:42" ht="29.25" customHeight="1" x14ac:dyDescent="0.2">
      <c r="A62" s="1560"/>
      <c r="B62" s="384" t="s">
        <v>454</v>
      </c>
      <c r="C62" s="385" t="s">
        <v>455</v>
      </c>
      <c r="D62" s="386" t="s">
        <v>451</v>
      </c>
      <c r="E62" s="387">
        <f>F62*Simulation!$P$10</f>
        <v>4</v>
      </c>
      <c r="F62" s="388">
        <f>SUM(F51:F61)</f>
        <v>0.05</v>
      </c>
      <c r="G62" s="387">
        <f>H62*Simulation!$P$10</f>
        <v>4</v>
      </c>
      <c r="H62" s="388">
        <f>SUM(H51:H61)</f>
        <v>0.05</v>
      </c>
      <c r="I62" s="387">
        <f>J62*Simulation!$P$10</f>
        <v>4</v>
      </c>
      <c r="J62" s="388">
        <f>SUM(J51:J61)</f>
        <v>0.05</v>
      </c>
      <c r="K62" s="387">
        <f>L62*Simulation!$P$10</f>
        <v>4</v>
      </c>
      <c r="L62" s="388">
        <f>SUM(L51:L61)</f>
        <v>0.05</v>
      </c>
      <c r="M62" s="387">
        <f>N62*Simulation!$P$10</f>
        <v>4</v>
      </c>
      <c r="N62" s="388">
        <f>SUM(N51:N61)</f>
        <v>0.05</v>
      </c>
      <c r="O62" s="387">
        <f>P62*Simulation!$P$10</f>
        <v>4</v>
      </c>
      <c r="P62" s="388">
        <f>SUM(P51:P61)</f>
        <v>0.05</v>
      </c>
      <c r="Q62" s="387">
        <f>R62*Simulation!$P$10</f>
        <v>4</v>
      </c>
      <c r="R62" s="388">
        <f>SUM(R51:R61)</f>
        <v>0.05</v>
      </c>
      <c r="S62" s="387">
        <f>T62*Simulation!$P$10</f>
        <v>4</v>
      </c>
      <c r="T62" s="388">
        <f>SUM(T51:T61)</f>
        <v>0.05</v>
      </c>
      <c r="U62" s="387">
        <f>V62*Simulation!$P$10</f>
        <v>4</v>
      </c>
      <c r="V62" s="388">
        <f>SUM(V51:V61)</f>
        <v>0.05</v>
      </c>
      <c r="W62" s="387">
        <f>X62*Simulation!$P$10</f>
        <v>4</v>
      </c>
      <c r="X62" s="388">
        <f>SUM(X51:X61)</f>
        <v>0.05</v>
      </c>
      <c r="Y62" s="387">
        <f>Z62*Simulation!$P$10</f>
        <v>4</v>
      </c>
      <c r="Z62" s="388">
        <f>SUM(Z51:Z61)</f>
        <v>0.05</v>
      </c>
      <c r="AA62" s="387">
        <f>AB62*Simulation!$P$10</f>
        <v>4</v>
      </c>
      <c r="AB62" s="388">
        <f>SUM(AB51:AB61)</f>
        <v>0.05</v>
      </c>
      <c r="AC62" s="387">
        <f>AD62*Simulation!$P$10</f>
        <v>4</v>
      </c>
      <c r="AD62" s="388">
        <f>SUM(AD51:AD61)</f>
        <v>0.05</v>
      </c>
      <c r="AE62" s="387">
        <f>AF62*Simulation!$P$10</f>
        <v>4</v>
      </c>
      <c r="AF62" s="388">
        <f>SUM(AF51:AF61)</f>
        <v>0.05</v>
      </c>
      <c r="AG62" s="387">
        <f>AH62*Simulation!$P$10</f>
        <v>4</v>
      </c>
      <c r="AH62" s="388">
        <f>SUM(AH51:AH61)</f>
        <v>0.05</v>
      </c>
      <c r="AI62" s="387">
        <f>AJ62*Simulation!$P$10</f>
        <v>4</v>
      </c>
      <c r="AJ62" s="388">
        <f>SUM(AJ51:AJ61)</f>
        <v>0.05</v>
      </c>
      <c r="AK62" s="387">
        <f>AL62*Simulation!$P$10</f>
        <v>4</v>
      </c>
      <c r="AL62" s="388">
        <f>SUM(AL51:AL61)</f>
        <v>0.05</v>
      </c>
      <c r="AM62" s="387">
        <f>AN62*Simulation!$P$10</f>
        <v>4</v>
      </c>
      <c r="AN62" s="388">
        <f>SUM(AN51:AN61)</f>
        <v>0.05</v>
      </c>
    </row>
    <row r="63" spans="1:42" x14ac:dyDescent="0.2">
      <c r="A63" s="199"/>
      <c r="B63" s="172"/>
      <c r="C63" s="200"/>
      <c r="D63" s="201"/>
      <c r="E63" s="202"/>
      <c r="F63" s="203"/>
      <c r="G63" s="202"/>
      <c r="H63" s="203"/>
      <c r="I63" s="202"/>
      <c r="J63" s="203"/>
      <c r="K63" s="202"/>
      <c r="L63" s="203"/>
      <c r="M63" s="202"/>
      <c r="N63" s="203"/>
      <c r="O63" s="202"/>
      <c r="P63" s="203"/>
      <c r="Q63" s="202"/>
      <c r="R63" s="203"/>
      <c r="S63" s="202"/>
      <c r="T63" s="203"/>
      <c r="U63" s="202"/>
      <c r="V63" s="203"/>
      <c r="W63" s="202"/>
      <c r="X63" s="203"/>
      <c r="Y63" s="202"/>
      <c r="Z63" s="203"/>
      <c r="AA63" s="202"/>
      <c r="AB63" s="203"/>
      <c r="AC63" s="202"/>
      <c r="AD63" s="203"/>
      <c r="AE63" s="202"/>
      <c r="AF63" s="203"/>
      <c r="AG63" s="202"/>
      <c r="AH63" s="203"/>
      <c r="AI63" s="202"/>
      <c r="AJ63" s="203"/>
      <c r="AK63" s="202"/>
      <c r="AL63" s="203"/>
      <c r="AM63" s="202"/>
      <c r="AN63" s="203"/>
    </row>
    <row r="64" spans="1:42" ht="36" customHeight="1" x14ac:dyDescent="0.2">
      <c r="A64" s="204"/>
      <c r="B64" s="1561" t="s">
        <v>456</v>
      </c>
      <c r="C64" s="1564" t="s">
        <v>445</v>
      </c>
      <c r="D64" s="1564"/>
      <c r="E64" s="1547" t="e">
        <f>E62+E50+E38+E26</f>
        <v>#N/A</v>
      </c>
      <c r="F64" s="1547"/>
      <c r="G64" s="1547" t="e">
        <f>G62+G50+G38+G26</f>
        <v>#N/A</v>
      </c>
      <c r="H64" s="1547"/>
      <c r="I64" s="1547" t="e">
        <f>I62+I50+I38+I26</f>
        <v>#N/A</v>
      </c>
      <c r="J64" s="1547"/>
      <c r="K64" s="1547" t="e">
        <f>K62+K50+K38+K26</f>
        <v>#N/A</v>
      </c>
      <c r="L64" s="1547"/>
      <c r="M64" s="1547" t="e">
        <f>M62+M50+M38+M26</f>
        <v>#N/A</v>
      </c>
      <c r="N64" s="1547"/>
      <c r="O64" s="1547" t="e">
        <f>O62+O50+O38+O26</f>
        <v>#N/A</v>
      </c>
      <c r="P64" s="1547"/>
      <c r="Q64" s="1547" t="e">
        <f>Q62+Q50+Q38+Q26</f>
        <v>#N/A</v>
      </c>
      <c r="R64" s="1547"/>
      <c r="S64" s="1547" t="e">
        <f>S62+S50+S38+S26</f>
        <v>#N/A</v>
      </c>
      <c r="T64" s="1547"/>
      <c r="U64" s="1547" t="e">
        <f>U62+U50+U38+U26</f>
        <v>#N/A</v>
      </c>
      <c r="V64" s="1547"/>
      <c r="W64" s="1547" t="e">
        <f>W62+W50+W38+W26</f>
        <v>#N/A</v>
      </c>
      <c r="X64" s="1547"/>
      <c r="Y64" s="1547" t="e">
        <f>Y62+Y50+Y38+Y26</f>
        <v>#N/A</v>
      </c>
      <c r="Z64" s="1547"/>
      <c r="AA64" s="1547" t="e">
        <f>AA62+AA50+AA38+AA26</f>
        <v>#N/A</v>
      </c>
      <c r="AB64" s="1547"/>
      <c r="AC64" s="1547" t="e">
        <f>AC62+AC50+AC38+AC26</f>
        <v>#N/A</v>
      </c>
      <c r="AD64" s="1547"/>
      <c r="AE64" s="1547" t="e">
        <f>AE62+AE50+AE38+AE26</f>
        <v>#N/A</v>
      </c>
      <c r="AF64" s="1547"/>
      <c r="AG64" s="1547" t="e">
        <f>AG62+AG50+AG38+AG26</f>
        <v>#N/A</v>
      </c>
      <c r="AH64" s="1547"/>
      <c r="AI64" s="1547" t="e">
        <f>AI62+AI50+AI38+AI26</f>
        <v>#N/A</v>
      </c>
      <c r="AJ64" s="1547"/>
      <c r="AK64" s="1547" t="e">
        <f>AK62+AK50+AK38+AK26</f>
        <v>#N/A</v>
      </c>
      <c r="AL64" s="1547"/>
      <c r="AM64" s="1547" t="e">
        <f>AM62+AM50+AM38+AM26</f>
        <v>#N/A</v>
      </c>
      <c r="AN64" s="1547"/>
    </row>
    <row r="65" spans="1:42" ht="18" customHeight="1" x14ac:dyDescent="0.2">
      <c r="A65" s="154"/>
      <c r="B65" s="1562"/>
      <c r="C65" s="1565" t="s">
        <v>457</v>
      </c>
      <c r="D65" s="1565"/>
      <c r="E65" s="149">
        <f>E26-F26</f>
        <v>0</v>
      </c>
      <c r="F65" s="207" t="e">
        <f>E65/E$64</f>
        <v>#N/A</v>
      </c>
      <c r="G65" s="149">
        <f>G26-H26</f>
        <v>0</v>
      </c>
      <c r="H65" s="207" t="e">
        <f>G65/G$64</f>
        <v>#N/A</v>
      </c>
      <c r="I65" s="149">
        <f>I26-J26</f>
        <v>0</v>
      </c>
      <c r="J65" s="207" t="e">
        <f>I65/I$64</f>
        <v>#N/A</v>
      </c>
      <c r="K65" s="149">
        <f>K26-L26</f>
        <v>0</v>
      </c>
      <c r="L65" s="207" t="e">
        <f>K65/K$64</f>
        <v>#N/A</v>
      </c>
      <c r="M65" s="149">
        <f>M26-N26</f>
        <v>0</v>
      </c>
      <c r="N65" s="207" t="e">
        <f>M65/M$64</f>
        <v>#N/A</v>
      </c>
      <c r="O65" s="149">
        <f>O26-P26</f>
        <v>0</v>
      </c>
      <c r="P65" s="207" t="e">
        <f>O65/O$64</f>
        <v>#N/A</v>
      </c>
      <c r="Q65" s="149">
        <f>Q26-R26</f>
        <v>0</v>
      </c>
      <c r="R65" s="207" t="e">
        <f>Q65/Q$64</f>
        <v>#N/A</v>
      </c>
      <c r="S65" s="149">
        <f>S26-T26</f>
        <v>0</v>
      </c>
      <c r="T65" s="207" t="e">
        <f>S65/S$64</f>
        <v>#N/A</v>
      </c>
      <c r="U65" s="149">
        <f>U26-V26</f>
        <v>0</v>
      </c>
      <c r="V65" s="207" t="e">
        <f>U65/U$64</f>
        <v>#N/A</v>
      </c>
      <c r="W65" s="149">
        <f>W26-X26</f>
        <v>0</v>
      </c>
      <c r="X65" s="207" t="e">
        <f>W65/W$64</f>
        <v>#N/A</v>
      </c>
      <c r="Y65" s="149">
        <f>Y26-Z26</f>
        <v>0</v>
      </c>
      <c r="Z65" s="207" t="e">
        <f>Y65/Y$64</f>
        <v>#N/A</v>
      </c>
      <c r="AA65" s="149">
        <f>AA26-AB26</f>
        <v>0</v>
      </c>
      <c r="AB65" s="207" t="e">
        <f>AA65/AA$64</f>
        <v>#N/A</v>
      </c>
      <c r="AC65" s="149">
        <f>AC26-AD26</f>
        <v>0</v>
      </c>
      <c r="AD65" s="207" t="e">
        <f>AC65/AC$64</f>
        <v>#N/A</v>
      </c>
      <c r="AE65" s="149">
        <f>AE26-AF26</f>
        <v>0</v>
      </c>
      <c r="AF65" s="207" t="e">
        <f>AE65/AE$64</f>
        <v>#N/A</v>
      </c>
      <c r="AG65" s="149">
        <f>AG26-AH26</f>
        <v>0</v>
      </c>
      <c r="AH65" s="207" t="e">
        <f>AG65/AG$64</f>
        <v>#N/A</v>
      </c>
      <c r="AI65" s="149">
        <f>AI26-AJ26</f>
        <v>0</v>
      </c>
      <c r="AJ65" s="207" t="e">
        <f>AI65/AI$64</f>
        <v>#N/A</v>
      </c>
      <c r="AK65" s="149">
        <f>AK26-AL26</f>
        <v>0</v>
      </c>
      <c r="AL65" s="207" t="e">
        <f>AK65/AK$64</f>
        <v>#N/A</v>
      </c>
      <c r="AM65" s="149">
        <f>AM26-AN26</f>
        <v>0</v>
      </c>
      <c r="AN65" s="207" t="e">
        <f>AM65/AM$64</f>
        <v>#N/A</v>
      </c>
    </row>
    <row r="66" spans="1:42" ht="18" customHeight="1" x14ac:dyDescent="0.2">
      <c r="A66" s="154"/>
      <c r="B66" s="1562"/>
      <c r="C66" s="1565" t="s">
        <v>9</v>
      </c>
      <c r="D66" s="1565"/>
      <c r="E66" s="149">
        <f>E26</f>
        <v>0</v>
      </c>
      <c r="F66" s="207" t="e">
        <f>E66/E$64</f>
        <v>#N/A</v>
      </c>
      <c r="G66" s="149">
        <f>G26</f>
        <v>0</v>
      </c>
      <c r="H66" s="207" t="e">
        <f>G66/G$64</f>
        <v>#N/A</v>
      </c>
      <c r="I66" s="149">
        <f>I26</f>
        <v>0</v>
      </c>
      <c r="J66" s="207" t="e">
        <f>I66/I$64</f>
        <v>#N/A</v>
      </c>
      <c r="K66" s="149">
        <f>K26</f>
        <v>0</v>
      </c>
      <c r="L66" s="207" t="e">
        <f>K66/K$64</f>
        <v>#N/A</v>
      </c>
      <c r="M66" s="149">
        <f>M26</f>
        <v>0</v>
      </c>
      <c r="N66" s="207" t="e">
        <f>M66/M$64</f>
        <v>#N/A</v>
      </c>
      <c r="O66" s="149">
        <f>O26</f>
        <v>0</v>
      </c>
      <c r="P66" s="207" t="e">
        <f>O66/O$64</f>
        <v>#N/A</v>
      </c>
      <c r="Q66" s="149">
        <f>Q26</f>
        <v>0</v>
      </c>
      <c r="R66" s="207" t="e">
        <f>Q66/Q$64</f>
        <v>#N/A</v>
      </c>
      <c r="S66" s="149">
        <f>S26</f>
        <v>0</v>
      </c>
      <c r="T66" s="207" t="e">
        <f>S66/S$64</f>
        <v>#N/A</v>
      </c>
      <c r="U66" s="149">
        <f>U26</f>
        <v>0</v>
      </c>
      <c r="V66" s="207" t="e">
        <f>U66/U$64</f>
        <v>#N/A</v>
      </c>
      <c r="W66" s="149">
        <f>W26</f>
        <v>0</v>
      </c>
      <c r="X66" s="207" t="e">
        <f>W66/W$64</f>
        <v>#N/A</v>
      </c>
      <c r="Y66" s="149">
        <f>Y26</f>
        <v>0</v>
      </c>
      <c r="Z66" s="207" t="e">
        <f>Y66/Y$64</f>
        <v>#N/A</v>
      </c>
      <c r="AA66" s="149">
        <f>AA26</f>
        <v>0</v>
      </c>
      <c r="AB66" s="207" t="e">
        <f>AA66/AA$64</f>
        <v>#N/A</v>
      </c>
      <c r="AC66" s="149">
        <f>AC26</f>
        <v>0</v>
      </c>
      <c r="AD66" s="207" t="e">
        <f>AC66/AC$64</f>
        <v>#N/A</v>
      </c>
      <c r="AE66" s="149">
        <f>AE26</f>
        <v>0</v>
      </c>
      <c r="AF66" s="207" t="e">
        <f>AE66/AE$64</f>
        <v>#N/A</v>
      </c>
      <c r="AG66" s="149">
        <f>AG26</f>
        <v>0</v>
      </c>
      <c r="AH66" s="207" t="e">
        <f>AG66/AG$64</f>
        <v>#N/A</v>
      </c>
      <c r="AI66" s="149">
        <f>AI26</f>
        <v>0</v>
      </c>
      <c r="AJ66" s="207" t="e">
        <f>AI66/AI$64</f>
        <v>#N/A</v>
      </c>
      <c r="AK66" s="149">
        <f>AK26</f>
        <v>0</v>
      </c>
      <c r="AL66" s="207" t="e">
        <f>AK66/AK$64</f>
        <v>#N/A</v>
      </c>
      <c r="AM66" s="149">
        <f>AM26</f>
        <v>0</v>
      </c>
      <c r="AN66" s="207" t="e">
        <f>AM66/AM$64</f>
        <v>#N/A</v>
      </c>
    </row>
    <row r="67" spans="1:42" ht="18" customHeight="1" x14ac:dyDescent="0.2">
      <c r="A67" s="154"/>
      <c r="B67" s="1562"/>
      <c r="C67" s="1565" t="s">
        <v>458</v>
      </c>
      <c r="D67" s="1565"/>
      <c r="E67" s="149" t="e">
        <f>E38</f>
        <v>#N/A</v>
      </c>
      <c r="F67" s="207" t="e">
        <f>E67/E$64</f>
        <v>#N/A</v>
      </c>
      <c r="G67" s="149" t="e">
        <f>G38</f>
        <v>#N/A</v>
      </c>
      <c r="H67" s="207" t="e">
        <f>G67/G$64</f>
        <v>#N/A</v>
      </c>
      <c r="I67" s="149" t="e">
        <f>I38</f>
        <v>#N/A</v>
      </c>
      <c r="J67" s="207" t="e">
        <f>I67/I$64</f>
        <v>#N/A</v>
      </c>
      <c r="K67" s="149" t="e">
        <f>K38</f>
        <v>#N/A</v>
      </c>
      <c r="L67" s="207" t="e">
        <f>K67/K$64</f>
        <v>#N/A</v>
      </c>
      <c r="M67" s="149" t="e">
        <f>M38</f>
        <v>#N/A</v>
      </c>
      <c r="N67" s="207" t="e">
        <f>M67/M$64</f>
        <v>#N/A</v>
      </c>
      <c r="O67" s="149" t="e">
        <f>O38</f>
        <v>#N/A</v>
      </c>
      <c r="P67" s="207" t="e">
        <f>O67/O$64</f>
        <v>#N/A</v>
      </c>
      <c r="Q67" s="149" t="e">
        <f>Q38</f>
        <v>#N/A</v>
      </c>
      <c r="R67" s="207" t="e">
        <f>Q67/Q$64</f>
        <v>#N/A</v>
      </c>
      <c r="S67" s="149" t="e">
        <f>S38</f>
        <v>#N/A</v>
      </c>
      <c r="T67" s="207" t="e">
        <f>S67/S$64</f>
        <v>#N/A</v>
      </c>
      <c r="U67" s="149" t="e">
        <f>U38</f>
        <v>#N/A</v>
      </c>
      <c r="V67" s="207" t="e">
        <f>U67/U$64</f>
        <v>#N/A</v>
      </c>
      <c r="W67" s="149" t="e">
        <f>W38</f>
        <v>#N/A</v>
      </c>
      <c r="X67" s="207" t="e">
        <f>W67/W$64</f>
        <v>#N/A</v>
      </c>
      <c r="Y67" s="149" t="e">
        <f>Y38</f>
        <v>#N/A</v>
      </c>
      <c r="Z67" s="207" t="e">
        <f>Y67/Y$64</f>
        <v>#N/A</v>
      </c>
      <c r="AA67" s="149" t="e">
        <f>AA38</f>
        <v>#N/A</v>
      </c>
      <c r="AB67" s="207" t="e">
        <f>AA67/AA$64</f>
        <v>#N/A</v>
      </c>
      <c r="AC67" s="149" t="e">
        <f>AC38</f>
        <v>#N/A</v>
      </c>
      <c r="AD67" s="207" t="e">
        <f>AC67/AC$64</f>
        <v>#N/A</v>
      </c>
      <c r="AE67" s="149" t="e">
        <f>AE38</f>
        <v>#N/A</v>
      </c>
      <c r="AF67" s="207" t="e">
        <f>AE67/AE$64</f>
        <v>#N/A</v>
      </c>
      <c r="AG67" s="149" t="e">
        <f>AG38</f>
        <v>#N/A</v>
      </c>
      <c r="AH67" s="207" t="e">
        <f>AG67/AG$64</f>
        <v>#N/A</v>
      </c>
      <c r="AI67" s="149" t="e">
        <f>AI38</f>
        <v>#N/A</v>
      </c>
      <c r="AJ67" s="207" t="e">
        <f>AI67/AI$64</f>
        <v>#N/A</v>
      </c>
      <c r="AK67" s="149" t="e">
        <f>AK38</f>
        <v>#N/A</v>
      </c>
      <c r="AL67" s="207" t="e">
        <f>AK67/AK$64</f>
        <v>#N/A</v>
      </c>
      <c r="AM67" s="149" t="e">
        <f>AM38</f>
        <v>#N/A</v>
      </c>
      <c r="AN67" s="207" t="e">
        <f>AM67/AM$64</f>
        <v>#N/A</v>
      </c>
    </row>
    <row r="68" spans="1:42" ht="18" customHeight="1" x14ac:dyDescent="0.2">
      <c r="A68" s="154"/>
      <c r="B68" s="1562"/>
      <c r="C68" s="1565" t="s">
        <v>459</v>
      </c>
      <c r="D68" s="1565"/>
      <c r="E68" s="149">
        <f>E50</f>
        <v>11.25</v>
      </c>
      <c r="F68" s="207" t="e">
        <f>E68/E$64</f>
        <v>#N/A</v>
      </c>
      <c r="G68" s="149">
        <f>G50</f>
        <v>22.5</v>
      </c>
      <c r="H68" s="207" t="e">
        <f>G68/G$64</f>
        <v>#N/A</v>
      </c>
      <c r="I68" s="149">
        <f>I50</f>
        <v>33.75</v>
      </c>
      <c r="J68" s="207" t="e">
        <f>I68/I$64</f>
        <v>#N/A</v>
      </c>
      <c r="K68" s="149">
        <f>K50</f>
        <v>45</v>
      </c>
      <c r="L68" s="207" t="e">
        <f>K68/K$64</f>
        <v>#N/A</v>
      </c>
      <c r="M68" s="149">
        <f>M50</f>
        <v>56.25</v>
      </c>
      <c r="N68" s="207" t="e">
        <f>M68/M$64</f>
        <v>#N/A</v>
      </c>
      <c r="O68" s="149">
        <f>O50</f>
        <v>67.5</v>
      </c>
      <c r="P68" s="207" t="e">
        <f>O68/O$64</f>
        <v>#N/A</v>
      </c>
      <c r="Q68" s="149">
        <f>Q50</f>
        <v>78.75</v>
      </c>
      <c r="R68" s="207" t="e">
        <f>Q68/Q$64</f>
        <v>#N/A</v>
      </c>
      <c r="S68" s="149">
        <f>S50</f>
        <v>90</v>
      </c>
      <c r="T68" s="207" t="e">
        <f>S68/S$64</f>
        <v>#N/A</v>
      </c>
      <c r="U68" s="149">
        <f>U50</f>
        <v>101.25</v>
      </c>
      <c r="V68" s="207" t="e">
        <f>U68/U$64</f>
        <v>#N/A</v>
      </c>
      <c r="W68" s="149">
        <f>W50</f>
        <v>112.5</v>
      </c>
      <c r="X68" s="207" t="e">
        <f>W68/W$64</f>
        <v>#N/A</v>
      </c>
      <c r="Y68" s="149">
        <f>Y50</f>
        <v>123.75</v>
      </c>
      <c r="Z68" s="207" t="e">
        <f>Y68/Y$64</f>
        <v>#N/A</v>
      </c>
      <c r="AA68" s="149">
        <f>AA50</f>
        <v>135</v>
      </c>
      <c r="AB68" s="207" t="e">
        <f>AA68/AA$64</f>
        <v>#N/A</v>
      </c>
      <c r="AC68" s="149">
        <f>AC50</f>
        <v>146.25</v>
      </c>
      <c r="AD68" s="207" t="e">
        <f>AC68/AC$64</f>
        <v>#N/A</v>
      </c>
      <c r="AE68" s="149">
        <f>AE50</f>
        <v>157.5</v>
      </c>
      <c r="AF68" s="207" t="e">
        <f>AE68/AE$64</f>
        <v>#N/A</v>
      </c>
      <c r="AG68" s="149">
        <f>AG50</f>
        <v>168.75</v>
      </c>
      <c r="AH68" s="207" t="e">
        <f>AG68/AG$64</f>
        <v>#N/A</v>
      </c>
      <c r="AI68" s="149">
        <f>AI50</f>
        <v>180</v>
      </c>
      <c r="AJ68" s="207" t="e">
        <f>AI68/AI$64</f>
        <v>#N/A</v>
      </c>
      <c r="AK68" s="149">
        <f>AK50</f>
        <v>191.25</v>
      </c>
      <c r="AL68" s="207" t="e">
        <f>AK68/AK$64</f>
        <v>#N/A</v>
      </c>
      <c r="AM68" s="149">
        <f>AM50</f>
        <v>202.5</v>
      </c>
      <c r="AN68" s="207" t="e">
        <f>AM68/AM$64</f>
        <v>#N/A</v>
      </c>
    </row>
    <row r="69" spans="1:42" ht="18" customHeight="1" x14ac:dyDescent="0.2">
      <c r="A69" s="154"/>
      <c r="B69" s="1563"/>
      <c r="C69" s="1565" t="s">
        <v>5</v>
      </c>
      <c r="D69" s="1565"/>
      <c r="E69" s="149">
        <f>E62</f>
        <v>4</v>
      </c>
      <c r="F69" s="207" t="e">
        <f>E69/E$64</f>
        <v>#N/A</v>
      </c>
      <c r="G69" s="149">
        <f>G62</f>
        <v>4</v>
      </c>
      <c r="H69" s="207" t="e">
        <f>G69/G$64</f>
        <v>#N/A</v>
      </c>
      <c r="I69" s="149">
        <f>I62</f>
        <v>4</v>
      </c>
      <c r="J69" s="207" t="e">
        <f>I69/I$64</f>
        <v>#N/A</v>
      </c>
      <c r="K69" s="149">
        <f>K62</f>
        <v>4</v>
      </c>
      <c r="L69" s="207" t="e">
        <f>K69/K$64</f>
        <v>#N/A</v>
      </c>
      <c r="M69" s="149">
        <f>M62</f>
        <v>4</v>
      </c>
      <c r="N69" s="207" t="e">
        <f>M69/M$64</f>
        <v>#N/A</v>
      </c>
      <c r="O69" s="149">
        <f>O62</f>
        <v>4</v>
      </c>
      <c r="P69" s="207" t="e">
        <f>O69/O$64</f>
        <v>#N/A</v>
      </c>
      <c r="Q69" s="149">
        <f>Q62</f>
        <v>4</v>
      </c>
      <c r="R69" s="207" t="e">
        <f>Q69/Q$64</f>
        <v>#N/A</v>
      </c>
      <c r="S69" s="149">
        <f>S62</f>
        <v>4</v>
      </c>
      <c r="T69" s="207" t="e">
        <f>S69/S$64</f>
        <v>#N/A</v>
      </c>
      <c r="U69" s="149">
        <f>U62</f>
        <v>4</v>
      </c>
      <c r="V69" s="207" t="e">
        <f>U69/U$64</f>
        <v>#N/A</v>
      </c>
      <c r="W69" s="149">
        <f>W62</f>
        <v>4</v>
      </c>
      <c r="X69" s="207" t="e">
        <f>W69/W$64</f>
        <v>#N/A</v>
      </c>
      <c r="Y69" s="149">
        <f>Y62</f>
        <v>4</v>
      </c>
      <c r="Z69" s="207" t="e">
        <f>Y69/Y$64</f>
        <v>#N/A</v>
      </c>
      <c r="AA69" s="149">
        <f>AA62</f>
        <v>4</v>
      </c>
      <c r="AB69" s="207" t="e">
        <f>AA69/AA$64</f>
        <v>#N/A</v>
      </c>
      <c r="AC69" s="149">
        <f>AC62</f>
        <v>4</v>
      </c>
      <c r="AD69" s="207" t="e">
        <f>AC69/AC$64</f>
        <v>#N/A</v>
      </c>
      <c r="AE69" s="149">
        <f>AE62</f>
        <v>4</v>
      </c>
      <c r="AF69" s="207" t="e">
        <f>AE69/AE$64</f>
        <v>#N/A</v>
      </c>
      <c r="AG69" s="149">
        <f>AG62</f>
        <v>4</v>
      </c>
      <c r="AH69" s="207" t="e">
        <f>AG69/AG$64</f>
        <v>#N/A</v>
      </c>
      <c r="AI69" s="149">
        <f>AI62</f>
        <v>4</v>
      </c>
      <c r="AJ69" s="207" t="e">
        <f>AI69/AI$64</f>
        <v>#N/A</v>
      </c>
      <c r="AK69" s="149">
        <f>AK62</f>
        <v>4</v>
      </c>
      <c r="AL69" s="207" t="e">
        <f>AK69/AK$64</f>
        <v>#N/A</v>
      </c>
      <c r="AM69" s="149">
        <f>AM62</f>
        <v>4</v>
      </c>
      <c r="AN69" s="207" t="e">
        <f>AM69/AM$64</f>
        <v>#N/A</v>
      </c>
    </row>
    <row r="70" spans="1:42" x14ac:dyDescent="0.2">
      <c r="A70" s="154"/>
      <c r="B70" s="172"/>
      <c r="C70" s="154"/>
      <c r="D70" s="227"/>
      <c r="E70" s="154"/>
      <c r="F70" s="154"/>
      <c r="G70" s="154"/>
      <c r="H70" s="154"/>
      <c r="I70" s="154"/>
      <c r="J70" s="154"/>
      <c r="K70" s="154"/>
      <c r="L70" s="154"/>
      <c r="M70" s="154"/>
      <c r="N70" s="154"/>
      <c r="O70" s="154"/>
      <c r="P70" s="154"/>
      <c r="Q70" s="228"/>
      <c r="R70" s="229"/>
      <c r="S70" s="154"/>
      <c r="T70" s="230"/>
      <c r="U70" s="154"/>
      <c r="V70" s="154"/>
      <c r="W70" s="154"/>
      <c r="X70" s="154"/>
      <c r="Y70" s="154"/>
      <c r="Z70" s="154"/>
      <c r="AA70" s="154"/>
      <c r="AB70" s="154"/>
      <c r="AC70" s="154"/>
      <c r="AD70" s="154"/>
      <c r="AE70" s="154"/>
      <c r="AF70" s="154"/>
      <c r="AG70" s="154"/>
      <c r="AH70" s="154"/>
      <c r="AI70" s="154"/>
      <c r="AJ70" s="154"/>
      <c r="AK70" s="154"/>
      <c r="AL70" s="154"/>
      <c r="AM70" s="154"/>
      <c r="AN70" s="154"/>
      <c r="AO70" s="154"/>
      <c r="AP70" s="154"/>
    </row>
    <row r="71" spans="1:42" x14ac:dyDescent="0.2">
      <c r="A71" s="154"/>
      <c r="B71" s="172"/>
      <c r="C71" s="154"/>
      <c r="D71" s="227"/>
      <c r="E71" s="154"/>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c r="AD71" s="154"/>
      <c r="AE71" s="154"/>
      <c r="AF71" s="154"/>
      <c r="AG71" s="154"/>
      <c r="AH71" s="154"/>
      <c r="AI71" s="154"/>
      <c r="AJ71" s="154"/>
      <c r="AK71" s="154"/>
      <c r="AL71" s="154"/>
      <c r="AM71" s="154"/>
      <c r="AN71" s="154"/>
      <c r="AO71" s="154"/>
      <c r="AP71" s="154"/>
    </row>
    <row r="72" spans="1:42" ht="15" customHeight="1" x14ac:dyDescent="0.2">
      <c r="A72" s="154"/>
      <c r="B72" s="172"/>
      <c r="C72" s="154"/>
      <c r="D72" s="227"/>
      <c r="E72" s="154"/>
      <c r="F72" s="154"/>
      <c r="G72" s="154"/>
      <c r="H72" s="154"/>
      <c r="I72" s="154"/>
      <c r="J72" s="154"/>
      <c r="K72" s="154"/>
      <c r="L72" s="154"/>
      <c r="M72" s="154"/>
      <c r="N72" s="154"/>
      <c r="O72" s="154"/>
      <c r="P72" s="154"/>
      <c r="Q72" s="154"/>
      <c r="R72" s="154"/>
      <c r="S72" s="154"/>
      <c r="T72" s="154"/>
      <c r="U72" s="154"/>
      <c r="V72" s="154"/>
      <c r="W72" s="154"/>
      <c r="X72" s="154"/>
      <c r="Y72" s="154"/>
      <c r="Z72" s="154"/>
      <c r="AA72" s="154"/>
      <c r="AB72" s="154"/>
      <c r="AC72" s="154"/>
      <c r="AD72" s="154"/>
      <c r="AE72" s="154"/>
      <c r="AF72" s="154"/>
      <c r="AG72" s="154"/>
      <c r="AH72" s="154"/>
      <c r="AI72" s="154"/>
      <c r="AJ72" s="154"/>
      <c r="AK72" s="154"/>
      <c r="AL72" s="154"/>
      <c r="AM72" s="154"/>
      <c r="AN72" s="154"/>
      <c r="AO72" s="154"/>
      <c r="AP72" s="154"/>
    </row>
    <row r="73" spans="1:42" x14ac:dyDescent="0.2">
      <c r="A73" s="154"/>
      <c r="B73" s="1375" t="s">
        <v>1462</v>
      </c>
      <c r="C73" s="1568" t="s">
        <v>1463</v>
      </c>
      <c r="D73" s="1569"/>
      <c r="E73" s="149" t="e">
        <f>(VLOOKUP("Prix HT",$C$1:$N$64,E$1,0))-(VLOOKUP("Non margé",$D$1:$N$64,E$1,0))</f>
        <v>#N/A</v>
      </c>
      <c r="F73" s="207" t="e">
        <f>E73/VLOOKUP("Prix HT",$C$1:$N$64,E$1,0)</f>
        <v>#N/A</v>
      </c>
      <c r="G73" s="149" t="e">
        <f>(VLOOKUP("Prix HT",$C$1:$N$64,G$1,0))-(VLOOKUP("Non margé",$D$1:$N$64,G$1,0))</f>
        <v>#N/A</v>
      </c>
      <c r="H73" s="207" t="e">
        <f>G73/VLOOKUP("Prix HT",$C$1:$N$64,G$1,0)</f>
        <v>#N/A</v>
      </c>
      <c r="I73" s="149" t="e">
        <f>(VLOOKUP("Prix HT",$C$1:$N$64,I$1,0))-(VLOOKUP("Non margé",$D$1:$N$64,I$1,0))</f>
        <v>#N/A</v>
      </c>
      <c r="J73" s="207" t="e">
        <f>I73/VLOOKUP("Prix HT",$C$1:$N$64,I$1,0)</f>
        <v>#N/A</v>
      </c>
      <c r="K73" s="149" t="e">
        <f>(VLOOKUP("Prix HT",$C$1:$N$64,K$1,0))-(VLOOKUP("Non margé",$D$1:$N$64,K$1,0))</f>
        <v>#N/A</v>
      </c>
      <c r="L73" s="207" t="e">
        <f>K73/VLOOKUP("Prix HT",$C$1:$N$64,K$1,0)</f>
        <v>#N/A</v>
      </c>
      <c r="M73" s="149" t="e">
        <f>(VLOOKUP("Prix HT",$C$1:$N$64,M$1,0))-(VLOOKUP("Non margé",$D$1:$N$64,M$1,0))</f>
        <v>#N/A</v>
      </c>
      <c r="N73" s="207" t="e">
        <f>M73/VLOOKUP("Prix HT",$C$1:$N$64,M$1,0)</f>
        <v>#N/A</v>
      </c>
      <c r="O73" s="149" t="e">
        <f>(VLOOKUP("Prix HT",$C$1:$AN$64,O$1,0))-(VLOOKUP("Non margé",$D$1:$AN$64,O$1,0))</f>
        <v>#N/A</v>
      </c>
      <c r="P73" s="207" t="e">
        <f>O73/VLOOKUP("Prix HT",$C$1:$AN$64,O$1,0)</f>
        <v>#N/A</v>
      </c>
      <c r="Q73" s="149" t="e">
        <f>(VLOOKUP("Prix HT",$C$1:$AN$64,Q$1,0))-(VLOOKUP("Non margé",$D$1:$AN$64,Q$1,0))</f>
        <v>#N/A</v>
      </c>
      <c r="R73" s="207" t="e">
        <f>Q73/VLOOKUP("Prix HT",$C$1:$AN$64,Q$1,0)</f>
        <v>#N/A</v>
      </c>
      <c r="S73" s="149" t="e">
        <f>(VLOOKUP("Prix HT",$C$1:$AN$64,S$1,0))-(VLOOKUP("Non margé",$D$1:$AN$64,S$1,0))</f>
        <v>#N/A</v>
      </c>
      <c r="T73" s="207" t="e">
        <f>S73/VLOOKUP("Prix HT",$C$1:$AN$64,S$1,0)</f>
        <v>#N/A</v>
      </c>
      <c r="U73" s="149" t="e">
        <f>(VLOOKUP("Prix HT",$C$1:$AN$64,U$1,0))-(VLOOKUP("Non margé",$D$1:$AN$64,U$1,0))</f>
        <v>#N/A</v>
      </c>
      <c r="V73" s="207" t="e">
        <f>U73/VLOOKUP("Prix HT",$C$1:$AN$64,U$1,0)</f>
        <v>#N/A</v>
      </c>
      <c r="W73" s="149" t="e">
        <f>(VLOOKUP("Prix HT",$C$1:$AN$64,W$1,0))-(VLOOKUP("Non margé",$D$1:$AN$64,W$1,0))</f>
        <v>#N/A</v>
      </c>
      <c r="X73" s="207" t="e">
        <f>W73/VLOOKUP("Prix HT",$C$1:$AN$64,W$1,0)</f>
        <v>#N/A</v>
      </c>
      <c r="Y73" s="149" t="e">
        <f>(VLOOKUP("Prix HT",$C$1:$AN$64,Y$1,0))-(VLOOKUP("Non margé",$D$1:$AN$64,Y$1,0))</f>
        <v>#N/A</v>
      </c>
      <c r="Z73" s="207" t="e">
        <f>Y73/VLOOKUP("Prix HT",$C$1:$AN$64,Y$1,0)</f>
        <v>#N/A</v>
      </c>
      <c r="AA73" s="149" t="e">
        <f>(VLOOKUP("Prix HT",$C$1:$AN$64,AA$1,0))-(VLOOKUP("Non margé",$D$1:$AN$64,AA$1,0))</f>
        <v>#N/A</v>
      </c>
      <c r="AB73" s="207" t="e">
        <f>AA73/VLOOKUP("Prix HT",$C$1:$AN$64,AA$1,0)</f>
        <v>#N/A</v>
      </c>
      <c r="AC73" s="149" t="e">
        <f>(VLOOKUP("Prix HT",$C$1:$AN$64,AC$1,0))-(VLOOKUP("Non margé",$D$1:$AN$64,AC$1,0))</f>
        <v>#N/A</v>
      </c>
      <c r="AD73" s="207" t="e">
        <f>AC73/VLOOKUP("Prix HT",$C$1:$AN$64,AC$1,0)</f>
        <v>#N/A</v>
      </c>
      <c r="AE73" s="149" t="e">
        <f>(VLOOKUP("Prix HT",$C$1:$AN$64,AE$1,0))-(VLOOKUP("Non margé",$D$1:$AN$64,AE$1,0))</f>
        <v>#N/A</v>
      </c>
      <c r="AF73" s="207" t="e">
        <f>AE73/VLOOKUP("Prix HT",$C$1:$AN$64,AE$1,0)</f>
        <v>#N/A</v>
      </c>
      <c r="AG73" s="149" t="e">
        <f>(VLOOKUP("Prix HT",$C$1:$AN$64,AG$1,0))-(VLOOKUP("Non margé",$D$1:$AN$64,AG$1,0))</f>
        <v>#N/A</v>
      </c>
      <c r="AH73" s="207" t="e">
        <f>AG73/VLOOKUP("Prix HT",$C$1:$AN$64,AG$1,0)</f>
        <v>#N/A</v>
      </c>
      <c r="AI73" s="149" t="e">
        <f>(VLOOKUP("Prix HT",$C$1:$AN$64,AI$1,0))-(VLOOKUP("Non margé",$D$1:$AN$64,AI$1,0))</f>
        <v>#N/A</v>
      </c>
      <c r="AJ73" s="207" t="e">
        <f>AI73/VLOOKUP("Prix HT",$C$1:$AN$64,AI$1,0)</f>
        <v>#N/A</v>
      </c>
      <c r="AK73" s="149" t="e">
        <f>(VLOOKUP("Prix HT",$C$1:$AN$64,AK$1,0))-(VLOOKUP("Non margé",$D$1:$AN$64,AK$1,0))</f>
        <v>#N/A</v>
      </c>
      <c r="AL73" s="207" t="e">
        <f>AK73/VLOOKUP("Prix HT",$C$1:$AN$64,AK$1,0)</f>
        <v>#N/A</v>
      </c>
      <c r="AM73" s="149" t="e">
        <f>(VLOOKUP("Prix HT",$C$1:$AN$64,AM$1,0))-(VLOOKUP("Non margé",$D$1:$AN$64,AM$1,0))</f>
        <v>#N/A</v>
      </c>
      <c r="AN73" s="207" t="e">
        <f>AM73/VLOOKUP("Prix HT",$C$1:$AN$64,AM$1,0)</f>
        <v>#N/A</v>
      </c>
      <c r="AO73" s="154"/>
      <c r="AP73" s="154"/>
    </row>
  </sheetData>
  <mergeCells count="42">
    <mergeCell ref="C73:D73"/>
    <mergeCell ref="AE2:AF2"/>
    <mergeCell ref="B2:B3"/>
    <mergeCell ref="C2:C3"/>
    <mergeCell ref="E2:F2"/>
    <mergeCell ref="G2:H2"/>
    <mergeCell ref="I2:J2"/>
    <mergeCell ref="K2:L2"/>
    <mergeCell ref="M2:N2"/>
    <mergeCell ref="O2:P2"/>
    <mergeCell ref="Q2:R2"/>
    <mergeCell ref="S2:T2"/>
    <mergeCell ref="U2:V2"/>
    <mergeCell ref="C69:D69"/>
    <mergeCell ref="E64:F64"/>
    <mergeCell ref="G64:H64"/>
    <mergeCell ref="A4:A25"/>
    <mergeCell ref="A27:A38"/>
    <mergeCell ref="A39:A50"/>
    <mergeCell ref="A51:A62"/>
    <mergeCell ref="B64:B69"/>
    <mergeCell ref="AM64:AN64"/>
    <mergeCell ref="Q64:R64"/>
    <mergeCell ref="S64:T64"/>
    <mergeCell ref="U64:V64"/>
    <mergeCell ref="W64:X64"/>
    <mergeCell ref="Y64:Z64"/>
    <mergeCell ref="AA64:AB64"/>
    <mergeCell ref="AC64:AD64"/>
    <mergeCell ref="AE64:AF64"/>
    <mergeCell ref="AG64:AH64"/>
    <mergeCell ref="AI64:AJ64"/>
    <mergeCell ref="K64:L64"/>
    <mergeCell ref="M64:N64"/>
    <mergeCell ref="O64:P64"/>
    <mergeCell ref="C64:D64"/>
    <mergeCell ref="AK64:AL64"/>
    <mergeCell ref="C65:D65"/>
    <mergeCell ref="C66:D66"/>
    <mergeCell ref="C67:D67"/>
    <mergeCell ref="C68:D68"/>
    <mergeCell ref="I64:J64"/>
  </mergeCells>
  <dataValidations count="8">
    <dataValidation type="list" allowBlank="1" showInputMessage="1" showErrorMessage="1" promptTitle="MINIPELLE" prompt="choisir catégorie" sqref="B51:B61" xr:uid="{00000000-0002-0000-1B00-000000000000}">
      <formula1>CATEGORIE_MP</formula1>
    </dataValidation>
    <dataValidation type="list" allowBlank="1" showInputMessage="1" promptTitle="MINIPELLE" prompt="choisir la prestation" sqref="C51:C61" xr:uid="{00000000-0002-0000-1B00-000001000000}">
      <formula1>INDIRECT(B51)</formula1>
    </dataValidation>
    <dataValidation type="list" allowBlank="1" showInputMessage="1" showErrorMessage="1" promptTitle="Catégorie MOC" prompt="choisir" sqref="B39:B48" xr:uid="{00000000-0002-0000-1B00-000002000000}">
      <formula1>CATEGORIE_MOC</formula1>
    </dataValidation>
    <dataValidation type="list" allowBlank="1" showInputMessage="1" promptTitle="Main d'oeuvre CHANTIER" prompt="choisir la prestation" sqref="C39:C49" xr:uid="{00000000-0002-0000-1B00-000003000000}">
      <formula1>INDIRECT(B39)</formula1>
    </dataValidation>
    <dataValidation type="list" allowBlank="1" showInputMessage="1" showErrorMessage="1" promptTitle="MO ATELIER" prompt="choisir catégorie" sqref="B27" xr:uid="{00000000-0002-0000-1B00-000004000000}">
      <formula1>CATEGORIE_MOA</formula1>
    </dataValidation>
    <dataValidation type="list" allowBlank="1" showInputMessage="1" showErrorMessage="1" promptTitle="Main d'oeuvre ATELIER" prompt="choisir la prestation" sqref="C27" xr:uid="{00000000-0002-0000-1B00-000005000000}">
      <formula1>INDIRECT(B27)</formula1>
    </dataValidation>
    <dataValidation type="list" allowBlank="1" showInputMessage="1" showErrorMessage="1" promptTitle="MATIERES" prompt="choisir catégorie" sqref="B4:B25" xr:uid="{00000000-0002-0000-1B00-000006000000}">
      <formula1>MOA_ALIM</formula1>
    </dataValidation>
    <dataValidation type="list" allowBlank="1" showInputMessage="1" showErrorMessage="1" promptTitle="MATIERES" prompt="choisir le produit" sqref="C4:C25" xr:uid="{00000000-0002-0000-1B00-000007000000}">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ErrorMessage="1" xr:uid="{00000000-0002-0000-1B00-000008000000}">
          <x14:formula1>
            <xm:f>ATELIER!$B$2:$B$109</xm:f>
          </x14:formula1>
          <xm:sqref>C28:C37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published="0" codeName="Feuil29"/>
  <dimension ref="A1:AP72"/>
  <sheetViews>
    <sheetView topLeftCell="A58" workbookViewId="0">
      <selection activeCell="A72" sqref="A72:XFD76"/>
    </sheetView>
  </sheetViews>
  <sheetFormatPr baseColWidth="10" defaultRowHeight="18" x14ac:dyDescent="0.2"/>
  <cols>
    <col min="1" max="1" width="18.125" style="210" customWidth="1"/>
    <col min="2" max="2" width="25" style="233"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40" width="10" style="135" customWidth="1"/>
    <col min="41" max="42" width="11.5" style="135" customWidth="1"/>
    <col min="43" max="810" width="11.5" customWidth="1"/>
  </cols>
  <sheetData>
    <row r="1" spans="1:42"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s="535" t="s">
        <v>467</v>
      </c>
      <c r="AO1" s="535"/>
      <c r="AP1" s="535"/>
    </row>
    <row r="2" spans="1:42" ht="35.1" customHeight="1" x14ac:dyDescent="0.2">
      <c r="A2" s="174"/>
      <c r="B2" s="1572" t="s">
        <v>973</v>
      </c>
      <c r="C2" s="1574" t="s">
        <v>468</v>
      </c>
      <c r="D2" s="115" t="s">
        <v>203</v>
      </c>
      <c r="E2" s="1571">
        <v>2</v>
      </c>
      <c r="F2" s="1571"/>
      <c r="G2" s="1571">
        <v>3</v>
      </c>
      <c r="H2" s="1571"/>
      <c r="I2" s="1571">
        <v>4</v>
      </c>
      <c r="J2" s="1571"/>
      <c r="K2" s="1571">
        <v>5</v>
      </c>
      <c r="L2" s="1571"/>
      <c r="M2" s="1571">
        <v>6</v>
      </c>
      <c r="N2" s="1571"/>
      <c r="O2" s="1571">
        <v>7</v>
      </c>
      <c r="P2" s="1571"/>
      <c r="Q2" s="1571">
        <v>8</v>
      </c>
      <c r="R2" s="1571"/>
      <c r="S2" s="1571">
        <v>9</v>
      </c>
      <c r="T2" s="1571"/>
      <c r="U2" s="1571">
        <v>10</v>
      </c>
      <c r="V2" s="1571"/>
      <c r="W2" s="218">
        <v>12</v>
      </c>
      <c r="X2" s="213" t="s">
        <v>469</v>
      </c>
      <c r="Y2" s="213">
        <v>12</v>
      </c>
      <c r="Z2" s="214" t="s">
        <v>470</v>
      </c>
      <c r="AA2" s="218">
        <v>14</v>
      </c>
      <c r="AB2" s="213" t="s">
        <v>471</v>
      </c>
      <c r="AC2" s="218">
        <v>14</v>
      </c>
      <c r="AD2" s="213" t="s">
        <v>472</v>
      </c>
      <c r="AE2" s="1571">
        <v>16</v>
      </c>
      <c r="AF2" s="1571"/>
      <c r="AG2" s="218">
        <v>18</v>
      </c>
      <c r="AH2" s="213" t="s">
        <v>473</v>
      </c>
      <c r="AI2" s="218">
        <v>18</v>
      </c>
      <c r="AJ2" s="213" t="s">
        <v>474</v>
      </c>
      <c r="AK2" s="218">
        <v>20</v>
      </c>
      <c r="AL2" s="213" t="s">
        <v>475</v>
      </c>
      <c r="AM2" s="218">
        <v>20</v>
      </c>
      <c r="AN2" s="213" t="s">
        <v>476</v>
      </c>
      <c r="AO2" s="178"/>
      <c r="AP2" s="178"/>
    </row>
    <row r="3" spans="1:42" ht="35.1" customHeight="1" x14ac:dyDescent="0.2">
      <c r="A3" s="174"/>
      <c r="B3" s="1573"/>
      <c r="C3" s="1574"/>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303" t="s">
        <v>477</v>
      </c>
      <c r="AO3" s="178"/>
      <c r="AP3" s="178"/>
    </row>
    <row r="4" spans="1:42" ht="15" customHeight="1" x14ac:dyDescent="0.2">
      <c r="A4" s="1549" t="s">
        <v>1078</v>
      </c>
      <c r="B4" s="361" t="s">
        <v>1065</v>
      </c>
      <c r="C4" s="362"/>
      <c r="D4" s="363" t="str">
        <f>IF($C4="","",VLOOKUP($C4,MATIERES!$A$2:$F$227,5,0))</f>
        <v/>
      </c>
      <c r="E4" s="364">
        <v>1</v>
      </c>
      <c r="F4" s="365" t="str">
        <f>IF($C4="","",E4*VLOOKUP($C4,MATIERES!$A$2:$F$349,4,0))</f>
        <v/>
      </c>
      <c r="G4" s="364">
        <v>2</v>
      </c>
      <c r="H4" s="365" t="str">
        <f>IF($C4="","",G4*VLOOKUP($C4,MATIERES!$A$2:$F$349,4,0))</f>
        <v/>
      </c>
      <c r="I4" s="364">
        <v>3</v>
      </c>
      <c r="J4" s="365" t="str">
        <f>IF($C4="","",I4*VLOOKUP($C4,MATIERES!$A$2:$F$349,4,0))</f>
        <v/>
      </c>
      <c r="K4" s="364">
        <v>4</v>
      </c>
      <c r="L4" s="365" t="str">
        <f>IF($C4="","",K4*VLOOKUP($C4,MATIERES!$A$2:$F$349,4,0))</f>
        <v/>
      </c>
      <c r="M4" s="364">
        <v>5</v>
      </c>
      <c r="N4" s="365" t="str">
        <f>IF($C4="","",M4*VLOOKUP($C4,MATIERES!$A$2:$F$349,4,0))</f>
        <v/>
      </c>
      <c r="O4" s="364">
        <v>6</v>
      </c>
      <c r="P4" s="365" t="str">
        <f>IF($C4="","",O4*VLOOKUP($C4,MATIERES!$A$2:$F$349,4,0))</f>
        <v/>
      </c>
      <c r="Q4" s="364">
        <v>7</v>
      </c>
      <c r="R4" s="365" t="str">
        <f>IF($C4="","",Q4*VLOOKUP($C4,MATIERES!$A$2:$F$349,4,0))</f>
        <v/>
      </c>
      <c r="S4" s="364">
        <v>8</v>
      </c>
      <c r="T4" s="365" t="str">
        <f>IF($C4="","",S4*VLOOKUP($C4,MATIERES!$A$2:$F$349,4,0))</f>
        <v/>
      </c>
      <c r="U4" s="364">
        <v>9</v>
      </c>
      <c r="V4" s="365" t="str">
        <f>IF($C4="","",U4*VLOOKUP($C4,MATIERES!$A$2:$F$349,4,0))</f>
        <v/>
      </c>
      <c r="W4" s="364">
        <v>10</v>
      </c>
      <c r="X4" s="365" t="str">
        <f>IF($C4="","",W4*VLOOKUP($C4,MATIERES!$A$2:$F$349,4,0))</f>
        <v/>
      </c>
      <c r="Y4" s="364">
        <v>11</v>
      </c>
      <c r="Z4" s="365" t="str">
        <f>IF($C4="","",Y4*VLOOKUP($C4,MATIERES!$A$2:$F$349,4,0))</f>
        <v/>
      </c>
      <c r="AA4" s="364">
        <v>12</v>
      </c>
      <c r="AB4" s="365" t="str">
        <f>IF($C4="","",AA4*VLOOKUP($C4,MATIERES!$A$2:$F$349,4,0))</f>
        <v/>
      </c>
      <c r="AC4" s="364">
        <v>13</v>
      </c>
      <c r="AD4" s="365" t="str">
        <f>IF($C4="","",AC4*VLOOKUP($C4,MATIERES!$A$2:$F$349,4,0))</f>
        <v/>
      </c>
      <c r="AE4" s="364">
        <v>14</v>
      </c>
      <c r="AF4" s="365" t="str">
        <f>IF($C4="","",AE4*VLOOKUP($C4,MATIERES!$A$2:$F$349,4,0))</f>
        <v/>
      </c>
      <c r="AG4" s="364">
        <v>15</v>
      </c>
      <c r="AH4" s="365" t="str">
        <f>IF($C4="","",AG4*VLOOKUP($C4,MATIERES!$A$2:$F$349,4,0))</f>
        <v/>
      </c>
      <c r="AI4" s="364">
        <v>16</v>
      </c>
      <c r="AJ4" s="365" t="str">
        <f>IF($C4="","",AI4*VLOOKUP($C4,MATIERES!$A$2:$F$349,4,0))</f>
        <v/>
      </c>
      <c r="AK4" s="364">
        <v>17</v>
      </c>
      <c r="AL4" s="365" t="str">
        <f>IF($C4="","",AK4*VLOOKUP($C4,MATIERES!$A$2:$F$349,4,0))</f>
        <v/>
      </c>
      <c r="AM4" s="364">
        <v>18</v>
      </c>
      <c r="AN4" s="365" t="str">
        <f>IF($C4="","",AM4*VLOOKUP($C4,MATIERES!$A$2:$F$349,4,0))</f>
        <v/>
      </c>
    </row>
    <row r="5" spans="1:42" ht="15" customHeight="1" x14ac:dyDescent="0.2">
      <c r="A5" s="1550"/>
      <c r="B5" s="361"/>
      <c r="C5" s="362"/>
      <c r="D5" s="363" t="str">
        <f>IF($C5="","",VLOOKUP($C5,MATIERES!$A$2:$F$227,5,0))</f>
        <v/>
      </c>
      <c r="E5" s="364">
        <v>2</v>
      </c>
      <c r="F5" s="365" t="str">
        <f>IF($C5="","",E5*VLOOKUP($C5,MATIERES!$A$2:$F$349,4,0))</f>
        <v/>
      </c>
      <c r="G5" s="364">
        <v>3</v>
      </c>
      <c r="H5" s="365" t="str">
        <f>IF($C5="","",G5*VLOOKUP($C5,MATIERES!$A$2:$F$349,4,0))</f>
        <v/>
      </c>
      <c r="I5" s="364">
        <v>4</v>
      </c>
      <c r="J5" s="365" t="str">
        <f>IF($C5="","",I5*VLOOKUP($C5,MATIERES!$A$2:$F$349,4,0))</f>
        <v/>
      </c>
      <c r="K5" s="364">
        <v>5</v>
      </c>
      <c r="L5" s="365" t="str">
        <f>IF($C5="","",K5*VLOOKUP($C5,MATIERES!$A$2:$F$349,4,0))</f>
        <v/>
      </c>
      <c r="M5" s="364">
        <v>6</v>
      </c>
      <c r="N5" s="365" t="str">
        <f>IF($C5="","",M5*VLOOKUP($C5,MATIERES!$A$2:$F$349,4,0))</f>
        <v/>
      </c>
      <c r="O5" s="364">
        <v>7</v>
      </c>
      <c r="P5" s="365" t="str">
        <f>IF($C5="","",O5*VLOOKUP($C5,MATIERES!$A$2:$F$349,4,0))</f>
        <v/>
      </c>
      <c r="Q5" s="364">
        <v>8</v>
      </c>
      <c r="R5" s="365" t="str">
        <f>IF($C5="","",Q5*VLOOKUP($C5,MATIERES!$A$2:$F$349,4,0))</f>
        <v/>
      </c>
      <c r="S5" s="364">
        <v>9</v>
      </c>
      <c r="T5" s="365" t="str">
        <f>IF($C5="","",S5*VLOOKUP($C5,MATIERES!$A$2:$F$349,4,0))</f>
        <v/>
      </c>
      <c r="U5" s="364">
        <v>10</v>
      </c>
      <c r="V5" s="365" t="str">
        <f>IF($C5="","",U5*VLOOKUP($C5,MATIERES!$A$2:$F$349,4,0))</f>
        <v/>
      </c>
      <c r="W5" s="364">
        <v>11</v>
      </c>
      <c r="X5" s="365" t="str">
        <f>IF($C5="","",W5*VLOOKUP($C5,MATIERES!$A$2:$F$349,4,0))</f>
        <v/>
      </c>
      <c r="Y5" s="364">
        <v>12</v>
      </c>
      <c r="Z5" s="365" t="str">
        <f>IF($C5="","",Y5*VLOOKUP($C5,MATIERES!$A$2:$F$349,4,0))</f>
        <v/>
      </c>
      <c r="AA5" s="364">
        <v>13</v>
      </c>
      <c r="AB5" s="365" t="str">
        <f>IF($C5="","",AA5*VLOOKUP($C5,MATIERES!$A$2:$F$349,4,0))</f>
        <v/>
      </c>
      <c r="AC5" s="364">
        <v>14</v>
      </c>
      <c r="AD5" s="365" t="str">
        <f>IF($C5="","",AC5*VLOOKUP($C5,MATIERES!$A$2:$F$349,4,0))</f>
        <v/>
      </c>
      <c r="AE5" s="364">
        <v>15</v>
      </c>
      <c r="AF5" s="365" t="str">
        <f>IF($C5="","",AE5*VLOOKUP($C5,MATIERES!$A$2:$F$349,4,0))</f>
        <v/>
      </c>
      <c r="AG5" s="364">
        <v>16</v>
      </c>
      <c r="AH5" s="365" t="str">
        <f>IF($C5="","",AG5*VLOOKUP($C5,MATIERES!$A$2:$F$349,4,0))</f>
        <v/>
      </c>
      <c r="AI5" s="364">
        <v>17</v>
      </c>
      <c r="AJ5" s="365" t="str">
        <f>IF($C5="","",AI5*VLOOKUP($C5,MATIERES!$A$2:$F$349,4,0))</f>
        <v/>
      </c>
      <c r="AK5" s="364">
        <v>18</v>
      </c>
      <c r="AL5" s="365" t="str">
        <f>IF($C5="","",AK5*VLOOKUP($C5,MATIERES!$A$2:$F$349,4,0))</f>
        <v/>
      </c>
      <c r="AM5" s="364">
        <v>19</v>
      </c>
      <c r="AN5" s="365" t="str">
        <f>IF($C5="","",AM5*VLOOKUP($C5,MATIERES!$A$2:$F$349,4,0))</f>
        <v/>
      </c>
    </row>
    <row r="6" spans="1:42" ht="15" customHeight="1" x14ac:dyDescent="0.2">
      <c r="A6" s="1550"/>
      <c r="B6" s="361"/>
      <c r="C6" s="362"/>
      <c r="D6" s="363" t="str">
        <f>IF($C6="","",VLOOKUP($C6,MATIERES!$A$2:$F$227,5,0))</f>
        <v/>
      </c>
      <c r="E6" s="364">
        <v>3</v>
      </c>
      <c r="F6" s="365" t="str">
        <f>IF($C6="","",E6*VLOOKUP($C6,MATIERES!$A$2:$F$349,4,0))</f>
        <v/>
      </c>
      <c r="G6" s="364">
        <v>4</v>
      </c>
      <c r="H6" s="365" t="str">
        <f>IF($C6="","",G6*VLOOKUP($C6,MATIERES!$A$2:$F$349,4,0))</f>
        <v/>
      </c>
      <c r="I6" s="364">
        <v>5</v>
      </c>
      <c r="J6" s="365" t="str">
        <f>IF($C6="","",I6*VLOOKUP($C6,MATIERES!$A$2:$F$349,4,0))</f>
        <v/>
      </c>
      <c r="K6" s="364">
        <v>6</v>
      </c>
      <c r="L6" s="365" t="str">
        <f>IF($C6="","",K6*VLOOKUP($C6,MATIERES!$A$2:$F$349,4,0))</f>
        <v/>
      </c>
      <c r="M6" s="364">
        <v>7</v>
      </c>
      <c r="N6" s="365" t="str">
        <f>IF($C6="","",M6*VLOOKUP($C6,MATIERES!$A$2:$F$349,4,0))</f>
        <v/>
      </c>
      <c r="O6" s="364">
        <v>8</v>
      </c>
      <c r="P6" s="365" t="str">
        <f>IF($C6="","",O6*VLOOKUP($C6,MATIERES!$A$2:$F$349,4,0))</f>
        <v/>
      </c>
      <c r="Q6" s="364">
        <v>9</v>
      </c>
      <c r="R6" s="365" t="str">
        <f>IF($C6="","",Q6*VLOOKUP($C6,MATIERES!$A$2:$F$349,4,0))</f>
        <v/>
      </c>
      <c r="S6" s="364">
        <v>10</v>
      </c>
      <c r="T6" s="365" t="str">
        <f>IF($C6="","",S6*VLOOKUP($C6,MATIERES!$A$2:$F$349,4,0))</f>
        <v/>
      </c>
      <c r="U6" s="364">
        <v>11</v>
      </c>
      <c r="V6" s="365" t="str">
        <f>IF($C6="","",U6*VLOOKUP($C6,MATIERES!$A$2:$F$349,4,0))</f>
        <v/>
      </c>
      <c r="W6" s="364">
        <v>12</v>
      </c>
      <c r="X6" s="365" t="str">
        <f>IF($C6="","",W6*VLOOKUP($C6,MATIERES!$A$2:$F$349,4,0))</f>
        <v/>
      </c>
      <c r="Y6" s="364">
        <v>13</v>
      </c>
      <c r="Z6" s="365" t="str">
        <f>IF($C6="","",Y6*VLOOKUP($C6,MATIERES!$A$2:$F$349,4,0))</f>
        <v/>
      </c>
      <c r="AA6" s="364">
        <v>14</v>
      </c>
      <c r="AB6" s="365" t="str">
        <f>IF($C6="","",AA6*VLOOKUP($C6,MATIERES!$A$2:$F$349,4,0))</f>
        <v/>
      </c>
      <c r="AC6" s="364">
        <v>15</v>
      </c>
      <c r="AD6" s="365" t="str">
        <f>IF($C6="","",AC6*VLOOKUP($C6,MATIERES!$A$2:$F$349,4,0))</f>
        <v/>
      </c>
      <c r="AE6" s="364">
        <v>16</v>
      </c>
      <c r="AF6" s="365" t="str">
        <f>IF($C6="","",AE6*VLOOKUP($C6,MATIERES!$A$2:$F$349,4,0))</f>
        <v/>
      </c>
      <c r="AG6" s="364">
        <v>17</v>
      </c>
      <c r="AH6" s="365" t="str">
        <f>IF($C6="","",AG6*VLOOKUP($C6,MATIERES!$A$2:$F$349,4,0))</f>
        <v/>
      </c>
      <c r="AI6" s="364">
        <v>18</v>
      </c>
      <c r="AJ6" s="365" t="str">
        <f>IF($C6="","",AI6*VLOOKUP($C6,MATIERES!$A$2:$F$349,4,0))</f>
        <v/>
      </c>
      <c r="AK6" s="364">
        <v>19</v>
      </c>
      <c r="AL6" s="365" t="str">
        <f>IF($C6="","",AK6*VLOOKUP($C6,MATIERES!$A$2:$F$349,4,0))</f>
        <v/>
      </c>
      <c r="AM6" s="364">
        <v>20</v>
      </c>
      <c r="AN6" s="365" t="str">
        <f>IF($C6="","",AM6*VLOOKUP($C6,MATIERES!$A$2:$F$349,4,0))</f>
        <v/>
      </c>
    </row>
    <row r="7" spans="1:42" ht="15" customHeight="1" x14ac:dyDescent="0.2">
      <c r="A7" s="1550"/>
      <c r="B7" s="361"/>
      <c r="C7" s="362"/>
      <c r="D7" s="363" t="str">
        <f>IF($C7="","",VLOOKUP($C7,MATIERES!$A$2:$F$227,5,0))</f>
        <v/>
      </c>
      <c r="E7" s="364">
        <v>4</v>
      </c>
      <c r="F7" s="365" t="str">
        <f>IF($C7="","",E7*VLOOKUP($C7,MATIERES!$A$2:$F$349,4,0))</f>
        <v/>
      </c>
      <c r="G7" s="364">
        <v>5</v>
      </c>
      <c r="H7" s="365" t="str">
        <f>IF($C7="","",G7*VLOOKUP($C7,MATIERES!$A$2:$F$349,4,0))</f>
        <v/>
      </c>
      <c r="I7" s="364">
        <v>6</v>
      </c>
      <c r="J7" s="365" t="str">
        <f>IF($C7="","",I7*VLOOKUP($C7,MATIERES!$A$2:$F$349,4,0))</f>
        <v/>
      </c>
      <c r="K7" s="364">
        <v>7</v>
      </c>
      <c r="L7" s="365" t="str">
        <f>IF($C7="","",K7*VLOOKUP($C7,MATIERES!$A$2:$F$349,4,0))</f>
        <v/>
      </c>
      <c r="M7" s="364">
        <v>8</v>
      </c>
      <c r="N7" s="365" t="str">
        <f>IF($C7="","",M7*VLOOKUP($C7,MATIERES!$A$2:$F$349,4,0))</f>
        <v/>
      </c>
      <c r="O7" s="364">
        <v>9</v>
      </c>
      <c r="P7" s="365" t="str">
        <f>IF($C7="","",O7*VLOOKUP($C7,MATIERES!$A$2:$F$349,4,0))</f>
        <v/>
      </c>
      <c r="Q7" s="364">
        <v>10</v>
      </c>
      <c r="R7" s="365" t="str">
        <f>IF($C7="","",Q7*VLOOKUP($C7,MATIERES!$A$2:$F$349,4,0))</f>
        <v/>
      </c>
      <c r="S7" s="364">
        <v>11</v>
      </c>
      <c r="T7" s="365" t="str">
        <f>IF($C7="","",S7*VLOOKUP($C7,MATIERES!$A$2:$F$349,4,0))</f>
        <v/>
      </c>
      <c r="U7" s="364">
        <v>12</v>
      </c>
      <c r="V7" s="365" t="str">
        <f>IF($C7="","",U7*VLOOKUP($C7,MATIERES!$A$2:$F$349,4,0))</f>
        <v/>
      </c>
      <c r="W7" s="364">
        <v>13</v>
      </c>
      <c r="X7" s="365" t="str">
        <f>IF($C7="","",W7*VLOOKUP($C7,MATIERES!$A$2:$F$349,4,0))</f>
        <v/>
      </c>
      <c r="Y7" s="364">
        <v>14</v>
      </c>
      <c r="Z7" s="365" t="str">
        <f>IF($C7="","",Y7*VLOOKUP($C7,MATIERES!$A$2:$F$349,4,0))</f>
        <v/>
      </c>
      <c r="AA7" s="364">
        <v>15</v>
      </c>
      <c r="AB7" s="365" t="str">
        <f>IF($C7="","",AA7*VLOOKUP($C7,MATIERES!$A$2:$F$349,4,0))</f>
        <v/>
      </c>
      <c r="AC7" s="364">
        <v>16</v>
      </c>
      <c r="AD7" s="365" t="str">
        <f>IF($C7="","",AC7*VLOOKUP($C7,MATIERES!$A$2:$F$349,4,0))</f>
        <v/>
      </c>
      <c r="AE7" s="364">
        <v>17</v>
      </c>
      <c r="AF7" s="365" t="str">
        <f>IF($C7="","",AE7*VLOOKUP($C7,MATIERES!$A$2:$F$349,4,0))</f>
        <v/>
      </c>
      <c r="AG7" s="364">
        <v>18</v>
      </c>
      <c r="AH7" s="365" t="str">
        <f>IF($C7="","",AG7*VLOOKUP($C7,MATIERES!$A$2:$F$349,4,0))</f>
        <v/>
      </c>
      <c r="AI7" s="364">
        <v>19</v>
      </c>
      <c r="AJ7" s="365" t="str">
        <f>IF($C7="","",AI7*VLOOKUP($C7,MATIERES!$A$2:$F$349,4,0))</f>
        <v/>
      </c>
      <c r="AK7" s="364">
        <v>20</v>
      </c>
      <c r="AL7" s="365" t="str">
        <f>IF($C7="","",AK7*VLOOKUP($C7,MATIERES!$A$2:$F$349,4,0))</f>
        <v/>
      </c>
      <c r="AM7" s="364">
        <v>21</v>
      </c>
      <c r="AN7" s="365" t="str">
        <f>IF($C7="","",AM7*VLOOKUP($C7,MATIERES!$A$2:$F$349,4,0))</f>
        <v/>
      </c>
    </row>
    <row r="8" spans="1:42" ht="15" customHeight="1" x14ac:dyDescent="0.2">
      <c r="A8" s="1550"/>
      <c r="B8" s="361"/>
      <c r="C8" s="362"/>
      <c r="D8" s="363" t="str">
        <f>IF($C8="","",VLOOKUP($C8,MATIERES!$A$2:$F$227,5,0))</f>
        <v/>
      </c>
      <c r="E8" s="364">
        <v>5</v>
      </c>
      <c r="F8" s="365" t="str">
        <f>IF($C8="","",E8*VLOOKUP($C8,MATIERES!$A$2:$F$349,4,0))</f>
        <v/>
      </c>
      <c r="G8" s="364">
        <v>6</v>
      </c>
      <c r="H8" s="365" t="str">
        <f>IF($C8="","",G8*VLOOKUP($C8,MATIERES!$A$2:$F$349,4,0))</f>
        <v/>
      </c>
      <c r="I8" s="364">
        <v>7</v>
      </c>
      <c r="J8" s="365" t="str">
        <f>IF($C8="","",I8*VLOOKUP($C8,MATIERES!$A$2:$F$349,4,0))</f>
        <v/>
      </c>
      <c r="K8" s="364">
        <v>8</v>
      </c>
      <c r="L8" s="365" t="str">
        <f>IF($C8="","",K8*VLOOKUP($C8,MATIERES!$A$2:$F$349,4,0))</f>
        <v/>
      </c>
      <c r="M8" s="364">
        <v>9</v>
      </c>
      <c r="N8" s="365" t="str">
        <f>IF($C8="","",M8*VLOOKUP($C8,MATIERES!$A$2:$F$349,4,0))</f>
        <v/>
      </c>
      <c r="O8" s="364">
        <v>10</v>
      </c>
      <c r="P8" s="365" t="str">
        <f>IF($C8="","",O8*VLOOKUP($C8,MATIERES!$A$2:$F$349,4,0))</f>
        <v/>
      </c>
      <c r="Q8" s="364">
        <v>11</v>
      </c>
      <c r="R8" s="365" t="str">
        <f>IF($C8="","",Q8*VLOOKUP($C8,MATIERES!$A$2:$F$349,4,0))</f>
        <v/>
      </c>
      <c r="S8" s="364">
        <v>12</v>
      </c>
      <c r="T8" s="365" t="str">
        <f>IF($C8="","",S8*VLOOKUP($C8,MATIERES!$A$2:$F$349,4,0))</f>
        <v/>
      </c>
      <c r="U8" s="364">
        <v>13</v>
      </c>
      <c r="V8" s="365" t="str">
        <f>IF($C8="","",U8*VLOOKUP($C8,MATIERES!$A$2:$F$349,4,0))</f>
        <v/>
      </c>
      <c r="W8" s="364">
        <v>14</v>
      </c>
      <c r="X8" s="365" t="str">
        <f>IF($C8="","",W8*VLOOKUP($C8,MATIERES!$A$2:$F$349,4,0))</f>
        <v/>
      </c>
      <c r="Y8" s="364">
        <v>15</v>
      </c>
      <c r="Z8" s="365" t="str">
        <f>IF($C8="","",Y8*VLOOKUP($C8,MATIERES!$A$2:$F$349,4,0))</f>
        <v/>
      </c>
      <c r="AA8" s="364">
        <v>16</v>
      </c>
      <c r="AB8" s="365" t="str">
        <f>IF($C8="","",AA8*VLOOKUP($C8,MATIERES!$A$2:$F$349,4,0))</f>
        <v/>
      </c>
      <c r="AC8" s="364">
        <v>17</v>
      </c>
      <c r="AD8" s="365" t="str">
        <f>IF($C8="","",AC8*VLOOKUP($C8,MATIERES!$A$2:$F$349,4,0))</f>
        <v/>
      </c>
      <c r="AE8" s="364">
        <v>18</v>
      </c>
      <c r="AF8" s="365" t="str">
        <f>IF($C8="","",AE8*VLOOKUP($C8,MATIERES!$A$2:$F$349,4,0))</f>
        <v/>
      </c>
      <c r="AG8" s="364">
        <v>19</v>
      </c>
      <c r="AH8" s="365" t="str">
        <f>IF($C8="","",AG8*VLOOKUP($C8,MATIERES!$A$2:$F$349,4,0))</f>
        <v/>
      </c>
      <c r="AI8" s="364">
        <v>20</v>
      </c>
      <c r="AJ8" s="365" t="str">
        <f>IF($C8="","",AI8*VLOOKUP($C8,MATIERES!$A$2:$F$349,4,0))</f>
        <v/>
      </c>
      <c r="AK8" s="364">
        <v>21</v>
      </c>
      <c r="AL8" s="365" t="str">
        <f>IF($C8="","",AK8*VLOOKUP($C8,MATIERES!$A$2:$F$349,4,0))</f>
        <v/>
      </c>
      <c r="AM8" s="364">
        <v>22</v>
      </c>
      <c r="AN8" s="365" t="str">
        <f>IF($C8="","",AM8*VLOOKUP($C8,MATIERES!$A$2:$F$349,4,0))</f>
        <v/>
      </c>
    </row>
    <row r="9" spans="1:42" ht="15" customHeight="1" x14ac:dyDescent="0.2">
      <c r="A9" s="1550"/>
      <c r="B9" s="361"/>
      <c r="C9" s="362"/>
      <c r="D9" s="363" t="str">
        <f>IF($C9="","",VLOOKUP($C9,MATIERES!$A$2:$F$227,5,0))</f>
        <v/>
      </c>
      <c r="E9" s="364">
        <v>6</v>
      </c>
      <c r="F9" s="365" t="str">
        <f>IF($C9="","",E9*VLOOKUP($C9,MATIERES!$A$2:$F$349,4,0))</f>
        <v/>
      </c>
      <c r="G9" s="364">
        <v>7</v>
      </c>
      <c r="H9" s="365" t="str">
        <f>IF($C9="","",G9*VLOOKUP($C9,MATIERES!$A$2:$F$349,4,0))</f>
        <v/>
      </c>
      <c r="I9" s="364">
        <v>8</v>
      </c>
      <c r="J9" s="365" t="str">
        <f>IF($C9="","",I9*VLOOKUP($C9,MATIERES!$A$2:$F$349,4,0))</f>
        <v/>
      </c>
      <c r="K9" s="364">
        <v>9</v>
      </c>
      <c r="L9" s="365" t="str">
        <f>IF($C9="","",K9*VLOOKUP($C9,MATIERES!$A$2:$F$349,4,0))</f>
        <v/>
      </c>
      <c r="M9" s="364">
        <v>10</v>
      </c>
      <c r="N9" s="365" t="str">
        <f>IF($C9="","",M9*VLOOKUP($C9,MATIERES!$A$2:$F$349,4,0))</f>
        <v/>
      </c>
      <c r="O9" s="364">
        <v>11</v>
      </c>
      <c r="P9" s="365" t="str">
        <f>IF($C9="","",O9*VLOOKUP($C9,MATIERES!$A$2:$F$349,4,0))</f>
        <v/>
      </c>
      <c r="Q9" s="364">
        <v>12</v>
      </c>
      <c r="R9" s="365" t="str">
        <f>IF($C9="","",Q9*VLOOKUP($C9,MATIERES!$A$2:$F$349,4,0))</f>
        <v/>
      </c>
      <c r="S9" s="364">
        <v>13</v>
      </c>
      <c r="T9" s="365" t="str">
        <f>IF($C9="","",S9*VLOOKUP($C9,MATIERES!$A$2:$F$349,4,0))</f>
        <v/>
      </c>
      <c r="U9" s="364">
        <v>14</v>
      </c>
      <c r="V9" s="365" t="str">
        <f>IF($C9="","",U9*VLOOKUP($C9,MATIERES!$A$2:$F$349,4,0))</f>
        <v/>
      </c>
      <c r="W9" s="364">
        <v>15</v>
      </c>
      <c r="X9" s="365" t="str">
        <f>IF($C9="","",W9*VLOOKUP($C9,MATIERES!$A$2:$F$349,4,0))</f>
        <v/>
      </c>
      <c r="Y9" s="364">
        <v>16</v>
      </c>
      <c r="Z9" s="365" t="str">
        <f>IF($C9="","",Y9*VLOOKUP($C9,MATIERES!$A$2:$F$349,4,0))</f>
        <v/>
      </c>
      <c r="AA9" s="364">
        <v>17</v>
      </c>
      <c r="AB9" s="365" t="str">
        <f>IF($C9="","",AA9*VLOOKUP($C9,MATIERES!$A$2:$F$349,4,0))</f>
        <v/>
      </c>
      <c r="AC9" s="364">
        <v>18</v>
      </c>
      <c r="AD9" s="365" t="str">
        <f>IF($C9="","",AC9*VLOOKUP($C9,MATIERES!$A$2:$F$349,4,0))</f>
        <v/>
      </c>
      <c r="AE9" s="364">
        <v>19</v>
      </c>
      <c r="AF9" s="365" t="str">
        <f>IF($C9="","",AE9*VLOOKUP($C9,MATIERES!$A$2:$F$349,4,0))</f>
        <v/>
      </c>
      <c r="AG9" s="364">
        <v>20</v>
      </c>
      <c r="AH9" s="365" t="str">
        <f>IF($C9="","",AG9*VLOOKUP($C9,MATIERES!$A$2:$F$349,4,0))</f>
        <v/>
      </c>
      <c r="AI9" s="364">
        <v>21</v>
      </c>
      <c r="AJ9" s="365" t="str">
        <f>IF($C9="","",AI9*VLOOKUP($C9,MATIERES!$A$2:$F$349,4,0))</f>
        <v/>
      </c>
      <c r="AK9" s="364">
        <v>22</v>
      </c>
      <c r="AL9" s="365" t="str">
        <f>IF($C9="","",AK9*VLOOKUP($C9,MATIERES!$A$2:$F$349,4,0))</f>
        <v/>
      </c>
      <c r="AM9" s="364">
        <v>23</v>
      </c>
      <c r="AN9" s="365" t="str">
        <f>IF($C9="","",AM9*VLOOKUP($C9,MATIERES!$A$2:$F$349,4,0))</f>
        <v/>
      </c>
    </row>
    <row r="10" spans="1:42" ht="15" customHeight="1" x14ac:dyDescent="0.2">
      <c r="A10" s="1550"/>
      <c r="B10" s="361"/>
      <c r="C10" s="362"/>
      <c r="D10" s="363" t="str">
        <f>IF($C10="","",VLOOKUP($C10,MATIERES!$A$2:$F$227,5,0))</f>
        <v/>
      </c>
      <c r="E10" s="364">
        <v>7</v>
      </c>
      <c r="F10" s="365" t="str">
        <f>IF($C10="","",E10*VLOOKUP($C10,MATIERES!$A$2:$F$349,4,0))</f>
        <v/>
      </c>
      <c r="G10" s="364">
        <v>8</v>
      </c>
      <c r="H10" s="365" t="str">
        <f>IF($C10="","",G10*VLOOKUP($C10,MATIERES!$A$2:$F$349,4,0))</f>
        <v/>
      </c>
      <c r="I10" s="364">
        <v>9</v>
      </c>
      <c r="J10" s="365" t="str">
        <f>IF($C10="","",I10*VLOOKUP($C10,MATIERES!$A$2:$F$349,4,0))</f>
        <v/>
      </c>
      <c r="K10" s="364">
        <v>10</v>
      </c>
      <c r="L10" s="365" t="str">
        <f>IF($C10="","",K10*VLOOKUP($C10,MATIERES!$A$2:$F$349,4,0))</f>
        <v/>
      </c>
      <c r="M10" s="364">
        <v>11</v>
      </c>
      <c r="N10" s="365" t="str">
        <f>IF($C10="","",M10*VLOOKUP($C10,MATIERES!$A$2:$F$349,4,0))</f>
        <v/>
      </c>
      <c r="O10" s="364">
        <v>12</v>
      </c>
      <c r="P10" s="365" t="str">
        <f>IF($C10="","",O10*VLOOKUP($C10,MATIERES!$A$2:$F$349,4,0))</f>
        <v/>
      </c>
      <c r="Q10" s="364">
        <v>13</v>
      </c>
      <c r="R10" s="365" t="str">
        <f>IF($C10="","",Q10*VLOOKUP($C10,MATIERES!$A$2:$F$349,4,0))</f>
        <v/>
      </c>
      <c r="S10" s="364">
        <v>14</v>
      </c>
      <c r="T10" s="365" t="str">
        <f>IF($C10="","",S10*VLOOKUP($C10,MATIERES!$A$2:$F$349,4,0))</f>
        <v/>
      </c>
      <c r="U10" s="364">
        <v>15</v>
      </c>
      <c r="V10" s="365" t="str">
        <f>IF($C10="","",U10*VLOOKUP($C10,MATIERES!$A$2:$F$349,4,0))</f>
        <v/>
      </c>
      <c r="W10" s="364">
        <v>16</v>
      </c>
      <c r="X10" s="365" t="str">
        <f>IF($C10="","",W10*VLOOKUP($C10,MATIERES!$A$2:$F$349,4,0))</f>
        <v/>
      </c>
      <c r="Y10" s="364">
        <v>17</v>
      </c>
      <c r="Z10" s="365" t="str">
        <f>IF($C10="","",Y10*VLOOKUP($C10,MATIERES!$A$2:$F$349,4,0))</f>
        <v/>
      </c>
      <c r="AA10" s="364">
        <v>18</v>
      </c>
      <c r="AB10" s="365" t="str">
        <f>IF($C10="","",AA10*VLOOKUP($C10,MATIERES!$A$2:$F$349,4,0))</f>
        <v/>
      </c>
      <c r="AC10" s="364">
        <v>19</v>
      </c>
      <c r="AD10" s="365" t="str">
        <f>IF($C10="","",AC10*VLOOKUP($C10,MATIERES!$A$2:$F$349,4,0))</f>
        <v/>
      </c>
      <c r="AE10" s="364">
        <v>20</v>
      </c>
      <c r="AF10" s="365" t="str">
        <f>IF($C10="","",AE10*VLOOKUP($C10,MATIERES!$A$2:$F$349,4,0))</f>
        <v/>
      </c>
      <c r="AG10" s="364">
        <v>21</v>
      </c>
      <c r="AH10" s="365" t="str">
        <f>IF($C10="","",AG10*VLOOKUP($C10,MATIERES!$A$2:$F$349,4,0))</f>
        <v/>
      </c>
      <c r="AI10" s="364">
        <v>22</v>
      </c>
      <c r="AJ10" s="365" t="str">
        <f>IF($C10="","",AI10*VLOOKUP($C10,MATIERES!$A$2:$F$349,4,0))</f>
        <v/>
      </c>
      <c r="AK10" s="364">
        <v>23</v>
      </c>
      <c r="AL10" s="365" t="str">
        <f>IF($C10="","",AK10*VLOOKUP($C10,MATIERES!$A$2:$F$349,4,0))</f>
        <v/>
      </c>
      <c r="AM10" s="364">
        <v>24</v>
      </c>
      <c r="AN10" s="365" t="str">
        <f>IF($C10="","",AM10*VLOOKUP($C10,MATIERES!$A$2:$F$349,4,0))</f>
        <v/>
      </c>
    </row>
    <row r="11" spans="1:42" ht="15" customHeight="1" x14ac:dyDescent="0.2">
      <c r="A11" s="1550"/>
      <c r="B11" s="361"/>
      <c r="C11" s="362"/>
      <c r="D11" s="363" t="str">
        <f>IF($C11="","",VLOOKUP($C11,MATIERES!$A$2:$F$227,5,0))</f>
        <v/>
      </c>
      <c r="E11" s="364">
        <v>8</v>
      </c>
      <c r="F11" s="365" t="str">
        <f>IF($C11="","",E11*VLOOKUP($C11,MATIERES!$A$2:$F$349,4,0))</f>
        <v/>
      </c>
      <c r="G11" s="364">
        <v>9</v>
      </c>
      <c r="H11" s="365" t="str">
        <f>IF($C11="","",G11*VLOOKUP($C11,MATIERES!$A$2:$F$349,4,0))</f>
        <v/>
      </c>
      <c r="I11" s="364">
        <v>10</v>
      </c>
      <c r="J11" s="365" t="str">
        <f>IF($C11="","",I11*VLOOKUP($C11,MATIERES!$A$2:$F$349,4,0))</f>
        <v/>
      </c>
      <c r="K11" s="364">
        <v>11</v>
      </c>
      <c r="L11" s="365" t="str">
        <f>IF($C11="","",K11*VLOOKUP($C11,MATIERES!$A$2:$F$349,4,0))</f>
        <v/>
      </c>
      <c r="M11" s="364">
        <v>12</v>
      </c>
      <c r="N11" s="365" t="str">
        <f>IF($C11="","",M11*VLOOKUP($C11,MATIERES!$A$2:$F$349,4,0))</f>
        <v/>
      </c>
      <c r="O11" s="364">
        <v>13</v>
      </c>
      <c r="P11" s="365" t="str">
        <f>IF($C11="","",O11*VLOOKUP($C11,MATIERES!$A$2:$F$349,4,0))</f>
        <v/>
      </c>
      <c r="Q11" s="364">
        <v>14</v>
      </c>
      <c r="R11" s="365" t="str">
        <f>IF($C11="","",Q11*VLOOKUP($C11,MATIERES!$A$2:$F$349,4,0))</f>
        <v/>
      </c>
      <c r="S11" s="364">
        <v>15</v>
      </c>
      <c r="T11" s="365" t="str">
        <f>IF($C11="","",S11*VLOOKUP($C11,MATIERES!$A$2:$F$349,4,0))</f>
        <v/>
      </c>
      <c r="U11" s="364">
        <v>16</v>
      </c>
      <c r="V11" s="365" t="str">
        <f>IF($C11="","",U11*VLOOKUP($C11,MATIERES!$A$2:$F$349,4,0))</f>
        <v/>
      </c>
      <c r="W11" s="364">
        <v>17</v>
      </c>
      <c r="X11" s="365" t="str">
        <f>IF($C11="","",W11*VLOOKUP($C11,MATIERES!$A$2:$F$349,4,0))</f>
        <v/>
      </c>
      <c r="Y11" s="364">
        <v>18</v>
      </c>
      <c r="Z11" s="365" t="str">
        <f>IF($C11="","",Y11*VLOOKUP($C11,MATIERES!$A$2:$F$349,4,0))</f>
        <v/>
      </c>
      <c r="AA11" s="364">
        <v>19</v>
      </c>
      <c r="AB11" s="365" t="str">
        <f>IF($C11="","",AA11*VLOOKUP($C11,MATIERES!$A$2:$F$349,4,0))</f>
        <v/>
      </c>
      <c r="AC11" s="364">
        <v>20</v>
      </c>
      <c r="AD11" s="365" t="str">
        <f>IF($C11="","",AC11*VLOOKUP($C11,MATIERES!$A$2:$F$349,4,0))</f>
        <v/>
      </c>
      <c r="AE11" s="364">
        <v>21</v>
      </c>
      <c r="AF11" s="365" t="str">
        <f>IF($C11="","",AE11*VLOOKUP($C11,MATIERES!$A$2:$F$349,4,0))</f>
        <v/>
      </c>
      <c r="AG11" s="364">
        <v>22</v>
      </c>
      <c r="AH11" s="365" t="str">
        <f>IF($C11="","",AG11*VLOOKUP($C11,MATIERES!$A$2:$F$349,4,0))</f>
        <v/>
      </c>
      <c r="AI11" s="364">
        <v>23</v>
      </c>
      <c r="AJ11" s="365" t="str">
        <f>IF($C11="","",AI11*VLOOKUP($C11,MATIERES!$A$2:$F$349,4,0))</f>
        <v/>
      </c>
      <c r="AK11" s="364">
        <v>24</v>
      </c>
      <c r="AL11" s="365" t="str">
        <f>IF($C11="","",AK11*VLOOKUP($C11,MATIERES!$A$2:$F$349,4,0))</f>
        <v/>
      </c>
      <c r="AM11" s="364">
        <v>25</v>
      </c>
      <c r="AN11" s="365" t="str">
        <f>IF($C11="","",AM11*VLOOKUP($C11,MATIERES!$A$2:$F$349,4,0))</f>
        <v/>
      </c>
    </row>
    <row r="12" spans="1:42" ht="15" customHeight="1" x14ac:dyDescent="0.2">
      <c r="A12" s="1550"/>
      <c r="B12" s="361"/>
      <c r="C12" s="362"/>
      <c r="D12" s="363" t="str">
        <f>IF($C12="","",VLOOKUP($C12,MATIERES!$A$2:$F$227,5,0))</f>
        <v/>
      </c>
      <c r="E12" s="364">
        <v>9</v>
      </c>
      <c r="F12" s="365" t="str">
        <f>IF($C12="","",E12*VLOOKUP($C12,MATIERES!$A$2:$F$349,4,0))</f>
        <v/>
      </c>
      <c r="G12" s="364">
        <v>10</v>
      </c>
      <c r="H12" s="365" t="str">
        <f>IF($C12="","",G12*VLOOKUP($C12,MATIERES!$A$2:$F$349,4,0))</f>
        <v/>
      </c>
      <c r="I12" s="364">
        <v>11</v>
      </c>
      <c r="J12" s="365" t="str">
        <f>IF($C12="","",I12*VLOOKUP($C12,MATIERES!$A$2:$F$349,4,0))</f>
        <v/>
      </c>
      <c r="K12" s="364">
        <v>12</v>
      </c>
      <c r="L12" s="365" t="str">
        <f>IF($C12="","",K12*VLOOKUP($C12,MATIERES!$A$2:$F$349,4,0))</f>
        <v/>
      </c>
      <c r="M12" s="364">
        <v>13</v>
      </c>
      <c r="N12" s="365" t="str">
        <f>IF($C12="","",M12*VLOOKUP($C12,MATIERES!$A$2:$F$349,4,0))</f>
        <v/>
      </c>
      <c r="O12" s="364">
        <v>14</v>
      </c>
      <c r="P12" s="365" t="str">
        <f>IF($C12="","",O12*VLOOKUP($C12,MATIERES!$A$2:$F$349,4,0))</f>
        <v/>
      </c>
      <c r="Q12" s="364">
        <v>15</v>
      </c>
      <c r="R12" s="365" t="str">
        <f>IF($C12="","",Q12*VLOOKUP($C12,MATIERES!$A$2:$F$349,4,0))</f>
        <v/>
      </c>
      <c r="S12" s="364">
        <v>16</v>
      </c>
      <c r="T12" s="365" t="str">
        <f>IF($C12="","",S12*VLOOKUP($C12,MATIERES!$A$2:$F$349,4,0))</f>
        <v/>
      </c>
      <c r="U12" s="364">
        <v>17</v>
      </c>
      <c r="V12" s="365" t="str">
        <f>IF($C12="","",U12*VLOOKUP($C12,MATIERES!$A$2:$F$349,4,0))</f>
        <v/>
      </c>
      <c r="W12" s="364">
        <v>18</v>
      </c>
      <c r="X12" s="365" t="str">
        <f>IF($C12="","",W12*VLOOKUP($C12,MATIERES!$A$2:$F$349,4,0))</f>
        <v/>
      </c>
      <c r="Y12" s="364">
        <v>19</v>
      </c>
      <c r="Z12" s="365" t="str">
        <f>IF($C12="","",Y12*VLOOKUP($C12,MATIERES!$A$2:$F$349,4,0))</f>
        <v/>
      </c>
      <c r="AA12" s="364">
        <v>20</v>
      </c>
      <c r="AB12" s="365" t="str">
        <f>IF($C12="","",AA12*VLOOKUP($C12,MATIERES!$A$2:$F$349,4,0))</f>
        <v/>
      </c>
      <c r="AC12" s="364">
        <v>21</v>
      </c>
      <c r="AD12" s="365" t="str">
        <f>IF($C12="","",AC12*VLOOKUP($C12,MATIERES!$A$2:$F$349,4,0))</f>
        <v/>
      </c>
      <c r="AE12" s="364">
        <v>22</v>
      </c>
      <c r="AF12" s="365" t="str">
        <f>IF($C12="","",AE12*VLOOKUP($C12,MATIERES!$A$2:$F$349,4,0))</f>
        <v/>
      </c>
      <c r="AG12" s="364">
        <v>23</v>
      </c>
      <c r="AH12" s="365" t="str">
        <f>IF($C12="","",AG12*VLOOKUP($C12,MATIERES!$A$2:$F$349,4,0))</f>
        <v/>
      </c>
      <c r="AI12" s="364">
        <v>24</v>
      </c>
      <c r="AJ12" s="365" t="str">
        <f>IF($C12="","",AI12*VLOOKUP($C12,MATIERES!$A$2:$F$349,4,0))</f>
        <v/>
      </c>
      <c r="AK12" s="364">
        <v>25</v>
      </c>
      <c r="AL12" s="365" t="str">
        <f>IF($C12="","",AK12*VLOOKUP($C12,MATIERES!$A$2:$F$349,4,0))</f>
        <v/>
      </c>
      <c r="AM12" s="364">
        <v>26</v>
      </c>
      <c r="AN12" s="365" t="str">
        <f>IF($C12="","",AM12*VLOOKUP($C12,MATIERES!$A$2:$F$349,4,0))</f>
        <v/>
      </c>
    </row>
    <row r="13" spans="1:42" ht="15" customHeight="1" x14ac:dyDescent="0.2">
      <c r="A13" s="1550"/>
      <c r="B13" s="361"/>
      <c r="C13" s="362"/>
      <c r="D13" s="363" t="str">
        <f>IF($C13="","",VLOOKUP($C13,MATIERES!$A$2:$F$227,5,0))</f>
        <v/>
      </c>
      <c r="E13" s="364">
        <v>10</v>
      </c>
      <c r="F13" s="365" t="str">
        <f>IF($C13="","",E13*VLOOKUP($C13,MATIERES!$A$2:$F$349,4,0))</f>
        <v/>
      </c>
      <c r="G13" s="364">
        <v>11</v>
      </c>
      <c r="H13" s="365" t="str">
        <f>IF($C13="","",G13*VLOOKUP($C13,MATIERES!$A$2:$F$349,4,0))</f>
        <v/>
      </c>
      <c r="I13" s="364">
        <v>12</v>
      </c>
      <c r="J13" s="365" t="str">
        <f>IF($C13="","",I13*VLOOKUP($C13,MATIERES!$A$2:$F$349,4,0))</f>
        <v/>
      </c>
      <c r="K13" s="364">
        <v>13</v>
      </c>
      <c r="L13" s="365" t="str">
        <f>IF($C13="","",K13*VLOOKUP($C13,MATIERES!$A$2:$F$349,4,0))</f>
        <v/>
      </c>
      <c r="M13" s="364">
        <v>14</v>
      </c>
      <c r="N13" s="365" t="str">
        <f>IF($C13="","",M13*VLOOKUP($C13,MATIERES!$A$2:$F$349,4,0))</f>
        <v/>
      </c>
      <c r="O13" s="364">
        <v>15</v>
      </c>
      <c r="P13" s="365" t="str">
        <f>IF($C13="","",O13*VLOOKUP($C13,MATIERES!$A$2:$F$349,4,0))</f>
        <v/>
      </c>
      <c r="Q13" s="364">
        <v>16</v>
      </c>
      <c r="R13" s="365" t="str">
        <f>IF($C13="","",Q13*VLOOKUP($C13,MATIERES!$A$2:$F$349,4,0))</f>
        <v/>
      </c>
      <c r="S13" s="364">
        <v>17</v>
      </c>
      <c r="T13" s="365" t="str">
        <f>IF($C13="","",S13*VLOOKUP($C13,MATIERES!$A$2:$F$349,4,0))</f>
        <v/>
      </c>
      <c r="U13" s="364">
        <v>18</v>
      </c>
      <c r="V13" s="365" t="str">
        <f>IF($C13="","",U13*VLOOKUP($C13,MATIERES!$A$2:$F$349,4,0))</f>
        <v/>
      </c>
      <c r="W13" s="364">
        <v>19</v>
      </c>
      <c r="X13" s="365" t="str">
        <f>IF($C13="","",W13*VLOOKUP($C13,MATIERES!$A$2:$F$349,4,0))</f>
        <v/>
      </c>
      <c r="Y13" s="364">
        <v>20</v>
      </c>
      <c r="Z13" s="365" t="str">
        <f>IF($C13="","",Y13*VLOOKUP($C13,MATIERES!$A$2:$F$349,4,0))</f>
        <v/>
      </c>
      <c r="AA13" s="364">
        <v>21</v>
      </c>
      <c r="AB13" s="365" t="str">
        <f>IF($C13="","",AA13*VLOOKUP($C13,MATIERES!$A$2:$F$349,4,0))</f>
        <v/>
      </c>
      <c r="AC13" s="364">
        <v>22</v>
      </c>
      <c r="AD13" s="365" t="str">
        <f>IF($C13="","",AC13*VLOOKUP($C13,MATIERES!$A$2:$F$349,4,0))</f>
        <v/>
      </c>
      <c r="AE13" s="364">
        <v>23</v>
      </c>
      <c r="AF13" s="365" t="str">
        <f>IF($C13="","",AE13*VLOOKUP($C13,MATIERES!$A$2:$F$349,4,0))</f>
        <v/>
      </c>
      <c r="AG13" s="364">
        <v>24</v>
      </c>
      <c r="AH13" s="365" t="str">
        <f>IF($C13="","",AG13*VLOOKUP($C13,MATIERES!$A$2:$F$349,4,0))</f>
        <v/>
      </c>
      <c r="AI13" s="364">
        <v>25</v>
      </c>
      <c r="AJ13" s="365" t="str">
        <f>IF($C13="","",AI13*VLOOKUP($C13,MATIERES!$A$2:$F$349,4,0))</f>
        <v/>
      </c>
      <c r="AK13" s="364">
        <v>26</v>
      </c>
      <c r="AL13" s="365" t="str">
        <f>IF($C13="","",AK13*VLOOKUP($C13,MATIERES!$A$2:$F$349,4,0))</f>
        <v/>
      </c>
      <c r="AM13" s="364">
        <v>27</v>
      </c>
      <c r="AN13" s="365" t="str">
        <f>IF($C13="","",AM13*VLOOKUP($C13,MATIERES!$A$2:$F$349,4,0))</f>
        <v/>
      </c>
      <c r="AO13" s="186"/>
    </row>
    <row r="14" spans="1:42" ht="15" customHeight="1" x14ac:dyDescent="0.2">
      <c r="A14" s="1550"/>
      <c r="B14" s="361"/>
      <c r="C14" s="362"/>
      <c r="D14" s="363" t="str">
        <f>IF($C14="","",VLOOKUP($C14,MATIERES!$A$2:$F$227,5,0))</f>
        <v/>
      </c>
      <c r="E14" s="364">
        <v>11</v>
      </c>
      <c r="F14" s="365" t="str">
        <f>IF($C14="","",E14*VLOOKUP($C14,MATIERES!$A$2:$F$349,4,0))</f>
        <v/>
      </c>
      <c r="G14" s="364">
        <v>12</v>
      </c>
      <c r="H14" s="365" t="str">
        <f>IF($C14="","",G14*VLOOKUP($C14,MATIERES!$A$2:$F$349,4,0))</f>
        <v/>
      </c>
      <c r="I14" s="364">
        <v>13</v>
      </c>
      <c r="J14" s="365" t="str">
        <f>IF($C14="","",I14*VLOOKUP($C14,MATIERES!$A$2:$F$349,4,0))</f>
        <v/>
      </c>
      <c r="K14" s="364">
        <v>14</v>
      </c>
      <c r="L14" s="365" t="str">
        <f>IF($C14="","",K14*VLOOKUP($C14,MATIERES!$A$2:$F$349,4,0))</f>
        <v/>
      </c>
      <c r="M14" s="364">
        <v>15</v>
      </c>
      <c r="N14" s="365" t="str">
        <f>IF($C14="","",M14*VLOOKUP($C14,MATIERES!$A$2:$F$349,4,0))</f>
        <v/>
      </c>
      <c r="O14" s="364">
        <v>16</v>
      </c>
      <c r="P14" s="365" t="str">
        <f>IF($C14="","",O14*VLOOKUP($C14,MATIERES!$A$2:$F$349,4,0))</f>
        <v/>
      </c>
      <c r="Q14" s="364">
        <v>17</v>
      </c>
      <c r="R14" s="365" t="str">
        <f>IF($C14="","",Q14*VLOOKUP($C14,MATIERES!$A$2:$F$349,4,0))</f>
        <v/>
      </c>
      <c r="S14" s="364">
        <v>18</v>
      </c>
      <c r="T14" s="365" t="str">
        <f>IF($C14="","",S14*VLOOKUP($C14,MATIERES!$A$2:$F$349,4,0))</f>
        <v/>
      </c>
      <c r="U14" s="364">
        <v>19</v>
      </c>
      <c r="V14" s="365" t="str">
        <f>IF($C14="","",U14*VLOOKUP($C14,MATIERES!$A$2:$F$349,4,0))</f>
        <v/>
      </c>
      <c r="W14" s="364">
        <v>20</v>
      </c>
      <c r="X14" s="365" t="str">
        <f>IF($C14="","",W14*VLOOKUP($C14,MATIERES!$A$2:$F$349,4,0))</f>
        <v/>
      </c>
      <c r="Y14" s="364">
        <v>21</v>
      </c>
      <c r="Z14" s="365" t="str">
        <f>IF($C14="","",Y14*VLOOKUP($C14,MATIERES!$A$2:$F$349,4,0))</f>
        <v/>
      </c>
      <c r="AA14" s="364">
        <v>22</v>
      </c>
      <c r="AB14" s="365" t="str">
        <f>IF($C14="","",AA14*VLOOKUP($C14,MATIERES!$A$2:$F$349,4,0))</f>
        <v/>
      </c>
      <c r="AC14" s="364">
        <v>23</v>
      </c>
      <c r="AD14" s="365" t="str">
        <f>IF($C14="","",AC14*VLOOKUP($C14,MATIERES!$A$2:$F$349,4,0))</f>
        <v/>
      </c>
      <c r="AE14" s="364">
        <v>24</v>
      </c>
      <c r="AF14" s="365" t="str">
        <f>IF($C14="","",AE14*VLOOKUP($C14,MATIERES!$A$2:$F$349,4,0))</f>
        <v/>
      </c>
      <c r="AG14" s="364">
        <v>25</v>
      </c>
      <c r="AH14" s="365" t="str">
        <f>IF($C14="","",AG14*VLOOKUP($C14,MATIERES!$A$2:$F$349,4,0))</f>
        <v/>
      </c>
      <c r="AI14" s="364">
        <v>26</v>
      </c>
      <c r="AJ14" s="365" t="str">
        <f>IF($C14="","",AI14*VLOOKUP($C14,MATIERES!$A$2:$F$349,4,0))</f>
        <v/>
      </c>
      <c r="AK14" s="364">
        <v>27</v>
      </c>
      <c r="AL14" s="365" t="str">
        <f>IF($C14="","",AK14*VLOOKUP($C14,MATIERES!$A$2:$F$349,4,0))</f>
        <v/>
      </c>
      <c r="AM14" s="364">
        <v>28</v>
      </c>
      <c r="AN14" s="365" t="str">
        <f>IF($C14="","",AM14*VLOOKUP($C14,MATIERES!$A$2:$F$349,4,0))</f>
        <v/>
      </c>
    </row>
    <row r="15" spans="1:42" ht="15" customHeight="1" x14ac:dyDescent="0.2">
      <c r="A15" s="1550"/>
      <c r="B15" s="361"/>
      <c r="C15" s="362"/>
      <c r="D15" s="363" t="str">
        <f>IF($C15="","",VLOOKUP($C15,MATIERES!$A$2:$F$227,5,0))</f>
        <v/>
      </c>
      <c r="E15" s="364">
        <v>12</v>
      </c>
      <c r="F15" s="365" t="str">
        <f>IF($C15="","",E15*VLOOKUP($C15,MATIERES!$A$2:$F$349,4,0))</f>
        <v/>
      </c>
      <c r="G15" s="364">
        <v>13</v>
      </c>
      <c r="H15" s="365" t="str">
        <f>IF($C15="","",G15*VLOOKUP($C15,MATIERES!$A$2:$F$349,4,0))</f>
        <v/>
      </c>
      <c r="I15" s="364">
        <v>14</v>
      </c>
      <c r="J15" s="365" t="str">
        <f>IF($C15="","",I15*VLOOKUP($C15,MATIERES!$A$2:$F$349,4,0))</f>
        <v/>
      </c>
      <c r="K15" s="364">
        <v>15</v>
      </c>
      <c r="L15" s="365" t="str">
        <f>IF($C15="","",K15*VLOOKUP($C15,MATIERES!$A$2:$F$349,4,0))</f>
        <v/>
      </c>
      <c r="M15" s="364">
        <v>16</v>
      </c>
      <c r="N15" s="365" t="str">
        <f>IF($C15="","",M15*VLOOKUP($C15,MATIERES!$A$2:$F$349,4,0))</f>
        <v/>
      </c>
      <c r="O15" s="364">
        <v>17</v>
      </c>
      <c r="P15" s="365" t="str">
        <f>IF($C15="","",O15*VLOOKUP($C15,MATIERES!$A$2:$F$349,4,0))</f>
        <v/>
      </c>
      <c r="Q15" s="364">
        <v>18</v>
      </c>
      <c r="R15" s="365" t="str">
        <f>IF($C15="","",Q15*VLOOKUP($C15,MATIERES!$A$2:$F$349,4,0))</f>
        <v/>
      </c>
      <c r="S15" s="364">
        <v>19</v>
      </c>
      <c r="T15" s="365" t="str">
        <f>IF($C15="","",S15*VLOOKUP($C15,MATIERES!$A$2:$F$349,4,0))</f>
        <v/>
      </c>
      <c r="U15" s="364">
        <v>20</v>
      </c>
      <c r="V15" s="365" t="str">
        <f>IF($C15="","",U15*VLOOKUP($C15,MATIERES!$A$2:$F$349,4,0))</f>
        <v/>
      </c>
      <c r="W15" s="364">
        <v>21</v>
      </c>
      <c r="X15" s="365" t="str">
        <f>IF($C15="","",W15*VLOOKUP($C15,MATIERES!$A$2:$F$349,4,0))</f>
        <v/>
      </c>
      <c r="Y15" s="364">
        <v>22</v>
      </c>
      <c r="Z15" s="365" t="str">
        <f>IF($C15="","",Y15*VLOOKUP($C15,MATIERES!$A$2:$F$349,4,0))</f>
        <v/>
      </c>
      <c r="AA15" s="364">
        <v>23</v>
      </c>
      <c r="AB15" s="365" t="str">
        <f>IF($C15="","",AA15*VLOOKUP($C15,MATIERES!$A$2:$F$349,4,0))</f>
        <v/>
      </c>
      <c r="AC15" s="364">
        <v>24</v>
      </c>
      <c r="AD15" s="365" t="str">
        <f>IF($C15="","",AC15*VLOOKUP($C15,MATIERES!$A$2:$F$349,4,0))</f>
        <v/>
      </c>
      <c r="AE15" s="364">
        <v>25</v>
      </c>
      <c r="AF15" s="365" t="str">
        <f>IF($C15="","",AE15*VLOOKUP($C15,MATIERES!$A$2:$F$349,4,0))</f>
        <v/>
      </c>
      <c r="AG15" s="364">
        <v>26</v>
      </c>
      <c r="AH15" s="365" t="str">
        <f>IF($C15="","",AG15*VLOOKUP($C15,MATIERES!$A$2:$F$349,4,0))</f>
        <v/>
      </c>
      <c r="AI15" s="364">
        <v>27</v>
      </c>
      <c r="AJ15" s="365" t="str">
        <f>IF($C15="","",AI15*VLOOKUP($C15,MATIERES!$A$2:$F$349,4,0))</f>
        <v/>
      </c>
      <c r="AK15" s="364">
        <v>28</v>
      </c>
      <c r="AL15" s="365" t="str">
        <f>IF($C15="","",AK15*VLOOKUP($C15,MATIERES!$A$2:$F$349,4,0))</f>
        <v/>
      </c>
      <c r="AM15" s="364">
        <v>29</v>
      </c>
      <c r="AN15" s="365" t="str">
        <f>IF($C15="","",AM15*VLOOKUP($C15,MATIERES!$A$2:$F$349,4,0))</f>
        <v/>
      </c>
    </row>
    <row r="16" spans="1:42" ht="15" customHeight="1" x14ac:dyDescent="0.2">
      <c r="A16" s="1550"/>
      <c r="B16" s="361"/>
      <c r="C16" s="362"/>
      <c r="D16" s="363" t="str">
        <f>IF($C16="","",VLOOKUP($C16,MATIERES!$A$2:$F$227,5,0))</f>
        <v/>
      </c>
      <c r="E16" s="364">
        <v>13</v>
      </c>
      <c r="F16" s="365" t="str">
        <f>IF($C16="","",E16*VLOOKUP($C16,MATIERES!$A$2:$F$349,4,0))</f>
        <v/>
      </c>
      <c r="G16" s="364">
        <v>14</v>
      </c>
      <c r="H16" s="365" t="str">
        <f>IF($C16="","",G16*VLOOKUP($C16,MATIERES!$A$2:$F$349,4,0))</f>
        <v/>
      </c>
      <c r="I16" s="364">
        <v>15</v>
      </c>
      <c r="J16" s="365" t="str">
        <f>IF($C16="","",I16*VLOOKUP($C16,MATIERES!$A$2:$F$349,4,0))</f>
        <v/>
      </c>
      <c r="K16" s="364">
        <v>16</v>
      </c>
      <c r="L16" s="365" t="str">
        <f>IF($C16="","",K16*VLOOKUP($C16,MATIERES!$A$2:$F$349,4,0))</f>
        <v/>
      </c>
      <c r="M16" s="364">
        <v>17</v>
      </c>
      <c r="N16" s="365" t="str">
        <f>IF($C16="","",M16*VLOOKUP($C16,MATIERES!$A$2:$F$349,4,0))</f>
        <v/>
      </c>
      <c r="O16" s="364">
        <v>18</v>
      </c>
      <c r="P16" s="365" t="str">
        <f>IF($C16="","",O16*VLOOKUP($C16,MATIERES!$A$2:$F$349,4,0))</f>
        <v/>
      </c>
      <c r="Q16" s="364">
        <v>19</v>
      </c>
      <c r="R16" s="365" t="str">
        <f>IF($C16="","",Q16*VLOOKUP($C16,MATIERES!$A$2:$F$349,4,0))</f>
        <v/>
      </c>
      <c r="S16" s="364">
        <v>20</v>
      </c>
      <c r="T16" s="365" t="str">
        <f>IF($C16="","",S16*VLOOKUP($C16,MATIERES!$A$2:$F$349,4,0))</f>
        <v/>
      </c>
      <c r="U16" s="364">
        <v>21</v>
      </c>
      <c r="V16" s="365" t="str">
        <f>IF($C16="","",U16*VLOOKUP($C16,MATIERES!$A$2:$F$349,4,0))</f>
        <v/>
      </c>
      <c r="W16" s="364">
        <v>22</v>
      </c>
      <c r="X16" s="365" t="str">
        <f>IF($C16="","",W16*VLOOKUP($C16,MATIERES!$A$2:$F$349,4,0))</f>
        <v/>
      </c>
      <c r="Y16" s="364">
        <v>23</v>
      </c>
      <c r="Z16" s="365" t="str">
        <f>IF($C16="","",Y16*VLOOKUP($C16,MATIERES!$A$2:$F$349,4,0))</f>
        <v/>
      </c>
      <c r="AA16" s="364">
        <v>24</v>
      </c>
      <c r="AB16" s="365" t="str">
        <f>IF($C16="","",AA16*VLOOKUP($C16,MATIERES!$A$2:$F$349,4,0))</f>
        <v/>
      </c>
      <c r="AC16" s="364">
        <v>25</v>
      </c>
      <c r="AD16" s="365" t="str">
        <f>IF($C16="","",AC16*VLOOKUP($C16,MATIERES!$A$2:$F$349,4,0))</f>
        <v/>
      </c>
      <c r="AE16" s="364">
        <v>26</v>
      </c>
      <c r="AF16" s="365" t="str">
        <f>IF($C16="","",AE16*VLOOKUP($C16,MATIERES!$A$2:$F$349,4,0))</f>
        <v/>
      </c>
      <c r="AG16" s="364">
        <v>27</v>
      </c>
      <c r="AH16" s="365" t="str">
        <f>IF($C16="","",AG16*VLOOKUP($C16,MATIERES!$A$2:$F$349,4,0))</f>
        <v/>
      </c>
      <c r="AI16" s="364">
        <v>28</v>
      </c>
      <c r="AJ16" s="365" t="str">
        <f>IF($C16="","",AI16*VLOOKUP($C16,MATIERES!$A$2:$F$349,4,0))</f>
        <v/>
      </c>
      <c r="AK16" s="364">
        <v>29</v>
      </c>
      <c r="AL16" s="365" t="str">
        <f>IF($C16="","",AK16*VLOOKUP($C16,MATIERES!$A$2:$F$349,4,0))</f>
        <v/>
      </c>
      <c r="AM16" s="364">
        <v>30</v>
      </c>
      <c r="AN16" s="365" t="str">
        <f>IF($C16="","",AM16*VLOOKUP($C16,MATIERES!$A$2:$F$349,4,0))</f>
        <v/>
      </c>
    </row>
    <row r="17" spans="1:40" ht="15" customHeight="1" x14ac:dyDescent="0.2">
      <c r="A17" s="1551"/>
      <c r="B17" s="361"/>
      <c r="C17" s="362"/>
      <c r="D17" s="363" t="str">
        <f>IF($C17="","",VLOOKUP($C17,MATIERES!$A$2:$F$227,5,0))</f>
        <v/>
      </c>
      <c r="E17" s="364">
        <v>14</v>
      </c>
      <c r="F17" s="365" t="str">
        <f>IF($C17="","",E17*VLOOKUP($C17,MATIERES!$A$2:$F$349,4,0))</f>
        <v/>
      </c>
      <c r="G17" s="364">
        <v>15</v>
      </c>
      <c r="H17" s="365" t="str">
        <f>IF($C17="","",G17*VLOOKUP($C17,MATIERES!$A$2:$F$349,4,0))</f>
        <v/>
      </c>
      <c r="I17" s="364">
        <v>16</v>
      </c>
      <c r="J17" s="365" t="str">
        <f>IF($C17="","",I17*VLOOKUP($C17,MATIERES!$A$2:$F$349,4,0))</f>
        <v/>
      </c>
      <c r="K17" s="364">
        <v>17</v>
      </c>
      <c r="L17" s="365" t="str">
        <f>IF($C17="","",K17*VLOOKUP($C17,MATIERES!$A$2:$F$349,4,0))</f>
        <v/>
      </c>
      <c r="M17" s="364">
        <v>18</v>
      </c>
      <c r="N17" s="365" t="str">
        <f>IF($C17="","",M17*VLOOKUP($C17,MATIERES!$A$2:$F$349,4,0))</f>
        <v/>
      </c>
      <c r="O17" s="364">
        <v>19</v>
      </c>
      <c r="P17" s="365" t="str">
        <f>IF($C17="","",O17*VLOOKUP($C17,MATIERES!$A$2:$F$349,4,0))</f>
        <v/>
      </c>
      <c r="Q17" s="364">
        <v>20</v>
      </c>
      <c r="R17" s="365" t="str">
        <f>IF($C17="","",Q17*VLOOKUP($C17,MATIERES!$A$2:$F$349,4,0))</f>
        <v/>
      </c>
      <c r="S17" s="364">
        <v>21</v>
      </c>
      <c r="T17" s="365" t="str">
        <f>IF($C17="","",S17*VLOOKUP($C17,MATIERES!$A$2:$F$349,4,0))</f>
        <v/>
      </c>
      <c r="U17" s="364">
        <v>22</v>
      </c>
      <c r="V17" s="365" t="str">
        <f>IF($C17="","",U17*VLOOKUP($C17,MATIERES!$A$2:$F$349,4,0))</f>
        <v/>
      </c>
      <c r="W17" s="364">
        <v>23</v>
      </c>
      <c r="X17" s="365" t="str">
        <f>IF($C17="","",W17*VLOOKUP($C17,MATIERES!$A$2:$F$349,4,0))</f>
        <v/>
      </c>
      <c r="Y17" s="364">
        <v>24</v>
      </c>
      <c r="Z17" s="365" t="str">
        <f>IF($C17="","",Y17*VLOOKUP($C17,MATIERES!$A$2:$F$349,4,0))</f>
        <v/>
      </c>
      <c r="AA17" s="364">
        <v>25</v>
      </c>
      <c r="AB17" s="365" t="str">
        <f>IF($C17="","",AA17*VLOOKUP($C17,MATIERES!$A$2:$F$349,4,0))</f>
        <v/>
      </c>
      <c r="AC17" s="364">
        <v>26</v>
      </c>
      <c r="AD17" s="365" t="str">
        <f>IF($C17="","",AC17*VLOOKUP($C17,MATIERES!$A$2:$F$349,4,0))</f>
        <v/>
      </c>
      <c r="AE17" s="364">
        <v>27</v>
      </c>
      <c r="AF17" s="365" t="str">
        <f>IF($C17="","",AE17*VLOOKUP($C17,MATIERES!$A$2:$F$349,4,0))</f>
        <v/>
      </c>
      <c r="AG17" s="364">
        <v>28</v>
      </c>
      <c r="AH17" s="365" t="str">
        <f>IF($C17="","",AG17*VLOOKUP($C17,MATIERES!$A$2:$F$349,4,0))</f>
        <v/>
      </c>
      <c r="AI17" s="364">
        <v>29</v>
      </c>
      <c r="AJ17" s="365" t="str">
        <f>IF($C17="","",AI17*VLOOKUP($C17,MATIERES!$A$2:$F$349,4,0))</f>
        <v/>
      </c>
      <c r="AK17" s="364">
        <v>30</v>
      </c>
      <c r="AL17" s="365" t="str">
        <f>IF($C17="","",AK17*VLOOKUP($C17,MATIERES!$A$2:$F$349,4,0))</f>
        <v/>
      </c>
      <c r="AM17" s="364">
        <v>31</v>
      </c>
      <c r="AN17" s="365" t="str">
        <f>IF($C17="","",AM17*VLOOKUP($C17,MATIERES!$A$2:$F$349,4,0))</f>
        <v/>
      </c>
    </row>
    <row r="18" spans="1:40" ht="15" customHeight="1" x14ac:dyDescent="0.2">
      <c r="A18" s="1550"/>
      <c r="B18" s="361"/>
      <c r="C18" s="362"/>
      <c r="D18" s="363" t="str">
        <f>IF($C18="","",VLOOKUP($C18,MATIERES!$A$2:$F$227,5,0))</f>
        <v/>
      </c>
      <c r="E18" s="364">
        <v>15</v>
      </c>
      <c r="F18" s="365" t="str">
        <f>IF($C18="","",E18*VLOOKUP($C18,MATIERES!$A$2:$F$349,4,0))</f>
        <v/>
      </c>
      <c r="G18" s="364">
        <v>16</v>
      </c>
      <c r="H18" s="365" t="str">
        <f>IF($C18="","",G18*VLOOKUP($C18,MATIERES!$A$2:$F$349,4,0))</f>
        <v/>
      </c>
      <c r="I18" s="364">
        <v>17</v>
      </c>
      <c r="J18" s="365" t="str">
        <f>IF($C18="","",I18*VLOOKUP($C18,MATIERES!$A$2:$F$349,4,0))</f>
        <v/>
      </c>
      <c r="K18" s="364">
        <v>18</v>
      </c>
      <c r="L18" s="365" t="str">
        <f>IF($C18="","",K18*VLOOKUP($C18,MATIERES!$A$2:$F$349,4,0))</f>
        <v/>
      </c>
      <c r="M18" s="364">
        <v>19</v>
      </c>
      <c r="N18" s="365" t="str">
        <f>IF($C18="","",M18*VLOOKUP($C18,MATIERES!$A$2:$F$349,4,0))</f>
        <v/>
      </c>
      <c r="O18" s="364">
        <v>20</v>
      </c>
      <c r="P18" s="365" t="str">
        <f>IF($C18="","",O18*VLOOKUP($C18,MATIERES!$A$2:$F$349,4,0))</f>
        <v/>
      </c>
      <c r="Q18" s="364">
        <v>21</v>
      </c>
      <c r="R18" s="365" t="str">
        <f>IF($C18="","",Q18*VLOOKUP($C18,MATIERES!$A$2:$F$349,4,0))</f>
        <v/>
      </c>
      <c r="S18" s="364">
        <v>22</v>
      </c>
      <c r="T18" s="365" t="str">
        <f>IF($C18="","",S18*VLOOKUP($C18,MATIERES!$A$2:$F$349,4,0))</f>
        <v/>
      </c>
      <c r="U18" s="364">
        <v>23</v>
      </c>
      <c r="V18" s="365" t="str">
        <f>IF($C18="","",U18*VLOOKUP($C18,MATIERES!$A$2:$F$349,4,0))</f>
        <v/>
      </c>
      <c r="W18" s="364">
        <v>24</v>
      </c>
      <c r="X18" s="365" t="str">
        <f>IF($C18="","",W18*VLOOKUP($C18,MATIERES!$A$2:$F$349,4,0))</f>
        <v/>
      </c>
      <c r="Y18" s="364">
        <v>25</v>
      </c>
      <c r="Z18" s="365" t="str">
        <f>IF($C18="","",Y18*VLOOKUP($C18,MATIERES!$A$2:$F$349,4,0))</f>
        <v/>
      </c>
      <c r="AA18" s="364">
        <v>26</v>
      </c>
      <c r="AB18" s="365" t="str">
        <f>IF($C18="","",AA18*VLOOKUP($C18,MATIERES!$A$2:$F$349,4,0))</f>
        <v/>
      </c>
      <c r="AC18" s="364">
        <v>27</v>
      </c>
      <c r="AD18" s="365" t="str">
        <f>IF($C18="","",AC18*VLOOKUP($C18,MATIERES!$A$2:$F$349,4,0))</f>
        <v/>
      </c>
      <c r="AE18" s="364">
        <v>28</v>
      </c>
      <c r="AF18" s="365" t="str">
        <f>IF($C18="","",AE18*VLOOKUP($C18,MATIERES!$A$2:$F$349,4,0))</f>
        <v/>
      </c>
      <c r="AG18" s="364">
        <v>29</v>
      </c>
      <c r="AH18" s="365" t="str">
        <f>IF($C18="","",AG18*VLOOKUP($C18,MATIERES!$A$2:$F$349,4,0))</f>
        <v/>
      </c>
      <c r="AI18" s="364">
        <v>30</v>
      </c>
      <c r="AJ18" s="365" t="str">
        <f>IF($C18="","",AI18*VLOOKUP($C18,MATIERES!$A$2:$F$349,4,0))</f>
        <v/>
      </c>
      <c r="AK18" s="364">
        <v>31</v>
      </c>
      <c r="AL18" s="365" t="str">
        <f>IF($C18="","",AK18*VLOOKUP($C18,MATIERES!$A$2:$F$349,4,0))</f>
        <v/>
      </c>
      <c r="AM18" s="364">
        <v>32</v>
      </c>
      <c r="AN18" s="365" t="str">
        <f>IF($C18="","",AM18*VLOOKUP($C18,MATIERES!$A$2:$F$349,4,0))</f>
        <v/>
      </c>
    </row>
    <row r="19" spans="1:40" ht="15" customHeight="1" x14ac:dyDescent="0.2">
      <c r="A19" s="1550"/>
      <c r="B19" s="361"/>
      <c r="C19" s="362"/>
      <c r="D19" s="363" t="str">
        <f>IF($C19="","",VLOOKUP($C19,MATIERES!$A$2:$F$227,5,0))</f>
        <v/>
      </c>
      <c r="E19" s="364">
        <v>16</v>
      </c>
      <c r="F19" s="365" t="str">
        <f>IF($C19="","",E19*VLOOKUP($C19,MATIERES!$A$2:$F$349,4,0))</f>
        <v/>
      </c>
      <c r="G19" s="364">
        <v>17</v>
      </c>
      <c r="H19" s="365" t="str">
        <f>IF($C19="","",G19*VLOOKUP($C19,MATIERES!$A$2:$F$349,4,0))</f>
        <v/>
      </c>
      <c r="I19" s="364">
        <v>18</v>
      </c>
      <c r="J19" s="365" t="str">
        <f>IF($C19="","",I19*VLOOKUP($C19,MATIERES!$A$2:$F$349,4,0))</f>
        <v/>
      </c>
      <c r="K19" s="364">
        <v>19</v>
      </c>
      <c r="L19" s="365" t="str">
        <f>IF($C19="","",K19*VLOOKUP($C19,MATIERES!$A$2:$F$349,4,0))</f>
        <v/>
      </c>
      <c r="M19" s="364">
        <v>20</v>
      </c>
      <c r="N19" s="365" t="str">
        <f>IF($C19="","",M19*VLOOKUP($C19,MATIERES!$A$2:$F$349,4,0))</f>
        <v/>
      </c>
      <c r="O19" s="364">
        <v>21</v>
      </c>
      <c r="P19" s="365" t="str">
        <f>IF($C19="","",O19*VLOOKUP($C19,MATIERES!$A$2:$F$349,4,0))</f>
        <v/>
      </c>
      <c r="Q19" s="364">
        <v>22</v>
      </c>
      <c r="R19" s="365" t="str">
        <f>IF($C19="","",Q19*VLOOKUP($C19,MATIERES!$A$2:$F$349,4,0))</f>
        <v/>
      </c>
      <c r="S19" s="364">
        <v>23</v>
      </c>
      <c r="T19" s="365" t="str">
        <f>IF($C19="","",S19*VLOOKUP($C19,MATIERES!$A$2:$F$349,4,0))</f>
        <v/>
      </c>
      <c r="U19" s="364">
        <v>24</v>
      </c>
      <c r="V19" s="365" t="str">
        <f>IF($C19="","",U19*VLOOKUP($C19,MATIERES!$A$2:$F$349,4,0))</f>
        <v/>
      </c>
      <c r="W19" s="364">
        <v>25</v>
      </c>
      <c r="X19" s="365" t="str">
        <f>IF($C19="","",W19*VLOOKUP($C19,MATIERES!$A$2:$F$349,4,0))</f>
        <v/>
      </c>
      <c r="Y19" s="364">
        <v>26</v>
      </c>
      <c r="Z19" s="365" t="str">
        <f>IF($C19="","",Y19*VLOOKUP($C19,MATIERES!$A$2:$F$349,4,0))</f>
        <v/>
      </c>
      <c r="AA19" s="364">
        <v>27</v>
      </c>
      <c r="AB19" s="365" t="str">
        <f>IF($C19="","",AA19*VLOOKUP($C19,MATIERES!$A$2:$F$349,4,0))</f>
        <v/>
      </c>
      <c r="AC19" s="364">
        <v>28</v>
      </c>
      <c r="AD19" s="365" t="str">
        <f>IF($C19="","",AC19*VLOOKUP($C19,MATIERES!$A$2:$F$349,4,0))</f>
        <v/>
      </c>
      <c r="AE19" s="364">
        <v>29</v>
      </c>
      <c r="AF19" s="365" t="str">
        <f>IF($C19="","",AE19*VLOOKUP($C19,MATIERES!$A$2:$F$349,4,0))</f>
        <v/>
      </c>
      <c r="AG19" s="364">
        <v>30</v>
      </c>
      <c r="AH19" s="365" t="str">
        <f>IF($C19="","",AG19*VLOOKUP($C19,MATIERES!$A$2:$F$349,4,0))</f>
        <v/>
      </c>
      <c r="AI19" s="364">
        <v>31</v>
      </c>
      <c r="AJ19" s="365" t="str">
        <f>IF($C19="","",AI19*VLOOKUP($C19,MATIERES!$A$2:$F$349,4,0))</f>
        <v/>
      </c>
      <c r="AK19" s="364">
        <v>32</v>
      </c>
      <c r="AL19" s="365" t="str">
        <f>IF($C19="","",AK19*VLOOKUP($C19,MATIERES!$A$2:$F$349,4,0))</f>
        <v/>
      </c>
      <c r="AM19" s="364">
        <v>33</v>
      </c>
      <c r="AN19" s="365" t="str">
        <f>IF($C19="","",AM19*VLOOKUP($C19,MATIERES!$A$2:$F$349,4,0))</f>
        <v/>
      </c>
    </row>
    <row r="20" spans="1:40" ht="15" customHeight="1" x14ac:dyDescent="0.2">
      <c r="A20" s="1550"/>
      <c r="B20" s="361"/>
      <c r="C20" s="362"/>
      <c r="D20" s="363" t="str">
        <f>IF($C20="","",VLOOKUP($C20,MATIERES!$A$2:$F$227,5,0))</f>
        <v/>
      </c>
      <c r="E20" s="364">
        <v>17</v>
      </c>
      <c r="F20" s="365" t="str">
        <f>IF($C20="","",E20*VLOOKUP($C20,MATIERES!$A$2:$F$349,4,0))</f>
        <v/>
      </c>
      <c r="G20" s="364">
        <v>18</v>
      </c>
      <c r="H20" s="365" t="str">
        <f>IF($C20="","",G20*VLOOKUP($C20,MATIERES!$A$2:$F$349,4,0))</f>
        <v/>
      </c>
      <c r="I20" s="364">
        <v>19</v>
      </c>
      <c r="J20" s="365" t="str">
        <f>IF($C20="","",I20*VLOOKUP($C20,MATIERES!$A$2:$F$349,4,0))</f>
        <v/>
      </c>
      <c r="K20" s="364">
        <v>20</v>
      </c>
      <c r="L20" s="365" t="str">
        <f>IF($C20="","",K20*VLOOKUP($C20,MATIERES!$A$2:$F$349,4,0))</f>
        <v/>
      </c>
      <c r="M20" s="364">
        <v>21</v>
      </c>
      <c r="N20" s="365" t="str">
        <f>IF($C20="","",M20*VLOOKUP($C20,MATIERES!$A$2:$F$349,4,0))</f>
        <v/>
      </c>
      <c r="O20" s="364">
        <v>22</v>
      </c>
      <c r="P20" s="365" t="str">
        <f>IF($C20="","",O20*VLOOKUP($C20,MATIERES!$A$2:$F$349,4,0))</f>
        <v/>
      </c>
      <c r="Q20" s="364">
        <v>23</v>
      </c>
      <c r="R20" s="365" t="str">
        <f>IF($C20="","",Q20*VLOOKUP($C20,MATIERES!$A$2:$F$349,4,0))</f>
        <v/>
      </c>
      <c r="S20" s="364">
        <v>24</v>
      </c>
      <c r="T20" s="365" t="str">
        <f>IF($C20="","",S20*VLOOKUP($C20,MATIERES!$A$2:$F$349,4,0))</f>
        <v/>
      </c>
      <c r="U20" s="364">
        <v>25</v>
      </c>
      <c r="V20" s="365" t="str">
        <f>IF($C20="","",U20*VLOOKUP($C20,MATIERES!$A$2:$F$349,4,0))</f>
        <v/>
      </c>
      <c r="W20" s="364">
        <v>26</v>
      </c>
      <c r="X20" s="365" t="str">
        <f>IF($C20="","",W20*VLOOKUP($C20,MATIERES!$A$2:$F$349,4,0))</f>
        <v/>
      </c>
      <c r="Y20" s="364">
        <v>27</v>
      </c>
      <c r="Z20" s="365" t="str">
        <f>IF($C20="","",Y20*VLOOKUP($C20,MATIERES!$A$2:$F$349,4,0))</f>
        <v/>
      </c>
      <c r="AA20" s="364">
        <v>28</v>
      </c>
      <c r="AB20" s="365" t="str">
        <f>IF($C20="","",AA20*VLOOKUP($C20,MATIERES!$A$2:$F$349,4,0))</f>
        <v/>
      </c>
      <c r="AC20" s="364">
        <v>29</v>
      </c>
      <c r="AD20" s="365" t="str">
        <f>IF($C20="","",AC20*VLOOKUP($C20,MATIERES!$A$2:$F$349,4,0))</f>
        <v/>
      </c>
      <c r="AE20" s="364">
        <v>30</v>
      </c>
      <c r="AF20" s="365" t="str">
        <f>IF($C20="","",AE20*VLOOKUP($C20,MATIERES!$A$2:$F$349,4,0))</f>
        <v/>
      </c>
      <c r="AG20" s="364">
        <v>31</v>
      </c>
      <c r="AH20" s="365" t="str">
        <f>IF($C20="","",AG20*VLOOKUP($C20,MATIERES!$A$2:$F$349,4,0))</f>
        <v/>
      </c>
      <c r="AI20" s="364">
        <v>32</v>
      </c>
      <c r="AJ20" s="365" t="str">
        <f>IF($C20="","",AI20*VLOOKUP($C20,MATIERES!$A$2:$F$349,4,0))</f>
        <v/>
      </c>
      <c r="AK20" s="364">
        <v>33</v>
      </c>
      <c r="AL20" s="365" t="str">
        <f>IF($C20="","",AK20*VLOOKUP($C20,MATIERES!$A$2:$F$349,4,0))</f>
        <v/>
      </c>
      <c r="AM20" s="364">
        <v>34</v>
      </c>
      <c r="AN20" s="365" t="str">
        <f>IF($C20="","",AM20*VLOOKUP($C20,MATIERES!$A$2:$F$349,4,0))</f>
        <v/>
      </c>
    </row>
    <row r="21" spans="1:40" ht="15" customHeight="1" x14ac:dyDescent="0.2">
      <c r="A21" s="1550"/>
      <c r="B21" s="361"/>
      <c r="C21" s="362"/>
      <c r="D21" s="363" t="str">
        <f>IF($C21="","",VLOOKUP($C21,MATIERES!$A$2:$F$227,5,0))</f>
        <v/>
      </c>
      <c r="E21" s="364">
        <v>18</v>
      </c>
      <c r="F21" s="365" t="str">
        <f>IF($C21="","",E21*VLOOKUP($C21,MATIERES!$A$2:$F$349,4,0))</f>
        <v/>
      </c>
      <c r="G21" s="364">
        <v>19</v>
      </c>
      <c r="H21" s="365" t="str">
        <f>IF($C21="","",G21*VLOOKUP($C21,MATIERES!$A$2:$F$349,4,0))</f>
        <v/>
      </c>
      <c r="I21" s="364">
        <v>20</v>
      </c>
      <c r="J21" s="365" t="str">
        <f>IF($C21="","",I21*VLOOKUP($C21,MATIERES!$A$2:$F$349,4,0))</f>
        <v/>
      </c>
      <c r="K21" s="364">
        <v>21</v>
      </c>
      <c r="L21" s="365" t="str">
        <f>IF($C21="","",K21*VLOOKUP($C21,MATIERES!$A$2:$F$349,4,0))</f>
        <v/>
      </c>
      <c r="M21" s="364">
        <v>22</v>
      </c>
      <c r="N21" s="365" t="str">
        <f>IF($C21="","",M21*VLOOKUP($C21,MATIERES!$A$2:$F$349,4,0))</f>
        <v/>
      </c>
      <c r="O21" s="364">
        <v>23</v>
      </c>
      <c r="P21" s="365" t="str">
        <f>IF($C21="","",O21*VLOOKUP($C21,MATIERES!$A$2:$F$349,4,0))</f>
        <v/>
      </c>
      <c r="Q21" s="364">
        <v>24</v>
      </c>
      <c r="R21" s="365" t="str">
        <f>IF($C21="","",Q21*VLOOKUP($C21,MATIERES!$A$2:$F$349,4,0))</f>
        <v/>
      </c>
      <c r="S21" s="364">
        <v>25</v>
      </c>
      <c r="T21" s="365" t="str">
        <f>IF($C21="","",S21*VLOOKUP($C21,MATIERES!$A$2:$F$349,4,0))</f>
        <v/>
      </c>
      <c r="U21" s="364">
        <v>26</v>
      </c>
      <c r="V21" s="365" t="str">
        <f>IF($C21="","",U21*VLOOKUP($C21,MATIERES!$A$2:$F$349,4,0))</f>
        <v/>
      </c>
      <c r="W21" s="364">
        <v>27</v>
      </c>
      <c r="X21" s="365" t="str">
        <f>IF($C21="","",W21*VLOOKUP($C21,MATIERES!$A$2:$F$349,4,0))</f>
        <v/>
      </c>
      <c r="Y21" s="364">
        <v>28</v>
      </c>
      <c r="Z21" s="365" t="str">
        <f>IF($C21="","",Y21*VLOOKUP($C21,MATIERES!$A$2:$F$349,4,0))</f>
        <v/>
      </c>
      <c r="AA21" s="364">
        <v>29</v>
      </c>
      <c r="AB21" s="365" t="str">
        <f>IF($C21="","",AA21*VLOOKUP($C21,MATIERES!$A$2:$F$349,4,0))</f>
        <v/>
      </c>
      <c r="AC21" s="364">
        <v>30</v>
      </c>
      <c r="AD21" s="365" t="str">
        <f>IF($C21="","",AC21*VLOOKUP($C21,MATIERES!$A$2:$F$349,4,0))</f>
        <v/>
      </c>
      <c r="AE21" s="364">
        <v>31</v>
      </c>
      <c r="AF21" s="365" t="str">
        <f>IF($C21="","",AE21*VLOOKUP($C21,MATIERES!$A$2:$F$349,4,0))</f>
        <v/>
      </c>
      <c r="AG21" s="364">
        <v>32</v>
      </c>
      <c r="AH21" s="365" t="str">
        <f>IF($C21="","",AG21*VLOOKUP($C21,MATIERES!$A$2:$F$349,4,0))</f>
        <v/>
      </c>
      <c r="AI21" s="364">
        <v>33</v>
      </c>
      <c r="AJ21" s="365" t="str">
        <f>IF($C21="","",AI21*VLOOKUP($C21,MATIERES!$A$2:$F$349,4,0))</f>
        <v/>
      </c>
      <c r="AK21" s="364">
        <v>34</v>
      </c>
      <c r="AL21" s="365" t="str">
        <f>IF($C21="","",AK21*VLOOKUP($C21,MATIERES!$A$2:$F$349,4,0))</f>
        <v/>
      </c>
      <c r="AM21" s="364">
        <v>35</v>
      </c>
      <c r="AN21" s="365" t="str">
        <f>IF($C21="","",AM21*VLOOKUP($C21,MATIERES!$A$2:$F$349,4,0))</f>
        <v/>
      </c>
    </row>
    <row r="22" spans="1:40" ht="15" customHeight="1" x14ac:dyDescent="0.2">
      <c r="A22" s="1550"/>
      <c r="B22" s="361"/>
      <c r="C22" s="362"/>
      <c r="D22" s="363" t="str">
        <f>IF($C22="","",VLOOKUP($C22,MATIERES!$A$2:$F$227,5,0))</f>
        <v/>
      </c>
      <c r="E22" s="364">
        <v>19</v>
      </c>
      <c r="F22" s="365" t="str">
        <f>IF($C22="","",E22*VLOOKUP($C22,MATIERES!$A$2:$F$349,4,0))</f>
        <v/>
      </c>
      <c r="G22" s="364">
        <v>20</v>
      </c>
      <c r="H22" s="365" t="str">
        <f>IF($C22="","",G22*VLOOKUP($C22,MATIERES!$A$2:$F$349,4,0))</f>
        <v/>
      </c>
      <c r="I22" s="364">
        <v>21</v>
      </c>
      <c r="J22" s="365" t="str">
        <f>IF($C22="","",I22*VLOOKUP($C22,MATIERES!$A$2:$F$349,4,0))</f>
        <v/>
      </c>
      <c r="K22" s="364">
        <v>22</v>
      </c>
      <c r="L22" s="365" t="str">
        <f>IF($C22="","",K22*VLOOKUP($C22,MATIERES!$A$2:$F$349,4,0))</f>
        <v/>
      </c>
      <c r="M22" s="364">
        <v>23</v>
      </c>
      <c r="N22" s="365" t="str">
        <f>IF($C22="","",M22*VLOOKUP($C22,MATIERES!$A$2:$F$349,4,0))</f>
        <v/>
      </c>
      <c r="O22" s="364">
        <v>24</v>
      </c>
      <c r="P22" s="365" t="str">
        <f>IF($C22="","",O22*VLOOKUP($C22,MATIERES!$A$2:$F$349,4,0))</f>
        <v/>
      </c>
      <c r="Q22" s="364">
        <v>25</v>
      </c>
      <c r="R22" s="365" t="str">
        <f>IF($C22="","",Q22*VLOOKUP($C22,MATIERES!$A$2:$F$349,4,0))</f>
        <v/>
      </c>
      <c r="S22" s="364">
        <v>26</v>
      </c>
      <c r="T22" s="365" t="str">
        <f>IF($C22="","",S22*VLOOKUP($C22,MATIERES!$A$2:$F$349,4,0))</f>
        <v/>
      </c>
      <c r="U22" s="364">
        <v>27</v>
      </c>
      <c r="V22" s="365" t="str">
        <f>IF($C22="","",U22*VLOOKUP($C22,MATIERES!$A$2:$F$349,4,0))</f>
        <v/>
      </c>
      <c r="W22" s="364">
        <v>28</v>
      </c>
      <c r="X22" s="365" t="str">
        <f>IF($C22="","",W22*VLOOKUP($C22,MATIERES!$A$2:$F$349,4,0))</f>
        <v/>
      </c>
      <c r="Y22" s="364">
        <v>29</v>
      </c>
      <c r="Z22" s="365" t="str">
        <f>IF($C22="","",Y22*VLOOKUP($C22,MATIERES!$A$2:$F$349,4,0))</f>
        <v/>
      </c>
      <c r="AA22" s="364">
        <v>30</v>
      </c>
      <c r="AB22" s="365" t="str">
        <f>IF($C22="","",AA22*VLOOKUP($C22,MATIERES!$A$2:$F$349,4,0))</f>
        <v/>
      </c>
      <c r="AC22" s="364">
        <v>31</v>
      </c>
      <c r="AD22" s="365" t="str">
        <f>IF($C22="","",AC22*VLOOKUP($C22,MATIERES!$A$2:$F$349,4,0))</f>
        <v/>
      </c>
      <c r="AE22" s="364">
        <v>32</v>
      </c>
      <c r="AF22" s="365" t="str">
        <f>IF($C22="","",AE22*VLOOKUP($C22,MATIERES!$A$2:$F$349,4,0))</f>
        <v/>
      </c>
      <c r="AG22" s="364">
        <v>33</v>
      </c>
      <c r="AH22" s="365" t="str">
        <f>IF($C22="","",AG22*VLOOKUP($C22,MATIERES!$A$2:$F$349,4,0))</f>
        <v/>
      </c>
      <c r="AI22" s="364">
        <v>34</v>
      </c>
      <c r="AJ22" s="365" t="str">
        <f>IF($C22="","",AI22*VLOOKUP($C22,MATIERES!$A$2:$F$349,4,0))</f>
        <v/>
      </c>
      <c r="AK22" s="364">
        <v>35</v>
      </c>
      <c r="AL22" s="365" t="str">
        <f>IF($C22="","",AK22*VLOOKUP($C22,MATIERES!$A$2:$F$349,4,0))</f>
        <v/>
      </c>
      <c r="AM22" s="364">
        <v>36</v>
      </c>
      <c r="AN22" s="365" t="str">
        <f>IF($C22="","",AM22*VLOOKUP($C22,MATIERES!$A$2:$F$349,4,0))</f>
        <v/>
      </c>
    </row>
    <row r="23" spans="1:40" ht="15" customHeight="1" x14ac:dyDescent="0.2">
      <c r="A23" s="1550"/>
      <c r="B23" s="361"/>
      <c r="C23" s="362"/>
      <c r="D23" s="363" t="str">
        <f>IF($C23="","",VLOOKUP($C23,MATIERES!$A$2:$F$227,5,0))</f>
        <v/>
      </c>
      <c r="E23" s="364">
        <v>20</v>
      </c>
      <c r="F23" s="365" t="str">
        <f>IF($C23="","",E23*VLOOKUP($C23,MATIERES!$A$2:$F$349,4,0))</f>
        <v/>
      </c>
      <c r="G23" s="364">
        <v>21</v>
      </c>
      <c r="H23" s="365" t="str">
        <f>IF($C23="","",G23*VLOOKUP($C23,MATIERES!$A$2:$F$349,4,0))</f>
        <v/>
      </c>
      <c r="I23" s="364">
        <v>22</v>
      </c>
      <c r="J23" s="365" t="str">
        <f>IF($C23="","",I23*VLOOKUP($C23,MATIERES!$A$2:$F$349,4,0))</f>
        <v/>
      </c>
      <c r="K23" s="364">
        <v>23</v>
      </c>
      <c r="L23" s="365" t="str">
        <f>IF($C23="","",K23*VLOOKUP($C23,MATIERES!$A$2:$F$349,4,0))</f>
        <v/>
      </c>
      <c r="M23" s="364">
        <v>24</v>
      </c>
      <c r="N23" s="365" t="str">
        <f>IF($C23="","",M23*VLOOKUP($C23,MATIERES!$A$2:$F$349,4,0))</f>
        <v/>
      </c>
      <c r="O23" s="364">
        <v>25</v>
      </c>
      <c r="P23" s="365" t="str">
        <f>IF($C23="","",O23*VLOOKUP($C23,MATIERES!$A$2:$F$349,4,0))</f>
        <v/>
      </c>
      <c r="Q23" s="364">
        <v>26</v>
      </c>
      <c r="R23" s="365" t="str">
        <f>IF($C23="","",Q23*VLOOKUP($C23,MATIERES!$A$2:$F$349,4,0))</f>
        <v/>
      </c>
      <c r="S23" s="364">
        <v>27</v>
      </c>
      <c r="T23" s="365" t="str">
        <f>IF($C23="","",S23*VLOOKUP($C23,MATIERES!$A$2:$F$349,4,0))</f>
        <v/>
      </c>
      <c r="U23" s="364">
        <v>28</v>
      </c>
      <c r="V23" s="365" t="str">
        <f>IF($C23="","",U23*VLOOKUP($C23,MATIERES!$A$2:$F$349,4,0))</f>
        <v/>
      </c>
      <c r="W23" s="364">
        <v>29</v>
      </c>
      <c r="X23" s="365" t="str">
        <f>IF($C23="","",W23*VLOOKUP($C23,MATIERES!$A$2:$F$349,4,0))</f>
        <v/>
      </c>
      <c r="Y23" s="364">
        <v>30</v>
      </c>
      <c r="Z23" s="365" t="str">
        <f>IF($C23="","",Y23*VLOOKUP($C23,MATIERES!$A$2:$F$349,4,0))</f>
        <v/>
      </c>
      <c r="AA23" s="364">
        <v>31</v>
      </c>
      <c r="AB23" s="365" t="str">
        <f>IF($C23="","",AA23*VLOOKUP($C23,MATIERES!$A$2:$F$349,4,0))</f>
        <v/>
      </c>
      <c r="AC23" s="364">
        <v>32</v>
      </c>
      <c r="AD23" s="365" t="str">
        <f>IF($C23="","",AC23*VLOOKUP($C23,MATIERES!$A$2:$F$349,4,0))</f>
        <v/>
      </c>
      <c r="AE23" s="364">
        <v>33</v>
      </c>
      <c r="AF23" s="365" t="str">
        <f>IF($C23="","",AE23*VLOOKUP($C23,MATIERES!$A$2:$F$349,4,0))</f>
        <v/>
      </c>
      <c r="AG23" s="364">
        <v>34</v>
      </c>
      <c r="AH23" s="365" t="str">
        <f>IF($C23="","",AG23*VLOOKUP($C23,MATIERES!$A$2:$F$349,4,0))</f>
        <v/>
      </c>
      <c r="AI23" s="364">
        <v>35</v>
      </c>
      <c r="AJ23" s="365" t="str">
        <f>IF($C23="","",AI23*VLOOKUP($C23,MATIERES!$A$2:$F$349,4,0))</f>
        <v/>
      </c>
      <c r="AK23" s="364">
        <v>36</v>
      </c>
      <c r="AL23" s="365" t="str">
        <f>IF($C23="","",AK23*VLOOKUP($C23,MATIERES!$A$2:$F$349,4,0))</f>
        <v/>
      </c>
      <c r="AM23" s="364">
        <v>37</v>
      </c>
      <c r="AN23" s="365" t="str">
        <f>IF($C23="","",AM23*VLOOKUP($C23,MATIERES!$A$2:$F$349,4,0))</f>
        <v/>
      </c>
    </row>
    <row r="24" spans="1:40" ht="15" customHeight="1" x14ac:dyDescent="0.2">
      <c r="A24" s="1550"/>
      <c r="B24" s="361"/>
      <c r="C24" s="362"/>
      <c r="D24" s="363" t="str">
        <f>IF($C24="","",VLOOKUP($C24,MATIERES!$A$2:$F$227,5,0))</f>
        <v/>
      </c>
      <c r="E24" s="364">
        <v>21</v>
      </c>
      <c r="F24" s="365" t="str">
        <f>IF($C24="","",E24*VLOOKUP($C24,MATIERES!$A$2:$F$349,4,0))</f>
        <v/>
      </c>
      <c r="G24" s="364">
        <v>22</v>
      </c>
      <c r="H24" s="365" t="str">
        <f>IF($C24="","",G24*VLOOKUP($C24,MATIERES!$A$2:$F$349,4,0))</f>
        <v/>
      </c>
      <c r="I24" s="364">
        <v>23</v>
      </c>
      <c r="J24" s="365" t="str">
        <f>IF($C24="","",I24*VLOOKUP($C24,MATIERES!$A$2:$F$349,4,0))</f>
        <v/>
      </c>
      <c r="K24" s="364">
        <v>24</v>
      </c>
      <c r="L24" s="365" t="str">
        <f>IF($C24="","",K24*VLOOKUP($C24,MATIERES!$A$2:$F$349,4,0))</f>
        <v/>
      </c>
      <c r="M24" s="364">
        <v>25</v>
      </c>
      <c r="N24" s="365" t="str">
        <f>IF($C24="","",M24*VLOOKUP($C24,MATIERES!$A$2:$F$349,4,0))</f>
        <v/>
      </c>
      <c r="O24" s="364">
        <v>26</v>
      </c>
      <c r="P24" s="365" t="str">
        <f>IF($C24="","",O24*VLOOKUP($C24,MATIERES!$A$2:$F$349,4,0))</f>
        <v/>
      </c>
      <c r="Q24" s="364">
        <v>27</v>
      </c>
      <c r="R24" s="365" t="str">
        <f>IF($C24="","",Q24*VLOOKUP($C24,MATIERES!$A$2:$F$349,4,0))</f>
        <v/>
      </c>
      <c r="S24" s="364">
        <v>28</v>
      </c>
      <c r="T24" s="365" t="str">
        <f>IF($C24="","",S24*VLOOKUP($C24,MATIERES!$A$2:$F$349,4,0))</f>
        <v/>
      </c>
      <c r="U24" s="364">
        <v>29</v>
      </c>
      <c r="V24" s="365" t="str">
        <f>IF($C24="","",U24*VLOOKUP($C24,MATIERES!$A$2:$F$349,4,0))</f>
        <v/>
      </c>
      <c r="W24" s="364">
        <v>30</v>
      </c>
      <c r="X24" s="365" t="str">
        <f>IF($C24="","",W24*VLOOKUP($C24,MATIERES!$A$2:$F$349,4,0))</f>
        <v/>
      </c>
      <c r="Y24" s="364">
        <v>31</v>
      </c>
      <c r="Z24" s="365" t="str">
        <f>IF($C24="","",Y24*VLOOKUP($C24,MATIERES!$A$2:$F$349,4,0))</f>
        <v/>
      </c>
      <c r="AA24" s="364">
        <v>32</v>
      </c>
      <c r="AB24" s="365" t="str">
        <f>IF($C24="","",AA24*VLOOKUP($C24,MATIERES!$A$2:$F$349,4,0))</f>
        <v/>
      </c>
      <c r="AC24" s="364">
        <v>33</v>
      </c>
      <c r="AD24" s="365" t="str">
        <f>IF($C24="","",AC24*VLOOKUP($C24,MATIERES!$A$2:$F$349,4,0))</f>
        <v/>
      </c>
      <c r="AE24" s="364">
        <v>34</v>
      </c>
      <c r="AF24" s="365" t="str">
        <f>IF($C24="","",AE24*VLOOKUP($C24,MATIERES!$A$2:$F$349,4,0))</f>
        <v/>
      </c>
      <c r="AG24" s="364">
        <v>35</v>
      </c>
      <c r="AH24" s="365" t="str">
        <f>IF($C24="","",AG24*VLOOKUP($C24,MATIERES!$A$2:$F$349,4,0))</f>
        <v/>
      </c>
      <c r="AI24" s="364">
        <v>36</v>
      </c>
      <c r="AJ24" s="365" t="str">
        <f>IF($C24="","",AI24*VLOOKUP($C24,MATIERES!$A$2:$F$349,4,0))</f>
        <v/>
      </c>
      <c r="AK24" s="364">
        <v>37</v>
      </c>
      <c r="AL24" s="365" t="str">
        <f>IF($C24="","",AK24*VLOOKUP($C24,MATIERES!$A$2:$F$349,4,0))</f>
        <v/>
      </c>
      <c r="AM24" s="364">
        <v>38</v>
      </c>
      <c r="AN24" s="365" t="str">
        <f>IF($C24="","",AM24*VLOOKUP($C24,MATIERES!$A$2:$F$349,4,0))</f>
        <v/>
      </c>
    </row>
    <row r="25" spans="1:40" ht="15" customHeight="1" x14ac:dyDescent="0.2">
      <c r="A25" s="1550"/>
      <c r="B25" s="361"/>
      <c r="C25" s="362"/>
      <c r="D25" s="363" t="str">
        <f>IF($C25="","",VLOOKUP($C25,MATIERES!$A$2:$F$227,5,0))</f>
        <v/>
      </c>
      <c r="E25" s="364">
        <v>22</v>
      </c>
      <c r="F25" s="365" t="str">
        <f>IF($C25="","",E25*VLOOKUP($C25,MATIERES!$A$2:$F$349,4,0))</f>
        <v/>
      </c>
      <c r="G25" s="364">
        <v>23</v>
      </c>
      <c r="H25" s="365" t="str">
        <f>IF($C25="","",G25*VLOOKUP($C25,MATIERES!$A$2:$F$349,4,0))</f>
        <v/>
      </c>
      <c r="I25" s="364">
        <v>24</v>
      </c>
      <c r="J25" s="365" t="str">
        <f>IF($C25="","",I25*VLOOKUP($C25,MATIERES!$A$2:$F$349,4,0))</f>
        <v/>
      </c>
      <c r="K25" s="364">
        <v>25</v>
      </c>
      <c r="L25" s="365" t="str">
        <f>IF($C25="","",K25*VLOOKUP($C25,MATIERES!$A$2:$F$349,4,0))</f>
        <v/>
      </c>
      <c r="M25" s="364">
        <v>26</v>
      </c>
      <c r="N25" s="365" t="str">
        <f>IF($C25="","",M25*VLOOKUP($C25,MATIERES!$A$2:$F$349,4,0))</f>
        <v/>
      </c>
      <c r="O25" s="364">
        <v>27</v>
      </c>
      <c r="P25" s="365" t="str">
        <f>IF($C25="","",O25*VLOOKUP($C25,MATIERES!$A$2:$F$349,4,0))</f>
        <v/>
      </c>
      <c r="Q25" s="364">
        <v>28</v>
      </c>
      <c r="R25" s="365" t="str">
        <f>IF($C25="","",Q25*VLOOKUP($C25,MATIERES!$A$2:$F$349,4,0))</f>
        <v/>
      </c>
      <c r="S25" s="364">
        <v>29</v>
      </c>
      <c r="T25" s="365" t="str">
        <f>IF($C25="","",S25*VLOOKUP($C25,MATIERES!$A$2:$F$349,4,0))</f>
        <v/>
      </c>
      <c r="U25" s="364">
        <v>30</v>
      </c>
      <c r="V25" s="365" t="str">
        <f>IF($C25="","",U25*VLOOKUP($C25,MATIERES!$A$2:$F$349,4,0))</f>
        <v/>
      </c>
      <c r="W25" s="364">
        <v>31</v>
      </c>
      <c r="X25" s="365" t="str">
        <f>IF($C25="","",W25*VLOOKUP($C25,MATIERES!$A$2:$F$349,4,0))</f>
        <v/>
      </c>
      <c r="Y25" s="364">
        <v>32</v>
      </c>
      <c r="Z25" s="365" t="str">
        <f>IF($C25="","",Y25*VLOOKUP($C25,MATIERES!$A$2:$F$349,4,0))</f>
        <v/>
      </c>
      <c r="AA25" s="364">
        <v>33</v>
      </c>
      <c r="AB25" s="365" t="str">
        <f>IF($C25="","",AA25*VLOOKUP($C25,MATIERES!$A$2:$F$349,4,0))</f>
        <v/>
      </c>
      <c r="AC25" s="364">
        <v>34</v>
      </c>
      <c r="AD25" s="365" t="str">
        <f>IF($C25="","",AC25*VLOOKUP($C25,MATIERES!$A$2:$F$349,4,0))</f>
        <v/>
      </c>
      <c r="AE25" s="364">
        <v>35</v>
      </c>
      <c r="AF25" s="365" t="str">
        <f>IF($C25="","",AE25*VLOOKUP($C25,MATIERES!$A$2:$F$349,4,0))</f>
        <v/>
      </c>
      <c r="AG25" s="364">
        <v>36</v>
      </c>
      <c r="AH25" s="365" t="str">
        <f>IF($C25="","",AG25*VLOOKUP($C25,MATIERES!$A$2:$F$349,4,0))</f>
        <v/>
      </c>
      <c r="AI25" s="364">
        <v>37</v>
      </c>
      <c r="AJ25" s="365" t="str">
        <f>IF($C25="","",AI25*VLOOKUP($C25,MATIERES!$A$2:$F$349,4,0))</f>
        <v/>
      </c>
      <c r="AK25" s="364">
        <v>38</v>
      </c>
      <c r="AL25" s="365" t="str">
        <f>IF($C25="","",AK25*VLOOKUP($C25,MATIERES!$A$2:$F$349,4,0))</f>
        <v/>
      </c>
      <c r="AM25" s="364">
        <v>39</v>
      </c>
      <c r="AN25" s="365" t="str">
        <f>IF($C25="","",AM25*VLOOKUP($C25,MATIERES!$A$2:$F$349,4,0))</f>
        <v/>
      </c>
    </row>
    <row r="26" spans="1:40" ht="30" customHeight="1" x14ac:dyDescent="0.2">
      <c r="A26" s="366"/>
      <c r="B26" s="367" t="s">
        <v>683</v>
      </c>
      <c r="C26" s="368" t="s">
        <v>446</v>
      </c>
      <c r="D26" s="369" t="s">
        <v>447</v>
      </c>
      <c r="E26" s="370">
        <f>F26*(1+Simulation!$P$11)</f>
        <v>0</v>
      </c>
      <c r="F26" s="371">
        <f>SUM(F4:F25)</f>
        <v>0</v>
      </c>
      <c r="G26" s="370">
        <f>H26*(1+Simulation!$P$11)</f>
        <v>0</v>
      </c>
      <c r="H26" s="371">
        <f>SUM(H4:H25)</f>
        <v>0</v>
      </c>
      <c r="I26" s="370">
        <f>J26*(1+Simulation!$P$11)</f>
        <v>0</v>
      </c>
      <c r="J26" s="371">
        <f>SUM(J4:J25)</f>
        <v>0</v>
      </c>
      <c r="K26" s="370">
        <f>L26*(1+Simulation!$P$11)</f>
        <v>0</v>
      </c>
      <c r="L26" s="371">
        <f>SUM(L4:L25)</f>
        <v>0</v>
      </c>
      <c r="M26" s="370">
        <f>N26*(1+Simulation!$P$11)</f>
        <v>0</v>
      </c>
      <c r="N26" s="371">
        <f>SUM(N4:N25)</f>
        <v>0</v>
      </c>
      <c r="O26" s="370">
        <f>P26*(1+Simulation!$P$11)</f>
        <v>0</v>
      </c>
      <c r="P26" s="371">
        <f>SUM(P4:P25)</f>
        <v>0</v>
      </c>
      <c r="Q26" s="370">
        <f>R26*(1+Simulation!$P$11)</f>
        <v>0</v>
      </c>
      <c r="R26" s="371">
        <f>SUM(R4:R25)</f>
        <v>0</v>
      </c>
      <c r="S26" s="370">
        <f>T26*(1+Simulation!$P$11)</f>
        <v>0</v>
      </c>
      <c r="T26" s="371">
        <f>SUM(T4:T25)</f>
        <v>0</v>
      </c>
      <c r="U26" s="370">
        <f>V26*(1+Simulation!$P$11)</f>
        <v>0</v>
      </c>
      <c r="V26" s="371">
        <f>SUM(V4:V25)</f>
        <v>0</v>
      </c>
      <c r="W26" s="370">
        <f>X26*(1+Simulation!$P$11)</f>
        <v>0</v>
      </c>
      <c r="X26" s="371">
        <f>SUM(X4:X25)</f>
        <v>0</v>
      </c>
      <c r="Y26" s="370">
        <f>Z26*(1+Simulation!$P$11)</f>
        <v>0</v>
      </c>
      <c r="Z26" s="371">
        <f>SUM(Z4:Z25)</f>
        <v>0</v>
      </c>
      <c r="AA26" s="370">
        <f>AB26*(1+Simulation!$P$11)</f>
        <v>0</v>
      </c>
      <c r="AB26" s="371">
        <f>SUM(AB4:AB25)</f>
        <v>0</v>
      </c>
      <c r="AC26" s="370">
        <f>AD26*(1+Simulation!$P$11)</f>
        <v>0</v>
      </c>
      <c r="AD26" s="371">
        <f>SUM(AD4:AD25)</f>
        <v>0</v>
      </c>
      <c r="AE26" s="370">
        <f>AF26*(1+Simulation!$P$11)</f>
        <v>0</v>
      </c>
      <c r="AF26" s="371">
        <f>SUM(AF4:AF25)</f>
        <v>0</v>
      </c>
      <c r="AG26" s="370">
        <f>AH26*(1+Simulation!$P$11)</f>
        <v>0</v>
      </c>
      <c r="AH26" s="371">
        <f>SUM(AH4:AH25)</f>
        <v>0</v>
      </c>
      <c r="AI26" s="370">
        <f>AJ26*(1+Simulation!$P$11)</f>
        <v>0</v>
      </c>
      <c r="AJ26" s="371">
        <f>SUM(AJ4:AJ25)</f>
        <v>0</v>
      </c>
      <c r="AK26" s="370">
        <f>AL26*(1+Simulation!$P$11)</f>
        <v>0</v>
      </c>
      <c r="AL26" s="371">
        <f>SUM(AL4:AL25)</f>
        <v>0</v>
      </c>
      <c r="AM26" s="370">
        <f>AN26*(1+Simulation!$P$11)</f>
        <v>0</v>
      </c>
      <c r="AN26" s="371">
        <f>SUM(AN4:AN25)</f>
        <v>0</v>
      </c>
    </row>
    <row r="27" spans="1:40" ht="15" customHeight="1" x14ac:dyDescent="0.2">
      <c r="A27" s="1553" t="s">
        <v>448</v>
      </c>
      <c r="B27" s="361" t="s">
        <v>1079</v>
      </c>
      <c r="C27" s="362" t="s">
        <v>419</v>
      </c>
      <c r="D27" s="363" t="e">
        <f>IF($C27="","",VLOOKUP($C27,ATELIER!$B$2:$E$109,3,0))</f>
        <v>#N/A</v>
      </c>
      <c r="E27" s="364">
        <v>1</v>
      </c>
      <c r="F27" s="372" t="e">
        <f>IF($C27="","",E27*VLOOKUP($C27,ATELIER!$B$2:$F$109,4,0))</f>
        <v>#N/A</v>
      </c>
      <c r="G27" s="364">
        <v>2</v>
      </c>
      <c r="H27" s="372" t="e">
        <f>IF($C27="","",G27*VLOOKUP($C27,ATELIER!$B$2:$F$109,4,0))</f>
        <v>#N/A</v>
      </c>
      <c r="I27" s="364">
        <v>3</v>
      </c>
      <c r="J27" s="372" t="e">
        <f>IF($C27="","",I27*VLOOKUP($C27,ATELIER!$B$2:$F$109,4,0))</f>
        <v>#N/A</v>
      </c>
      <c r="K27" s="364">
        <v>4</v>
      </c>
      <c r="L27" s="372" t="e">
        <f>IF($C27="","",K27*VLOOKUP($C27,ATELIER!$B$2:$F$109,4,0))</f>
        <v>#N/A</v>
      </c>
      <c r="M27" s="364">
        <v>5</v>
      </c>
      <c r="N27" s="372" t="e">
        <f>IF($C27="","",M27*VLOOKUP($C27,ATELIER!$B$2:$F$109,4,0))</f>
        <v>#N/A</v>
      </c>
      <c r="O27" s="364">
        <v>6</v>
      </c>
      <c r="P27" s="372" t="e">
        <f>IF($C27="","",O27*VLOOKUP($C27,ATELIER!$B$2:$F$109,4,0))</f>
        <v>#N/A</v>
      </c>
      <c r="Q27" s="364">
        <v>7</v>
      </c>
      <c r="R27" s="372" t="e">
        <f>IF($C27="","",Q27*VLOOKUP($C27,ATELIER!$B$2:$F$109,4,0))</f>
        <v>#N/A</v>
      </c>
      <c r="S27" s="364">
        <v>8</v>
      </c>
      <c r="T27" s="372" t="e">
        <f>IF($C27="","",S27*VLOOKUP($C27,ATELIER!$B$2:$F$109,4,0))</f>
        <v>#N/A</v>
      </c>
      <c r="U27" s="364">
        <v>9</v>
      </c>
      <c r="V27" s="372" t="e">
        <f>IF($C27="","",U27*VLOOKUP($C27,ATELIER!$B$2:$F$109,4,0))</f>
        <v>#N/A</v>
      </c>
      <c r="W27" s="364">
        <v>10</v>
      </c>
      <c r="X27" s="372" t="e">
        <f>IF($C27="","",W27*VLOOKUP($C27,ATELIER!$B$2:$F$109,4,0))</f>
        <v>#N/A</v>
      </c>
      <c r="Y27" s="364">
        <v>11</v>
      </c>
      <c r="Z27" s="372" t="e">
        <f>IF($C27="","",Y27*VLOOKUP($C27,ATELIER!$B$2:$F$109,4,0))</f>
        <v>#N/A</v>
      </c>
      <c r="AA27" s="364">
        <v>12</v>
      </c>
      <c r="AB27" s="372" t="e">
        <f>IF($C27="","",AA27*VLOOKUP($C27,ATELIER!$B$2:$F$109,4,0))</f>
        <v>#N/A</v>
      </c>
      <c r="AC27" s="364">
        <v>13</v>
      </c>
      <c r="AD27" s="372" t="e">
        <f>IF($C27="","",AC27*VLOOKUP($C27,ATELIER!$B$2:$F$109,4,0))</f>
        <v>#N/A</v>
      </c>
      <c r="AE27" s="364">
        <v>14</v>
      </c>
      <c r="AF27" s="372" t="e">
        <f>IF($C27="","",AE27*VLOOKUP($C27,ATELIER!$B$2:$F$109,4,0))</f>
        <v>#N/A</v>
      </c>
      <c r="AG27" s="364">
        <v>15</v>
      </c>
      <c r="AH27" s="372" t="e">
        <f>IF($C27="","",AG27*VLOOKUP($C27,ATELIER!$B$2:$F$109,4,0))</f>
        <v>#N/A</v>
      </c>
      <c r="AI27" s="364">
        <v>16</v>
      </c>
      <c r="AJ27" s="372" t="e">
        <f>IF($C27="","",AI27*VLOOKUP($C27,ATELIER!$B$2:$F$109,4,0))</f>
        <v>#N/A</v>
      </c>
      <c r="AK27" s="364">
        <v>17</v>
      </c>
      <c r="AL27" s="372" t="e">
        <f>IF($C27="","",AK27*VLOOKUP($C27,ATELIER!$B$2:$F$109,4,0))</f>
        <v>#N/A</v>
      </c>
      <c r="AM27" s="364">
        <v>18</v>
      </c>
      <c r="AN27" s="372" t="e">
        <f>IF($C27="","",AM27*VLOOKUP($C27,ATELIER!$B$2:$F$109,4,0))</f>
        <v>#N/A</v>
      </c>
    </row>
    <row r="28" spans="1:40" ht="15" customHeight="1" x14ac:dyDescent="0.2">
      <c r="A28" s="1553"/>
      <c r="B28" s="361" t="str">
        <f>IF($C28="","",VLOOKUP($C28,ATELIER!$B$2:$F$109,2,0))</f>
        <v/>
      </c>
      <c r="C28" s="362"/>
      <c r="D28" s="363" t="str">
        <f>IF($C28="","",VLOOKUP($C28,ATELIER!$B$2:$E$109,3,0))</f>
        <v/>
      </c>
      <c r="E28" s="364">
        <v>2</v>
      </c>
      <c r="F28" s="372" t="str">
        <f>IF($C28="","",E28*VLOOKUP($C28,ATELIER!$B$2:$F$109,4,0))</f>
        <v/>
      </c>
      <c r="G28" s="364">
        <v>3</v>
      </c>
      <c r="H28" s="372" t="str">
        <f>IF($C28="","",G28*VLOOKUP($C28,ATELIER!$B$2:$F$109,4,0))</f>
        <v/>
      </c>
      <c r="I28" s="364">
        <v>4</v>
      </c>
      <c r="J28" s="372" t="str">
        <f>IF($C28="","",I28*VLOOKUP($C28,ATELIER!$B$2:$F$109,4,0))</f>
        <v/>
      </c>
      <c r="K28" s="364">
        <v>5</v>
      </c>
      <c r="L28" s="372" t="str">
        <f>IF($C28="","",K28*VLOOKUP($C28,ATELIER!$B$2:$F$109,4,0))</f>
        <v/>
      </c>
      <c r="M28" s="364">
        <v>6</v>
      </c>
      <c r="N28" s="372" t="str">
        <f>IF($C28="","",M28*VLOOKUP($C28,ATELIER!$B$2:$F$109,4,0))</f>
        <v/>
      </c>
      <c r="O28" s="364">
        <v>7</v>
      </c>
      <c r="P28" s="372" t="str">
        <f>IF($C28="","",O28*VLOOKUP($C28,ATELIER!$B$2:$F$109,4,0))</f>
        <v/>
      </c>
      <c r="Q28" s="364">
        <v>8</v>
      </c>
      <c r="R28" s="372" t="str">
        <f>IF($C28="","",Q28*VLOOKUP($C28,ATELIER!$B$2:$F$109,4,0))</f>
        <v/>
      </c>
      <c r="S28" s="364">
        <v>9</v>
      </c>
      <c r="T28" s="372" t="str">
        <f>IF($C28="","",S28*VLOOKUP($C28,ATELIER!$B$2:$F$109,4,0))</f>
        <v/>
      </c>
      <c r="U28" s="364">
        <v>10</v>
      </c>
      <c r="V28" s="372" t="str">
        <f>IF($C28="","",U28*VLOOKUP($C28,ATELIER!$B$2:$F$109,4,0))</f>
        <v/>
      </c>
      <c r="W28" s="364">
        <v>11</v>
      </c>
      <c r="X28" s="372" t="str">
        <f>IF($C28="","",W28*VLOOKUP($C28,ATELIER!$B$2:$F$109,4,0))</f>
        <v/>
      </c>
      <c r="Y28" s="364">
        <v>12</v>
      </c>
      <c r="Z28" s="372" t="str">
        <f>IF($C28="","",Y28*VLOOKUP($C28,ATELIER!$B$2:$F$109,4,0))</f>
        <v/>
      </c>
      <c r="AA28" s="364">
        <v>13</v>
      </c>
      <c r="AB28" s="372" t="str">
        <f>IF($C28="","",AA28*VLOOKUP($C28,ATELIER!$B$2:$F$109,4,0))</f>
        <v/>
      </c>
      <c r="AC28" s="364">
        <v>14</v>
      </c>
      <c r="AD28" s="372" t="str">
        <f>IF($C28="","",AC28*VLOOKUP($C28,ATELIER!$B$2:$F$109,4,0))</f>
        <v/>
      </c>
      <c r="AE28" s="364">
        <v>15</v>
      </c>
      <c r="AF28" s="372" t="str">
        <f>IF($C28="","",AE28*VLOOKUP($C28,ATELIER!$B$2:$F$109,4,0))</f>
        <v/>
      </c>
      <c r="AG28" s="364">
        <v>16</v>
      </c>
      <c r="AH28" s="372" t="str">
        <f>IF($C28="","",AG28*VLOOKUP($C28,ATELIER!$B$2:$F$109,4,0))</f>
        <v/>
      </c>
      <c r="AI28" s="364">
        <v>17</v>
      </c>
      <c r="AJ28" s="372" t="str">
        <f>IF($C28="","",AI28*VLOOKUP($C28,ATELIER!$B$2:$F$109,4,0))</f>
        <v/>
      </c>
      <c r="AK28" s="364">
        <v>18</v>
      </c>
      <c r="AL28" s="372" t="str">
        <f>IF($C28="","",AK28*VLOOKUP($C28,ATELIER!$B$2:$F$109,4,0))</f>
        <v/>
      </c>
      <c r="AM28" s="364">
        <v>19</v>
      </c>
      <c r="AN28" s="372" t="str">
        <f>IF($C28="","",AM28*VLOOKUP($C28,ATELIER!$B$2:$F$109,4,0))</f>
        <v/>
      </c>
    </row>
    <row r="29" spans="1:40" ht="15" customHeight="1" x14ac:dyDescent="0.2">
      <c r="A29" s="1552"/>
      <c r="B29" s="373" t="str">
        <f>IF($C29="","",VLOOKUP($C29,ATELIER!$B$2:$F$109,2,0))</f>
        <v/>
      </c>
      <c r="C29" s="374"/>
      <c r="D29" s="363" t="str">
        <f>IF($C29="","",VLOOKUP($C29,ATELIER!$B$2:$E$109,3,0))</f>
        <v/>
      </c>
      <c r="E29" s="364">
        <v>3</v>
      </c>
      <c r="F29" s="372" t="str">
        <f>IF($C29="","",E29*VLOOKUP($C29,ATELIER!$B$2:$F$109,4,0))</f>
        <v/>
      </c>
      <c r="G29" s="364">
        <v>4</v>
      </c>
      <c r="H29" s="372" t="str">
        <f>IF($C29="","",G29*VLOOKUP($C29,ATELIER!$B$2:$F$109,4,0))</f>
        <v/>
      </c>
      <c r="I29" s="364">
        <v>5</v>
      </c>
      <c r="J29" s="372" t="str">
        <f>IF($C29="","",I29*VLOOKUP($C29,ATELIER!$B$2:$F$109,4,0))</f>
        <v/>
      </c>
      <c r="K29" s="364">
        <v>6</v>
      </c>
      <c r="L29" s="372" t="str">
        <f>IF($C29="","",K29*VLOOKUP($C29,ATELIER!$B$2:$F$109,4,0))</f>
        <v/>
      </c>
      <c r="M29" s="364">
        <v>7</v>
      </c>
      <c r="N29" s="372" t="str">
        <f>IF($C29="","",M29*VLOOKUP($C29,ATELIER!$B$2:$F$109,4,0))</f>
        <v/>
      </c>
      <c r="O29" s="364">
        <v>8</v>
      </c>
      <c r="P29" s="372" t="str">
        <f>IF($C29="","",O29*VLOOKUP($C29,ATELIER!$B$2:$F$109,4,0))</f>
        <v/>
      </c>
      <c r="Q29" s="364">
        <v>9</v>
      </c>
      <c r="R29" s="372" t="str">
        <f>IF($C29="","",Q29*VLOOKUP($C29,ATELIER!$B$2:$F$109,4,0))</f>
        <v/>
      </c>
      <c r="S29" s="364">
        <v>10</v>
      </c>
      <c r="T29" s="372" t="str">
        <f>IF($C29="","",S29*VLOOKUP($C29,ATELIER!$B$2:$F$109,4,0))</f>
        <v/>
      </c>
      <c r="U29" s="364">
        <v>11</v>
      </c>
      <c r="V29" s="372" t="str">
        <f>IF($C29="","",U29*VLOOKUP($C29,ATELIER!$B$2:$F$109,4,0))</f>
        <v/>
      </c>
      <c r="W29" s="364">
        <v>12</v>
      </c>
      <c r="X29" s="372" t="str">
        <f>IF($C29="","",W29*VLOOKUP($C29,ATELIER!$B$2:$F$109,4,0))</f>
        <v/>
      </c>
      <c r="Y29" s="364">
        <v>13</v>
      </c>
      <c r="Z29" s="372" t="str">
        <f>IF($C29="","",Y29*VLOOKUP($C29,ATELIER!$B$2:$F$109,4,0))</f>
        <v/>
      </c>
      <c r="AA29" s="364">
        <v>14</v>
      </c>
      <c r="AB29" s="372" t="str">
        <f>IF($C29="","",AA29*VLOOKUP($C29,ATELIER!$B$2:$F$109,4,0))</f>
        <v/>
      </c>
      <c r="AC29" s="364">
        <v>15</v>
      </c>
      <c r="AD29" s="372" t="str">
        <f>IF($C29="","",AC29*VLOOKUP($C29,ATELIER!$B$2:$F$109,4,0))</f>
        <v/>
      </c>
      <c r="AE29" s="364">
        <v>16</v>
      </c>
      <c r="AF29" s="372" t="str">
        <f>IF($C29="","",AE29*VLOOKUP($C29,ATELIER!$B$2:$F$109,4,0))</f>
        <v/>
      </c>
      <c r="AG29" s="364">
        <v>17</v>
      </c>
      <c r="AH29" s="372" t="str">
        <f>IF($C29="","",AG29*VLOOKUP($C29,ATELIER!$B$2:$F$109,4,0))</f>
        <v/>
      </c>
      <c r="AI29" s="364">
        <v>18</v>
      </c>
      <c r="AJ29" s="372" t="str">
        <f>IF($C29="","",AI29*VLOOKUP($C29,ATELIER!$B$2:$F$109,4,0))</f>
        <v/>
      </c>
      <c r="AK29" s="364">
        <v>19</v>
      </c>
      <c r="AL29" s="372" t="str">
        <f>IF($C29="","",AK29*VLOOKUP($C29,ATELIER!$B$2:$F$109,4,0))</f>
        <v/>
      </c>
      <c r="AM29" s="364">
        <v>20</v>
      </c>
      <c r="AN29" s="372" t="str">
        <f>IF($C29="","",AM29*VLOOKUP($C29,ATELIER!$B$2:$F$109,4,0))</f>
        <v/>
      </c>
    </row>
    <row r="30" spans="1:40" ht="15" customHeight="1" x14ac:dyDescent="0.2">
      <c r="A30" s="1553"/>
      <c r="B30" s="361" t="str">
        <f>IF($C30="","",VLOOKUP($C30,ATELIER!$B$2:$F$109,2,0))</f>
        <v/>
      </c>
      <c r="C30" s="362"/>
      <c r="D30" s="363" t="str">
        <f>IF($C30="","",VLOOKUP($C30,ATELIER!$B$2:$E$109,3,0))</f>
        <v/>
      </c>
      <c r="E30" s="364">
        <v>4</v>
      </c>
      <c r="F30" s="372" t="str">
        <f>IF($C30="","",E30*VLOOKUP($C30,ATELIER!$B$2:$F$109,4,0))</f>
        <v/>
      </c>
      <c r="G30" s="364">
        <v>5</v>
      </c>
      <c r="H30" s="372" t="str">
        <f>IF($C30="","",G30*VLOOKUP($C30,ATELIER!$B$2:$F$109,4,0))</f>
        <v/>
      </c>
      <c r="I30" s="364">
        <v>6</v>
      </c>
      <c r="J30" s="372" t="str">
        <f>IF($C30="","",I30*VLOOKUP($C30,ATELIER!$B$2:$F$109,4,0))</f>
        <v/>
      </c>
      <c r="K30" s="364">
        <v>7</v>
      </c>
      <c r="L30" s="372" t="str">
        <f>IF($C30="","",K30*VLOOKUP($C30,ATELIER!$B$2:$F$109,4,0))</f>
        <v/>
      </c>
      <c r="M30" s="364">
        <v>8</v>
      </c>
      <c r="N30" s="372" t="str">
        <f>IF($C30="","",M30*VLOOKUP($C30,ATELIER!$B$2:$F$109,4,0))</f>
        <v/>
      </c>
      <c r="O30" s="364">
        <v>9</v>
      </c>
      <c r="P30" s="372" t="str">
        <f>IF($C30="","",O30*VLOOKUP($C30,ATELIER!$B$2:$F$109,4,0))</f>
        <v/>
      </c>
      <c r="Q30" s="364">
        <v>10</v>
      </c>
      <c r="R30" s="372" t="str">
        <f>IF($C30="","",Q30*VLOOKUP($C30,ATELIER!$B$2:$F$109,4,0))</f>
        <v/>
      </c>
      <c r="S30" s="364">
        <v>11</v>
      </c>
      <c r="T30" s="372" t="str">
        <f>IF($C30="","",S30*VLOOKUP($C30,ATELIER!$B$2:$F$109,4,0))</f>
        <v/>
      </c>
      <c r="U30" s="364">
        <v>12</v>
      </c>
      <c r="V30" s="372" t="str">
        <f>IF($C30="","",U30*VLOOKUP($C30,ATELIER!$B$2:$F$109,4,0))</f>
        <v/>
      </c>
      <c r="W30" s="364">
        <v>13</v>
      </c>
      <c r="X30" s="372" t="str">
        <f>IF($C30="","",W30*VLOOKUP($C30,ATELIER!$B$2:$F$109,4,0))</f>
        <v/>
      </c>
      <c r="Y30" s="364">
        <v>14</v>
      </c>
      <c r="Z30" s="372" t="str">
        <f>IF($C30="","",Y30*VLOOKUP($C30,ATELIER!$B$2:$F$109,4,0))</f>
        <v/>
      </c>
      <c r="AA30" s="364">
        <v>15</v>
      </c>
      <c r="AB30" s="372" t="str">
        <f>IF($C30="","",AA30*VLOOKUP($C30,ATELIER!$B$2:$F$109,4,0))</f>
        <v/>
      </c>
      <c r="AC30" s="364">
        <v>16</v>
      </c>
      <c r="AD30" s="372" t="str">
        <f>IF($C30="","",AC30*VLOOKUP($C30,ATELIER!$B$2:$F$109,4,0))</f>
        <v/>
      </c>
      <c r="AE30" s="364">
        <v>17</v>
      </c>
      <c r="AF30" s="372" t="str">
        <f>IF($C30="","",AE30*VLOOKUP($C30,ATELIER!$B$2:$F$109,4,0))</f>
        <v/>
      </c>
      <c r="AG30" s="364">
        <v>18</v>
      </c>
      <c r="AH30" s="372" t="str">
        <f>IF($C30="","",AG30*VLOOKUP($C30,ATELIER!$B$2:$F$109,4,0))</f>
        <v/>
      </c>
      <c r="AI30" s="364">
        <v>19</v>
      </c>
      <c r="AJ30" s="372" t="str">
        <f>IF($C30="","",AI30*VLOOKUP($C30,ATELIER!$B$2:$F$109,4,0))</f>
        <v/>
      </c>
      <c r="AK30" s="364">
        <v>20</v>
      </c>
      <c r="AL30" s="372" t="str">
        <f>IF($C30="","",AK30*VLOOKUP($C30,ATELIER!$B$2:$F$109,4,0))</f>
        <v/>
      </c>
      <c r="AM30" s="364">
        <v>21</v>
      </c>
      <c r="AN30" s="372" t="str">
        <f>IF($C30="","",AM30*VLOOKUP($C30,ATELIER!$B$2:$F$109,4,0))</f>
        <v/>
      </c>
    </row>
    <row r="31" spans="1:40" ht="15" customHeight="1" x14ac:dyDescent="0.2">
      <c r="A31" s="1553"/>
      <c r="B31" s="361" t="str">
        <f>IF($C31="","",VLOOKUP($C31,ATELIER!$B$2:$F$109,2,0))</f>
        <v/>
      </c>
      <c r="C31" s="362"/>
      <c r="D31" s="363" t="str">
        <f>IF($C31="","",VLOOKUP($C31,ATELIER!$B$2:$E$109,3,0))</f>
        <v/>
      </c>
      <c r="E31" s="364">
        <v>5</v>
      </c>
      <c r="F31" s="372" t="str">
        <f>IF($C31="","",E31*VLOOKUP($C31,ATELIER!$B$2:$F$109,4,0))</f>
        <v/>
      </c>
      <c r="G31" s="364">
        <v>6</v>
      </c>
      <c r="H31" s="372" t="str">
        <f>IF($C31="","",G31*VLOOKUP($C31,ATELIER!$B$2:$F$109,4,0))</f>
        <v/>
      </c>
      <c r="I31" s="364">
        <v>7</v>
      </c>
      <c r="J31" s="372" t="str">
        <f>IF($C31="","",I31*VLOOKUP($C31,ATELIER!$B$2:$F$109,4,0))</f>
        <v/>
      </c>
      <c r="K31" s="364">
        <v>8</v>
      </c>
      <c r="L31" s="372" t="str">
        <f>IF($C31="","",K31*VLOOKUP($C31,ATELIER!$B$2:$F$109,4,0))</f>
        <v/>
      </c>
      <c r="M31" s="364">
        <v>9</v>
      </c>
      <c r="N31" s="372" t="str">
        <f>IF($C31="","",M31*VLOOKUP($C31,ATELIER!$B$2:$F$109,4,0))</f>
        <v/>
      </c>
      <c r="O31" s="364">
        <v>10</v>
      </c>
      <c r="P31" s="372" t="str">
        <f>IF($C31="","",O31*VLOOKUP($C31,ATELIER!$B$2:$F$109,4,0))</f>
        <v/>
      </c>
      <c r="Q31" s="364">
        <v>11</v>
      </c>
      <c r="R31" s="372" t="str">
        <f>IF($C31="","",Q31*VLOOKUP($C31,ATELIER!$B$2:$F$109,4,0))</f>
        <v/>
      </c>
      <c r="S31" s="364">
        <v>12</v>
      </c>
      <c r="T31" s="372" t="str">
        <f>IF($C31="","",S31*VLOOKUP($C31,ATELIER!$B$2:$F$109,4,0))</f>
        <v/>
      </c>
      <c r="U31" s="364">
        <v>13</v>
      </c>
      <c r="V31" s="372" t="str">
        <f>IF($C31="","",U31*VLOOKUP($C31,ATELIER!$B$2:$F$109,4,0))</f>
        <v/>
      </c>
      <c r="W31" s="364">
        <v>14</v>
      </c>
      <c r="X31" s="372" t="str">
        <f>IF($C31="","",W31*VLOOKUP($C31,ATELIER!$B$2:$F$109,4,0))</f>
        <v/>
      </c>
      <c r="Y31" s="364">
        <v>15</v>
      </c>
      <c r="Z31" s="372" t="str">
        <f>IF($C31="","",Y31*VLOOKUP($C31,ATELIER!$B$2:$F$109,4,0))</f>
        <v/>
      </c>
      <c r="AA31" s="364">
        <v>16</v>
      </c>
      <c r="AB31" s="372" t="str">
        <f>IF($C31="","",AA31*VLOOKUP($C31,ATELIER!$B$2:$F$109,4,0))</f>
        <v/>
      </c>
      <c r="AC31" s="364">
        <v>17</v>
      </c>
      <c r="AD31" s="372" t="str">
        <f>IF($C31="","",AC31*VLOOKUP($C31,ATELIER!$B$2:$F$109,4,0))</f>
        <v/>
      </c>
      <c r="AE31" s="364">
        <v>18</v>
      </c>
      <c r="AF31" s="372" t="str">
        <f>IF($C31="","",AE31*VLOOKUP($C31,ATELIER!$B$2:$F$109,4,0))</f>
        <v/>
      </c>
      <c r="AG31" s="364">
        <v>19</v>
      </c>
      <c r="AH31" s="372" t="str">
        <f>IF($C31="","",AG31*VLOOKUP($C31,ATELIER!$B$2:$F$109,4,0))</f>
        <v/>
      </c>
      <c r="AI31" s="364">
        <v>20</v>
      </c>
      <c r="AJ31" s="372" t="str">
        <f>IF($C31="","",AI31*VLOOKUP($C31,ATELIER!$B$2:$F$109,4,0))</f>
        <v/>
      </c>
      <c r="AK31" s="364">
        <v>21</v>
      </c>
      <c r="AL31" s="372" t="str">
        <f>IF($C31="","",AK31*VLOOKUP($C31,ATELIER!$B$2:$F$109,4,0))</f>
        <v/>
      </c>
      <c r="AM31" s="364">
        <v>22</v>
      </c>
      <c r="AN31" s="372" t="str">
        <f>IF($C31="","",AM31*VLOOKUP($C31,ATELIER!$B$2:$F$109,4,0))</f>
        <v/>
      </c>
    </row>
    <row r="32" spans="1:40" ht="15" customHeight="1" x14ac:dyDescent="0.2">
      <c r="A32" s="1553"/>
      <c r="B32" s="361" t="str">
        <f>IF($C32="","",VLOOKUP($C32,ATELIER!$B$2:$F$109,2,0))</f>
        <v/>
      </c>
      <c r="C32" s="362"/>
      <c r="D32" s="363" t="str">
        <f>IF($C32="","",VLOOKUP($C32,ATELIER!$B$2:$E$109,3,0))</f>
        <v/>
      </c>
      <c r="E32" s="364">
        <v>6</v>
      </c>
      <c r="F32" s="372" t="str">
        <f>IF($C32="","",E32*VLOOKUP($C32,ATELIER!$B$2:$F$109,4,0))</f>
        <v/>
      </c>
      <c r="G32" s="364">
        <v>7</v>
      </c>
      <c r="H32" s="372" t="str">
        <f>IF($C32="","",G32*VLOOKUP($C32,ATELIER!$B$2:$F$109,4,0))</f>
        <v/>
      </c>
      <c r="I32" s="364">
        <v>8</v>
      </c>
      <c r="J32" s="372" t="str">
        <f>IF($C32="","",I32*VLOOKUP($C32,ATELIER!$B$2:$F$109,4,0))</f>
        <v/>
      </c>
      <c r="K32" s="364">
        <v>9</v>
      </c>
      <c r="L32" s="372" t="str">
        <f>IF($C32="","",K32*VLOOKUP($C32,ATELIER!$B$2:$F$109,4,0))</f>
        <v/>
      </c>
      <c r="M32" s="364">
        <v>10</v>
      </c>
      <c r="N32" s="372" t="str">
        <f>IF($C32="","",M32*VLOOKUP($C32,ATELIER!$B$2:$F$109,4,0))</f>
        <v/>
      </c>
      <c r="O32" s="364">
        <v>11</v>
      </c>
      <c r="P32" s="372" t="str">
        <f>IF($C32="","",O32*VLOOKUP($C32,ATELIER!$B$2:$F$109,4,0))</f>
        <v/>
      </c>
      <c r="Q32" s="364">
        <v>12</v>
      </c>
      <c r="R32" s="372" t="str">
        <f>IF($C32="","",Q32*VLOOKUP($C32,ATELIER!$B$2:$F$109,4,0))</f>
        <v/>
      </c>
      <c r="S32" s="364">
        <v>13</v>
      </c>
      <c r="T32" s="372" t="str">
        <f>IF($C32="","",S32*VLOOKUP($C32,ATELIER!$B$2:$F$109,4,0))</f>
        <v/>
      </c>
      <c r="U32" s="364">
        <v>14</v>
      </c>
      <c r="V32" s="372" t="str">
        <f>IF($C32="","",U32*VLOOKUP($C32,ATELIER!$B$2:$F$109,4,0))</f>
        <v/>
      </c>
      <c r="W32" s="364">
        <v>15</v>
      </c>
      <c r="X32" s="372" t="str">
        <f>IF($C32="","",W32*VLOOKUP($C32,ATELIER!$B$2:$F$109,4,0))</f>
        <v/>
      </c>
      <c r="Y32" s="364">
        <v>16</v>
      </c>
      <c r="Z32" s="372" t="str">
        <f>IF($C32="","",Y32*VLOOKUP($C32,ATELIER!$B$2:$F$109,4,0))</f>
        <v/>
      </c>
      <c r="AA32" s="364">
        <v>17</v>
      </c>
      <c r="AB32" s="372" t="str">
        <f>IF($C32="","",AA32*VLOOKUP($C32,ATELIER!$B$2:$F$109,4,0))</f>
        <v/>
      </c>
      <c r="AC32" s="364">
        <v>18</v>
      </c>
      <c r="AD32" s="372" t="str">
        <f>IF($C32="","",AC32*VLOOKUP($C32,ATELIER!$B$2:$F$109,4,0))</f>
        <v/>
      </c>
      <c r="AE32" s="364">
        <v>19</v>
      </c>
      <c r="AF32" s="372" t="str">
        <f>IF($C32="","",AE32*VLOOKUP($C32,ATELIER!$B$2:$F$109,4,0))</f>
        <v/>
      </c>
      <c r="AG32" s="364">
        <v>20</v>
      </c>
      <c r="AH32" s="372" t="str">
        <f>IF($C32="","",AG32*VLOOKUP($C32,ATELIER!$B$2:$F$109,4,0))</f>
        <v/>
      </c>
      <c r="AI32" s="364">
        <v>21</v>
      </c>
      <c r="AJ32" s="372" t="str">
        <f>IF($C32="","",AI32*VLOOKUP($C32,ATELIER!$B$2:$F$109,4,0))</f>
        <v/>
      </c>
      <c r="AK32" s="364">
        <v>22</v>
      </c>
      <c r="AL32" s="372" t="str">
        <f>IF($C32="","",AK32*VLOOKUP($C32,ATELIER!$B$2:$F$109,4,0))</f>
        <v/>
      </c>
      <c r="AM32" s="364">
        <v>23</v>
      </c>
      <c r="AN32" s="372" t="str">
        <f>IF($C32="","",AM32*VLOOKUP($C32,ATELIER!$B$2:$F$109,4,0))</f>
        <v/>
      </c>
    </row>
    <row r="33" spans="1:42" ht="15" customHeight="1" x14ac:dyDescent="0.2">
      <c r="A33" s="1553"/>
      <c r="B33" s="361" t="str">
        <f>IF($C33="","",VLOOKUP($C33,ATELIER!$B$2:$F$109,2,0))</f>
        <v/>
      </c>
      <c r="C33" s="362"/>
      <c r="D33" s="363" t="str">
        <f>IF($C33="","",VLOOKUP($C33,ATELIER!$B$2:$E$109,3,0))</f>
        <v/>
      </c>
      <c r="E33" s="364">
        <v>7</v>
      </c>
      <c r="F33" s="372" t="str">
        <f>IF($C33="","",E33*VLOOKUP($C33,ATELIER!$B$2:$F$109,4,0))</f>
        <v/>
      </c>
      <c r="G33" s="364">
        <v>8</v>
      </c>
      <c r="H33" s="372" t="str">
        <f>IF($C33="","",G33*VLOOKUP($C33,ATELIER!$B$2:$F$109,4,0))</f>
        <v/>
      </c>
      <c r="I33" s="364">
        <v>9</v>
      </c>
      <c r="J33" s="372" t="str">
        <f>IF($C33="","",I33*VLOOKUP($C33,ATELIER!$B$2:$F$109,4,0))</f>
        <v/>
      </c>
      <c r="K33" s="364">
        <v>10</v>
      </c>
      <c r="L33" s="372" t="str">
        <f>IF($C33="","",K33*VLOOKUP($C33,ATELIER!$B$2:$F$109,4,0))</f>
        <v/>
      </c>
      <c r="M33" s="364">
        <v>11</v>
      </c>
      <c r="N33" s="372" t="str">
        <f>IF($C33="","",M33*VLOOKUP($C33,ATELIER!$B$2:$F$109,4,0))</f>
        <v/>
      </c>
      <c r="O33" s="364">
        <v>12</v>
      </c>
      <c r="P33" s="372" t="str">
        <f>IF($C33="","",O33*VLOOKUP($C33,ATELIER!$B$2:$F$109,4,0))</f>
        <v/>
      </c>
      <c r="Q33" s="364">
        <v>13</v>
      </c>
      <c r="R33" s="372" t="str">
        <f>IF($C33="","",Q33*VLOOKUP($C33,ATELIER!$B$2:$F$109,4,0))</f>
        <v/>
      </c>
      <c r="S33" s="364">
        <v>14</v>
      </c>
      <c r="T33" s="372" t="str">
        <f>IF($C33="","",S33*VLOOKUP($C33,ATELIER!$B$2:$F$109,4,0))</f>
        <v/>
      </c>
      <c r="U33" s="364">
        <v>15</v>
      </c>
      <c r="V33" s="372" t="str">
        <f>IF($C33="","",U33*VLOOKUP($C33,ATELIER!$B$2:$F$109,4,0))</f>
        <v/>
      </c>
      <c r="W33" s="364">
        <v>16</v>
      </c>
      <c r="X33" s="372" t="str">
        <f>IF($C33="","",W33*VLOOKUP($C33,ATELIER!$B$2:$F$109,4,0))</f>
        <v/>
      </c>
      <c r="Y33" s="364">
        <v>17</v>
      </c>
      <c r="Z33" s="372" t="str">
        <f>IF($C33="","",Y33*VLOOKUP($C33,ATELIER!$B$2:$F$109,4,0))</f>
        <v/>
      </c>
      <c r="AA33" s="364">
        <v>18</v>
      </c>
      <c r="AB33" s="372" t="str">
        <f>IF($C33="","",AA33*VLOOKUP($C33,ATELIER!$B$2:$F$109,4,0))</f>
        <v/>
      </c>
      <c r="AC33" s="364">
        <v>19</v>
      </c>
      <c r="AD33" s="372" t="str">
        <f>IF($C33="","",AC33*VLOOKUP($C33,ATELIER!$B$2:$F$109,4,0))</f>
        <v/>
      </c>
      <c r="AE33" s="364">
        <v>20</v>
      </c>
      <c r="AF33" s="372" t="str">
        <f>IF($C33="","",AE33*VLOOKUP($C33,ATELIER!$B$2:$F$109,4,0))</f>
        <v/>
      </c>
      <c r="AG33" s="364">
        <v>21</v>
      </c>
      <c r="AH33" s="372" t="str">
        <f>IF($C33="","",AG33*VLOOKUP($C33,ATELIER!$B$2:$F$109,4,0))</f>
        <v/>
      </c>
      <c r="AI33" s="364">
        <v>22</v>
      </c>
      <c r="AJ33" s="372" t="str">
        <f>IF($C33="","",AI33*VLOOKUP($C33,ATELIER!$B$2:$F$109,4,0))</f>
        <v/>
      </c>
      <c r="AK33" s="364">
        <v>23</v>
      </c>
      <c r="AL33" s="372" t="str">
        <f>IF($C33="","",AK33*VLOOKUP($C33,ATELIER!$B$2:$F$109,4,0))</f>
        <v/>
      </c>
      <c r="AM33" s="364">
        <v>24</v>
      </c>
      <c r="AN33" s="372" t="str">
        <f>IF($C33="","",AM33*VLOOKUP($C33,ATELIER!$B$2:$F$109,4,0))</f>
        <v/>
      </c>
    </row>
    <row r="34" spans="1:42" ht="15" customHeight="1" x14ac:dyDescent="0.2">
      <c r="A34" s="1553"/>
      <c r="B34" s="361" t="str">
        <f>IF($C34="","",VLOOKUP($C34,ATELIER!$B$2:$F$109,2,0))</f>
        <v/>
      </c>
      <c r="C34" s="362"/>
      <c r="D34" s="363" t="str">
        <f>IF($C34="","",VLOOKUP($C34,ATELIER!$B$2:$E$109,3,0))</f>
        <v/>
      </c>
      <c r="E34" s="364">
        <v>8</v>
      </c>
      <c r="F34" s="372" t="str">
        <f>IF($C34="","",E34*VLOOKUP($C34,ATELIER!$B$2:$F$109,4,0))</f>
        <v/>
      </c>
      <c r="G34" s="364">
        <v>9</v>
      </c>
      <c r="H34" s="372" t="str">
        <f>IF($C34="","",G34*VLOOKUP($C34,ATELIER!$B$2:$F$109,4,0))</f>
        <v/>
      </c>
      <c r="I34" s="364">
        <v>10</v>
      </c>
      <c r="J34" s="372" t="str">
        <f>IF($C34="","",I34*VLOOKUP($C34,ATELIER!$B$2:$F$109,4,0))</f>
        <v/>
      </c>
      <c r="K34" s="364">
        <v>11</v>
      </c>
      <c r="L34" s="372" t="str">
        <f>IF($C34="","",K34*VLOOKUP($C34,ATELIER!$B$2:$F$109,4,0))</f>
        <v/>
      </c>
      <c r="M34" s="364">
        <v>12</v>
      </c>
      <c r="N34" s="372" t="str">
        <f>IF($C34="","",M34*VLOOKUP($C34,ATELIER!$B$2:$F$109,4,0))</f>
        <v/>
      </c>
      <c r="O34" s="364">
        <v>13</v>
      </c>
      <c r="P34" s="372" t="str">
        <f>IF($C34="","",O34*VLOOKUP($C34,ATELIER!$B$2:$F$109,4,0))</f>
        <v/>
      </c>
      <c r="Q34" s="364">
        <v>14</v>
      </c>
      <c r="R34" s="372" t="str">
        <f>IF($C34="","",Q34*VLOOKUP($C34,ATELIER!$B$2:$F$109,4,0))</f>
        <v/>
      </c>
      <c r="S34" s="364">
        <v>15</v>
      </c>
      <c r="T34" s="372" t="str">
        <f>IF($C34="","",S34*VLOOKUP($C34,ATELIER!$B$2:$F$109,4,0))</f>
        <v/>
      </c>
      <c r="U34" s="364">
        <v>16</v>
      </c>
      <c r="V34" s="372" t="str">
        <f>IF($C34="","",U34*VLOOKUP($C34,ATELIER!$B$2:$F$109,4,0))</f>
        <v/>
      </c>
      <c r="W34" s="364">
        <v>17</v>
      </c>
      <c r="X34" s="372" t="str">
        <f>IF($C34="","",W34*VLOOKUP($C34,ATELIER!$B$2:$F$109,4,0))</f>
        <v/>
      </c>
      <c r="Y34" s="364">
        <v>18</v>
      </c>
      <c r="Z34" s="372" t="str">
        <f>IF($C34="","",Y34*VLOOKUP($C34,ATELIER!$B$2:$F$109,4,0))</f>
        <v/>
      </c>
      <c r="AA34" s="364">
        <v>19</v>
      </c>
      <c r="AB34" s="372" t="str">
        <f>IF($C34="","",AA34*VLOOKUP($C34,ATELIER!$B$2:$F$109,4,0))</f>
        <v/>
      </c>
      <c r="AC34" s="364">
        <v>20</v>
      </c>
      <c r="AD34" s="372" t="str">
        <f>IF($C34="","",AC34*VLOOKUP($C34,ATELIER!$B$2:$F$109,4,0))</f>
        <v/>
      </c>
      <c r="AE34" s="364">
        <v>21</v>
      </c>
      <c r="AF34" s="372" t="str">
        <f>IF($C34="","",AE34*VLOOKUP($C34,ATELIER!$B$2:$F$109,4,0))</f>
        <v/>
      </c>
      <c r="AG34" s="364">
        <v>22</v>
      </c>
      <c r="AH34" s="372" t="str">
        <f>IF($C34="","",AG34*VLOOKUP($C34,ATELIER!$B$2:$F$109,4,0))</f>
        <v/>
      </c>
      <c r="AI34" s="364">
        <v>23</v>
      </c>
      <c r="AJ34" s="372" t="str">
        <f>IF($C34="","",AI34*VLOOKUP($C34,ATELIER!$B$2:$F$109,4,0))</f>
        <v/>
      </c>
      <c r="AK34" s="364">
        <v>24</v>
      </c>
      <c r="AL34" s="372" t="str">
        <f>IF($C34="","",AK34*VLOOKUP($C34,ATELIER!$B$2:$F$109,4,0))</f>
        <v/>
      </c>
      <c r="AM34" s="364">
        <v>25</v>
      </c>
      <c r="AN34" s="372" t="str">
        <f>IF($C34="","",AM34*VLOOKUP($C34,ATELIER!$B$2:$F$109,4,0))</f>
        <v/>
      </c>
      <c r="AO34" s="222"/>
      <c r="AP34" s="223"/>
    </row>
    <row r="35" spans="1:42" ht="15" customHeight="1" x14ac:dyDescent="0.2">
      <c r="A35" s="1553"/>
      <c r="B35" s="361" t="str">
        <f>IF($C35="","",VLOOKUP($C35,ATELIER!$B$2:$F$109,2,0))</f>
        <v/>
      </c>
      <c r="C35" s="362"/>
      <c r="D35" s="363" t="str">
        <f>IF($C35="","",VLOOKUP($C35,ATELIER!$B$2:$E$109,3,0))</f>
        <v/>
      </c>
      <c r="E35" s="364">
        <v>9</v>
      </c>
      <c r="F35" s="372" t="str">
        <f>IF($C35="","",E35*VLOOKUP($C35,ATELIER!$B$2:$F$109,4,0))</f>
        <v/>
      </c>
      <c r="G35" s="364">
        <v>10</v>
      </c>
      <c r="H35" s="372" t="str">
        <f>IF($C35="","",G35*VLOOKUP($C35,ATELIER!$B$2:$F$109,4,0))</f>
        <v/>
      </c>
      <c r="I35" s="364">
        <v>11</v>
      </c>
      <c r="J35" s="372" t="str">
        <f>IF($C35="","",I35*VLOOKUP($C35,ATELIER!$B$2:$F$109,4,0))</f>
        <v/>
      </c>
      <c r="K35" s="364">
        <v>12</v>
      </c>
      <c r="L35" s="372" t="str">
        <f>IF($C35="","",K35*VLOOKUP($C35,ATELIER!$B$2:$F$109,4,0))</f>
        <v/>
      </c>
      <c r="M35" s="364">
        <v>13</v>
      </c>
      <c r="N35" s="372" t="str">
        <f>IF($C35="","",M35*VLOOKUP($C35,ATELIER!$B$2:$F$109,4,0))</f>
        <v/>
      </c>
      <c r="O35" s="364">
        <v>14</v>
      </c>
      <c r="P35" s="372" t="str">
        <f>IF($C35="","",O35*VLOOKUP($C35,ATELIER!$B$2:$F$109,4,0))</f>
        <v/>
      </c>
      <c r="Q35" s="364">
        <v>15</v>
      </c>
      <c r="R35" s="372" t="str">
        <f>IF($C35="","",Q35*VLOOKUP($C35,ATELIER!$B$2:$F$109,4,0))</f>
        <v/>
      </c>
      <c r="S35" s="364">
        <v>16</v>
      </c>
      <c r="T35" s="372" t="str">
        <f>IF($C35="","",S35*VLOOKUP($C35,ATELIER!$B$2:$F$109,4,0))</f>
        <v/>
      </c>
      <c r="U35" s="364">
        <v>17</v>
      </c>
      <c r="V35" s="372" t="str">
        <f>IF($C35="","",U35*VLOOKUP($C35,ATELIER!$B$2:$F$109,4,0))</f>
        <v/>
      </c>
      <c r="W35" s="364">
        <v>18</v>
      </c>
      <c r="X35" s="372" t="str">
        <f>IF($C35="","",W35*VLOOKUP($C35,ATELIER!$B$2:$F$109,4,0))</f>
        <v/>
      </c>
      <c r="Y35" s="364">
        <v>19</v>
      </c>
      <c r="Z35" s="372" t="str">
        <f>IF($C35="","",Y35*VLOOKUP($C35,ATELIER!$B$2:$F$109,4,0))</f>
        <v/>
      </c>
      <c r="AA35" s="364">
        <v>20</v>
      </c>
      <c r="AB35" s="372" t="str">
        <f>IF($C35="","",AA35*VLOOKUP($C35,ATELIER!$B$2:$F$109,4,0))</f>
        <v/>
      </c>
      <c r="AC35" s="364">
        <v>21</v>
      </c>
      <c r="AD35" s="372" t="str">
        <f>IF($C35="","",AC35*VLOOKUP($C35,ATELIER!$B$2:$F$109,4,0))</f>
        <v/>
      </c>
      <c r="AE35" s="364">
        <v>22</v>
      </c>
      <c r="AF35" s="372" t="str">
        <f>IF($C35="","",AE35*VLOOKUP($C35,ATELIER!$B$2:$F$109,4,0))</f>
        <v/>
      </c>
      <c r="AG35" s="364">
        <v>23</v>
      </c>
      <c r="AH35" s="372" t="str">
        <f>IF($C35="","",AG35*VLOOKUP($C35,ATELIER!$B$2:$F$109,4,0))</f>
        <v/>
      </c>
      <c r="AI35" s="364">
        <v>24</v>
      </c>
      <c r="AJ35" s="372" t="str">
        <f>IF($C35="","",AI35*VLOOKUP($C35,ATELIER!$B$2:$F$109,4,0))</f>
        <v/>
      </c>
      <c r="AK35" s="364">
        <v>25</v>
      </c>
      <c r="AL35" s="372" t="str">
        <f>IF($C35="","",AK35*VLOOKUP($C35,ATELIER!$B$2:$F$109,4,0))</f>
        <v/>
      </c>
      <c r="AM35" s="364">
        <v>26</v>
      </c>
      <c r="AN35" s="372" t="str">
        <f>IF($C35="","",AM35*VLOOKUP($C35,ATELIER!$B$2:$F$109,4,0))</f>
        <v/>
      </c>
      <c r="AO35" s="203"/>
      <c r="AP35" s="158"/>
    </row>
    <row r="36" spans="1:42" ht="15" customHeight="1" x14ac:dyDescent="0.2">
      <c r="A36" s="1553"/>
      <c r="B36" s="361" t="str">
        <f>IF($C36="","",VLOOKUP($C36,ATELIER!$B$2:$F$109,2,0))</f>
        <v/>
      </c>
      <c r="C36" s="362"/>
      <c r="D36" s="363" t="str">
        <f>IF($C36="","",VLOOKUP($C36,ATELIER!$B$2:$E$109,3,0))</f>
        <v/>
      </c>
      <c r="E36" s="364">
        <v>10</v>
      </c>
      <c r="F36" s="372" t="str">
        <f>IF($C36="","",E36*VLOOKUP($C36,ATELIER!$B$2:$F$109,4,0))</f>
        <v/>
      </c>
      <c r="G36" s="364">
        <v>11</v>
      </c>
      <c r="H36" s="372" t="str">
        <f>IF($C36="","",G36*VLOOKUP($C36,ATELIER!$B$2:$F$109,4,0))</f>
        <v/>
      </c>
      <c r="I36" s="364">
        <v>12</v>
      </c>
      <c r="J36" s="372" t="str">
        <f>IF($C36="","",I36*VLOOKUP($C36,ATELIER!$B$2:$F$109,4,0))</f>
        <v/>
      </c>
      <c r="K36" s="364">
        <v>13</v>
      </c>
      <c r="L36" s="372" t="str">
        <f>IF($C36="","",K36*VLOOKUP($C36,ATELIER!$B$2:$F$109,4,0))</f>
        <v/>
      </c>
      <c r="M36" s="364">
        <v>14</v>
      </c>
      <c r="N36" s="372" t="str">
        <f>IF($C36="","",M36*VLOOKUP($C36,ATELIER!$B$2:$F$109,4,0))</f>
        <v/>
      </c>
      <c r="O36" s="364">
        <v>15</v>
      </c>
      <c r="P36" s="372" t="str">
        <f>IF($C36="","",O36*VLOOKUP($C36,ATELIER!$B$2:$F$109,4,0))</f>
        <v/>
      </c>
      <c r="Q36" s="364">
        <v>16</v>
      </c>
      <c r="R36" s="372" t="str">
        <f>IF($C36="","",Q36*VLOOKUP($C36,ATELIER!$B$2:$F$109,4,0))</f>
        <v/>
      </c>
      <c r="S36" s="364">
        <v>17</v>
      </c>
      <c r="T36" s="372" t="str">
        <f>IF($C36="","",S36*VLOOKUP($C36,ATELIER!$B$2:$F$109,4,0))</f>
        <v/>
      </c>
      <c r="U36" s="364">
        <v>18</v>
      </c>
      <c r="V36" s="372" t="str">
        <f>IF($C36="","",U36*VLOOKUP($C36,ATELIER!$B$2:$F$109,4,0))</f>
        <v/>
      </c>
      <c r="W36" s="364">
        <v>19</v>
      </c>
      <c r="X36" s="372" t="str">
        <f>IF($C36="","",W36*VLOOKUP($C36,ATELIER!$B$2:$F$109,4,0))</f>
        <v/>
      </c>
      <c r="Y36" s="364">
        <v>20</v>
      </c>
      <c r="Z36" s="372" t="str">
        <f>IF($C36="","",Y36*VLOOKUP($C36,ATELIER!$B$2:$F$109,4,0))</f>
        <v/>
      </c>
      <c r="AA36" s="364">
        <v>21</v>
      </c>
      <c r="AB36" s="372" t="str">
        <f>IF($C36="","",AA36*VLOOKUP($C36,ATELIER!$B$2:$F$109,4,0))</f>
        <v/>
      </c>
      <c r="AC36" s="364">
        <v>22</v>
      </c>
      <c r="AD36" s="372" t="str">
        <f>IF($C36="","",AC36*VLOOKUP($C36,ATELIER!$B$2:$F$109,4,0))</f>
        <v/>
      </c>
      <c r="AE36" s="364">
        <v>23</v>
      </c>
      <c r="AF36" s="372" t="str">
        <f>IF($C36="","",AE36*VLOOKUP($C36,ATELIER!$B$2:$F$109,4,0))</f>
        <v/>
      </c>
      <c r="AG36" s="364">
        <v>24</v>
      </c>
      <c r="AH36" s="372" t="str">
        <f>IF($C36="","",AG36*VLOOKUP($C36,ATELIER!$B$2:$F$109,4,0))</f>
        <v/>
      </c>
      <c r="AI36" s="364">
        <v>25</v>
      </c>
      <c r="AJ36" s="372" t="str">
        <f>IF($C36="","",AI36*VLOOKUP($C36,ATELIER!$B$2:$F$109,4,0))</f>
        <v/>
      </c>
      <c r="AK36" s="364">
        <v>26</v>
      </c>
      <c r="AL36" s="372" t="str">
        <f>IF($C36="","",AK36*VLOOKUP($C36,ATELIER!$B$2:$F$109,4,0))</f>
        <v/>
      </c>
      <c r="AM36" s="364">
        <v>27</v>
      </c>
      <c r="AN36" s="372" t="str">
        <f>IF($C36="","",AM36*VLOOKUP($C36,ATELIER!$B$2:$F$109,4,0))</f>
        <v/>
      </c>
      <c r="AO36" s="203"/>
      <c r="AP36" s="158"/>
    </row>
    <row r="37" spans="1:42" ht="15" customHeight="1" x14ac:dyDescent="0.2">
      <c r="A37" s="1553"/>
      <c r="B37" s="361" t="str">
        <f>IF($C37="","",VLOOKUP($C37,ATELIER!$B$2:$F$109,2,0))</f>
        <v/>
      </c>
      <c r="C37" s="362"/>
      <c r="D37" s="363" t="str">
        <f>IF($C37="","",VLOOKUP($C37,ATELIER!$B$2:$E$109,3,0))</f>
        <v/>
      </c>
      <c r="E37" s="364">
        <v>11</v>
      </c>
      <c r="F37" s="372" t="str">
        <f>IF($C37="","",E37*VLOOKUP($C37,ATELIER!$B$2:$F$109,4,0))</f>
        <v/>
      </c>
      <c r="G37" s="364">
        <v>12</v>
      </c>
      <c r="H37" s="372" t="str">
        <f>IF($C37="","",G37*VLOOKUP($C37,ATELIER!$B$2:$F$109,4,0))</f>
        <v/>
      </c>
      <c r="I37" s="364">
        <v>13</v>
      </c>
      <c r="J37" s="372" t="str">
        <f>IF($C37="","",I37*VLOOKUP($C37,ATELIER!$B$2:$F$109,4,0))</f>
        <v/>
      </c>
      <c r="K37" s="364">
        <v>14</v>
      </c>
      <c r="L37" s="372" t="str">
        <f>IF($C37="","",K37*VLOOKUP($C37,ATELIER!$B$2:$F$109,4,0))</f>
        <v/>
      </c>
      <c r="M37" s="364">
        <v>15</v>
      </c>
      <c r="N37" s="372" t="str">
        <f>IF($C37="","",M37*VLOOKUP($C37,ATELIER!$B$2:$F$109,4,0))</f>
        <v/>
      </c>
      <c r="O37" s="364">
        <v>16</v>
      </c>
      <c r="P37" s="372" t="str">
        <f>IF($C37="","",O37*VLOOKUP($C37,ATELIER!$B$2:$F$109,4,0))</f>
        <v/>
      </c>
      <c r="Q37" s="364">
        <v>17</v>
      </c>
      <c r="R37" s="372" t="str">
        <f>IF($C37="","",Q37*VLOOKUP($C37,ATELIER!$B$2:$F$109,4,0))</f>
        <v/>
      </c>
      <c r="S37" s="364">
        <v>18</v>
      </c>
      <c r="T37" s="372" t="str">
        <f>IF($C37="","",S37*VLOOKUP($C37,ATELIER!$B$2:$F$109,4,0))</f>
        <v/>
      </c>
      <c r="U37" s="364">
        <v>19</v>
      </c>
      <c r="V37" s="372" t="str">
        <f>IF($C37="","",U37*VLOOKUP($C37,ATELIER!$B$2:$F$109,4,0))</f>
        <v/>
      </c>
      <c r="W37" s="364">
        <v>20</v>
      </c>
      <c r="X37" s="372" t="str">
        <f>IF($C37="","",W37*VLOOKUP($C37,ATELIER!$B$2:$F$109,4,0))</f>
        <v/>
      </c>
      <c r="Y37" s="364">
        <v>21</v>
      </c>
      <c r="Z37" s="372" t="str">
        <f>IF($C37="","",Y37*VLOOKUP($C37,ATELIER!$B$2:$F$109,4,0))</f>
        <v/>
      </c>
      <c r="AA37" s="364">
        <v>22</v>
      </c>
      <c r="AB37" s="372" t="str">
        <f>IF($C37="","",AA37*VLOOKUP($C37,ATELIER!$B$2:$F$109,4,0))</f>
        <v/>
      </c>
      <c r="AC37" s="364">
        <v>23</v>
      </c>
      <c r="AD37" s="372" t="str">
        <f>IF($C37="","",AC37*VLOOKUP($C37,ATELIER!$B$2:$F$109,4,0))</f>
        <v/>
      </c>
      <c r="AE37" s="364">
        <v>24</v>
      </c>
      <c r="AF37" s="372" t="str">
        <f>IF($C37="","",AE37*VLOOKUP($C37,ATELIER!$B$2:$F$109,4,0))</f>
        <v/>
      </c>
      <c r="AG37" s="364">
        <v>25</v>
      </c>
      <c r="AH37" s="372" t="str">
        <f>IF($C37="","",AG37*VLOOKUP($C37,ATELIER!$B$2:$F$109,4,0))</f>
        <v/>
      </c>
      <c r="AI37" s="364">
        <v>26</v>
      </c>
      <c r="AJ37" s="372" t="str">
        <f>IF($C37="","",AI37*VLOOKUP($C37,ATELIER!$B$2:$F$109,4,0))</f>
        <v/>
      </c>
      <c r="AK37" s="364">
        <v>27</v>
      </c>
      <c r="AL37" s="372" t="str">
        <f>IF($C37="","",AK37*VLOOKUP($C37,ATELIER!$B$2:$F$109,4,0))</f>
        <v/>
      </c>
      <c r="AM37" s="364">
        <v>28</v>
      </c>
      <c r="AN37" s="372" t="str">
        <f>IF($C37="","",AM37*VLOOKUP($C37,ATELIER!$B$2:$F$109,4,0))</f>
        <v/>
      </c>
      <c r="AO37" s="155"/>
      <c r="AP37" s="155"/>
    </row>
    <row r="38" spans="1:42" ht="35.25" customHeight="1" x14ac:dyDescent="0.2">
      <c r="A38" s="1553"/>
      <c r="B38" s="375" t="s">
        <v>449</v>
      </c>
      <c r="C38" s="376" t="s">
        <v>450</v>
      </c>
      <c r="D38" s="377" t="s">
        <v>451</v>
      </c>
      <c r="E38" s="376" t="e">
        <f>F38*Simulation!$P$8</f>
        <v>#N/A</v>
      </c>
      <c r="F38" s="377" t="e">
        <f>SUM(F27:F37)</f>
        <v>#N/A</v>
      </c>
      <c r="G38" s="376" t="e">
        <f>H38*Simulation!$P$8</f>
        <v>#N/A</v>
      </c>
      <c r="H38" s="377" t="e">
        <f>SUM(H27:H37)</f>
        <v>#N/A</v>
      </c>
      <c r="I38" s="376" t="e">
        <f>J38*Simulation!$P$8</f>
        <v>#N/A</v>
      </c>
      <c r="J38" s="377" t="e">
        <f>SUM(J27:J37)</f>
        <v>#N/A</v>
      </c>
      <c r="K38" s="376" t="e">
        <f>L38*Simulation!$P$8</f>
        <v>#N/A</v>
      </c>
      <c r="L38" s="377" t="e">
        <f>SUM(L27:L37)</f>
        <v>#N/A</v>
      </c>
      <c r="M38" s="376" t="e">
        <f>N38*Simulation!$P$8</f>
        <v>#N/A</v>
      </c>
      <c r="N38" s="377" t="e">
        <f>SUM(N27:N37)</f>
        <v>#N/A</v>
      </c>
      <c r="O38" s="376" t="e">
        <f>P38*Simulation!$P$8</f>
        <v>#N/A</v>
      </c>
      <c r="P38" s="377" t="e">
        <f>SUM(P27:P37)</f>
        <v>#N/A</v>
      </c>
      <c r="Q38" s="376" t="e">
        <f>R38*Simulation!$P$8</f>
        <v>#N/A</v>
      </c>
      <c r="R38" s="377" t="e">
        <f>SUM(R27:R37)</f>
        <v>#N/A</v>
      </c>
      <c r="S38" s="376" t="e">
        <f>T38*Simulation!$P$8</f>
        <v>#N/A</v>
      </c>
      <c r="T38" s="377" t="e">
        <f>SUM(T27:T37)</f>
        <v>#N/A</v>
      </c>
      <c r="U38" s="376" t="e">
        <f>V38*Simulation!$P$8</f>
        <v>#N/A</v>
      </c>
      <c r="V38" s="377" t="e">
        <f>SUM(V27:V37)</f>
        <v>#N/A</v>
      </c>
      <c r="W38" s="376" t="e">
        <f>X38*Simulation!$P$8</f>
        <v>#N/A</v>
      </c>
      <c r="X38" s="377" t="e">
        <f>SUM(X27:X37)</f>
        <v>#N/A</v>
      </c>
      <c r="Y38" s="376" t="e">
        <f>Z38*Simulation!$P$8</f>
        <v>#N/A</v>
      </c>
      <c r="Z38" s="377" t="e">
        <f>SUM(Z27:Z37)</f>
        <v>#N/A</v>
      </c>
      <c r="AA38" s="376" t="e">
        <f>AB38*Simulation!$P$8</f>
        <v>#N/A</v>
      </c>
      <c r="AB38" s="377" t="e">
        <f>SUM(AB27:AB37)</f>
        <v>#N/A</v>
      </c>
      <c r="AC38" s="376" t="e">
        <f>AD38*Simulation!$P$8</f>
        <v>#N/A</v>
      </c>
      <c r="AD38" s="377" t="e">
        <f>SUM(AD27:AD37)</f>
        <v>#N/A</v>
      </c>
      <c r="AE38" s="376" t="e">
        <f>AF38*Simulation!$P$8</f>
        <v>#N/A</v>
      </c>
      <c r="AF38" s="377" t="e">
        <f>SUM(AF27:AF37)</f>
        <v>#N/A</v>
      </c>
      <c r="AG38" s="376" t="e">
        <f>AH38*Simulation!$P$8</f>
        <v>#N/A</v>
      </c>
      <c r="AH38" s="377" t="e">
        <f>SUM(AH27:AH37)</f>
        <v>#N/A</v>
      </c>
      <c r="AI38" s="376" t="e">
        <f>AJ38*Simulation!$P$8</f>
        <v>#N/A</v>
      </c>
      <c r="AJ38" s="377" t="e">
        <f>SUM(AJ27:AJ37)</f>
        <v>#N/A</v>
      </c>
      <c r="AK38" s="376" t="e">
        <f>AL38*Simulation!$P$8</f>
        <v>#N/A</v>
      </c>
      <c r="AL38" s="377" t="e">
        <f>SUM(AL27:AL37)</f>
        <v>#N/A</v>
      </c>
      <c r="AM38" s="376" t="e">
        <f>AN38*Simulation!$P$8</f>
        <v>#N/A</v>
      </c>
      <c r="AN38" s="377" t="e">
        <f>SUM(AN27:AN37)</f>
        <v>#N/A</v>
      </c>
      <c r="AO38" s="224"/>
      <c r="AP38" s="224"/>
    </row>
    <row r="39" spans="1:42" ht="15" customHeight="1" x14ac:dyDescent="0.2">
      <c r="A39" s="1554" t="s">
        <v>452</v>
      </c>
      <c r="B39" s="361" t="s">
        <v>1082</v>
      </c>
      <c r="C39" s="378" t="s">
        <v>378</v>
      </c>
      <c r="D39" s="363" t="str">
        <f>IF(C39="","",VLOOKUP($C39,CHANTIER!$A$2:$C$83,3,0))</f>
        <v>forfait</v>
      </c>
      <c r="E39" s="364">
        <v>1</v>
      </c>
      <c r="F39" s="372">
        <f>IF($C39="","",E39*VLOOKUP($C39,CHANTIER!$A$2:$D$83,4,0))</f>
        <v>0.25</v>
      </c>
      <c r="G39" s="364">
        <v>2</v>
      </c>
      <c r="H39" s="372">
        <f>IF($C39="","",G39*VLOOKUP($C39,CHANTIER!$A$2:$D$83,4,0))</f>
        <v>0.5</v>
      </c>
      <c r="I39" s="364">
        <v>3</v>
      </c>
      <c r="J39" s="372">
        <f>IF($C39="","",I39*VLOOKUP($C39,CHANTIER!$A$2:$D$83,4,0))</f>
        <v>0.75</v>
      </c>
      <c r="K39" s="364">
        <v>4</v>
      </c>
      <c r="L39" s="372">
        <f>IF($C39="","",K39*VLOOKUP($C39,CHANTIER!$A$2:$D$83,4,0))</f>
        <v>1</v>
      </c>
      <c r="M39" s="364">
        <v>5</v>
      </c>
      <c r="N39" s="372">
        <f>IF($C39="","",M39*VLOOKUP($C39,CHANTIER!$A$2:$D$83,4,0))</f>
        <v>1.25</v>
      </c>
      <c r="O39" s="364">
        <v>6</v>
      </c>
      <c r="P39" s="372">
        <f>IF($C39="","",O39*VLOOKUP($C39,CHANTIER!$A$2:$D$83,4,0))</f>
        <v>1.5</v>
      </c>
      <c r="Q39" s="364">
        <v>7</v>
      </c>
      <c r="R39" s="372">
        <f>IF($C39="","",Q39*VLOOKUP($C39,CHANTIER!$A$2:$D$83,4,0))</f>
        <v>1.75</v>
      </c>
      <c r="S39" s="364">
        <v>8</v>
      </c>
      <c r="T39" s="372">
        <f>IF($C39="","",S39*VLOOKUP($C39,CHANTIER!$A$2:$D$83,4,0))</f>
        <v>2</v>
      </c>
      <c r="U39" s="364">
        <v>9</v>
      </c>
      <c r="V39" s="372">
        <f>IF($C39="","",U39*VLOOKUP($C39,CHANTIER!$A$2:$D$83,4,0))</f>
        <v>2.25</v>
      </c>
      <c r="W39" s="364">
        <v>10</v>
      </c>
      <c r="X39" s="372">
        <f>IF($C39="","",W39*VLOOKUP($C39,CHANTIER!$A$2:$D$83,4,0))</f>
        <v>2.5</v>
      </c>
      <c r="Y39" s="364">
        <v>11</v>
      </c>
      <c r="Z39" s="372">
        <f>IF($C39="","",Y39*VLOOKUP($C39,CHANTIER!$A$2:$D$83,4,0))</f>
        <v>2.75</v>
      </c>
      <c r="AA39" s="364">
        <v>12</v>
      </c>
      <c r="AB39" s="372">
        <f>IF($C39="","",AA39*VLOOKUP($C39,CHANTIER!$A$2:$D$83,4,0))</f>
        <v>3</v>
      </c>
      <c r="AC39" s="364">
        <v>13</v>
      </c>
      <c r="AD39" s="372">
        <f>IF($C39="","",AC39*VLOOKUP($C39,CHANTIER!$A$2:$D$83,4,0))</f>
        <v>3.25</v>
      </c>
      <c r="AE39" s="364">
        <v>14</v>
      </c>
      <c r="AF39" s="372">
        <f>IF($C39="","",AE39*VLOOKUP($C39,CHANTIER!$A$2:$D$83,4,0))</f>
        <v>3.5</v>
      </c>
      <c r="AG39" s="364">
        <v>15</v>
      </c>
      <c r="AH39" s="372">
        <f>IF($C39="","",AG39*VLOOKUP($C39,CHANTIER!$A$2:$D$83,4,0))</f>
        <v>3.75</v>
      </c>
      <c r="AI39" s="364">
        <v>16</v>
      </c>
      <c r="AJ39" s="372">
        <f>IF($C39="","",AI39*VLOOKUP($C39,CHANTIER!$A$2:$D$83,4,0))</f>
        <v>4</v>
      </c>
      <c r="AK39" s="364">
        <v>17</v>
      </c>
      <c r="AL39" s="372">
        <f>IF($C39="","",AK39*VLOOKUP($C39,CHANTIER!$A$2:$D$83,4,0))</f>
        <v>4.25</v>
      </c>
      <c r="AM39" s="364">
        <v>18</v>
      </c>
      <c r="AN39" s="372">
        <f>IF($C39="","",AM39*VLOOKUP($C39,CHANTIER!$A$2:$D$83,4,0))</f>
        <v>4.5</v>
      </c>
      <c r="AO39" s="224"/>
      <c r="AP39" s="224"/>
    </row>
    <row r="40" spans="1:42" ht="15" customHeight="1" x14ac:dyDescent="0.2">
      <c r="A40" s="1554"/>
      <c r="B40" s="361"/>
      <c r="C40" s="378"/>
      <c r="D40" s="363" t="str">
        <f>IF(C40="","",VLOOKUP($C40,CHANTIER!$A$2:$C$83,3,0))</f>
        <v/>
      </c>
      <c r="E40" s="364">
        <v>2</v>
      </c>
      <c r="F40" s="372" t="str">
        <f>IF($C40="","",E40*VLOOKUP($C40,CHANTIER!$A$2:$D$83,4,0))</f>
        <v/>
      </c>
      <c r="G40" s="364">
        <v>3</v>
      </c>
      <c r="H40" s="372" t="str">
        <f>IF($C40="","",G40*VLOOKUP($C40,CHANTIER!$A$2:$D$83,4,0))</f>
        <v/>
      </c>
      <c r="I40" s="364">
        <v>4</v>
      </c>
      <c r="J40" s="372" t="str">
        <f>IF($C40="","",I40*VLOOKUP($C40,CHANTIER!$A$2:$D$83,4,0))</f>
        <v/>
      </c>
      <c r="K40" s="364">
        <v>5</v>
      </c>
      <c r="L40" s="372" t="str">
        <f>IF($C40="","",K40*VLOOKUP($C40,CHANTIER!$A$2:$D$83,4,0))</f>
        <v/>
      </c>
      <c r="M40" s="364">
        <v>6</v>
      </c>
      <c r="N40" s="372" t="str">
        <f>IF($C40="","",M40*VLOOKUP($C40,CHANTIER!$A$2:$D$83,4,0))</f>
        <v/>
      </c>
      <c r="O40" s="364">
        <v>7</v>
      </c>
      <c r="P40" s="372" t="str">
        <f>IF($C40="","",O40*VLOOKUP($C40,CHANTIER!$A$2:$D$83,4,0))</f>
        <v/>
      </c>
      <c r="Q40" s="364">
        <v>8</v>
      </c>
      <c r="R40" s="372" t="str">
        <f>IF($C40="","",Q40*VLOOKUP($C40,CHANTIER!$A$2:$D$83,4,0))</f>
        <v/>
      </c>
      <c r="S40" s="364">
        <v>9</v>
      </c>
      <c r="T40" s="372" t="str">
        <f>IF($C40="","",S40*VLOOKUP($C40,CHANTIER!$A$2:$D$83,4,0))</f>
        <v/>
      </c>
      <c r="U40" s="364">
        <v>10</v>
      </c>
      <c r="V40" s="372" t="str">
        <f>IF($C40="","",U40*VLOOKUP($C40,CHANTIER!$A$2:$D$83,4,0))</f>
        <v/>
      </c>
      <c r="W40" s="364">
        <v>11</v>
      </c>
      <c r="X40" s="372" t="str">
        <f>IF($C40="","",W40*VLOOKUP($C40,CHANTIER!$A$2:$D$83,4,0))</f>
        <v/>
      </c>
      <c r="Y40" s="364">
        <v>12</v>
      </c>
      <c r="Z40" s="372" t="str">
        <f>IF($C40="","",Y40*VLOOKUP($C40,CHANTIER!$A$2:$D$83,4,0))</f>
        <v/>
      </c>
      <c r="AA40" s="364">
        <v>13</v>
      </c>
      <c r="AB40" s="372" t="str">
        <f>IF($C40="","",AA40*VLOOKUP($C40,CHANTIER!$A$2:$D$83,4,0))</f>
        <v/>
      </c>
      <c r="AC40" s="364">
        <v>14</v>
      </c>
      <c r="AD40" s="372" t="str">
        <f>IF($C40="","",AC40*VLOOKUP($C40,CHANTIER!$A$2:$D$83,4,0))</f>
        <v/>
      </c>
      <c r="AE40" s="364">
        <v>15</v>
      </c>
      <c r="AF40" s="372" t="str">
        <f>IF($C40="","",AE40*VLOOKUP($C40,CHANTIER!$A$2:$D$83,4,0))</f>
        <v/>
      </c>
      <c r="AG40" s="364">
        <v>16</v>
      </c>
      <c r="AH40" s="372" t="str">
        <f>IF($C40="","",AG40*VLOOKUP($C40,CHANTIER!$A$2:$D$83,4,0))</f>
        <v/>
      </c>
      <c r="AI40" s="364">
        <v>17</v>
      </c>
      <c r="AJ40" s="372" t="str">
        <f>IF($C40="","",AI40*VLOOKUP($C40,CHANTIER!$A$2:$D$83,4,0))</f>
        <v/>
      </c>
      <c r="AK40" s="364">
        <v>18</v>
      </c>
      <c r="AL40" s="372" t="str">
        <f>IF($C40="","",AK40*VLOOKUP($C40,CHANTIER!$A$2:$D$83,4,0))</f>
        <v/>
      </c>
      <c r="AM40" s="364">
        <v>19</v>
      </c>
      <c r="AN40" s="372" t="str">
        <f>IF($C40="","",AM40*VLOOKUP($C40,CHANTIER!$A$2:$D$83,4,0))</f>
        <v/>
      </c>
      <c r="AO40" s="224"/>
      <c r="AP40" s="224"/>
    </row>
    <row r="41" spans="1:42" ht="15" customHeight="1" x14ac:dyDescent="0.2">
      <c r="A41" s="1555"/>
      <c r="B41" s="361"/>
      <c r="C41" s="378"/>
      <c r="D41" s="363" t="str">
        <f>IF(C41="","",VLOOKUP($C41,CHANTIER!$A$2:$C$83,3,0))</f>
        <v/>
      </c>
      <c r="E41" s="364">
        <v>3</v>
      </c>
      <c r="F41" s="372" t="str">
        <f>IF($C41="","",E41*VLOOKUP($C41,CHANTIER!$A$2:$D$83,4,0))</f>
        <v/>
      </c>
      <c r="G41" s="364">
        <v>4</v>
      </c>
      <c r="H41" s="372" t="str">
        <f>IF($C41="","",G41*VLOOKUP($C41,CHANTIER!$A$2:$D$83,4,0))</f>
        <v/>
      </c>
      <c r="I41" s="364">
        <v>5</v>
      </c>
      <c r="J41" s="372" t="str">
        <f>IF($C41="","",I41*VLOOKUP($C41,CHANTIER!$A$2:$D$83,4,0))</f>
        <v/>
      </c>
      <c r="K41" s="364">
        <v>6</v>
      </c>
      <c r="L41" s="372" t="str">
        <f>IF($C41="","",K41*VLOOKUP($C41,CHANTIER!$A$2:$D$83,4,0))</f>
        <v/>
      </c>
      <c r="M41" s="364">
        <v>7</v>
      </c>
      <c r="N41" s="372" t="str">
        <f>IF($C41="","",M41*VLOOKUP($C41,CHANTIER!$A$2:$D$83,4,0))</f>
        <v/>
      </c>
      <c r="O41" s="364">
        <v>8</v>
      </c>
      <c r="P41" s="372" t="str">
        <f>IF($C41="","",O41*VLOOKUP($C41,CHANTIER!$A$2:$D$83,4,0))</f>
        <v/>
      </c>
      <c r="Q41" s="364">
        <v>9</v>
      </c>
      <c r="R41" s="372" t="str">
        <f>IF($C41="","",Q41*VLOOKUP($C41,CHANTIER!$A$2:$D$83,4,0))</f>
        <v/>
      </c>
      <c r="S41" s="364">
        <v>10</v>
      </c>
      <c r="T41" s="372" t="str">
        <f>IF($C41="","",S41*VLOOKUP($C41,CHANTIER!$A$2:$D$83,4,0))</f>
        <v/>
      </c>
      <c r="U41" s="364">
        <v>11</v>
      </c>
      <c r="V41" s="372" t="str">
        <f>IF($C41="","",U41*VLOOKUP($C41,CHANTIER!$A$2:$D$83,4,0))</f>
        <v/>
      </c>
      <c r="W41" s="364">
        <v>12</v>
      </c>
      <c r="X41" s="372" t="str">
        <f>IF($C41="","",W41*VLOOKUP($C41,CHANTIER!$A$2:$D$83,4,0))</f>
        <v/>
      </c>
      <c r="Y41" s="364">
        <v>13</v>
      </c>
      <c r="Z41" s="372" t="str">
        <f>IF($C41="","",Y41*VLOOKUP($C41,CHANTIER!$A$2:$D$83,4,0))</f>
        <v/>
      </c>
      <c r="AA41" s="364">
        <v>14</v>
      </c>
      <c r="AB41" s="372" t="str">
        <f>IF($C41="","",AA41*VLOOKUP($C41,CHANTIER!$A$2:$D$83,4,0))</f>
        <v/>
      </c>
      <c r="AC41" s="364">
        <v>15</v>
      </c>
      <c r="AD41" s="372" t="str">
        <f>IF($C41="","",AC41*VLOOKUP($C41,CHANTIER!$A$2:$D$83,4,0))</f>
        <v/>
      </c>
      <c r="AE41" s="364">
        <v>16</v>
      </c>
      <c r="AF41" s="372" t="str">
        <f>IF($C41="","",AE41*VLOOKUP($C41,CHANTIER!$A$2:$D$83,4,0))</f>
        <v/>
      </c>
      <c r="AG41" s="364">
        <v>17</v>
      </c>
      <c r="AH41" s="372" t="str">
        <f>IF($C41="","",AG41*VLOOKUP($C41,CHANTIER!$A$2:$D$83,4,0))</f>
        <v/>
      </c>
      <c r="AI41" s="364">
        <v>18</v>
      </c>
      <c r="AJ41" s="372" t="str">
        <f>IF($C41="","",AI41*VLOOKUP($C41,CHANTIER!$A$2:$D$83,4,0))</f>
        <v/>
      </c>
      <c r="AK41" s="364">
        <v>19</v>
      </c>
      <c r="AL41" s="372" t="str">
        <f>IF($C41="","",AK41*VLOOKUP($C41,CHANTIER!$A$2:$D$83,4,0))</f>
        <v/>
      </c>
      <c r="AM41" s="364">
        <v>20</v>
      </c>
      <c r="AN41" s="372" t="str">
        <f>IF($C41="","",AM41*VLOOKUP($C41,CHANTIER!$A$2:$D$83,4,0))</f>
        <v/>
      </c>
      <c r="AO41" s="224"/>
      <c r="AP41" s="224"/>
    </row>
    <row r="42" spans="1:42" ht="15" customHeight="1" x14ac:dyDescent="0.2">
      <c r="A42" s="1554"/>
      <c r="B42" s="361"/>
      <c r="C42" s="378"/>
      <c r="D42" s="363" t="str">
        <f>IF(C42="","",VLOOKUP($C42,CHANTIER!$A$2:$C$83,3,0))</f>
        <v/>
      </c>
      <c r="E42" s="364">
        <v>4</v>
      </c>
      <c r="F42" s="372" t="str">
        <f>IF($C42="","",E42*VLOOKUP($C42,CHANTIER!$A$2:$D$83,4,0))</f>
        <v/>
      </c>
      <c r="G42" s="364">
        <v>5</v>
      </c>
      <c r="H42" s="372" t="str">
        <f>IF($C42="","",G42*VLOOKUP($C42,CHANTIER!$A$2:$D$83,4,0))</f>
        <v/>
      </c>
      <c r="I42" s="364">
        <v>6</v>
      </c>
      <c r="J42" s="372" t="str">
        <f>IF($C42="","",I42*VLOOKUP($C42,CHANTIER!$A$2:$D$83,4,0))</f>
        <v/>
      </c>
      <c r="K42" s="364">
        <v>7</v>
      </c>
      <c r="L42" s="372" t="str">
        <f>IF($C42="","",K42*VLOOKUP($C42,CHANTIER!$A$2:$D$83,4,0))</f>
        <v/>
      </c>
      <c r="M42" s="364">
        <v>8</v>
      </c>
      <c r="N42" s="372" t="str">
        <f>IF($C42="","",M42*VLOOKUP($C42,CHANTIER!$A$2:$D$83,4,0))</f>
        <v/>
      </c>
      <c r="O42" s="364">
        <v>9</v>
      </c>
      <c r="P42" s="372" t="str">
        <f>IF($C42="","",O42*VLOOKUP($C42,CHANTIER!$A$2:$D$83,4,0))</f>
        <v/>
      </c>
      <c r="Q42" s="364">
        <v>10</v>
      </c>
      <c r="R42" s="372" t="str">
        <f>IF($C42="","",Q42*VLOOKUP($C42,CHANTIER!$A$2:$D$83,4,0))</f>
        <v/>
      </c>
      <c r="S42" s="364">
        <v>11</v>
      </c>
      <c r="T42" s="372" t="str">
        <f>IF($C42="","",S42*VLOOKUP($C42,CHANTIER!$A$2:$D$83,4,0))</f>
        <v/>
      </c>
      <c r="U42" s="364">
        <v>12</v>
      </c>
      <c r="V42" s="372" t="str">
        <f>IF($C42="","",U42*VLOOKUP($C42,CHANTIER!$A$2:$D$83,4,0))</f>
        <v/>
      </c>
      <c r="W42" s="364">
        <v>13</v>
      </c>
      <c r="X42" s="372" t="str">
        <f>IF($C42="","",W42*VLOOKUP($C42,CHANTIER!$A$2:$D$83,4,0))</f>
        <v/>
      </c>
      <c r="Y42" s="364">
        <v>14</v>
      </c>
      <c r="Z42" s="372" t="str">
        <f>IF($C42="","",Y42*VLOOKUP($C42,CHANTIER!$A$2:$D$83,4,0))</f>
        <v/>
      </c>
      <c r="AA42" s="364">
        <v>15</v>
      </c>
      <c r="AB42" s="372" t="str">
        <f>IF($C42="","",AA42*VLOOKUP($C42,CHANTIER!$A$2:$D$83,4,0))</f>
        <v/>
      </c>
      <c r="AC42" s="364">
        <v>16</v>
      </c>
      <c r="AD42" s="372" t="str">
        <f>IF($C42="","",AC42*VLOOKUP($C42,CHANTIER!$A$2:$D$83,4,0))</f>
        <v/>
      </c>
      <c r="AE42" s="364">
        <v>17</v>
      </c>
      <c r="AF42" s="372" t="str">
        <f>IF($C42="","",AE42*VLOOKUP($C42,CHANTIER!$A$2:$D$83,4,0))</f>
        <v/>
      </c>
      <c r="AG42" s="364">
        <v>18</v>
      </c>
      <c r="AH42" s="372" t="str">
        <f>IF($C42="","",AG42*VLOOKUP($C42,CHANTIER!$A$2:$D$83,4,0))</f>
        <v/>
      </c>
      <c r="AI42" s="364">
        <v>19</v>
      </c>
      <c r="AJ42" s="372" t="str">
        <f>IF($C42="","",AI42*VLOOKUP($C42,CHANTIER!$A$2:$D$83,4,0))</f>
        <v/>
      </c>
      <c r="AK42" s="364">
        <v>20</v>
      </c>
      <c r="AL42" s="372" t="str">
        <f>IF($C42="","",AK42*VLOOKUP($C42,CHANTIER!$A$2:$D$83,4,0))</f>
        <v/>
      </c>
      <c r="AM42" s="364">
        <v>21</v>
      </c>
      <c r="AN42" s="372" t="str">
        <f>IF($C42="","",AM42*VLOOKUP($C42,CHANTIER!$A$2:$D$83,4,0))</f>
        <v/>
      </c>
      <c r="AO42" s="224"/>
      <c r="AP42" s="224"/>
    </row>
    <row r="43" spans="1:42" ht="15" customHeight="1" x14ac:dyDescent="0.2">
      <c r="A43" s="1554"/>
      <c r="B43" s="361"/>
      <c r="C43" s="378"/>
      <c r="D43" s="363" t="str">
        <f>IF(C43="","",VLOOKUP($C43,CHANTIER!$A$2:$C$83,3,0))</f>
        <v/>
      </c>
      <c r="E43" s="364">
        <v>5</v>
      </c>
      <c r="F43" s="372" t="str">
        <f>IF($C43="","",E43*VLOOKUP($C43,CHANTIER!$A$2:$D$83,4,0))</f>
        <v/>
      </c>
      <c r="G43" s="364">
        <v>6</v>
      </c>
      <c r="H43" s="372" t="str">
        <f>IF($C43="","",G43*VLOOKUP($C43,CHANTIER!$A$2:$D$83,4,0))</f>
        <v/>
      </c>
      <c r="I43" s="364">
        <v>7</v>
      </c>
      <c r="J43" s="372" t="str">
        <f>IF($C43="","",I43*VLOOKUP($C43,CHANTIER!$A$2:$D$83,4,0))</f>
        <v/>
      </c>
      <c r="K43" s="364">
        <v>8</v>
      </c>
      <c r="L43" s="372" t="str">
        <f>IF($C43="","",K43*VLOOKUP($C43,CHANTIER!$A$2:$D$83,4,0))</f>
        <v/>
      </c>
      <c r="M43" s="364">
        <v>9</v>
      </c>
      <c r="N43" s="372" t="str">
        <f>IF($C43="","",M43*VLOOKUP($C43,CHANTIER!$A$2:$D$83,4,0))</f>
        <v/>
      </c>
      <c r="O43" s="364">
        <v>10</v>
      </c>
      <c r="P43" s="372" t="str">
        <f>IF($C43="","",O43*VLOOKUP($C43,CHANTIER!$A$2:$D$83,4,0))</f>
        <v/>
      </c>
      <c r="Q43" s="364">
        <v>11</v>
      </c>
      <c r="R43" s="372" t="str">
        <f>IF($C43="","",Q43*VLOOKUP($C43,CHANTIER!$A$2:$D$83,4,0))</f>
        <v/>
      </c>
      <c r="S43" s="364">
        <v>12</v>
      </c>
      <c r="T43" s="372" t="str">
        <f>IF($C43="","",S43*VLOOKUP($C43,CHANTIER!$A$2:$D$83,4,0))</f>
        <v/>
      </c>
      <c r="U43" s="364">
        <v>13</v>
      </c>
      <c r="V43" s="372" t="str">
        <f>IF($C43="","",U43*VLOOKUP($C43,CHANTIER!$A$2:$D$83,4,0))</f>
        <v/>
      </c>
      <c r="W43" s="364">
        <v>14</v>
      </c>
      <c r="X43" s="372" t="str">
        <f>IF($C43="","",W43*VLOOKUP($C43,CHANTIER!$A$2:$D$83,4,0))</f>
        <v/>
      </c>
      <c r="Y43" s="364">
        <v>15</v>
      </c>
      <c r="Z43" s="372" t="str">
        <f>IF($C43="","",Y43*VLOOKUP($C43,CHANTIER!$A$2:$D$83,4,0))</f>
        <v/>
      </c>
      <c r="AA43" s="364">
        <v>16</v>
      </c>
      <c r="AB43" s="372" t="str">
        <f>IF($C43="","",AA43*VLOOKUP($C43,CHANTIER!$A$2:$D$83,4,0))</f>
        <v/>
      </c>
      <c r="AC43" s="364">
        <v>17</v>
      </c>
      <c r="AD43" s="372" t="str">
        <f>IF($C43="","",AC43*VLOOKUP($C43,CHANTIER!$A$2:$D$83,4,0))</f>
        <v/>
      </c>
      <c r="AE43" s="364">
        <v>18</v>
      </c>
      <c r="AF43" s="372" t="str">
        <f>IF($C43="","",AE43*VLOOKUP($C43,CHANTIER!$A$2:$D$83,4,0))</f>
        <v/>
      </c>
      <c r="AG43" s="364">
        <v>19</v>
      </c>
      <c r="AH43" s="372" t="str">
        <f>IF($C43="","",AG43*VLOOKUP($C43,CHANTIER!$A$2:$D$83,4,0))</f>
        <v/>
      </c>
      <c r="AI43" s="364">
        <v>20</v>
      </c>
      <c r="AJ43" s="372" t="str">
        <f>IF($C43="","",AI43*VLOOKUP($C43,CHANTIER!$A$2:$D$83,4,0))</f>
        <v/>
      </c>
      <c r="AK43" s="364">
        <v>21</v>
      </c>
      <c r="AL43" s="372" t="str">
        <f>IF($C43="","",AK43*VLOOKUP($C43,CHANTIER!$A$2:$D$83,4,0))</f>
        <v/>
      </c>
      <c r="AM43" s="364">
        <v>22</v>
      </c>
      <c r="AN43" s="372" t="str">
        <f>IF($C43="","",AM43*VLOOKUP($C43,CHANTIER!$A$2:$D$83,4,0))</f>
        <v/>
      </c>
      <c r="AO43" s="224"/>
      <c r="AP43" s="224"/>
    </row>
    <row r="44" spans="1:42" ht="15" customHeight="1" x14ac:dyDescent="0.2">
      <c r="A44" s="1554"/>
      <c r="B44" s="361"/>
      <c r="C44" s="378"/>
      <c r="D44" s="363" t="str">
        <f>IF(C44="","",VLOOKUP($C44,CHANTIER!$A$2:$C$83,3,0))</f>
        <v/>
      </c>
      <c r="E44" s="364">
        <v>6</v>
      </c>
      <c r="F44" s="372" t="str">
        <f>IF($C44="","",E44*VLOOKUP($C44,CHANTIER!$A$2:$D$83,4,0))</f>
        <v/>
      </c>
      <c r="G44" s="364">
        <v>7</v>
      </c>
      <c r="H44" s="372" t="str">
        <f>IF($C44="","",G44*VLOOKUP($C44,CHANTIER!$A$2:$D$83,4,0))</f>
        <v/>
      </c>
      <c r="I44" s="364">
        <v>8</v>
      </c>
      <c r="J44" s="372" t="str">
        <f>IF($C44="","",I44*VLOOKUP($C44,CHANTIER!$A$2:$D$83,4,0))</f>
        <v/>
      </c>
      <c r="K44" s="364">
        <v>9</v>
      </c>
      <c r="L44" s="372" t="str">
        <f>IF($C44="","",K44*VLOOKUP($C44,CHANTIER!$A$2:$D$83,4,0))</f>
        <v/>
      </c>
      <c r="M44" s="364">
        <v>10</v>
      </c>
      <c r="N44" s="372" t="str">
        <f>IF($C44="","",M44*VLOOKUP($C44,CHANTIER!$A$2:$D$83,4,0))</f>
        <v/>
      </c>
      <c r="O44" s="364">
        <v>11</v>
      </c>
      <c r="P44" s="372" t="str">
        <f>IF($C44="","",O44*VLOOKUP($C44,CHANTIER!$A$2:$D$83,4,0))</f>
        <v/>
      </c>
      <c r="Q44" s="364">
        <v>12</v>
      </c>
      <c r="R44" s="372" t="str">
        <f>IF($C44="","",Q44*VLOOKUP($C44,CHANTIER!$A$2:$D$83,4,0))</f>
        <v/>
      </c>
      <c r="S44" s="364">
        <v>13</v>
      </c>
      <c r="T44" s="372" t="str">
        <f>IF($C44="","",S44*VLOOKUP($C44,CHANTIER!$A$2:$D$83,4,0))</f>
        <v/>
      </c>
      <c r="U44" s="364">
        <v>14</v>
      </c>
      <c r="V44" s="372" t="str">
        <f>IF($C44="","",U44*VLOOKUP($C44,CHANTIER!$A$2:$D$83,4,0))</f>
        <v/>
      </c>
      <c r="W44" s="364">
        <v>15</v>
      </c>
      <c r="X44" s="372" t="str">
        <f>IF($C44="","",W44*VLOOKUP($C44,CHANTIER!$A$2:$D$83,4,0))</f>
        <v/>
      </c>
      <c r="Y44" s="364">
        <v>16</v>
      </c>
      <c r="Z44" s="372" t="str">
        <f>IF($C44="","",Y44*VLOOKUP($C44,CHANTIER!$A$2:$D$83,4,0))</f>
        <v/>
      </c>
      <c r="AA44" s="364">
        <v>17</v>
      </c>
      <c r="AB44" s="372" t="str">
        <f>IF($C44="","",AA44*VLOOKUP($C44,CHANTIER!$A$2:$D$83,4,0))</f>
        <v/>
      </c>
      <c r="AC44" s="364">
        <v>18</v>
      </c>
      <c r="AD44" s="372" t="str">
        <f>IF($C44="","",AC44*VLOOKUP($C44,CHANTIER!$A$2:$D$83,4,0))</f>
        <v/>
      </c>
      <c r="AE44" s="364">
        <v>19</v>
      </c>
      <c r="AF44" s="372" t="str">
        <f>IF($C44="","",AE44*VLOOKUP($C44,CHANTIER!$A$2:$D$83,4,0))</f>
        <v/>
      </c>
      <c r="AG44" s="364">
        <v>20</v>
      </c>
      <c r="AH44" s="372" t="str">
        <f>IF($C44="","",AG44*VLOOKUP($C44,CHANTIER!$A$2:$D$83,4,0))</f>
        <v/>
      </c>
      <c r="AI44" s="364">
        <v>21</v>
      </c>
      <c r="AJ44" s="372" t="str">
        <f>IF($C44="","",AI44*VLOOKUP($C44,CHANTIER!$A$2:$D$83,4,0))</f>
        <v/>
      </c>
      <c r="AK44" s="364">
        <v>22</v>
      </c>
      <c r="AL44" s="372" t="str">
        <f>IF($C44="","",AK44*VLOOKUP($C44,CHANTIER!$A$2:$D$83,4,0))</f>
        <v/>
      </c>
      <c r="AM44" s="364">
        <v>23</v>
      </c>
      <c r="AN44" s="372" t="str">
        <f>IF($C44="","",AM44*VLOOKUP($C44,CHANTIER!$A$2:$D$83,4,0))</f>
        <v/>
      </c>
      <c r="AO44" s="224"/>
      <c r="AP44" s="224"/>
    </row>
    <row r="45" spans="1:42" ht="15" customHeight="1" x14ac:dyDescent="0.2">
      <c r="A45" s="1554"/>
      <c r="B45" s="361"/>
      <c r="C45" s="378"/>
      <c r="D45" s="363" t="str">
        <f>IF(C45="","",VLOOKUP($C45,CHANTIER!$A$2:$C$83,3,0))</f>
        <v/>
      </c>
      <c r="E45" s="364">
        <v>7</v>
      </c>
      <c r="F45" s="372" t="str">
        <f>IF($C45="","",E45*VLOOKUP($C45,CHANTIER!$A$2:$D$83,4,0))</f>
        <v/>
      </c>
      <c r="G45" s="364">
        <v>8</v>
      </c>
      <c r="H45" s="372" t="str">
        <f>IF($C45="","",G45*VLOOKUP($C45,CHANTIER!$A$2:$D$83,4,0))</f>
        <v/>
      </c>
      <c r="I45" s="364">
        <v>9</v>
      </c>
      <c r="J45" s="372" t="str">
        <f>IF($C45="","",I45*VLOOKUP($C45,CHANTIER!$A$2:$D$83,4,0))</f>
        <v/>
      </c>
      <c r="K45" s="364">
        <v>10</v>
      </c>
      <c r="L45" s="372" t="str">
        <f>IF($C45="","",K45*VLOOKUP($C45,CHANTIER!$A$2:$D$83,4,0))</f>
        <v/>
      </c>
      <c r="M45" s="364">
        <v>11</v>
      </c>
      <c r="N45" s="372" t="str">
        <f>IF($C45="","",M45*VLOOKUP($C45,CHANTIER!$A$2:$D$83,4,0))</f>
        <v/>
      </c>
      <c r="O45" s="364">
        <v>12</v>
      </c>
      <c r="P45" s="372" t="str">
        <f>IF($C45="","",O45*VLOOKUP($C45,CHANTIER!$A$2:$D$83,4,0))</f>
        <v/>
      </c>
      <c r="Q45" s="364">
        <v>13</v>
      </c>
      <c r="R45" s="372" t="str">
        <f>IF($C45="","",Q45*VLOOKUP($C45,CHANTIER!$A$2:$D$83,4,0))</f>
        <v/>
      </c>
      <c r="S45" s="364">
        <v>14</v>
      </c>
      <c r="T45" s="372" t="str">
        <f>IF($C45="","",S45*VLOOKUP($C45,CHANTIER!$A$2:$D$83,4,0))</f>
        <v/>
      </c>
      <c r="U45" s="364">
        <v>15</v>
      </c>
      <c r="V45" s="372" t="str">
        <f>IF($C45="","",U45*VLOOKUP($C45,CHANTIER!$A$2:$D$83,4,0))</f>
        <v/>
      </c>
      <c r="W45" s="364">
        <v>16</v>
      </c>
      <c r="X45" s="372" t="str">
        <f>IF($C45="","",W45*VLOOKUP($C45,CHANTIER!$A$2:$D$83,4,0))</f>
        <v/>
      </c>
      <c r="Y45" s="364">
        <v>17</v>
      </c>
      <c r="Z45" s="372" t="str">
        <f>IF($C45="","",Y45*VLOOKUP($C45,CHANTIER!$A$2:$D$83,4,0))</f>
        <v/>
      </c>
      <c r="AA45" s="364">
        <v>18</v>
      </c>
      <c r="AB45" s="372" t="str">
        <f>IF($C45="","",AA45*VLOOKUP($C45,CHANTIER!$A$2:$D$83,4,0))</f>
        <v/>
      </c>
      <c r="AC45" s="364">
        <v>19</v>
      </c>
      <c r="AD45" s="372" t="str">
        <f>IF($C45="","",AC45*VLOOKUP($C45,CHANTIER!$A$2:$D$83,4,0))</f>
        <v/>
      </c>
      <c r="AE45" s="364">
        <v>20</v>
      </c>
      <c r="AF45" s="372" t="str">
        <f>IF($C45="","",AE45*VLOOKUP($C45,CHANTIER!$A$2:$D$83,4,0))</f>
        <v/>
      </c>
      <c r="AG45" s="364">
        <v>21</v>
      </c>
      <c r="AH45" s="372" t="str">
        <f>IF($C45="","",AG45*VLOOKUP($C45,CHANTIER!$A$2:$D$83,4,0))</f>
        <v/>
      </c>
      <c r="AI45" s="364">
        <v>22</v>
      </c>
      <c r="AJ45" s="372" t="str">
        <f>IF($C45="","",AI45*VLOOKUP($C45,CHANTIER!$A$2:$D$83,4,0))</f>
        <v/>
      </c>
      <c r="AK45" s="364">
        <v>23</v>
      </c>
      <c r="AL45" s="372" t="str">
        <f>IF($C45="","",AK45*VLOOKUP($C45,CHANTIER!$A$2:$D$83,4,0))</f>
        <v/>
      </c>
      <c r="AM45" s="364">
        <v>24</v>
      </c>
      <c r="AN45" s="372" t="str">
        <f>IF($C45="","",AM45*VLOOKUP($C45,CHANTIER!$A$2:$D$83,4,0))</f>
        <v/>
      </c>
      <c r="AO45" s="224"/>
      <c r="AP45" s="224"/>
    </row>
    <row r="46" spans="1:42" ht="15" customHeight="1" x14ac:dyDescent="0.2">
      <c r="A46" s="1554"/>
      <c r="B46" s="361"/>
      <c r="C46" s="378"/>
      <c r="D46" s="363" t="str">
        <f>IF(C46="","",VLOOKUP($C46,CHANTIER!$A$2:$C$83,3,0))</f>
        <v/>
      </c>
      <c r="E46" s="364">
        <v>8</v>
      </c>
      <c r="F46" s="372" t="str">
        <f>IF($C46="","",E46*VLOOKUP($C46,CHANTIER!$A$2:$D$83,4,0))</f>
        <v/>
      </c>
      <c r="G46" s="364">
        <v>9</v>
      </c>
      <c r="H46" s="372" t="str">
        <f>IF($C46="","",G46*VLOOKUP($C46,CHANTIER!$A$2:$D$83,4,0))</f>
        <v/>
      </c>
      <c r="I46" s="364">
        <v>10</v>
      </c>
      <c r="J46" s="372" t="str">
        <f>IF($C46="","",I46*VLOOKUP($C46,CHANTIER!$A$2:$D$83,4,0))</f>
        <v/>
      </c>
      <c r="K46" s="364">
        <v>11</v>
      </c>
      <c r="L46" s="372" t="str">
        <f>IF($C46="","",K46*VLOOKUP($C46,CHANTIER!$A$2:$D$83,4,0))</f>
        <v/>
      </c>
      <c r="M46" s="364">
        <v>12</v>
      </c>
      <c r="N46" s="372" t="str">
        <f>IF($C46="","",M46*VLOOKUP($C46,CHANTIER!$A$2:$D$83,4,0))</f>
        <v/>
      </c>
      <c r="O46" s="364">
        <v>13</v>
      </c>
      <c r="P46" s="372" t="str">
        <f>IF($C46="","",O46*VLOOKUP($C46,CHANTIER!$A$2:$D$83,4,0))</f>
        <v/>
      </c>
      <c r="Q46" s="364">
        <v>14</v>
      </c>
      <c r="R46" s="372" t="str">
        <f>IF($C46="","",Q46*VLOOKUP($C46,CHANTIER!$A$2:$D$83,4,0))</f>
        <v/>
      </c>
      <c r="S46" s="364">
        <v>15</v>
      </c>
      <c r="T46" s="372" t="str">
        <f>IF($C46="","",S46*VLOOKUP($C46,CHANTIER!$A$2:$D$83,4,0))</f>
        <v/>
      </c>
      <c r="U46" s="364">
        <v>16</v>
      </c>
      <c r="V46" s="372" t="str">
        <f>IF($C46="","",U46*VLOOKUP($C46,CHANTIER!$A$2:$D$83,4,0))</f>
        <v/>
      </c>
      <c r="W46" s="364">
        <v>17</v>
      </c>
      <c r="X46" s="372" t="str">
        <f>IF($C46="","",W46*VLOOKUP($C46,CHANTIER!$A$2:$D$83,4,0))</f>
        <v/>
      </c>
      <c r="Y46" s="364">
        <v>18</v>
      </c>
      <c r="Z46" s="372" t="str">
        <f>IF($C46="","",Y46*VLOOKUP($C46,CHANTIER!$A$2:$D$83,4,0))</f>
        <v/>
      </c>
      <c r="AA46" s="364">
        <v>19</v>
      </c>
      <c r="AB46" s="372" t="str">
        <f>IF($C46="","",AA46*VLOOKUP($C46,CHANTIER!$A$2:$D$83,4,0))</f>
        <v/>
      </c>
      <c r="AC46" s="364">
        <v>20</v>
      </c>
      <c r="AD46" s="372" t="str">
        <f>IF($C46="","",AC46*VLOOKUP($C46,CHANTIER!$A$2:$D$83,4,0))</f>
        <v/>
      </c>
      <c r="AE46" s="364">
        <v>21</v>
      </c>
      <c r="AF46" s="372" t="str">
        <f>IF($C46="","",AE46*VLOOKUP($C46,CHANTIER!$A$2:$D$83,4,0))</f>
        <v/>
      </c>
      <c r="AG46" s="364">
        <v>22</v>
      </c>
      <c r="AH46" s="372" t="str">
        <f>IF($C46="","",AG46*VLOOKUP($C46,CHANTIER!$A$2:$D$83,4,0))</f>
        <v/>
      </c>
      <c r="AI46" s="364">
        <v>23</v>
      </c>
      <c r="AJ46" s="372" t="str">
        <f>IF($C46="","",AI46*VLOOKUP($C46,CHANTIER!$A$2:$D$83,4,0))</f>
        <v/>
      </c>
      <c r="AK46" s="364">
        <v>24</v>
      </c>
      <c r="AL46" s="372" t="str">
        <f>IF($C46="","",AK46*VLOOKUP($C46,CHANTIER!$A$2:$D$83,4,0))</f>
        <v/>
      </c>
      <c r="AM46" s="364">
        <v>25</v>
      </c>
      <c r="AN46" s="372" t="str">
        <f>IF($C46="","",AM46*VLOOKUP($C46,CHANTIER!$A$2:$D$83,4,0))</f>
        <v/>
      </c>
      <c r="AO46" s="225"/>
      <c r="AP46" s="226"/>
    </row>
    <row r="47" spans="1:42" ht="15" customHeight="1" x14ac:dyDescent="0.2">
      <c r="A47" s="1554"/>
      <c r="B47" s="361"/>
      <c r="C47" s="378"/>
      <c r="D47" s="363" t="str">
        <f>IF(C47="","",VLOOKUP($C47,CHANTIER!$A$2:$C$83,3,0))</f>
        <v/>
      </c>
      <c r="E47" s="364">
        <v>9</v>
      </c>
      <c r="F47" s="372" t="str">
        <f>IF($C47="","",E47*VLOOKUP($C47,CHANTIER!$A$2:$D$83,4,0))</f>
        <v/>
      </c>
      <c r="G47" s="364">
        <v>10</v>
      </c>
      <c r="H47" s="372" t="str">
        <f>IF($C47="","",G47*VLOOKUP($C47,CHANTIER!$A$2:$D$83,4,0))</f>
        <v/>
      </c>
      <c r="I47" s="364">
        <v>11</v>
      </c>
      <c r="J47" s="372" t="str">
        <f>IF($C47="","",I47*VLOOKUP($C47,CHANTIER!$A$2:$D$83,4,0))</f>
        <v/>
      </c>
      <c r="K47" s="364">
        <v>12</v>
      </c>
      <c r="L47" s="372" t="str">
        <f>IF($C47="","",K47*VLOOKUP($C47,CHANTIER!$A$2:$D$83,4,0))</f>
        <v/>
      </c>
      <c r="M47" s="364">
        <v>13</v>
      </c>
      <c r="N47" s="372" t="str">
        <f>IF($C47="","",M47*VLOOKUP($C47,CHANTIER!$A$2:$D$83,4,0))</f>
        <v/>
      </c>
      <c r="O47" s="364">
        <v>14</v>
      </c>
      <c r="P47" s="372" t="str">
        <f>IF($C47="","",O47*VLOOKUP($C47,CHANTIER!$A$2:$D$83,4,0))</f>
        <v/>
      </c>
      <c r="Q47" s="364">
        <v>15</v>
      </c>
      <c r="R47" s="372" t="str">
        <f>IF($C47="","",Q47*VLOOKUP($C47,CHANTIER!$A$2:$D$83,4,0))</f>
        <v/>
      </c>
      <c r="S47" s="364">
        <v>16</v>
      </c>
      <c r="T47" s="372" t="str">
        <f>IF($C47="","",S47*VLOOKUP($C47,CHANTIER!$A$2:$D$83,4,0))</f>
        <v/>
      </c>
      <c r="U47" s="364">
        <v>17</v>
      </c>
      <c r="V47" s="372" t="str">
        <f>IF($C47="","",U47*VLOOKUP($C47,CHANTIER!$A$2:$D$83,4,0))</f>
        <v/>
      </c>
      <c r="W47" s="364">
        <v>18</v>
      </c>
      <c r="X47" s="372" t="str">
        <f>IF($C47="","",W47*VLOOKUP($C47,CHANTIER!$A$2:$D$83,4,0))</f>
        <v/>
      </c>
      <c r="Y47" s="364">
        <v>19</v>
      </c>
      <c r="Z47" s="372" t="str">
        <f>IF($C47="","",Y47*VLOOKUP($C47,CHANTIER!$A$2:$D$83,4,0))</f>
        <v/>
      </c>
      <c r="AA47" s="364">
        <v>20</v>
      </c>
      <c r="AB47" s="372" t="str">
        <f>IF($C47="","",AA47*VLOOKUP($C47,CHANTIER!$A$2:$D$83,4,0))</f>
        <v/>
      </c>
      <c r="AC47" s="364">
        <v>21</v>
      </c>
      <c r="AD47" s="372" t="str">
        <f>IF($C47="","",AC47*VLOOKUP($C47,CHANTIER!$A$2:$D$83,4,0))</f>
        <v/>
      </c>
      <c r="AE47" s="364">
        <v>22</v>
      </c>
      <c r="AF47" s="372" t="str">
        <f>IF($C47="","",AE47*VLOOKUP($C47,CHANTIER!$A$2:$D$83,4,0))</f>
        <v/>
      </c>
      <c r="AG47" s="364">
        <v>23</v>
      </c>
      <c r="AH47" s="372" t="str">
        <f>IF($C47="","",AG47*VLOOKUP($C47,CHANTIER!$A$2:$D$83,4,0))</f>
        <v/>
      </c>
      <c r="AI47" s="364">
        <v>24</v>
      </c>
      <c r="AJ47" s="372" t="str">
        <f>IF($C47="","",AI47*VLOOKUP($C47,CHANTIER!$A$2:$D$83,4,0))</f>
        <v/>
      </c>
      <c r="AK47" s="364">
        <v>25</v>
      </c>
      <c r="AL47" s="372" t="str">
        <f>IF($C47="","",AK47*VLOOKUP($C47,CHANTIER!$A$2:$D$83,4,0))</f>
        <v/>
      </c>
      <c r="AM47" s="364">
        <v>26</v>
      </c>
      <c r="AN47" s="372" t="str">
        <f>IF($C47="","",AM47*VLOOKUP($C47,CHANTIER!$A$2:$D$83,4,0))</f>
        <v/>
      </c>
    </row>
    <row r="48" spans="1:42" ht="15" customHeight="1" x14ac:dyDescent="0.2">
      <c r="A48" s="1554"/>
      <c r="B48" s="361"/>
      <c r="C48" s="378"/>
      <c r="D48" s="363" t="str">
        <f>IF(C48="","",VLOOKUP($C48,CHANTIER!$A$2:$C$83,3,0))</f>
        <v/>
      </c>
      <c r="E48" s="364">
        <v>10</v>
      </c>
      <c r="F48" s="372" t="str">
        <f>IF($C48="","",E48*VLOOKUP($C48,CHANTIER!$A$2:$D$83,4,0))</f>
        <v/>
      </c>
      <c r="G48" s="364">
        <v>11</v>
      </c>
      <c r="H48" s="372" t="str">
        <f>IF($C48="","",G48*VLOOKUP($C48,CHANTIER!$A$2:$D$83,4,0))</f>
        <v/>
      </c>
      <c r="I48" s="364">
        <v>12</v>
      </c>
      <c r="J48" s="372" t="str">
        <f>IF($C48="","",I48*VLOOKUP($C48,CHANTIER!$A$2:$D$83,4,0))</f>
        <v/>
      </c>
      <c r="K48" s="364">
        <v>13</v>
      </c>
      <c r="L48" s="372" t="str">
        <f>IF($C48="","",K48*VLOOKUP($C48,CHANTIER!$A$2:$D$83,4,0))</f>
        <v/>
      </c>
      <c r="M48" s="364">
        <v>14</v>
      </c>
      <c r="N48" s="372" t="str">
        <f>IF($C48="","",M48*VLOOKUP($C48,CHANTIER!$A$2:$D$83,4,0))</f>
        <v/>
      </c>
      <c r="O48" s="364">
        <v>15</v>
      </c>
      <c r="P48" s="372" t="str">
        <f>IF($C48="","",O48*VLOOKUP($C48,CHANTIER!$A$2:$D$83,4,0))</f>
        <v/>
      </c>
      <c r="Q48" s="364">
        <v>16</v>
      </c>
      <c r="R48" s="372" t="str">
        <f>IF($C48="","",Q48*VLOOKUP($C48,CHANTIER!$A$2:$D$83,4,0))</f>
        <v/>
      </c>
      <c r="S48" s="364">
        <v>17</v>
      </c>
      <c r="T48" s="372" t="str">
        <f>IF($C48="","",S48*VLOOKUP($C48,CHANTIER!$A$2:$D$83,4,0))</f>
        <v/>
      </c>
      <c r="U48" s="364">
        <v>18</v>
      </c>
      <c r="V48" s="372" t="str">
        <f>IF($C48="","",U48*VLOOKUP($C48,CHANTIER!$A$2:$D$83,4,0))</f>
        <v/>
      </c>
      <c r="W48" s="364">
        <v>19</v>
      </c>
      <c r="X48" s="372" t="str">
        <f>IF($C48="","",W48*VLOOKUP($C48,CHANTIER!$A$2:$D$83,4,0))</f>
        <v/>
      </c>
      <c r="Y48" s="364">
        <v>20</v>
      </c>
      <c r="Z48" s="372" t="str">
        <f>IF($C48="","",Y48*VLOOKUP($C48,CHANTIER!$A$2:$D$83,4,0))</f>
        <v/>
      </c>
      <c r="AA48" s="364">
        <v>21</v>
      </c>
      <c r="AB48" s="372" t="str">
        <f>IF($C48="","",AA48*VLOOKUP($C48,CHANTIER!$A$2:$D$83,4,0))</f>
        <v/>
      </c>
      <c r="AC48" s="364">
        <v>22</v>
      </c>
      <c r="AD48" s="372" t="str">
        <f>IF($C48="","",AC48*VLOOKUP($C48,CHANTIER!$A$2:$D$83,4,0))</f>
        <v/>
      </c>
      <c r="AE48" s="364">
        <v>23</v>
      </c>
      <c r="AF48" s="372" t="str">
        <f>IF($C48="","",AE48*VLOOKUP($C48,CHANTIER!$A$2:$D$83,4,0))</f>
        <v/>
      </c>
      <c r="AG48" s="364">
        <v>24</v>
      </c>
      <c r="AH48" s="372" t="str">
        <f>IF($C48="","",AG48*VLOOKUP($C48,CHANTIER!$A$2:$D$83,4,0))</f>
        <v/>
      </c>
      <c r="AI48" s="364">
        <v>25</v>
      </c>
      <c r="AJ48" s="372" t="str">
        <f>IF($C48="","",AI48*VLOOKUP($C48,CHANTIER!$A$2:$D$83,4,0))</f>
        <v/>
      </c>
      <c r="AK48" s="364">
        <v>26</v>
      </c>
      <c r="AL48" s="372" t="str">
        <f>IF($C48="","",AK48*VLOOKUP($C48,CHANTIER!$A$2:$D$83,4,0))</f>
        <v/>
      </c>
      <c r="AM48" s="364">
        <v>27</v>
      </c>
      <c r="AN48" s="372" t="str">
        <f>IF($C48="","",AM48*VLOOKUP($C48,CHANTIER!$A$2:$D$83,4,0))</f>
        <v/>
      </c>
    </row>
    <row r="49" spans="1:42" ht="15" customHeight="1" x14ac:dyDescent="0.2">
      <c r="A49" s="1554"/>
      <c r="B49" s="361"/>
      <c r="C49" s="378"/>
      <c r="D49" s="363" t="str">
        <f>IF(C49="","",VLOOKUP($C49,CHANTIER!$A$2:$C$83,3,0))</f>
        <v/>
      </c>
      <c r="E49" s="364">
        <v>11</v>
      </c>
      <c r="F49" s="372" t="str">
        <f>IF($C49="","",E49*VLOOKUP($C49,CHANTIER!$A$2:$D$83,4,0))</f>
        <v/>
      </c>
      <c r="G49" s="364">
        <v>12</v>
      </c>
      <c r="H49" s="372" t="str">
        <f>IF($C49="","",G49*VLOOKUP($C49,CHANTIER!$A$2:$D$83,4,0))</f>
        <v/>
      </c>
      <c r="I49" s="364">
        <v>13</v>
      </c>
      <c r="J49" s="372" t="str">
        <f>IF($C49="","",I49*VLOOKUP($C49,CHANTIER!$A$2:$D$83,4,0))</f>
        <v/>
      </c>
      <c r="K49" s="364">
        <v>14</v>
      </c>
      <c r="L49" s="372" t="str">
        <f>IF($C49="","",K49*VLOOKUP($C49,CHANTIER!$A$2:$D$83,4,0))</f>
        <v/>
      </c>
      <c r="M49" s="364">
        <v>15</v>
      </c>
      <c r="N49" s="372" t="str">
        <f>IF($C49="","",M49*VLOOKUP($C49,CHANTIER!$A$2:$D$83,4,0))</f>
        <v/>
      </c>
      <c r="O49" s="364">
        <v>16</v>
      </c>
      <c r="P49" s="372" t="str">
        <f>IF($C49="","",O49*VLOOKUP($C49,CHANTIER!$A$2:$D$83,4,0))</f>
        <v/>
      </c>
      <c r="Q49" s="364">
        <v>17</v>
      </c>
      <c r="R49" s="372" t="str">
        <f>IF($C49="","",Q49*VLOOKUP($C49,CHANTIER!$A$2:$D$83,4,0))</f>
        <v/>
      </c>
      <c r="S49" s="364">
        <v>18</v>
      </c>
      <c r="T49" s="372" t="str">
        <f>IF($C49="","",S49*VLOOKUP($C49,CHANTIER!$A$2:$D$83,4,0))</f>
        <v/>
      </c>
      <c r="U49" s="364">
        <v>19</v>
      </c>
      <c r="V49" s="372" t="str">
        <f>IF($C49="","",U49*VLOOKUP($C49,CHANTIER!$A$2:$D$83,4,0))</f>
        <v/>
      </c>
      <c r="W49" s="364">
        <v>20</v>
      </c>
      <c r="X49" s="372" t="str">
        <f>IF($C49="","",W49*VLOOKUP($C49,CHANTIER!$A$2:$D$83,4,0))</f>
        <v/>
      </c>
      <c r="Y49" s="364">
        <v>21</v>
      </c>
      <c r="Z49" s="372" t="str">
        <f>IF($C49="","",Y49*VLOOKUP($C49,CHANTIER!$A$2:$D$83,4,0))</f>
        <v/>
      </c>
      <c r="AA49" s="364">
        <v>22</v>
      </c>
      <c r="AB49" s="372" t="str">
        <f>IF($C49="","",AA49*VLOOKUP($C49,CHANTIER!$A$2:$D$83,4,0))</f>
        <v/>
      </c>
      <c r="AC49" s="364">
        <v>23</v>
      </c>
      <c r="AD49" s="372" t="str">
        <f>IF($C49="","",AC49*VLOOKUP($C49,CHANTIER!$A$2:$D$83,4,0))</f>
        <v/>
      </c>
      <c r="AE49" s="364">
        <v>24</v>
      </c>
      <c r="AF49" s="372" t="str">
        <f>IF($C49="","",AE49*VLOOKUP($C49,CHANTIER!$A$2:$D$83,4,0))</f>
        <v/>
      </c>
      <c r="AG49" s="364">
        <v>25</v>
      </c>
      <c r="AH49" s="372" t="str">
        <f>IF($C49="","",AG49*VLOOKUP($C49,CHANTIER!$A$2:$D$83,4,0))</f>
        <v/>
      </c>
      <c r="AI49" s="364">
        <v>26</v>
      </c>
      <c r="AJ49" s="372" t="str">
        <f>IF($C49="","",AI49*VLOOKUP($C49,CHANTIER!$A$2:$D$83,4,0))</f>
        <v/>
      </c>
      <c r="AK49" s="364">
        <v>27</v>
      </c>
      <c r="AL49" s="372" t="str">
        <f>IF($C49="","",AK49*VLOOKUP($C49,CHANTIER!$A$2:$D$83,4,0))</f>
        <v/>
      </c>
      <c r="AM49" s="364">
        <v>28</v>
      </c>
      <c r="AN49" s="372" t="str">
        <f>IF($C49="","",AM49*VLOOKUP($C49,CHANTIER!$A$2:$D$83,4,0))</f>
        <v/>
      </c>
    </row>
    <row r="50" spans="1:42" ht="30.75" customHeight="1" x14ac:dyDescent="0.2">
      <c r="A50" s="1554"/>
      <c r="B50" s="379" t="s">
        <v>453</v>
      </c>
      <c r="C50" s="380" t="s">
        <v>450</v>
      </c>
      <c r="D50" s="381" t="s">
        <v>451</v>
      </c>
      <c r="E50" s="382">
        <f>F50*Simulation!$P$9</f>
        <v>11.25</v>
      </c>
      <c r="F50" s="383">
        <f>SUM(F39:F49)</f>
        <v>0.25</v>
      </c>
      <c r="G50" s="382">
        <f>H50*Simulation!$P$9</f>
        <v>22.5</v>
      </c>
      <c r="H50" s="383">
        <f>SUM(H39:H49)</f>
        <v>0.5</v>
      </c>
      <c r="I50" s="382">
        <f>J50*Simulation!$P$9</f>
        <v>33.75</v>
      </c>
      <c r="J50" s="383">
        <f>SUM(J39:J49)</f>
        <v>0.75</v>
      </c>
      <c r="K50" s="382">
        <f>L50*Simulation!$P$9</f>
        <v>45</v>
      </c>
      <c r="L50" s="383">
        <f>SUM(L39:L49)</f>
        <v>1</v>
      </c>
      <c r="M50" s="382">
        <f>N50*Simulation!$P$9</f>
        <v>56.25</v>
      </c>
      <c r="N50" s="383">
        <f>SUM(N39:N49)</f>
        <v>1.25</v>
      </c>
      <c r="O50" s="382">
        <f>P50*Simulation!$P$9</f>
        <v>67.5</v>
      </c>
      <c r="P50" s="383">
        <f>SUM(P39:P49)</f>
        <v>1.5</v>
      </c>
      <c r="Q50" s="382">
        <f>R50*Simulation!$P$9</f>
        <v>78.75</v>
      </c>
      <c r="R50" s="383">
        <f>SUM(R39:R49)</f>
        <v>1.75</v>
      </c>
      <c r="S50" s="382">
        <f>T50*Simulation!$P$9</f>
        <v>90</v>
      </c>
      <c r="T50" s="383">
        <f>SUM(T39:T49)</f>
        <v>2</v>
      </c>
      <c r="U50" s="382">
        <f>V50*Simulation!$P$9</f>
        <v>101.25</v>
      </c>
      <c r="V50" s="383">
        <f>SUM(V39:V49)</f>
        <v>2.25</v>
      </c>
      <c r="W50" s="382">
        <f>X50*Simulation!$P$9</f>
        <v>112.5</v>
      </c>
      <c r="X50" s="383">
        <f>SUM(X39:X49)</f>
        <v>2.5</v>
      </c>
      <c r="Y50" s="382">
        <f>Z50*Simulation!$P$9</f>
        <v>123.75</v>
      </c>
      <c r="Z50" s="383">
        <f>SUM(Z39:Z49)</f>
        <v>2.75</v>
      </c>
      <c r="AA50" s="382">
        <f>AB50*Simulation!$P$9</f>
        <v>135</v>
      </c>
      <c r="AB50" s="383">
        <f>SUM(AB39:AB49)</f>
        <v>3</v>
      </c>
      <c r="AC50" s="382">
        <f>AD50*Simulation!$P$9</f>
        <v>146.25</v>
      </c>
      <c r="AD50" s="383">
        <f>SUM(AD39:AD49)</f>
        <v>3.25</v>
      </c>
      <c r="AE50" s="382">
        <f>AF50*Simulation!$P$9</f>
        <v>157.5</v>
      </c>
      <c r="AF50" s="383">
        <f>SUM(AF39:AF49)</f>
        <v>3.5</v>
      </c>
      <c r="AG50" s="382">
        <f>AH50*Simulation!$P$9</f>
        <v>168.75</v>
      </c>
      <c r="AH50" s="383">
        <f>SUM(AH39:AH49)</f>
        <v>3.75</v>
      </c>
      <c r="AI50" s="382">
        <f>AJ50*Simulation!$P$9</f>
        <v>180</v>
      </c>
      <c r="AJ50" s="383">
        <f>SUM(AJ39:AJ49)</f>
        <v>4</v>
      </c>
      <c r="AK50" s="382">
        <f>AL50*Simulation!$P$9</f>
        <v>191.25</v>
      </c>
      <c r="AL50" s="383">
        <f>SUM(AL39:AL49)</f>
        <v>4.25</v>
      </c>
      <c r="AM50" s="382">
        <f>AN50*Simulation!$P$9</f>
        <v>202.5</v>
      </c>
      <c r="AN50" s="383">
        <f>SUM(AN39:AN49)</f>
        <v>4.5</v>
      </c>
    </row>
    <row r="51" spans="1:42" ht="15" customHeight="1" x14ac:dyDescent="0.2">
      <c r="A51" s="1559" t="s">
        <v>4</v>
      </c>
      <c r="B51" s="361" t="s">
        <v>371</v>
      </c>
      <c r="C51" s="378" t="s">
        <v>400</v>
      </c>
      <c r="D51" s="363" t="str">
        <f>IF(C51="","",VLOOKUP($C51,MINIPELLE!$A$2:$C$28,3,0))</f>
        <v>cm</v>
      </c>
      <c r="E51" s="364">
        <v>2</v>
      </c>
      <c r="F51" s="372">
        <f>IF($C51="","",E51*VLOOKUP($C51,MINIPELLE!$A$2:$D$28,4,0))</f>
        <v>0.05</v>
      </c>
      <c r="G51" s="364">
        <v>2</v>
      </c>
      <c r="H51" s="372">
        <f>IF($C51="","",G51*VLOOKUP($C51,MINIPELLE!$A$2:$D$28,4,0))</f>
        <v>0.05</v>
      </c>
      <c r="I51" s="364">
        <v>2</v>
      </c>
      <c r="J51" s="372">
        <f>IF($C51="","",I51*VLOOKUP($C51,MINIPELLE!$A$2:$D$28,4,0))</f>
        <v>0.05</v>
      </c>
      <c r="K51" s="364">
        <v>2</v>
      </c>
      <c r="L51" s="372">
        <f>IF($C51="","",K51*VLOOKUP($C51,MINIPELLE!$A$2:$D$28,4,0))</f>
        <v>0.05</v>
      </c>
      <c r="M51" s="364">
        <v>2</v>
      </c>
      <c r="N51" s="372">
        <f>IF($C51="","",M51*VLOOKUP($C51,MINIPELLE!$A$2:$D$28,4,0))</f>
        <v>0.05</v>
      </c>
      <c r="O51" s="364">
        <v>2</v>
      </c>
      <c r="P51" s="372">
        <f>IF($C51="","",O51*VLOOKUP($C51,MINIPELLE!$A$2:$D$28,4,0))</f>
        <v>0.05</v>
      </c>
      <c r="Q51" s="364">
        <v>2</v>
      </c>
      <c r="R51" s="372">
        <f>IF($C51="","",Q51*VLOOKUP($C51,MINIPELLE!$A$2:$D$28,4,0))</f>
        <v>0.05</v>
      </c>
      <c r="S51" s="364">
        <v>2</v>
      </c>
      <c r="T51" s="372">
        <f>IF($C51="","",S51*VLOOKUP($C51,MINIPELLE!$A$2:$D$28,4,0))</f>
        <v>0.05</v>
      </c>
      <c r="U51" s="364">
        <v>2</v>
      </c>
      <c r="V51" s="372">
        <f>IF($C51="","",U51*VLOOKUP($C51,MINIPELLE!$A$2:$D$28,4,0))</f>
        <v>0.05</v>
      </c>
      <c r="W51" s="364">
        <v>2</v>
      </c>
      <c r="X51" s="372">
        <f>IF($C51="","",W51*VLOOKUP($C51,MINIPELLE!$A$2:$D$28,4,0))</f>
        <v>0.05</v>
      </c>
      <c r="Y51" s="364">
        <v>2</v>
      </c>
      <c r="Z51" s="372">
        <f>IF($C51="","",Y51*VLOOKUP($C51,MINIPELLE!$A$2:$D$28,4,0))</f>
        <v>0.05</v>
      </c>
      <c r="AA51" s="364">
        <v>2</v>
      </c>
      <c r="AB51" s="372">
        <f>IF($C51="","",AA51*VLOOKUP($C51,MINIPELLE!$A$2:$D$28,4,0))</f>
        <v>0.05</v>
      </c>
      <c r="AC51" s="364">
        <v>2</v>
      </c>
      <c r="AD51" s="372">
        <f>IF($C51="","",AC51*VLOOKUP($C51,MINIPELLE!$A$2:$D$28,4,0))</f>
        <v>0.05</v>
      </c>
      <c r="AE51" s="364">
        <v>2</v>
      </c>
      <c r="AF51" s="372">
        <f>IF($C51="","",AE51*VLOOKUP($C51,MINIPELLE!$A$2:$D$28,4,0))</f>
        <v>0.05</v>
      </c>
      <c r="AG51" s="364">
        <v>2</v>
      </c>
      <c r="AH51" s="372">
        <f>IF($C51="","",AG51*VLOOKUP($C51,MINIPELLE!$A$2:$D$28,4,0))</f>
        <v>0.05</v>
      </c>
      <c r="AI51" s="364">
        <v>2</v>
      </c>
      <c r="AJ51" s="372">
        <f>IF($C51="","",AI51*VLOOKUP($C51,MINIPELLE!$A$2:$D$28,4,0))</f>
        <v>0.05</v>
      </c>
      <c r="AK51" s="364">
        <v>2</v>
      </c>
      <c r="AL51" s="372">
        <f>IF($C51="","",AK51*VLOOKUP($C51,MINIPELLE!$A$2:$D$28,4,0))</f>
        <v>0.05</v>
      </c>
      <c r="AM51" s="364">
        <v>2</v>
      </c>
      <c r="AN51" s="372">
        <f>IF($C51="","",AM51*VLOOKUP($C51,MINIPELLE!$A$2:$D$28,4,0))</f>
        <v>0.05</v>
      </c>
    </row>
    <row r="52" spans="1:42" ht="15" customHeight="1" x14ac:dyDescent="0.2">
      <c r="A52" s="1560"/>
      <c r="B52" s="361"/>
      <c r="C52" s="378"/>
      <c r="D52" s="363" t="str">
        <f>IF(C52="","",VLOOKUP($C52,MINIPELLE!$A$2:$C$28,3,0))</f>
        <v/>
      </c>
      <c r="E52" s="364">
        <v>3</v>
      </c>
      <c r="F52" s="389" t="str">
        <f>IF($C52="","",E52*VLOOKUP($C52,MINIPELLE!$A$2:$D$28,4,0))</f>
        <v/>
      </c>
      <c r="G52" s="364">
        <v>3</v>
      </c>
      <c r="H52" s="389" t="str">
        <f>IF($C52="","",G52*VLOOKUP($C52,MINIPELLE!$A$2:$D$28,4,0))</f>
        <v/>
      </c>
      <c r="I52" s="364">
        <v>3</v>
      </c>
      <c r="J52" s="389" t="str">
        <f>IF($C52="","",I52*VLOOKUP($C52,MINIPELLE!$A$2:$D$28,4,0))</f>
        <v/>
      </c>
      <c r="K52" s="364">
        <v>3</v>
      </c>
      <c r="L52" s="389" t="str">
        <f>IF($C52="","",K52*VLOOKUP($C52,MINIPELLE!$A$2:$D$28,4,0))</f>
        <v/>
      </c>
      <c r="M52" s="364">
        <v>3</v>
      </c>
      <c r="N52" s="389" t="str">
        <f>IF($C52="","",M52*VLOOKUP($C52,MINIPELLE!$A$2:$D$28,4,0))</f>
        <v/>
      </c>
      <c r="O52" s="364">
        <v>3</v>
      </c>
      <c r="P52" s="389" t="str">
        <f>IF($C52="","",O52*VLOOKUP($C52,MINIPELLE!$A$2:$D$28,4,0))</f>
        <v/>
      </c>
      <c r="Q52" s="364">
        <v>3</v>
      </c>
      <c r="R52" s="389" t="str">
        <f>IF($C52="","",Q52*VLOOKUP($C52,MINIPELLE!$A$2:$D$28,4,0))</f>
        <v/>
      </c>
      <c r="S52" s="364">
        <v>3</v>
      </c>
      <c r="T52" s="389" t="str">
        <f>IF($C52="","",S52*VLOOKUP($C52,MINIPELLE!$A$2:$D$28,4,0))</f>
        <v/>
      </c>
      <c r="U52" s="364">
        <v>3</v>
      </c>
      <c r="V52" s="389" t="str">
        <f>IF($C52="","",U52*VLOOKUP($C52,MINIPELLE!$A$2:$D$28,4,0))</f>
        <v/>
      </c>
      <c r="W52" s="364">
        <v>3</v>
      </c>
      <c r="X52" s="389" t="str">
        <f>IF($C52="","",W52*VLOOKUP($C52,MINIPELLE!$A$2:$D$28,4,0))</f>
        <v/>
      </c>
      <c r="Y52" s="364">
        <v>3</v>
      </c>
      <c r="Z52" s="389" t="str">
        <f>IF($C52="","",Y52*VLOOKUP($C52,MINIPELLE!$A$2:$D$28,4,0))</f>
        <v/>
      </c>
      <c r="AA52" s="364">
        <v>3</v>
      </c>
      <c r="AB52" s="389" t="str">
        <f>IF($C52="","",AA52*VLOOKUP($C52,MINIPELLE!$A$2:$D$28,4,0))</f>
        <v/>
      </c>
      <c r="AC52" s="364">
        <v>3</v>
      </c>
      <c r="AD52" s="389" t="str">
        <f>IF($C52="","",AC52*VLOOKUP($C52,MINIPELLE!$A$2:$D$28,4,0))</f>
        <v/>
      </c>
      <c r="AE52" s="364">
        <v>3</v>
      </c>
      <c r="AF52" s="389" t="str">
        <f>IF($C52="","",AE52*VLOOKUP($C52,MINIPELLE!$A$2:$D$28,4,0))</f>
        <v/>
      </c>
      <c r="AG52" s="364">
        <v>3</v>
      </c>
      <c r="AH52" s="389" t="str">
        <f>IF($C52="","",AG52*VLOOKUP($C52,MINIPELLE!$A$2:$D$28,4,0))</f>
        <v/>
      </c>
      <c r="AI52" s="364">
        <v>3</v>
      </c>
      <c r="AJ52" s="389" t="str">
        <f>IF($C52="","",AI52*VLOOKUP($C52,MINIPELLE!$A$2:$D$28,4,0))</f>
        <v/>
      </c>
      <c r="AK52" s="364">
        <v>3</v>
      </c>
      <c r="AL52" s="389" t="str">
        <f>IF($C52="","",AK52*VLOOKUP($C52,MINIPELLE!$A$2:$D$28,4,0))</f>
        <v/>
      </c>
      <c r="AM52" s="364">
        <v>3</v>
      </c>
      <c r="AN52" s="389" t="str">
        <f>IF($C52="","",AM52*VLOOKUP($C52,MINIPELLE!$A$2:$D$28,4,0))</f>
        <v/>
      </c>
    </row>
    <row r="53" spans="1:42" ht="15" customHeight="1" x14ac:dyDescent="0.2">
      <c r="A53" s="1560"/>
      <c r="B53" s="361"/>
      <c r="C53" s="378"/>
      <c r="D53" s="363" t="str">
        <f>IF(C53="","",VLOOKUP($C53,MINIPELLE!$A$2:$C$28,3,0))</f>
        <v/>
      </c>
      <c r="E53" s="364">
        <v>4</v>
      </c>
      <c r="F53" s="389" t="str">
        <f>IF($C53="","",E53*VLOOKUP($C53,MINIPELLE!$A$2:$D$28,4,0))</f>
        <v/>
      </c>
      <c r="G53" s="364">
        <v>4</v>
      </c>
      <c r="H53" s="389" t="str">
        <f>IF($C53="","",G53*VLOOKUP($C53,MINIPELLE!$A$2:$D$28,4,0))</f>
        <v/>
      </c>
      <c r="I53" s="364">
        <v>4</v>
      </c>
      <c r="J53" s="389" t="str">
        <f>IF($C53="","",I53*VLOOKUP($C53,MINIPELLE!$A$2:$D$28,4,0))</f>
        <v/>
      </c>
      <c r="K53" s="364">
        <v>4</v>
      </c>
      <c r="L53" s="389" t="str">
        <f>IF($C53="","",K53*VLOOKUP($C53,MINIPELLE!$A$2:$D$28,4,0))</f>
        <v/>
      </c>
      <c r="M53" s="364">
        <v>4</v>
      </c>
      <c r="N53" s="389" t="str">
        <f>IF($C53="","",M53*VLOOKUP($C53,MINIPELLE!$A$2:$D$28,4,0))</f>
        <v/>
      </c>
      <c r="O53" s="364">
        <v>4</v>
      </c>
      <c r="P53" s="389" t="str">
        <f>IF($C53="","",O53*VLOOKUP($C53,MINIPELLE!$A$2:$D$28,4,0))</f>
        <v/>
      </c>
      <c r="Q53" s="364">
        <v>4</v>
      </c>
      <c r="R53" s="389" t="str">
        <f>IF($C53="","",Q53*VLOOKUP($C53,MINIPELLE!$A$2:$D$28,4,0))</f>
        <v/>
      </c>
      <c r="S53" s="364">
        <v>4</v>
      </c>
      <c r="T53" s="389" t="str">
        <f>IF($C53="","",S53*VLOOKUP($C53,MINIPELLE!$A$2:$D$28,4,0))</f>
        <v/>
      </c>
      <c r="U53" s="364">
        <v>4</v>
      </c>
      <c r="V53" s="389" t="str">
        <f>IF($C53="","",U53*VLOOKUP($C53,MINIPELLE!$A$2:$D$28,4,0))</f>
        <v/>
      </c>
      <c r="W53" s="364">
        <v>4</v>
      </c>
      <c r="X53" s="389" t="str">
        <f>IF($C53="","",W53*VLOOKUP($C53,MINIPELLE!$A$2:$D$28,4,0))</f>
        <v/>
      </c>
      <c r="Y53" s="364">
        <v>4</v>
      </c>
      <c r="Z53" s="389" t="str">
        <f>IF($C53="","",Y53*VLOOKUP($C53,MINIPELLE!$A$2:$D$28,4,0))</f>
        <v/>
      </c>
      <c r="AA53" s="364">
        <v>4</v>
      </c>
      <c r="AB53" s="389" t="str">
        <f>IF($C53="","",AA53*VLOOKUP($C53,MINIPELLE!$A$2:$D$28,4,0))</f>
        <v/>
      </c>
      <c r="AC53" s="364">
        <v>4</v>
      </c>
      <c r="AD53" s="389" t="str">
        <f>IF($C53="","",AC53*VLOOKUP($C53,MINIPELLE!$A$2:$D$28,4,0))</f>
        <v/>
      </c>
      <c r="AE53" s="364">
        <v>4</v>
      </c>
      <c r="AF53" s="389" t="str">
        <f>IF($C53="","",AE53*VLOOKUP($C53,MINIPELLE!$A$2:$D$28,4,0))</f>
        <v/>
      </c>
      <c r="AG53" s="364">
        <v>4</v>
      </c>
      <c r="AH53" s="389" t="str">
        <f>IF($C53="","",AG53*VLOOKUP($C53,MINIPELLE!$A$2:$D$28,4,0))</f>
        <v/>
      </c>
      <c r="AI53" s="364">
        <v>4</v>
      </c>
      <c r="AJ53" s="389" t="str">
        <f>IF($C53="","",AI53*VLOOKUP($C53,MINIPELLE!$A$2:$D$28,4,0))</f>
        <v/>
      </c>
      <c r="AK53" s="364">
        <v>4</v>
      </c>
      <c r="AL53" s="389" t="str">
        <f>IF($C53="","",AK53*VLOOKUP($C53,MINIPELLE!$A$2:$D$28,4,0))</f>
        <v/>
      </c>
      <c r="AM53" s="364">
        <v>4</v>
      </c>
      <c r="AN53" s="389" t="str">
        <f>IF($C53="","",AM53*VLOOKUP($C53,MINIPELLE!$A$2:$D$28,4,0))</f>
        <v/>
      </c>
    </row>
    <row r="54" spans="1:42" ht="15" customHeight="1" x14ac:dyDescent="0.2">
      <c r="A54" s="1560"/>
      <c r="B54" s="361"/>
      <c r="C54" s="378"/>
      <c r="D54" s="363" t="str">
        <f>IF(C54="","",VLOOKUP($C54,MINIPELLE!$A$2:$C$28,3,0))</f>
        <v/>
      </c>
      <c r="E54" s="364">
        <v>5</v>
      </c>
      <c r="F54" s="389" t="str">
        <f>IF($C54="","",E54*VLOOKUP($C54,MINIPELLE!$A$2:$D$28,4,0))</f>
        <v/>
      </c>
      <c r="G54" s="364">
        <v>5</v>
      </c>
      <c r="H54" s="389" t="str">
        <f>IF($C54="","",G54*VLOOKUP($C54,MINIPELLE!$A$2:$D$28,4,0))</f>
        <v/>
      </c>
      <c r="I54" s="364">
        <v>5</v>
      </c>
      <c r="J54" s="389" t="str">
        <f>IF($C54="","",I54*VLOOKUP($C54,MINIPELLE!$A$2:$D$28,4,0))</f>
        <v/>
      </c>
      <c r="K54" s="364">
        <v>5</v>
      </c>
      <c r="L54" s="389" t="str">
        <f>IF($C54="","",K54*VLOOKUP($C54,MINIPELLE!$A$2:$D$28,4,0))</f>
        <v/>
      </c>
      <c r="M54" s="364">
        <v>5</v>
      </c>
      <c r="N54" s="389" t="str">
        <f>IF($C54="","",M54*VLOOKUP($C54,MINIPELLE!$A$2:$D$28,4,0))</f>
        <v/>
      </c>
      <c r="O54" s="364">
        <v>5</v>
      </c>
      <c r="P54" s="389" t="str">
        <f>IF($C54="","",O54*VLOOKUP($C54,MINIPELLE!$A$2:$D$28,4,0))</f>
        <v/>
      </c>
      <c r="Q54" s="364">
        <v>5</v>
      </c>
      <c r="R54" s="389" t="str">
        <f>IF($C54="","",Q54*VLOOKUP($C54,MINIPELLE!$A$2:$D$28,4,0))</f>
        <v/>
      </c>
      <c r="S54" s="364">
        <v>5</v>
      </c>
      <c r="T54" s="389" t="str">
        <f>IF($C54="","",S54*VLOOKUP($C54,MINIPELLE!$A$2:$D$28,4,0))</f>
        <v/>
      </c>
      <c r="U54" s="364">
        <v>5</v>
      </c>
      <c r="V54" s="389" t="str">
        <f>IF($C54="","",U54*VLOOKUP($C54,MINIPELLE!$A$2:$D$28,4,0))</f>
        <v/>
      </c>
      <c r="W54" s="364">
        <v>5</v>
      </c>
      <c r="X54" s="389" t="str">
        <f>IF($C54="","",W54*VLOOKUP($C54,MINIPELLE!$A$2:$D$28,4,0))</f>
        <v/>
      </c>
      <c r="Y54" s="364">
        <v>5</v>
      </c>
      <c r="Z54" s="389" t="str">
        <f>IF($C54="","",Y54*VLOOKUP($C54,MINIPELLE!$A$2:$D$28,4,0))</f>
        <v/>
      </c>
      <c r="AA54" s="364">
        <v>5</v>
      </c>
      <c r="AB54" s="389" t="str">
        <f>IF($C54="","",AA54*VLOOKUP($C54,MINIPELLE!$A$2:$D$28,4,0))</f>
        <v/>
      </c>
      <c r="AC54" s="364">
        <v>5</v>
      </c>
      <c r="AD54" s="389" t="str">
        <f>IF($C54="","",AC54*VLOOKUP($C54,MINIPELLE!$A$2:$D$28,4,0))</f>
        <v/>
      </c>
      <c r="AE54" s="364">
        <v>5</v>
      </c>
      <c r="AF54" s="389" t="str">
        <f>IF($C54="","",AE54*VLOOKUP($C54,MINIPELLE!$A$2:$D$28,4,0))</f>
        <v/>
      </c>
      <c r="AG54" s="364">
        <v>5</v>
      </c>
      <c r="AH54" s="389" t="str">
        <f>IF($C54="","",AG54*VLOOKUP($C54,MINIPELLE!$A$2:$D$28,4,0))</f>
        <v/>
      </c>
      <c r="AI54" s="364">
        <v>5</v>
      </c>
      <c r="AJ54" s="389" t="str">
        <f>IF($C54="","",AI54*VLOOKUP($C54,MINIPELLE!$A$2:$D$28,4,0))</f>
        <v/>
      </c>
      <c r="AK54" s="364">
        <v>5</v>
      </c>
      <c r="AL54" s="389" t="str">
        <f>IF($C54="","",AK54*VLOOKUP($C54,MINIPELLE!$A$2:$D$28,4,0))</f>
        <v/>
      </c>
      <c r="AM54" s="364">
        <v>5</v>
      </c>
      <c r="AN54" s="389" t="str">
        <f>IF($C54="","",AM54*VLOOKUP($C54,MINIPELLE!$A$2:$D$28,4,0))</f>
        <v/>
      </c>
    </row>
    <row r="55" spans="1:42" ht="15" customHeight="1" x14ac:dyDescent="0.2">
      <c r="A55" s="1560"/>
      <c r="B55" s="361"/>
      <c r="C55" s="378"/>
      <c r="D55" s="363" t="str">
        <f>IF(C55="","",VLOOKUP($C55,MINIPELLE!$A$2:$C$28,3,0))</f>
        <v/>
      </c>
      <c r="E55" s="364">
        <v>6</v>
      </c>
      <c r="F55" s="389" t="str">
        <f>IF($C55="","",E55*VLOOKUP($C55,MINIPELLE!$A$2:$D$28,4,0))</f>
        <v/>
      </c>
      <c r="G55" s="364">
        <v>6</v>
      </c>
      <c r="H55" s="389" t="str">
        <f>IF($C55="","",G55*VLOOKUP($C55,MINIPELLE!$A$2:$D$28,4,0))</f>
        <v/>
      </c>
      <c r="I55" s="364">
        <v>6</v>
      </c>
      <c r="J55" s="389" t="str">
        <f>IF($C55="","",I55*VLOOKUP($C55,MINIPELLE!$A$2:$D$28,4,0))</f>
        <v/>
      </c>
      <c r="K55" s="364">
        <v>6</v>
      </c>
      <c r="L55" s="389" t="str">
        <f>IF($C55="","",K55*VLOOKUP($C55,MINIPELLE!$A$2:$D$28,4,0))</f>
        <v/>
      </c>
      <c r="M55" s="364">
        <v>6</v>
      </c>
      <c r="N55" s="389" t="str">
        <f>IF($C55="","",M55*VLOOKUP($C55,MINIPELLE!$A$2:$D$28,4,0))</f>
        <v/>
      </c>
      <c r="O55" s="364">
        <v>6</v>
      </c>
      <c r="P55" s="389" t="str">
        <f>IF($C55="","",O55*VLOOKUP($C55,MINIPELLE!$A$2:$D$28,4,0))</f>
        <v/>
      </c>
      <c r="Q55" s="364">
        <v>6</v>
      </c>
      <c r="R55" s="389" t="str">
        <f>IF($C55="","",Q55*VLOOKUP($C55,MINIPELLE!$A$2:$D$28,4,0))</f>
        <v/>
      </c>
      <c r="S55" s="364">
        <v>6</v>
      </c>
      <c r="T55" s="389" t="str">
        <f>IF($C55="","",S55*VLOOKUP($C55,MINIPELLE!$A$2:$D$28,4,0))</f>
        <v/>
      </c>
      <c r="U55" s="364">
        <v>6</v>
      </c>
      <c r="V55" s="389" t="str">
        <f>IF($C55="","",U55*VLOOKUP($C55,MINIPELLE!$A$2:$D$28,4,0))</f>
        <v/>
      </c>
      <c r="W55" s="364">
        <v>6</v>
      </c>
      <c r="X55" s="389" t="str">
        <f>IF($C55="","",W55*VLOOKUP($C55,MINIPELLE!$A$2:$D$28,4,0))</f>
        <v/>
      </c>
      <c r="Y55" s="364">
        <v>6</v>
      </c>
      <c r="Z55" s="389" t="str">
        <f>IF($C55="","",Y55*VLOOKUP($C55,MINIPELLE!$A$2:$D$28,4,0))</f>
        <v/>
      </c>
      <c r="AA55" s="364">
        <v>6</v>
      </c>
      <c r="AB55" s="389" t="str">
        <f>IF($C55="","",AA55*VLOOKUP($C55,MINIPELLE!$A$2:$D$28,4,0))</f>
        <v/>
      </c>
      <c r="AC55" s="364">
        <v>6</v>
      </c>
      <c r="AD55" s="389" t="str">
        <f>IF($C55="","",AC55*VLOOKUP($C55,MINIPELLE!$A$2:$D$28,4,0))</f>
        <v/>
      </c>
      <c r="AE55" s="364">
        <v>6</v>
      </c>
      <c r="AF55" s="389" t="str">
        <f>IF($C55="","",AE55*VLOOKUP($C55,MINIPELLE!$A$2:$D$28,4,0))</f>
        <v/>
      </c>
      <c r="AG55" s="364">
        <v>6</v>
      </c>
      <c r="AH55" s="389" t="str">
        <f>IF($C55="","",AG55*VLOOKUP($C55,MINIPELLE!$A$2:$D$28,4,0))</f>
        <v/>
      </c>
      <c r="AI55" s="364">
        <v>6</v>
      </c>
      <c r="AJ55" s="389" t="str">
        <f>IF($C55="","",AI55*VLOOKUP($C55,MINIPELLE!$A$2:$D$28,4,0))</f>
        <v/>
      </c>
      <c r="AK55" s="364">
        <v>6</v>
      </c>
      <c r="AL55" s="389" t="str">
        <f>IF($C55="","",AK55*VLOOKUP($C55,MINIPELLE!$A$2:$D$28,4,0))</f>
        <v/>
      </c>
      <c r="AM55" s="364">
        <v>6</v>
      </c>
      <c r="AN55" s="389" t="str">
        <f>IF($C55="","",AM55*VLOOKUP($C55,MINIPELLE!$A$2:$D$28,4,0))</f>
        <v/>
      </c>
    </row>
    <row r="56" spans="1:42" ht="15" customHeight="1" x14ac:dyDescent="0.2">
      <c r="A56" s="1560"/>
      <c r="B56" s="361"/>
      <c r="C56" s="378"/>
      <c r="D56" s="363" t="str">
        <f>IF(C56="","",VLOOKUP($C56,MINIPELLE!$A$2:$C$28,3,0))</f>
        <v/>
      </c>
      <c r="E56" s="364">
        <v>7</v>
      </c>
      <c r="F56" s="389" t="str">
        <f>IF($C56="","",E56*VLOOKUP($C56,MINIPELLE!$A$2:$D$28,4,0))</f>
        <v/>
      </c>
      <c r="G56" s="364">
        <v>7</v>
      </c>
      <c r="H56" s="389" t="str">
        <f>IF($C56="","",G56*VLOOKUP($C56,MINIPELLE!$A$2:$D$28,4,0))</f>
        <v/>
      </c>
      <c r="I56" s="364">
        <v>7</v>
      </c>
      <c r="J56" s="389" t="str">
        <f>IF($C56="","",I56*VLOOKUP($C56,MINIPELLE!$A$2:$D$28,4,0))</f>
        <v/>
      </c>
      <c r="K56" s="364">
        <v>7</v>
      </c>
      <c r="L56" s="389" t="str">
        <f>IF($C56="","",K56*VLOOKUP($C56,MINIPELLE!$A$2:$D$28,4,0))</f>
        <v/>
      </c>
      <c r="M56" s="364">
        <v>7</v>
      </c>
      <c r="N56" s="389" t="str">
        <f>IF($C56="","",M56*VLOOKUP($C56,MINIPELLE!$A$2:$D$28,4,0))</f>
        <v/>
      </c>
      <c r="O56" s="364">
        <v>7</v>
      </c>
      <c r="P56" s="389" t="str">
        <f>IF($C56="","",O56*VLOOKUP($C56,MINIPELLE!$A$2:$D$28,4,0))</f>
        <v/>
      </c>
      <c r="Q56" s="364">
        <v>7</v>
      </c>
      <c r="R56" s="389" t="str">
        <f>IF($C56="","",Q56*VLOOKUP($C56,MINIPELLE!$A$2:$D$28,4,0))</f>
        <v/>
      </c>
      <c r="S56" s="364">
        <v>7</v>
      </c>
      <c r="T56" s="389" t="str">
        <f>IF($C56="","",S56*VLOOKUP($C56,MINIPELLE!$A$2:$D$28,4,0))</f>
        <v/>
      </c>
      <c r="U56" s="364">
        <v>7</v>
      </c>
      <c r="V56" s="389" t="str">
        <f>IF($C56="","",U56*VLOOKUP($C56,MINIPELLE!$A$2:$D$28,4,0))</f>
        <v/>
      </c>
      <c r="W56" s="364">
        <v>7</v>
      </c>
      <c r="X56" s="389" t="str">
        <f>IF($C56="","",W56*VLOOKUP($C56,MINIPELLE!$A$2:$D$28,4,0))</f>
        <v/>
      </c>
      <c r="Y56" s="364">
        <v>7</v>
      </c>
      <c r="Z56" s="389" t="str">
        <f>IF($C56="","",Y56*VLOOKUP($C56,MINIPELLE!$A$2:$D$28,4,0))</f>
        <v/>
      </c>
      <c r="AA56" s="364">
        <v>7</v>
      </c>
      <c r="AB56" s="389" t="str">
        <f>IF($C56="","",AA56*VLOOKUP($C56,MINIPELLE!$A$2:$D$28,4,0))</f>
        <v/>
      </c>
      <c r="AC56" s="364">
        <v>7</v>
      </c>
      <c r="AD56" s="389" t="str">
        <f>IF($C56="","",AC56*VLOOKUP($C56,MINIPELLE!$A$2:$D$28,4,0))</f>
        <v/>
      </c>
      <c r="AE56" s="364">
        <v>7</v>
      </c>
      <c r="AF56" s="389" t="str">
        <f>IF($C56="","",AE56*VLOOKUP($C56,MINIPELLE!$A$2:$D$28,4,0))</f>
        <v/>
      </c>
      <c r="AG56" s="364">
        <v>7</v>
      </c>
      <c r="AH56" s="389" t="str">
        <f>IF($C56="","",AG56*VLOOKUP($C56,MINIPELLE!$A$2:$D$28,4,0))</f>
        <v/>
      </c>
      <c r="AI56" s="364">
        <v>7</v>
      </c>
      <c r="AJ56" s="389" t="str">
        <f>IF($C56="","",AI56*VLOOKUP($C56,MINIPELLE!$A$2:$D$28,4,0))</f>
        <v/>
      </c>
      <c r="AK56" s="364">
        <v>7</v>
      </c>
      <c r="AL56" s="389" t="str">
        <f>IF($C56="","",AK56*VLOOKUP($C56,MINIPELLE!$A$2:$D$28,4,0))</f>
        <v/>
      </c>
      <c r="AM56" s="364">
        <v>7</v>
      </c>
      <c r="AN56" s="389" t="str">
        <f>IF($C56="","",AM56*VLOOKUP($C56,MINIPELLE!$A$2:$D$28,4,0))</f>
        <v/>
      </c>
    </row>
    <row r="57" spans="1:42" ht="15" customHeight="1" x14ac:dyDescent="0.2">
      <c r="A57" s="1560"/>
      <c r="B57" s="361"/>
      <c r="C57" s="378"/>
      <c r="D57" s="363" t="str">
        <f>IF(C57="","",VLOOKUP($C57,MINIPELLE!$A$2:$C$28,3,0))</f>
        <v/>
      </c>
      <c r="E57" s="364">
        <v>8</v>
      </c>
      <c r="F57" s="389" t="str">
        <f>IF($C57="","",E57*VLOOKUP($C57,MINIPELLE!$A$2:$D$28,4,0))</f>
        <v/>
      </c>
      <c r="G57" s="364">
        <v>8</v>
      </c>
      <c r="H57" s="389" t="str">
        <f>IF($C57="","",G57*VLOOKUP($C57,MINIPELLE!$A$2:$D$28,4,0))</f>
        <v/>
      </c>
      <c r="I57" s="364">
        <v>8</v>
      </c>
      <c r="J57" s="389" t="str">
        <f>IF($C57="","",I57*VLOOKUP($C57,MINIPELLE!$A$2:$D$28,4,0))</f>
        <v/>
      </c>
      <c r="K57" s="364">
        <v>8</v>
      </c>
      <c r="L57" s="389" t="str">
        <f>IF($C57="","",K57*VLOOKUP($C57,MINIPELLE!$A$2:$D$28,4,0))</f>
        <v/>
      </c>
      <c r="M57" s="364">
        <v>8</v>
      </c>
      <c r="N57" s="389" t="str">
        <f>IF($C57="","",M57*VLOOKUP($C57,MINIPELLE!$A$2:$D$28,4,0))</f>
        <v/>
      </c>
      <c r="O57" s="364">
        <v>8</v>
      </c>
      <c r="P57" s="389" t="str">
        <f>IF($C57="","",O57*VLOOKUP($C57,MINIPELLE!$A$2:$D$28,4,0))</f>
        <v/>
      </c>
      <c r="Q57" s="364">
        <v>8</v>
      </c>
      <c r="R57" s="389" t="str">
        <f>IF($C57="","",Q57*VLOOKUP($C57,MINIPELLE!$A$2:$D$28,4,0))</f>
        <v/>
      </c>
      <c r="S57" s="364">
        <v>8</v>
      </c>
      <c r="T57" s="389" t="str">
        <f>IF($C57="","",S57*VLOOKUP($C57,MINIPELLE!$A$2:$D$28,4,0))</f>
        <v/>
      </c>
      <c r="U57" s="364">
        <v>8</v>
      </c>
      <c r="V57" s="389" t="str">
        <f>IF($C57="","",U57*VLOOKUP($C57,MINIPELLE!$A$2:$D$28,4,0))</f>
        <v/>
      </c>
      <c r="W57" s="364">
        <v>8</v>
      </c>
      <c r="X57" s="389" t="str">
        <f>IF($C57="","",W57*VLOOKUP($C57,MINIPELLE!$A$2:$D$28,4,0))</f>
        <v/>
      </c>
      <c r="Y57" s="364">
        <v>8</v>
      </c>
      <c r="Z57" s="389" t="str">
        <f>IF($C57="","",Y57*VLOOKUP($C57,MINIPELLE!$A$2:$D$28,4,0))</f>
        <v/>
      </c>
      <c r="AA57" s="364">
        <v>8</v>
      </c>
      <c r="AB57" s="389" t="str">
        <f>IF($C57="","",AA57*VLOOKUP($C57,MINIPELLE!$A$2:$D$28,4,0))</f>
        <v/>
      </c>
      <c r="AC57" s="364">
        <v>8</v>
      </c>
      <c r="AD57" s="389" t="str">
        <f>IF($C57="","",AC57*VLOOKUP($C57,MINIPELLE!$A$2:$D$28,4,0))</f>
        <v/>
      </c>
      <c r="AE57" s="364">
        <v>8</v>
      </c>
      <c r="AF57" s="389" t="str">
        <f>IF($C57="","",AE57*VLOOKUP($C57,MINIPELLE!$A$2:$D$28,4,0))</f>
        <v/>
      </c>
      <c r="AG57" s="364">
        <v>8</v>
      </c>
      <c r="AH57" s="389" t="str">
        <f>IF($C57="","",AG57*VLOOKUP($C57,MINIPELLE!$A$2:$D$28,4,0))</f>
        <v/>
      </c>
      <c r="AI57" s="364">
        <v>8</v>
      </c>
      <c r="AJ57" s="389" t="str">
        <f>IF($C57="","",AI57*VLOOKUP($C57,MINIPELLE!$A$2:$D$28,4,0))</f>
        <v/>
      </c>
      <c r="AK57" s="364">
        <v>8</v>
      </c>
      <c r="AL57" s="389" t="str">
        <f>IF($C57="","",AK57*VLOOKUP($C57,MINIPELLE!$A$2:$D$28,4,0))</f>
        <v/>
      </c>
      <c r="AM57" s="364">
        <v>8</v>
      </c>
      <c r="AN57" s="389" t="str">
        <f>IF($C57="","",AM57*VLOOKUP($C57,MINIPELLE!$A$2:$D$28,4,0))</f>
        <v/>
      </c>
    </row>
    <row r="58" spans="1:42" ht="15" customHeight="1" x14ac:dyDescent="0.2">
      <c r="A58" s="1560"/>
      <c r="B58" s="361"/>
      <c r="C58" s="378"/>
      <c r="D58" s="363" t="str">
        <f>IF(C58="","",VLOOKUP($C58,MINIPELLE!$A$2:$C$28,3,0))</f>
        <v/>
      </c>
      <c r="E58" s="364">
        <v>9</v>
      </c>
      <c r="F58" s="389" t="str">
        <f>IF($C58="","",E58*VLOOKUP($C58,MINIPELLE!$A$2:$D$28,4,0))</f>
        <v/>
      </c>
      <c r="G58" s="364">
        <v>9</v>
      </c>
      <c r="H58" s="389" t="str">
        <f>IF($C58="","",G58*VLOOKUP($C58,MINIPELLE!$A$2:$D$28,4,0))</f>
        <v/>
      </c>
      <c r="I58" s="364">
        <v>9</v>
      </c>
      <c r="J58" s="389" t="str">
        <f>IF($C58="","",I58*VLOOKUP($C58,MINIPELLE!$A$2:$D$28,4,0))</f>
        <v/>
      </c>
      <c r="K58" s="364">
        <v>9</v>
      </c>
      <c r="L58" s="389" t="str">
        <f>IF($C58="","",K58*VLOOKUP($C58,MINIPELLE!$A$2:$D$28,4,0))</f>
        <v/>
      </c>
      <c r="M58" s="364">
        <v>9</v>
      </c>
      <c r="N58" s="389" t="str">
        <f>IF($C58="","",M58*VLOOKUP($C58,MINIPELLE!$A$2:$D$28,4,0))</f>
        <v/>
      </c>
      <c r="O58" s="364">
        <v>9</v>
      </c>
      <c r="P58" s="389" t="str">
        <f>IF($C58="","",O58*VLOOKUP($C58,MINIPELLE!$A$2:$D$28,4,0))</f>
        <v/>
      </c>
      <c r="Q58" s="364">
        <v>9</v>
      </c>
      <c r="R58" s="389" t="str">
        <f>IF($C58="","",Q58*VLOOKUP($C58,MINIPELLE!$A$2:$D$28,4,0))</f>
        <v/>
      </c>
      <c r="S58" s="364">
        <v>9</v>
      </c>
      <c r="T58" s="389" t="str">
        <f>IF($C58="","",S58*VLOOKUP($C58,MINIPELLE!$A$2:$D$28,4,0))</f>
        <v/>
      </c>
      <c r="U58" s="364">
        <v>9</v>
      </c>
      <c r="V58" s="389" t="str">
        <f>IF($C58="","",U58*VLOOKUP($C58,MINIPELLE!$A$2:$D$28,4,0))</f>
        <v/>
      </c>
      <c r="W58" s="364">
        <v>9</v>
      </c>
      <c r="X58" s="389" t="str">
        <f>IF($C58="","",W58*VLOOKUP($C58,MINIPELLE!$A$2:$D$28,4,0))</f>
        <v/>
      </c>
      <c r="Y58" s="364">
        <v>9</v>
      </c>
      <c r="Z58" s="389" t="str">
        <f>IF($C58="","",Y58*VLOOKUP($C58,MINIPELLE!$A$2:$D$28,4,0))</f>
        <v/>
      </c>
      <c r="AA58" s="364">
        <v>9</v>
      </c>
      <c r="AB58" s="389" t="str">
        <f>IF($C58="","",AA58*VLOOKUP($C58,MINIPELLE!$A$2:$D$28,4,0))</f>
        <v/>
      </c>
      <c r="AC58" s="364">
        <v>9</v>
      </c>
      <c r="AD58" s="389" t="str">
        <f>IF($C58="","",AC58*VLOOKUP($C58,MINIPELLE!$A$2:$D$28,4,0))</f>
        <v/>
      </c>
      <c r="AE58" s="364">
        <v>9</v>
      </c>
      <c r="AF58" s="389" t="str">
        <f>IF($C58="","",AE58*VLOOKUP($C58,MINIPELLE!$A$2:$D$28,4,0))</f>
        <v/>
      </c>
      <c r="AG58" s="364">
        <v>9</v>
      </c>
      <c r="AH58" s="389" t="str">
        <f>IF($C58="","",AG58*VLOOKUP($C58,MINIPELLE!$A$2:$D$28,4,0))</f>
        <v/>
      </c>
      <c r="AI58" s="364">
        <v>9</v>
      </c>
      <c r="AJ58" s="389" t="str">
        <f>IF($C58="","",AI58*VLOOKUP($C58,MINIPELLE!$A$2:$D$28,4,0))</f>
        <v/>
      </c>
      <c r="AK58" s="364">
        <v>9</v>
      </c>
      <c r="AL58" s="389" t="str">
        <f>IF($C58="","",AK58*VLOOKUP($C58,MINIPELLE!$A$2:$D$28,4,0))</f>
        <v/>
      </c>
      <c r="AM58" s="364">
        <v>9</v>
      </c>
      <c r="AN58" s="389" t="str">
        <f>IF($C58="","",AM58*VLOOKUP($C58,MINIPELLE!$A$2:$D$28,4,0))</f>
        <v/>
      </c>
      <c r="AO58" s="223"/>
      <c r="AP58" s="223"/>
    </row>
    <row r="59" spans="1:42" ht="15" customHeight="1" x14ac:dyDescent="0.2">
      <c r="A59" s="1560"/>
      <c r="B59" s="361"/>
      <c r="C59" s="378"/>
      <c r="D59" s="363" t="str">
        <f>IF(C59="","",VLOOKUP($C59,MINIPELLE!$A$2:$C$28,3,0))</f>
        <v/>
      </c>
      <c r="E59" s="364">
        <v>10</v>
      </c>
      <c r="F59" s="389" t="str">
        <f>IF($C59="","",E59*VLOOKUP($C59,MINIPELLE!$A$2:$D$28,4,0))</f>
        <v/>
      </c>
      <c r="G59" s="364">
        <v>10</v>
      </c>
      <c r="H59" s="389" t="str">
        <f>IF($C59="","",G59*VLOOKUP($C59,MINIPELLE!$A$2:$D$28,4,0))</f>
        <v/>
      </c>
      <c r="I59" s="364">
        <v>10</v>
      </c>
      <c r="J59" s="389" t="str">
        <f>IF($C59="","",I59*VLOOKUP($C59,MINIPELLE!$A$2:$D$28,4,0))</f>
        <v/>
      </c>
      <c r="K59" s="364">
        <v>10</v>
      </c>
      <c r="L59" s="389" t="str">
        <f>IF($C59="","",K59*VLOOKUP($C59,MINIPELLE!$A$2:$D$28,4,0))</f>
        <v/>
      </c>
      <c r="M59" s="364">
        <v>10</v>
      </c>
      <c r="N59" s="389" t="str">
        <f>IF($C59="","",M59*VLOOKUP($C59,MINIPELLE!$A$2:$D$28,4,0))</f>
        <v/>
      </c>
      <c r="O59" s="364">
        <v>10</v>
      </c>
      <c r="P59" s="389" t="str">
        <f>IF($C59="","",O59*VLOOKUP($C59,MINIPELLE!$A$2:$D$28,4,0))</f>
        <v/>
      </c>
      <c r="Q59" s="364">
        <v>10</v>
      </c>
      <c r="R59" s="389" t="str">
        <f>IF($C59="","",Q59*VLOOKUP($C59,MINIPELLE!$A$2:$D$28,4,0))</f>
        <v/>
      </c>
      <c r="S59" s="364">
        <v>10</v>
      </c>
      <c r="T59" s="389" t="str">
        <f>IF($C59="","",S59*VLOOKUP($C59,MINIPELLE!$A$2:$D$28,4,0))</f>
        <v/>
      </c>
      <c r="U59" s="364">
        <v>10</v>
      </c>
      <c r="V59" s="389" t="str">
        <f>IF($C59="","",U59*VLOOKUP($C59,MINIPELLE!$A$2:$D$28,4,0))</f>
        <v/>
      </c>
      <c r="W59" s="364">
        <v>10</v>
      </c>
      <c r="X59" s="389" t="str">
        <f>IF($C59="","",W59*VLOOKUP($C59,MINIPELLE!$A$2:$D$28,4,0))</f>
        <v/>
      </c>
      <c r="Y59" s="364">
        <v>10</v>
      </c>
      <c r="Z59" s="389" t="str">
        <f>IF($C59="","",Y59*VLOOKUP($C59,MINIPELLE!$A$2:$D$28,4,0))</f>
        <v/>
      </c>
      <c r="AA59" s="364">
        <v>10</v>
      </c>
      <c r="AB59" s="389" t="str">
        <f>IF($C59="","",AA59*VLOOKUP($C59,MINIPELLE!$A$2:$D$28,4,0))</f>
        <v/>
      </c>
      <c r="AC59" s="364">
        <v>10</v>
      </c>
      <c r="AD59" s="389" t="str">
        <f>IF($C59="","",AC59*VLOOKUP($C59,MINIPELLE!$A$2:$D$28,4,0))</f>
        <v/>
      </c>
      <c r="AE59" s="364">
        <v>10</v>
      </c>
      <c r="AF59" s="389" t="str">
        <f>IF($C59="","",AE59*VLOOKUP($C59,MINIPELLE!$A$2:$D$28,4,0))</f>
        <v/>
      </c>
      <c r="AG59" s="364">
        <v>10</v>
      </c>
      <c r="AH59" s="389" t="str">
        <f>IF($C59="","",AG59*VLOOKUP($C59,MINIPELLE!$A$2:$D$28,4,0))</f>
        <v/>
      </c>
      <c r="AI59" s="364">
        <v>10</v>
      </c>
      <c r="AJ59" s="389" t="str">
        <f>IF($C59="","",AI59*VLOOKUP($C59,MINIPELLE!$A$2:$D$28,4,0))</f>
        <v/>
      </c>
      <c r="AK59" s="364">
        <v>10</v>
      </c>
      <c r="AL59" s="389" t="str">
        <f>IF($C59="","",AK59*VLOOKUP($C59,MINIPELLE!$A$2:$D$28,4,0))</f>
        <v/>
      </c>
      <c r="AM59" s="364">
        <v>10</v>
      </c>
      <c r="AN59" s="389" t="str">
        <f>IF($C59="","",AM59*VLOOKUP($C59,MINIPELLE!$A$2:$D$28,4,0))</f>
        <v/>
      </c>
    </row>
    <row r="60" spans="1:42" ht="15" customHeight="1" x14ac:dyDescent="0.2">
      <c r="A60" s="1560"/>
      <c r="B60" s="361"/>
      <c r="C60" s="378"/>
      <c r="D60" s="363" t="str">
        <f>IF(C60="","",VLOOKUP($C60,MINIPELLE!$A$2:$C$28,3,0))</f>
        <v/>
      </c>
      <c r="E60" s="364">
        <v>11</v>
      </c>
      <c r="F60" s="389" t="str">
        <f>IF($C60="","",E60*VLOOKUP($C60,MINIPELLE!$A$2:$D$28,4,0))</f>
        <v/>
      </c>
      <c r="G60" s="364">
        <v>11</v>
      </c>
      <c r="H60" s="389" t="str">
        <f>IF($C60="","",G60*VLOOKUP($C60,MINIPELLE!$A$2:$D$28,4,0))</f>
        <v/>
      </c>
      <c r="I60" s="364">
        <v>11</v>
      </c>
      <c r="J60" s="389" t="str">
        <f>IF($C60="","",I60*VLOOKUP($C60,MINIPELLE!$A$2:$D$28,4,0))</f>
        <v/>
      </c>
      <c r="K60" s="364">
        <v>11</v>
      </c>
      <c r="L60" s="389" t="str">
        <f>IF($C60="","",K60*VLOOKUP($C60,MINIPELLE!$A$2:$D$28,4,0))</f>
        <v/>
      </c>
      <c r="M60" s="364">
        <v>11</v>
      </c>
      <c r="N60" s="389" t="str">
        <f>IF($C60="","",M60*VLOOKUP($C60,MINIPELLE!$A$2:$D$28,4,0))</f>
        <v/>
      </c>
      <c r="O60" s="364">
        <v>11</v>
      </c>
      <c r="P60" s="389" t="str">
        <f>IF($C60="","",O60*VLOOKUP($C60,MINIPELLE!$A$2:$D$28,4,0))</f>
        <v/>
      </c>
      <c r="Q60" s="364">
        <v>11</v>
      </c>
      <c r="R60" s="389" t="str">
        <f>IF($C60="","",Q60*VLOOKUP($C60,MINIPELLE!$A$2:$D$28,4,0))</f>
        <v/>
      </c>
      <c r="S60" s="364">
        <v>11</v>
      </c>
      <c r="T60" s="389" t="str">
        <f>IF($C60="","",S60*VLOOKUP($C60,MINIPELLE!$A$2:$D$28,4,0))</f>
        <v/>
      </c>
      <c r="U60" s="364">
        <v>11</v>
      </c>
      <c r="V60" s="389" t="str">
        <f>IF($C60="","",U60*VLOOKUP($C60,MINIPELLE!$A$2:$D$28,4,0))</f>
        <v/>
      </c>
      <c r="W60" s="364">
        <v>11</v>
      </c>
      <c r="X60" s="389" t="str">
        <f>IF($C60="","",W60*VLOOKUP($C60,MINIPELLE!$A$2:$D$28,4,0))</f>
        <v/>
      </c>
      <c r="Y60" s="364">
        <v>11</v>
      </c>
      <c r="Z60" s="389" t="str">
        <f>IF($C60="","",Y60*VLOOKUP($C60,MINIPELLE!$A$2:$D$28,4,0))</f>
        <v/>
      </c>
      <c r="AA60" s="364">
        <v>11</v>
      </c>
      <c r="AB60" s="389" t="str">
        <f>IF($C60="","",AA60*VLOOKUP($C60,MINIPELLE!$A$2:$D$28,4,0))</f>
        <v/>
      </c>
      <c r="AC60" s="364">
        <v>11</v>
      </c>
      <c r="AD60" s="389" t="str">
        <f>IF($C60="","",AC60*VLOOKUP($C60,MINIPELLE!$A$2:$D$28,4,0))</f>
        <v/>
      </c>
      <c r="AE60" s="364">
        <v>11</v>
      </c>
      <c r="AF60" s="389" t="str">
        <f>IF($C60="","",AE60*VLOOKUP($C60,MINIPELLE!$A$2:$D$28,4,0))</f>
        <v/>
      </c>
      <c r="AG60" s="364">
        <v>11</v>
      </c>
      <c r="AH60" s="389" t="str">
        <f>IF($C60="","",AG60*VLOOKUP($C60,MINIPELLE!$A$2:$D$28,4,0))</f>
        <v/>
      </c>
      <c r="AI60" s="364">
        <v>11</v>
      </c>
      <c r="AJ60" s="389" t="str">
        <f>IF($C60="","",AI60*VLOOKUP($C60,MINIPELLE!$A$2:$D$28,4,0))</f>
        <v/>
      </c>
      <c r="AK60" s="364">
        <v>11</v>
      </c>
      <c r="AL60" s="389" t="str">
        <f>IF($C60="","",AK60*VLOOKUP($C60,MINIPELLE!$A$2:$D$28,4,0))</f>
        <v/>
      </c>
      <c r="AM60" s="364">
        <v>11</v>
      </c>
      <c r="AN60" s="389" t="str">
        <f>IF($C60="","",AM60*VLOOKUP($C60,MINIPELLE!$A$2:$D$28,4,0))</f>
        <v/>
      </c>
    </row>
    <row r="61" spans="1:42" ht="15" customHeight="1" x14ac:dyDescent="0.2">
      <c r="A61" s="1560"/>
      <c r="B61" s="361"/>
      <c r="C61" s="378"/>
      <c r="D61" s="363" t="str">
        <f>IF(C61="","",VLOOKUP($C61,MINIPELLE!$A$2:$C$28,3,0))</f>
        <v/>
      </c>
      <c r="E61" s="364">
        <v>12</v>
      </c>
      <c r="F61" s="389" t="str">
        <f>IF($C61="","",E61*VLOOKUP($C61,MINIPELLE!$A$2:$D$28,4,0))</f>
        <v/>
      </c>
      <c r="G61" s="364">
        <v>12</v>
      </c>
      <c r="H61" s="389" t="str">
        <f>IF($C61="","",G61*VLOOKUP($C61,MINIPELLE!$A$2:$D$28,4,0))</f>
        <v/>
      </c>
      <c r="I61" s="364">
        <v>12</v>
      </c>
      <c r="J61" s="389" t="str">
        <f>IF($C61="","",I61*VLOOKUP($C61,MINIPELLE!$A$2:$D$28,4,0))</f>
        <v/>
      </c>
      <c r="K61" s="364">
        <v>12</v>
      </c>
      <c r="L61" s="389" t="str">
        <f>IF($C61="","",K61*VLOOKUP($C61,MINIPELLE!$A$2:$D$28,4,0))</f>
        <v/>
      </c>
      <c r="M61" s="364">
        <v>12</v>
      </c>
      <c r="N61" s="389" t="str">
        <f>IF($C61="","",M61*VLOOKUP($C61,MINIPELLE!$A$2:$D$28,4,0))</f>
        <v/>
      </c>
      <c r="O61" s="364">
        <v>12</v>
      </c>
      <c r="P61" s="389" t="str">
        <f>IF($C61="","",O61*VLOOKUP($C61,MINIPELLE!$A$2:$D$28,4,0))</f>
        <v/>
      </c>
      <c r="Q61" s="364">
        <v>12</v>
      </c>
      <c r="R61" s="389" t="str">
        <f>IF($C61="","",Q61*VLOOKUP($C61,MINIPELLE!$A$2:$D$28,4,0))</f>
        <v/>
      </c>
      <c r="S61" s="364">
        <v>12</v>
      </c>
      <c r="T61" s="389" t="str">
        <f>IF($C61="","",S61*VLOOKUP($C61,MINIPELLE!$A$2:$D$28,4,0))</f>
        <v/>
      </c>
      <c r="U61" s="364">
        <v>12</v>
      </c>
      <c r="V61" s="389" t="str">
        <f>IF($C61="","",U61*VLOOKUP($C61,MINIPELLE!$A$2:$D$28,4,0))</f>
        <v/>
      </c>
      <c r="W61" s="364">
        <v>12</v>
      </c>
      <c r="X61" s="389" t="str">
        <f>IF($C61="","",W61*VLOOKUP($C61,MINIPELLE!$A$2:$D$28,4,0))</f>
        <v/>
      </c>
      <c r="Y61" s="364">
        <v>12</v>
      </c>
      <c r="Z61" s="389" t="str">
        <f>IF($C61="","",Y61*VLOOKUP($C61,MINIPELLE!$A$2:$D$28,4,0))</f>
        <v/>
      </c>
      <c r="AA61" s="364">
        <v>12</v>
      </c>
      <c r="AB61" s="389" t="str">
        <f>IF($C61="","",AA61*VLOOKUP($C61,MINIPELLE!$A$2:$D$28,4,0))</f>
        <v/>
      </c>
      <c r="AC61" s="364">
        <v>12</v>
      </c>
      <c r="AD61" s="389" t="str">
        <f>IF($C61="","",AC61*VLOOKUP($C61,MINIPELLE!$A$2:$D$28,4,0))</f>
        <v/>
      </c>
      <c r="AE61" s="364">
        <v>12</v>
      </c>
      <c r="AF61" s="389" t="str">
        <f>IF($C61="","",AE61*VLOOKUP($C61,MINIPELLE!$A$2:$D$28,4,0))</f>
        <v/>
      </c>
      <c r="AG61" s="364">
        <v>12</v>
      </c>
      <c r="AH61" s="389" t="str">
        <f>IF($C61="","",AG61*VLOOKUP($C61,MINIPELLE!$A$2:$D$28,4,0))</f>
        <v/>
      </c>
      <c r="AI61" s="364">
        <v>12</v>
      </c>
      <c r="AJ61" s="389" t="str">
        <f>IF($C61="","",AI61*VLOOKUP($C61,MINIPELLE!$A$2:$D$28,4,0))</f>
        <v/>
      </c>
      <c r="AK61" s="364">
        <v>12</v>
      </c>
      <c r="AL61" s="389" t="str">
        <f>IF($C61="","",AK61*VLOOKUP($C61,MINIPELLE!$A$2:$D$28,4,0))</f>
        <v/>
      </c>
      <c r="AM61" s="364">
        <v>12</v>
      </c>
      <c r="AN61" s="389" t="str">
        <f>IF($C61="","",AM61*VLOOKUP($C61,MINIPELLE!$A$2:$D$28,4,0))</f>
        <v/>
      </c>
    </row>
    <row r="62" spans="1:42" ht="29.25" customHeight="1" x14ac:dyDescent="0.2">
      <c r="A62" s="1560"/>
      <c r="B62" s="384" t="s">
        <v>454</v>
      </c>
      <c r="C62" s="385" t="s">
        <v>455</v>
      </c>
      <c r="D62" s="386" t="s">
        <v>451</v>
      </c>
      <c r="E62" s="387">
        <f>F62*Simulation!$P$10</f>
        <v>4</v>
      </c>
      <c r="F62" s="388">
        <f>SUM(F51:F61)</f>
        <v>0.05</v>
      </c>
      <c r="G62" s="387">
        <f>H62*Simulation!$P$10</f>
        <v>4</v>
      </c>
      <c r="H62" s="388">
        <f>SUM(H51:H61)</f>
        <v>0.05</v>
      </c>
      <c r="I62" s="387">
        <f>J62*Simulation!$P$10</f>
        <v>4</v>
      </c>
      <c r="J62" s="388">
        <f>SUM(J51:J61)</f>
        <v>0.05</v>
      </c>
      <c r="K62" s="387">
        <f>L62*Simulation!$P$10</f>
        <v>4</v>
      </c>
      <c r="L62" s="388">
        <f>SUM(L51:L61)</f>
        <v>0.05</v>
      </c>
      <c r="M62" s="387">
        <f>N62*Simulation!$P$10</f>
        <v>4</v>
      </c>
      <c r="N62" s="388">
        <f>SUM(N51:N61)</f>
        <v>0.05</v>
      </c>
      <c r="O62" s="387">
        <f>P62*Simulation!$P$10</f>
        <v>4</v>
      </c>
      <c r="P62" s="388">
        <f>SUM(P51:P61)</f>
        <v>0.05</v>
      </c>
      <c r="Q62" s="387">
        <f>R62*Simulation!$P$10</f>
        <v>4</v>
      </c>
      <c r="R62" s="388">
        <f>SUM(R51:R61)</f>
        <v>0.05</v>
      </c>
      <c r="S62" s="387">
        <f>T62*Simulation!$P$10</f>
        <v>4</v>
      </c>
      <c r="T62" s="388">
        <f>SUM(T51:T61)</f>
        <v>0.05</v>
      </c>
      <c r="U62" s="387">
        <f>V62*Simulation!$P$10</f>
        <v>4</v>
      </c>
      <c r="V62" s="388">
        <f>SUM(V51:V61)</f>
        <v>0.05</v>
      </c>
      <c r="W62" s="387">
        <f>X62*Simulation!$P$10</f>
        <v>4</v>
      </c>
      <c r="X62" s="388">
        <f>SUM(X51:X61)</f>
        <v>0.05</v>
      </c>
      <c r="Y62" s="387">
        <f>Z62*Simulation!$P$10</f>
        <v>4</v>
      </c>
      <c r="Z62" s="388">
        <f>SUM(Z51:Z61)</f>
        <v>0.05</v>
      </c>
      <c r="AA62" s="387">
        <f>AB62*Simulation!$P$10</f>
        <v>4</v>
      </c>
      <c r="AB62" s="388">
        <f>SUM(AB51:AB61)</f>
        <v>0.05</v>
      </c>
      <c r="AC62" s="387">
        <f>AD62*Simulation!$P$10</f>
        <v>4</v>
      </c>
      <c r="AD62" s="388">
        <f>SUM(AD51:AD61)</f>
        <v>0.05</v>
      </c>
      <c r="AE62" s="387">
        <f>AF62*Simulation!$P$10</f>
        <v>4</v>
      </c>
      <c r="AF62" s="388">
        <f>SUM(AF51:AF61)</f>
        <v>0.05</v>
      </c>
      <c r="AG62" s="387">
        <f>AH62*Simulation!$P$10</f>
        <v>4</v>
      </c>
      <c r="AH62" s="388">
        <f>SUM(AH51:AH61)</f>
        <v>0.05</v>
      </c>
      <c r="AI62" s="387">
        <f>AJ62*Simulation!$P$10</f>
        <v>4</v>
      </c>
      <c r="AJ62" s="388">
        <f>SUM(AJ51:AJ61)</f>
        <v>0.05</v>
      </c>
      <c r="AK62" s="387">
        <f>AL62*Simulation!$P$10</f>
        <v>4</v>
      </c>
      <c r="AL62" s="388">
        <f>SUM(AL51:AL61)</f>
        <v>0.05</v>
      </c>
      <c r="AM62" s="387">
        <f>AN62*Simulation!$P$10</f>
        <v>4</v>
      </c>
      <c r="AN62" s="388">
        <f>SUM(AN51:AN61)</f>
        <v>0.05</v>
      </c>
    </row>
    <row r="63" spans="1:42" x14ac:dyDescent="0.2">
      <c r="A63" s="199"/>
      <c r="B63" s="172"/>
      <c r="C63" s="200"/>
      <c r="D63" s="201"/>
      <c r="E63" s="202"/>
      <c r="F63" s="203"/>
      <c r="G63" s="202"/>
      <c r="H63" s="203"/>
      <c r="I63" s="202"/>
      <c r="J63" s="203"/>
      <c r="K63" s="202"/>
      <c r="L63" s="203"/>
      <c r="M63" s="202"/>
      <c r="N63" s="203"/>
      <c r="O63" s="202"/>
      <c r="P63" s="203"/>
      <c r="Q63" s="202"/>
      <c r="R63" s="203"/>
      <c r="S63" s="202"/>
      <c r="T63" s="203"/>
      <c r="U63" s="202"/>
      <c r="V63" s="203"/>
      <c r="W63" s="202"/>
      <c r="X63" s="203"/>
      <c r="Y63" s="202"/>
      <c r="Z63" s="203"/>
      <c r="AA63" s="202"/>
      <c r="AB63" s="203"/>
      <c r="AC63" s="202"/>
      <c r="AD63" s="203"/>
      <c r="AE63" s="202"/>
      <c r="AF63" s="203"/>
      <c r="AG63" s="202"/>
      <c r="AH63" s="203"/>
      <c r="AI63" s="202"/>
      <c r="AJ63" s="203"/>
      <c r="AK63" s="202"/>
      <c r="AL63" s="203"/>
      <c r="AM63" s="202"/>
      <c r="AN63" s="203"/>
    </row>
    <row r="64" spans="1:42" ht="36" customHeight="1" x14ac:dyDescent="0.2">
      <c r="A64" s="204"/>
      <c r="B64" s="1561" t="s">
        <v>456</v>
      </c>
      <c r="C64" s="1564" t="s">
        <v>445</v>
      </c>
      <c r="D64" s="1564"/>
      <c r="E64" s="1547" t="e">
        <f>E62+E50+E38+E26</f>
        <v>#N/A</v>
      </c>
      <c r="F64" s="1547"/>
      <c r="G64" s="1547" t="e">
        <f>G62+G50+G38+G26</f>
        <v>#N/A</v>
      </c>
      <c r="H64" s="1547"/>
      <c r="I64" s="1547" t="e">
        <f>I62+I50+I38+I26</f>
        <v>#N/A</v>
      </c>
      <c r="J64" s="1547"/>
      <c r="K64" s="1547" t="e">
        <f>K62+K50+K38+K26</f>
        <v>#N/A</v>
      </c>
      <c r="L64" s="1547"/>
      <c r="M64" s="1547" t="e">
        <f>M62+M50+M38+M26</f>
        <v>#N/A</v>
      </c>
      <c r="N64" s="1547"/>
      <c r="O64" s="1547" t="e">
        <f>O62+O50+O38+O26</f>
        <v>#N/A</v>
      </c>
      <c r="P64" s="1547"/>
      <c r="Q64" s="1547" t="e">
        <f>Q62+Q50+Q38+Q26</f>
        <v>#N/A</v>
      </c>
      <c r="R64" s="1547"/>
      <c r="S64" s="1547" t="e">
        <f>S62+S50+S38+S26</f>
        <v>#N/A</v>
      </c>
      <c r="T64" s="1547"/>
      <c r="U64" s="1547" t="e">
        <f>U62+U50+U38+U26</f>
        <v>#N/A</v>
      </c>
      <c r="V64" s="1547"/>
      <c r="W64" s="1547" t="e">
        <f>W62+W50+W38+W26</f>
        <v>#N/A</v>
      </c>
      <c r="X64" s="1547"/>
      <c r="Y64" s="1547" t="e">
        <f>Y62+Y50+Y38+Y26</f>
        <v>#N/A</v>
      </c>
      <c r="Z64" s="1547"/>
      <c r="AA64" s="1547" t="e">
        <f>AA62+AA50+AA38+AA26</f>
        <v>#N/A</v>
      </c>
      <c r="AB64" s="1547"/>
      <c r="AC64" s="1547" t="e">
        <f>AC62+AC50+AC38+AC26</f>
        <v>#N/A</v>
      </c>
      <c r="AD64" s="1547"/>
      <c r="AE64" s="1547" t="e">
        <f>AE62+AE50+AE38+AE26</f>
        <v>#N/A</v>
      </c>
      <c r="AF64" s="1547"/>
      <c r="AG64" s="1547" t="e">
        <f>AG62+AG50+AG38+AG26</f>
        <v>#N/A</v>
      </c>
      <c r="AH64" s="1547"/>
      <c r="AI64" s="1547" t="e">
        <f>AI62+AI50+AI38+AI26</f>
        <v>#N/A</v>
      </c>
      <c r="AJ64" s="1547"/>
      <c r="AK64" s="1547" t="e">
        <f>AK62+AK50+AK38+AK26</f>
        <v>#N/A</v>
      </c>
      <c r="AL64" s="1547"/>
      <c r="AM64" s="1547" t="e">
        <f>AM62+AM50+AM38+AM26</f>
        <v>#N/A</v>
      </c>
      <c r="AN64" s="1547"/>
    </row>
    <row r="65" spans="1:42" ht="18" customHeight="1" x14ac:dyDescent="0.2">
      <c r="A65" s="154"/>
      <c r="B65" s="1562"/>
      <c r="C65" s="1565" t="s">
        <v>457</v>
      </c>
      <c r="D65" s="1565"/>
      <c r="E65" s="149">
        <f>E26-F26</f>
        <v>0</v>
      </c>
      <c r="F65" s="207" t="e">
        <f>E65/E$64</f>
        <v>#N/A</v>
      </c>
      <c r="G65" s="149">
        <f>G26-H26</f>
        <v>0</v>
      </c>
      <c r="H65" s="207" t="e">
        <f>G65/G$64</f>
        <v>#N/A</v>
      </c>
      <c r="I65" s="149">
        <f>I26-J26</f>
        <v>0</v>
      </c>
      <c r="J65" s="207" t="e">
        <f>I65/I$64</f>
        <v>#N/A</v>
      </c>
      <c r="K65" s="149">
        <f>K26-L26</f>
        <v>0</v>
      </c>
      <c r="L65" s="207" t="e">
        <f>K65/K$64</f>
        <v>#N/A</v>
      </c>
      <c r="M65" s="149">
        <f>M26-N26</f>
        <v>0</v>
      </c>
      <c r="N65" s="207" t="e">
        <f>M65/M$64</f>
        <v>#N/A</v>
      </c>
      <c r="O65" s="149">
        <f>O26-P26</f>
        <v>0</v>
      </c>
      <c r="P65" s="207" t="e">
        <f>O65/O$64</f>
        <v>#N/A</v>
      </c>
      <c r="Q65" s="149">
        <f>Q26-R26</f>
        <v>0</v>
      </c>
      <c r="R65" s="207" t="e">
        <f>Q65/Q$64</f>
        <v>#N/A</v>
      </c>
      <c r="S65" s="149">
        <f>S26-T26</f>
        <v>0</v>
      </c>
      <c r="T65" s="207" t="e">
        <f>S65/S$64</f>
        <v>#N/A</v>
      </c>
      <c r="U65" s="149">
        <f>U26-V26</f>
        <v>0</v>
      </c>
      <c r="V65" s="207" t="e">
        <f>U65/U$64</f>
        <v>#N/A</v>
      </c>
      <c r="W65" s="149">
        <f>W26-X26</f>
        <v>0</v>
      </c>
      <c r="X65" s="207" t="e">
        <f>W65/W$64</f>
        <v>#N/A</v>
      </c>
      <c r="Y65" s="149">
        <f>Y26-Z26</f>
        <v>0</v>
      </c>
      <c r="Z65" s="207" t="e">
        <f>Y65/Y$64</f>
        <v>#N/A</v>
      </c>
      <c r="AA65" s="149">
        <f>AA26-AB26</f>
        <v>0</v>
      </c>
      <c r="AB65" s="207" t="e">
        <f>AA65/AA$64</f>
        <v>#N/A</v>
      </c>
      <c r="AC65" s="149">
        <f>AC26-AD26</f>
        <v>0</v>
      </c>
      <c r="AD65" s="207" t="e">
        <f>AC65/AC$64</f>
        <v>#N/A</v>
      </c>
      <c r="AE65" s="149">
        <f>AE26-AF26</f>
        <v>0</v>
      </c>
      <c r="AF65" s="207" t="e">
        <f>AE65/AE$64</f>
        <v>#N/A</v>
      </c>
      <c r="AG65" s="149">
        <f>AG26-AH26</f>
        <v>0</v>
      </c>
      <c r="AH65" s="207" t="e">
        <f>AG65/AG$64</f>
        <v>#N/A</v>
      </c>
      <c r="AI65" s="149">
        <f>AI26-AJ26</f>
        <v>0</v>
      </c>
      <c r="AJ65" s="207" t="e">
        <f>AI65/AI$64</f>
        <v>#N/A</v>
      </c>
      <c r="AK65" s="149">
        <f>AK26-AL26</f>
        <v>0</v>
      </c>
      <c r="AL65" s="207" t="e">
        <f>AK65/AK$64</f>
        <v>#N/A</v>
      </c>
      <c r="AM65" s="149">
        <f>AM26-AN26</f>
        <v>0</v>
      </c>
      <c r="AN65" s="207" t="e">
        <f>AM65/AM$64</f>
        <v>#N/A</v>
      </c>
    </row>
    <row r="66" spans="1:42" ht="18" customHeight="1" x14ac:dyDescent="0.2">
      <c r="A66" s="154"/>
      <c r="B66" s="1562"/>
      <c r="C66" s="1565" t="s">
        <v>9</v>
      </c>
      <c r="D66" s="1565"/>
      <c r="E66" s="149">
        <f>E26</f>
        <v>0</v>
      </c>
      <c r="F66" s="207" t="e">
        <f>E66/E$64</f>
        <v>#N/A</v>
      </c>
      <c r="G66" s="149">
        <f>G26</f>
        <v>0</v>
      </c>
      <c r="H66" s="207" t="e">
        <f>G66/G$64</f>
        <v>#N/A</v>
      </c>
      <c r="I66" s="149">
        <f>I26</f>
        <v>0</v>
      </c>
      <c r="J66" s="207" t="e">
        <f>I66/I$64</f>
        <v>#N/A</v>
      </c>
      <c r="K66" s="149">
        <f>K26</f>
        <v>0</v>
      </c>
      <c r="L66" s="207" t="e">
        <f>K66/K$64</f>
        <v>#N/A</v>
      </c>
      <c r="M66" s="149">
        <f>M26</f>
        <v>0</v>
      </c>
      <c r="N66" s="207" t="e">
        <f>M66/M$64</f>
        <v>#N/A</v>
      </c>
      <c r="O66" s="149">
        <f>O26</f>
        <v>0</v>
      </c>
      <c r="P66" s="207" t="e">
        <f>O66/O$64</f>
        <v>#N/A</v>
      </c>
      <c r="Q66" s="149">
        <f>Q26</f>
        <v>0</v>
      </c>
      <c r="R66" s="207" t="e">
        <f>Q66/Q$64</f>
        <v>#N/A</v>
      </c>
      <c r="S66" s="149">
        <f>S26</f>
        <v>0</v>
      </c>
      <c r="T66" s="207" t="e">
        <f>S66/S$64</f>
        <v>#N/A</v>
      </c>
      <c r="U66" s="149">
        <f>U26</f>
        <v>0</v>
      </c>
      <c r="V66" s="207" t="e">
        <f>U66/U$64</f>
        <v>#N/A</v>
      </c>
      <c r="W66" s="149">
        <f>W26</f>
        <v>0</v>
      </c>
      <c r="X66" s="207" t="e">
        <f>W66/W$64</f>
        <v>#N/A</v>
      </c>
      <c r="Y66" s="149">
        <f>Y26</f>
        <v>0</v>
      </c>
      <c r="Z66" s="207" t="e">
        <f>Y66/Y$64</f>
        <v>#N/A</v>
      </c>
      <c r="AA66" s="149">
        <f>AA26</f>
        <v>0</v>
      </c>
      <c r="AB66" s="207" t="e">
        <f>AA66/AA$64</f>
        <v>#N/A</v>
      </c>
      <c r="AC66" s="149">
        <f>AC26</f>
        <v>0</v>
      </c>
      <c r="AD66" s="207" t="e">
        <f>AC66/AC$64</f>
        <v>#N/A</v>
      </c>
      <c r="AE66" s="149">
        <f>AE26</f>
        <v>0</v>
      </c>
      <c r="AF66" s="207" t="e">
        <f>AE66/AE$64</f>
        <v>#N/A</v>
      </c>
      <c r="AG66" s="149">
        <f>AG26</f>
        <v>0</v>
      </c>
      <c r="AH66" s="207" t="e">
        <f>AG66/AG$64</f>
        <v>#N/A</v>
      </c>
      <c r="AI66" s="149">
        <f>AI26</f>
        <v>0</v>
      </c>
      <c r="AJ66" s="207" t="e">
        <f>AI66/AI$64</f>
        <v>#N/A</v>
      </c>
      <c r="AK66" s="149">
        <f>AK26</f>
        <v>0</v>
      </c>
      <c r="AL66" s="207" t="e">
        <f>AK66/AK$64</f>
        <v>#N/A</v>
      </c>
      <c r="AM66" s="149">
        <f>AM26</f>
        <v>0</v>
      </c>
      <c r="AN66" s="207" t="e">
        <f>AM66/AM$64</f>
        <v>#N/A</v>
      </c>
    </row>
    <row r="67" spans="1:42" ht="18" customHeight="1" x14ac:dyDescent="0.2">
      <c r="A67" s="154"/>
      <c r="B67" s="1562"/>
      <c r="C67" s="1565" t="s">
        <v>458</v>
      </c>
      <c r="D67" s="1565"/>
      <c r="E67" s="149" t="e">
        <f>E38</f>
        <v>#N/A</v>
      </c>
      <c r="F67" s="207" t="e">
        <f>E67/E$64</f>
        <v>#N/A</v>
      </c>
      <c r="G67" s="149" t="e">
        <f>G38</f>
        <v>#N/A</v>
      </c>
      <c r="H67" s="207" t="e">
        <f>G67/G$64</f>
        <v>#N/A</v>
      </c>
      <c r="I67" s="149" t="e">
        <f>I38</f>
        <v>#N/A</v>
      </c>
      <c r="J67" s="207" t="e">
        <f>I67/I$64</f>
        <v>#N/A</v>
      </c>
      <c r="K67" s="149" t="e">
        <f>K38</f>
        <v>#N/A</v>
      </c>
      <c r="L67" s="207" t="e">
        <f>K67/K$64</f>
        <v>#N/A</v>
      </c>
      <c r="M67" s="149" t="e">
        <f>M38</f>
        <v>#N/A</v>
      </c>
      <c r="N67" s="207" t="e">
        <f>M67/M$64</f>
        <v>#N/A</v>
      </c>
      <c r="O67" s="149" t="e">
        <f>O38</f>
        <v>#N/A</v>
      </c>
      <c r="P67" s="207" t="e">
        <f>O67/O$64</f>
        <v>#N/A</v>
      </c>
      <c r="Q67" s="149" t="e">
        <f>Q38</f>
        <v>#N/A</v>
      </c>
      <c r="R67" s="207" t="e">
        <f>Q67/Q$64</f>
        <v>#N/A</v>
      </c>
      <c r="S67" s="149" t="e">
        <f>S38</f>
        <v>#N/A</v>
      </c>
      <c r="T67" s="207" t="e">
        <f>S67/S$64</f>
        <v>#N/A</v>
      </c>
      <c r="U67" s="149" t="e">
        <f>U38</f>
        <v>#N/A</v>
      </c>
      <c r="V67" s="207" t="e">
        <f>U67/U$64</f>
        <v>#N/A</v>
      </c>
      <c r="W67" s="149" t="e">
        <f>W38</f>
        <v>#N/A</v>
      </c>
      <c r="X67" s="207" t="e">
        <f>W67/W$64</f>
        <v>#N/A</v>
      </c>
      <c r="Y67" s="149" t="e">
        <f>Y38</f>
        <v>#N/A</v>
      </c>
      <c r="Z67" s="207" t="e">
        <f>Y67/Y$64</f>
        <v>#N/A</v>
      </c>
      <c r="AA67" s="149" t="e">
        <f>AA38</f>
        <v>#N/A</v>
      </c>
      <c r="AB67" s="207" t="e">
        <f>AA67/AA$64</f>
        <v>#N/A</v>
      </c>
      <c r="AC67" s="149" t="e">
        <f>AC38</f>
        <v>#N/A</v>
      </c>
      <c r="AD67" s="207" t="e">
        <f>AC67/AC$64</f>
        <v>#N/A</v>
      </c>
      <c r="AE67" s="149" t="e">
        <f>AE38</f>
        <v>#N/A</v>
      </c>
      <c r="AF67" s="207" t="e">
        <f>AE67/AE$64</f>
        <v>#N/A</v>
      </c>
      <c r="AG67" s="149" t="e">
        <f>AG38</f>
        <v>#N/A</v>
      </c>
      <c r="AH67" s="207" t="e">
        <f>AG67/AG$64</f>
        <v>#N/A</v>
      </c>
      <c r="AI67" s="149" t="e">
        <f>AI38</f>
        <v>#N/A</v>
      </c>
      <c r="AJ67" s="207" t="e">
        <f>AI67/AI$64</f>
        <v>#N/A</v>
      </c>
      <c r="AK67" s="149" t="e">
        <f>AK38</f>
        <v>#N/A</v>
      </c>
      <c r="AL67" s="207" t="e">
        <f>AK67/AK$64</f>
        <v>#N/A</v>
      </c>
      <c r="AM67" s="149" t="e">
        <f>AM38</f>
        <v>#N/A</v>
      </c>
      <c r="AN67" s="207" t="e">
        <f>AM67/AM$64</f>
        <v>#N/A</v>
      </c>
    </row>
    <row r="68" spans="1:42" ht="18" customHeight="1" x14ac:dyDescent="0.2">
      <c r="A68" s="154"/>
      <c r="B68" s="1562"/>
      <c r="C68" s="1565" t="s">
        <v>459</v>
      </c>
      <c r="D68" s="1565"/>
      <c r="E68" s="149">
        <f>E50</f>
        <v>11.25</v>
      </c>
      <c r="F68" s="207" t="e">
        <f>E68/E$64</f>
        <v>#N/A</v>
      </c>
      <c r="G68" s="149">
        <f>G50</f>
        <v>22.5</v>
      </c>
      <c r="H68" s="207" t="e">
        <f>G68/G$64</f>
        <v>#N/A</v>
      </c>
      <c r="I68" s="149">
        <f>I50</f>
        <v>33.75</v>
      </c>
      <c r="J68" s="207" t="e">
        <f>I68/I$64</f>
        <v>#N/A</v>
      </c>
      <c r="K68" s="149">
        <f>K50</f>
        <v>45</v>
      </c>
      <c r="L68" s="207" t="e">
        <f>K68/K$64</f>
        <v>#N/A</v>
      </c>
      <c r="M68" s="149">
        <f>M50</f>
        <v>56.25</v>
      </c>
      <c r="N68" s="207" t="e">
        <f>M68/M$64</f>
        <v>#N/A</v>
      </c>
      <c r="O68" s="149">
        <f>O50</f>
        <v>67.5</v>
      </c>
      <c r="P68" s="207" t="e">
        <f>O68/O$64</f>
        <v>#N/A</v>
      </c>
      <c r="Q68" s="149">
        <f>Q50</f>
        <v>78.75</v>
      </c>
      <c r="R68" s="207" t="e">
        <f>Q68/Q$64</f>
        <v>#N/A</v>
      </c>
      <c r="S68" s="149">
        <f>S50</f>
        <v>90</v>
      </c>
      <c r="T68" s="207" t="e">
        <f>S68/S$64</f>
        <v>#N/A</v>
      </c>
      <c r="U68" s="149">
        <f>U50</f>
        <v>101.25</v>
      </c>
      <c r="V68" s="207" t="e">
        <f>U68/U$64</f>
        <v>#N/A</v>
      </c>
      <c r="W68" s="149">
        <f>W50</f>
        <v>112.5</v>
      </c>
      <c r="X68" s="207" t="e">
        <f>W68/W$64</f>
        <v>#N/A</v>
      </c>
      <c r="Y68" s="149">
        <f>Y50</f>
        <v>123.75</v>
      </c>
      <c r="Z68" s="207" t="e">
        <f>Y68/Y$64</f>
        <v>#N/A</v>
      </c>
      <c r="AA68" s="149">
        <f>AA50</f>
        <v>135</v>
      </c>
      <c r="AB68" s="207" t="e">
        <f>AA68/AA$64</f>
        <v>#N/A</v>
      </c>
      <c r="AC68" s="149">
        <f>AC50</f>
        <v>146.25</v>
      </c>
      <c r="AD68" s="207" t="e">
        <f>AC68/AC$64</f>
        <v>#N/A</v>
      </c>
      <c r="AE68" s="149">
        <f>AE50</f>
        <v>157.5</v>
      </c>
      <c r="AF68" s="207" t="e">
        <f>AE68/AE$64</f>
        <v>#N/A</v>
      </c>
      <c r="AG68" s="149">
        <f>AG50</f>
        <v>168.75</v>
      </c>
      <c r="AH68" s="207" t="e">
        <f>AG68/AG$64</f>
        <v>#N/A</v>
      </c>
      <c r="AI68" s="149">
        <f>AI50</f>
        <v>180</v>
      </c>
      <c r="AJ68" s="207" t="e">
        <f>AI68/AI$64</f>
        <v>#N/A</v>
      </c>
      <c r="AK68" s="149">
        <f>AK50</f>
        <v>191.25</v>
      </c>
      <c r="AL68" s="207" t="e">
        <f>AK68/AK$64</f>
        <v>#N/A</v>
      </c>
      <c r="AM68" s="149">
        <f>AM50</f>
        <v>202.5</v>
      </c>
      <c r="AN68" s="207" t="e">
        <f>AM68/AM$64</f>
        <v>#N/A</v>
      </c>
    </row>
    <row r="69" spans="1:42" ht="18" customHeight="1" x14ac:dyDescent="0.2">
      <c r="A69" s="154"/>
      <c r="B69" s="1563"/>
      <c r="C69" s="1565" t="s">
        <v>5</v>
      </c>
      <c r="D69" s="1565"/>
      <c r="E69" s="149">
        <f>E62</f>
        <v>4</v>
      </c>
      <c r="F69" s="207" t="e">
        <f>E69/E$64</f>
        <v>#N/A</v>
      </c>
      <c r="G69" s="149">
        <f>G62</f>
        <v>4</v>
      </c>
      <c r="H69" s="207" t="e">
        <f>G69/G$64</f>
        <v>#N/A</v>
      </c>
      <c r="I69" s="149">
        <f>I62</f>
        <v>4</v>
      </c>
      <c r="J69" s="207" t="e">
        <f>I69/I$64</f>
        <v>#N/A</v>
      </c>
      <c r="K69" s="149">
        <f>K62</f>
        <v>4</v>
      </c>
      <c r="L69" s="207" t="e">
        <f>K69/K$64</f>
        <v>#N/A</v>
      </c>
      <c r="M69" s="149">
        <f>M62</f>
        <v>4</v>
      </c>
      <c r="N69" s="207" t="e">
        <f>M69/M$64</f>
        <v>#N/A</v>
      </c>
      <c r="O69" s="149">
        <f>O62</f>
        <v>4</v>
      </c>
      <c r="P69" s="207" t="e">
        <f>O69/O$64</f>
        <v>#N/A</v>
      </c>
      <c r="Q69" s="149">
        <f>Q62</f>
        <v>4</v>
      </c>
      <c r="R69" s="207" t="e">
        <f>Q69/Q$64</f>
        <v>#N/A</v>
      </c>
      <c r="S69" s="149">
        <f>S62</f>
        <v>4</v>
      </c>
      <c r="T69" s="207" t="e">
        <f>S69/S$64</f>
        <v>#N/A</v>
      </c>
      <c r="U69" s="149">
        <f>U62</f>
        <v>4</v>
      </c>
      <c r="V69" s="207" t="e">
        <f>U69/U$64</f>
        <v>#N/A</v>
      </c>
      <c r="W69" s="149">
        <f>W62</f>
        <v>4</v>
      </c>
      <c r="X69" s="207" t="e">
        <f>W69/W$64</f>
        <v>#N/A</v>
      </c>
      <c r="Y69" s="149">
        <f>Y62</f>
        <v>4</v>
      </c>
      <c r="Z69" s="207" t="e">
        <f>Y69/Y$64</f>
        <v>#N/A</v>
      </c>
      <c r="AA69" s="149">
        <f>AA62</f>
        <v>4</v>
      </c>
      <c r="AB69" s="207" t="e">
        <f>AA69/AA$64</f>
        <v>#N/A</v>
      </c>
      <c r="AC69" s="149">
        <f>AC62</f>
        <v>4</v>
      </c>
      <c r="AD69" s="207" t="e">
        <f>AC69/AC$64</f>
        <v>#N/A</v>
      </c>
      <c r="AE69" s="149">
        <f>AE62</f>
        <v>4</v>
      </c>
      <c r="AF69" s="207" t="e">
        <f>AE69/AE$64</f>
        <v>#N/A</v>
      </c>
      <c r="AG69" s="149">
        <f>AG62</f>
        <v>4</v>
      </c>
      <c r="AH69" s="207" t="e">
        <f>AG69/AG$64</f>
        <v>#N/A</v>
      </c>
      <c r="AI69" s="149">
        <f>AI62</f>
        <v>4</v>
      </c>
      <c r="AJ69" s="207" t="e">
        <f>AI69/AI$64</f>
        <v>#N/A</v>
      </c>
      <c r="AK69" s="149">
        <f>AK62</f>
        <v>4</v>
      </c>
      <c r="AL69" s="207" t="e">
        <f>AK69/AK$64</f>
        <v>#N/A</v>
      </c>
      <c r="AM69" s="149">
        <f>AM62</f>
        <v>4</v>
      </c>
      <c r="AN69" s="207" t="e">
        <f>AM69/AM$64</f>
        <v>#N/A</v>
      </c>
    </row>
    <row r="70" spans="1:42" x14ac:dyDescent="0.2">
      <c r="A70" s="154"/>
      <c r="B70" s="172"/>
      <c r="C70" s="154"/>
      <c r="D70" s="227"/>
      <c r="E70" s="154"/>
      <c r="F70" s="154"/>
      <c r="G70" s="154"/>
      <c r="H70" s="154"/>
      <c r="I70" s="154"/>
      <c r="J70" s="154"/>
      <c r="K70" s="154"/>
      <c r="L70" s="154"/>
      <c r="M70" s="154"/>
      <c r="N70" s="154"/>
      <c r="O70" s="154"/>
      <c r="P70" s="154"/>
      <c r="Q70" s="228"/>
      <c r="R70" s="229"/>
      <c r="S70" s="154"/>
      <c r="T70" s="230"/>
      <c r="U70" s="154"/>
      <c r="V70" s="154"/>
      <c r="W70" s="154"/>
      <c r="X70" s="154"/>
      <c r="Y70" s="154"/>
      <c r="Z70" s="154"/>
      <c r="AA70" s="154"/>
      <c r="AB70" s="154"/>
      <c r="AC70" s="154"/>
      <c r="AD70" s="154"/>
      <c r="AE70" s="154"/>
      <c r="AF70" s="154"/>
      <c r="AG70" s="154"/>
      <c r="AH70" s="154"/>
      <c r="AI70" s="154"/>
      <c r="AJ70" s="154"/>
      <c r="AK70" s="154"/>
      <c r="AL70" s="154"/>
      <c r="AM70" s="154"/>
      <c r="AN70" s="154"/>
      <c r="AO70" s="154"/>
      <c r="AP70" s="154"/>
    </row>
    <row r="71" spans="1:42" x14ac:dyDescent="0.2">
      <c r="A71" s="154"/>
      <c r="B71" s="172"/>
      <c r="C71" s="154"/>
      <c r="D71" s="227"/>
      <c r="E71" s="154"/>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c r="AD71" s="154"/>
      <c r="AE71" s="154"/>
      <c r="AF71" s="154"/>
      <c r="AG71" s="154"/>
      <c r="AH71" s="154"/>
      <c r="AI71" s="154"/>
      <c r="AJ71" s="154"/>
      <c r="AK71" s="154"/>
      <c r="AL71" s="154"/>
      <c r="AM71" s="154"/>
      <c r="AN71" s="154"/>
      <c r="AO71" s="154"/>
      <c r="AP71" s="154"/>
    </row>
    <row r="72" spans="1:42" ht="36" x14ac:dyDescent="0.2">
      <c r="A72" s="154"/>
      <c r="B72" s="1375" t="s">
        <v>1462</v>
      </c>
      <c r="C72" s="1568" t="s">
        <v>1463</v>
      </c>
      <c r="D72" s="1569"/>
      <c r="E72" s="149" t="e">
        <f>(VLOOKUP("Prix HT",$C$1:$N$64,E$1,0))-(VLOOKUP("Non margé",$D$1:$N$64,E$1,0))</f>
        <v>#N/A</v>
      </c>
      <c r="F72" s="207" t="e">
        <f>E72/VLOOKUP("Prix HT",$C$1:$N$64,E$1,0)</f>
        <v>#N/A</v>
      </c>
      <c r="G72" s="149" t="e">
        <f>(VLOOKUP("Prix HT",$C$1:$N$64,G$1,0))-(VLOOKUP("Non margé",$D$1:$N$64,G$1,0))</f>
        <v>#N/A</v>
      </c>
      <c r="H72" s="207" t="e">
        <f>G72/VLOOKUP("Prix HT",$C$1:$N$64,G$1,0)</f>
        <v>#N/A</v>
      </c>
      <c r="I72" s="149" t="e">
        <f>(VLOOKUP("Prix HT",$C$1:$N$64,I$1,0))-(VLOOKUP("Non margé",$D$1:$N$64,I$1,0))</f>
        <v>#N/A</v>
      </c>
      <c r="J72" s="207" t="e">
        <f>I72/VLOOKUP("Prix HT",$C$1:$N$64,I$1,0)</f>
        <v>#N/A</v>
      </c>
      <c r="K72" s="149" t="e">
        <f>(VLOOKUP("Prix HT",$C$1:$N$64,K$1,0))-(VLOOKUP("Non margé",$D$1:$N$64,K$1,0))</f>
        <v>#N/A</v>
      </c>
      <c r="L72" s="207" t="e">
        <f>K72/VLOOKUP("Prix HT",$C$1:$N$64,K$1,0)</f>
        <v>#N/A</v>
      </c>
      <c r="M72" s="149" t="e">
        <f>(VLOOKUP("Prix HT",$C$1:$N$64,M$1,0))-(VLOOKUP("Non margé",$D$1:$N$64,M$1,0))</f>
        <v>#N/A</v>
      </c>
      <c r="N72" s="207" t="e">
        <f>M72/VLOOKUP("Prix HT",$C$1:$N$64,M$1,0)</f>
        <v>#N/A</v>
      </c>
      <c r="O72" s="149" t="e">
        <f>(VLOOKUP("Prix HT",$C$1:$AN$64,O$1,0))-(VLOOKUP("Non margé",$D$1:$AN$64,O$1,0))</f>
        <v>#N/A</v>
      </c>
      <c r="P72" s="207" t="e">
        <f>O72/VLOOKUP("Prix HT",$C$1:$AN$64,O$1,0)</f>
        <v>#N/A</v>
      </c>
      <c r="Q72" s="149" t="e">
        <f>(VLOOKUP("Prix HT",$C$1:$AN$64,Q$1,0))-(VLOOKUP("Non margé",$D$1:$AN$64,Q$1,0))</f>
        <v>#N/A</v>
      </c>
      <c r="R72" s="207" t="e">
        <f>Q72/VLOOKUP("Prix HT",$C$1:$AN$64,Q$1,0)</f>
        <v>#N/A</v>
      </c>
      <c r="S72" s="149" t="e">
        <f>(VLOOKUP("Prix HT",$C$1:$AN$64,S$1,0))-(VLOOKUP("Non margé",$D$1:$AN$64,S$1,0))</f>
        <v>#N/A</v>
      </c>
      <c r="T72" s="207" t="e">
        <f>S72/VLOOKUP("Prix HT",$C$1:$AN$64,S$1,0)</f>
        <v>#N/A</v>
      </c>
      <c r="U72" s="149" t="e">
        <f>(VLOOKUP("Prix HT",$C$1:$AN$64,U$1,0))-(VLOOKUP("Non margé",$D$1:$AN$64,U$1,0))</f>
        <v>#N/A</v>
      </c>
      <c r="V72" s="207" t="e">
        <f>U72/VLOOKUP("Prix HT",$C$1:$AN$64,U$1,0)</f>
        <v>#N/A</v>
      </c>
      <c r="W72" s="149" t="e">
        <f>(VLOOKUP("Prix HT",$C$1:$AN$64,W$1,0))-(VLOOKUP("Non margé",$D$1:$AN$64,W$1,0))</f>
        <v>#N/A</v>
      </c>
      <c r="X72" s="207" t="e">
        <f>W72/VLOOKUP("Prix HT",$C$1:$AN$64,W$1,0)</f>
        <v>#N/A</v>
      </c>
      <c r="Y72" s="149" t="e">
        <f>(VLOOKUP("Prix HT",$C$1:$AN$64,Y$1,0))-(VLOOKUP("Non margé",$D$1:$AN$64,Y$1,0))</f>
        <v>#N/A</v>
      </c>
      <c r="Z72" s="207" t="e">
        <f>Y72/VLOOKUP("Prix HT",$C$1:$AN$64,Y$1,0)</f>
        <v>#N/A</v>
      </c>
      <c r="AA72" s="149" t="e">
        <f>(VLOOKUP("Prix HT",$C$1:$AN$64,AA$1,0))-(VLOOKUP("Non margé",$D$1:$AN$64,AA$1,0))</f>
        <v>#N/A</v>
      </c>
      <c r="AB72" s="207" t="e">
        <f>AA72/VLOOKUP("Prix HT",$C$1:$AN$64,AA$1,0)</f>
        <v>#N/A</v>
      </c>
      <c r="AC72" s="149" t="e">
        <f>(VLOOKUP("Prix HT",$C$1:$AN$64,AC$1,0))-(VLOOKUP("Non margé",$D$1:$AN$64,AC$1,0))</f>
        <v>#N/A</v>
      </c>
      <c r="AD72" s="207" t="e">
        <f>AC72/VLOOKUP("Prix HT",$C$1:$AN$64,AC$1,0)</f>
        <v>#N/A</v>
      </c>
      <c r="AE72" s="149" t="e">
        <f>(VLOOKUP("Prix HT",$C$1:$AN$64,AE$1,0))-(VLOOKUP("Non margé",$D$1:$AN$64,AE$1,0))</f>
        <v>#N/A</v>
      </c>
      <c r="AF72" s="207" t="e">
        <f>AE72/VLOOKUP("Prix HT",$C$1:$AN$64,AE$1,0)</f>
        <v>#N/A</v>
      </c>
      <c r="AG72" s="149" t="e">
        <f>(VLOOKUP("Prix HT",$C$1:$AN$64,AG$1,0))-(VLOOKUP("Non margé",$D$1:$AN$64,AG$1,0))</f>
        <v>#N/A</v>
      </c>
      <c r="AH72" s="207" t="e">
        <f>AG72/VLOOKUP("Prix HT",$C$1:$AN$64,AG$1,0)</f>
        <v>#N/A</v>
      </c>
      <c r="AI72" s="149" t="e">
        <f>(VLOOKUP("Prix HT",$C$1:$AN$64,AI$1,0))-(VLOOKUP("Non margé",$D$1:$AN$64,AI$1,0))</f>
        <v>#N/A</v>
      </c>
      <c r="AJ72" s="207" t="e">
        <f>AI72/VLOOKUP("Prix HT",$C$1:$AN$64,AI$1,0)</f>
        <v>#N/A</v>
      </c>
      <c r="AK72" s="149" t="e">
        <f>(VLOOKUP("Prix HT",$C$1:$AN$64,AK$1,0))-(VLOOKUP("Non margé",$D$1:$AN$64,AK$1,0))</f>
        <v>#N/A</v>
      </c>
      <c r="AL72" s="207" t="e">
        <f>AK72/VLOOKUP("Prix HT",$C$1:$AN$64,AK$1,0)</f>
        <v>#N/A</v>
      </c>
      <c r="AM72" s="149" t="e">
        <f>(VLOOKUP("Prix HT",$C$1:$AN$64,AM$1,0))-(VLOOKUP("Non margé",$D$1:$AN$64,AM$1,0))</f>
        <v>#N/A</v>
      </c>
      <c r="AN72" s="207" t="e">
        <f>AM72/VLOOKUP("Prix HT",$C$1:$AN$64,AM$1,0)</f>
        <v>#N/A</v>
      </c>
      <c r="AO72" s="154"/>
      <c r="AP72" s="154"/>
    </row>
  </sheetData>
  <mergeCells count="42">
    <mergeCell ref="C72:D72"/>
    <mergeCell ref="AE2:AF2"/>
    <mergeCell ref="B2:B3"/>
    <mergeCell ref="C2:C3"/>
    <mergeCell ref="E2:F2"/>
    <mergeCell ref="G2:H2"/>
    <mergeCell ref="I2:J2"/>
    <mergeCell ref="K2:L2"/>
    <mergeCell ref="M2:N2"/>
    <mergeCell ref="O2:P2"/>
    <mergeCell ref="Q2:R2"/>
    <mergeCell ref="S2:T2"/>
    <mergeCell ref="U2:V2"/>
    <mergeCell ref="C69:D69"/>
    <mergeCell ref="E64:F64"/>
    <mergeCell ref="G64:H64"/>
    <mergeCell ref="A4:A25"/>
    <mergeCell ref="A27:A38"/>
    <mergeCell ref="A39:A50"/>
    <mergeCell ref="A51:A62"/>
    <mergeCell ref="B64:B69"/>
    <mergeCell ref="AM64:AN64"/>
    <mergeCell ref="Q64:R64"/>
    <mergeCell ref="S64:T64"/>
    <mergeCell ref="U64:V64"/>
    <mergeCell ref="W64:X64"/>
    <mergeCell ref="Y64:Z64"/>
    <mergeCell ref="AA64:AB64"/>
    <mergeCell ref="AC64:AD64"/>
    <mergeCell ref="AE64:AF64"/>
    <mergeCell ref="AG64:AH64"/>
    <mergeCell ref="AI64:AJ64"/>
    <mergeCell ref="K64:L64"/>
    <mergeCell ref="M64:N64"/>
    <mergeCell ref="O64:P64"/>
    <mergeCell ref="C64:D64"/>
    <mergeCell ref="AK64:AL64"/>
    <mergeCell ref="C65:D65"/>
    <mergeCell ref="C66:D66"/>
    <mergeCell ref="C67:D67"/>
    <mergeCell ref="C68:D68"/>
    <mergeCell ref="I64:J64"/>
  </mergeCells>
  <dataValidations count="8">
    <dataValidation type="list" allowBlank="1" showInputMessage="1" showErrorMessage="1" promptTitle="MINIPELLE" prompt="choisir catégorie" sqref="B51:B61" xr:uid="{00000000-0002-0000-1C00-000000000000}">
      <formula1>CATEGORIE_MP</formula1>
    </dataValidation>
    <dataValidation type="list" allowBlank="1" showInputMessage="1" promptTitle="MINIPELLE" prompt="choisir la prestation" sqref="C51:C61" xr:uid="{00000000-0002-0000-1C00-000001000000}">
      <formula1>INDIRECT(B51)</formula1>
    </dataValidation>
    <dataValidation type="list" allowBlank="1" showInputMessage="1" showErrorMessage="1" promptTitle="Catégorie MOC" prompt="choisir" sqref="B39:B48" xr:uid="{00000000-0002-0000-1C00-000002000000}">
      <formula1>CATEGORIE_MOC</formula1>
    </dataValidation>
    <dataValidation type="list" allowBlank="1" showInputMessage="1" promptTitle="Main d'oeuvre CHANTIER" prompt="choisir la prestation" sqref="C39:C49" xr:uid="{00000000-0002-0000-1C00-000003000000}">
      <formula1>INDIRECT(B39)</formula1>
    </dataValidation>
    <dataValidation type="list" allowBlank="1" showInputMessage="1" showErrorMessage="1" promptTitle="MO ATELIER" prompt="choisir catégorie" sqref="B27" xr:uid="{00000000-0002-0000-1C00-000004000000}">
      <formula1>CATEGORIE_MOA</formula1>
    </dataValidation>
    <dataValidation type="list" allowBlank="1" showInputMessage="1" showErrorMessage="1" promptTitle="Main d'oeuvre ATELIER" prompt="choisir la prestation" sqref="C27" xr:uid="{00000000-0002-0000-1C00-000005000000}">
      <formula1>INDIRECT(B27)</formula1>
    </dataValidation>
    <dataValidation type="list" allowBlank="1" showInputMessage="1" showErrorMessage="1" promptTitle="MATIERES" prompt="choisir catégorie" sqref="B4:B25" xr:uid="{00000000-0002-0000-1C00-000006000000}">
      <formula1>MOA_ALIM</formula1>
    </dataValidation>
    <dataValidation type="list" allowBlank="1" showInputMessage="1" showErrorMessage="1" promptTitle="MATIERES" prompt="choisir le produit" sqref="C4:C25" xr:uid="{00000000-0002-0000-1C00-000007000000}">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ErrorMessage="1" xr:uid="{00000000-0002-0000-1C00-000008000000}">
          <x14:formula1>
            <xm:f>ATELIER!$B$2:$B$109</xm:f>
          </x14:formula1>
          <xm:sqref>C28:C37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published="0" codeName="Feuil30"/>
  <dimension ref="A1:AP72"/>
  <sheetViews>
    <sheetView topLeftCell="A3" zoomScale="25" zoomScaleNormal="25" workbookViewId="0">
      <selection activeCell="A72" sqref="A72:XFD76"/>
    </sheetView>
  </sheetViews>
  <sheetFormatPr baseColWidth="10" defaultRowHeight="18" x14ac:dyDescent="0.2"/>
  <cols>
    <col min="1" max="1" width="18.125" style="210" customWidth="1"/>
    <col min="2" max="2" width="23.625" style="233"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40" width="10" style="135" customWidth="1"/>
    <col min="41" max="42" width="11.5" style="135" customWidth="1"/>
    <col min="43" max="810" width="11.5" customWidth="1"/>
  </cols>
  <sheetData>
    <row r="1" spans="1:42"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s="535" t="s">
        <v>467</v>
      </c>
      <c r="AO1" s="535"/>
      <c r="AP1" s="535"/>
    </row>
    <row r="2" spans="1:42" ht="35.1" customHeight="1" x14ac:dyDescent="0.2">
      <c r="A2" s="174"/>
      <c r="B2" s="1572" t="s">
        <v>974</v>
      </c>
      <c r="C2" s="1574" t="s">
        <v>468</v>
      </c>
      <c r="D2" s="115" t="s">
        <v>203</v>
      </c>
      <c r="E2" s="1571">
        <v>2</v>
      </c>
      <c r="F2" s="1571"/>
      <c r="G2" s="1571">
        <v>3</v>
      </c>
      <c r="H2" s="1571"/>
      <c r="I2" s="1571">
        <v>4</v>
      </c>
      <c r="J2" s="1571"/>
      <c r="K2" s="1571">
        <v>5</v>
      </c>
      <c r="L2" s="1571"/>
      <c r="M2" s="1571">
        <v>6</v>
      </c>
      <c r="N2" s="1571"/>
      <c r="O2" s="1571">
        <v>7</v>
      </c>
      <c r="P2" s="1571"/>
      <c r="Q2" s="1571">
        <v>8</v>
      </c>
      <c r="R2" s="1571"/>
      <c r="S2" s="1571">
        <v>9</v>
      </c>
      <c r="T2" s="1571"/>
      <c r="U2" s="1571">
        <v>10</v>
      </c>
      <c r="V2" s="1571"/>
      <c r="W2" s="218">
        <v>12</v>
      </c>
      <c r="X2" s="213" t="s">
        <v>469</v>
      </c>
      <c r="Y2" s="213">
        <v>12</v>
      </c>
      <c r="Z2" s="214" t="s">
        <v>470</v>
      </c>
      <c r="AA2" s="218">
        <v>14</v>
      </c>
      <c r="AB2" s="213" t="s">
        <v>471</v>
      </c>
      <c r="AC2" s="218">
        <v>14</v>
      </c>
      <c r="AD2" s="213" t="s">
        <v>472</v>
      </c>
      <c r="AE2" s="1571">
        <v>16</v>
      </c>
      <c r="AF2" s="1571"/>
      <c r="AG2" s="218">
        <v>18</v>
      </c>
      <c r="AH2" s="213" t="s">
        <v>473</v>
      </c>
      <c r="AI2" s="218">
        <v>18</v>
      </c>
      <c r="AJ2" s="213" t="s">
        <v>474</v>
      </c>
      <c r="AK2" s="218">
        <v>20</v>
      </c>
      <c r="AL2" s="213" t="s">
        <v>475</v>
      </c>
      <c r="AM2" s="218">
        <v>20</v>
      </c>
      <c r="AN2" s="213" t="s">
        <v>476</v>
      </c>
      <c r="AO2" s="178"/>
      <c r="AP2" s="178"/>
    </row>
    <row r="3" spans="1:42" ht="35.1" customHeight="1" x14ac:dyDescent="0.2">
      <c r="A3" s="174"/>
      <c r="B3" s="1573"/>
      <c r="C3" s="1574"/>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303" t="s">
        <v>477</v>
      </c>
      <c r="AO3" s="178"/>
      <c r="AP3" s="178"/>
    </row>
    <row r="4" spans="1:42" ht="15" customHeight="1" x14ac:dyDescent="0.2">
      <c r="A4" s="1549" t="s">
        <v>1078</v>
      </c>
      <c r="B4" s="361" t="s">
        <v>1065</v>
      </c>
      <c r="C4" s="362"/>
      <c r="D4" s="363" t="str">
        <f>IF($C4="","",VLOOKUP($C4,MATIERES!$A$2:$F$227,5,0))</f>
        <v/>
      </c>
      <c r="E4" s="364">
        <v>1</v>
      </c>
      <c r="F4" s="365" t="str">
        <f>IF($C4="","",E4*VLOOKUP($C4,MATIERES!$A$2:$F$349,4,0))</f>
        <v/>
      </c>
      <c r="G4" s="364">
        <v>2</v>
      </c>
      <c r="H4" s="365" t="str">
        <f>IF($C4="","",G4*VLOOKUP($C4,MATIERES!$A$2:$F$349,4,0))</f>
        <v/>
      </c>
      <c r="I4" s="364">
        <v>3</v>
      </c>
      <c r="J4" s="365" t="str">
        <f>IF($C4="","",I4*VLOOKUP($C4,MATIERES!$A$2:$F$349,4,0))</f>
        <v/>
      </c>
      <c r="K4" s="364">
        <v>4</v>
      </c>
      <c r="L4" s="365" t="str">
        <f>IF($C4="","",K4*VLOOKUP($C4,MATIERES!$A$2:$F$349,4,0))</f>
        <v/>
      </c>
      <c r="M4" s="364">
        <v>5</v>
      </c>
      <c r="N4" s="365" t="str">
        <f>IF($C4="","",M4*VLOOKUP($C4,MATIERES!$A$2:$F$349,4,0))</f>
        <v/>
      </c>
      <c r="O4" s="364">
        <v>6</v>
      </c>
      <c r="P4" s="365" t="str">
        <f>IF($C4="","",O4*VLOOKUP($C4,MATIERES!$A$2:$F$349,4,0))</f>
        <v/>
      </c>
      <c r="Q4" s="364">
        <v>7</v>
      </c>
      <c r="R4" s="365" t="str">
        <f>IF($C4="","",Q4*VLOOKUP($C4,MATIERES!$A$2:$F$349,4,0))</f>
        <v/>
      </c>
      <c r="S4" s="364">
        <v>8</v>
      </c>
      <c r="T4" s="365" t="str">
        <f>IF($C4="","",S4*VLOOKUP($C4,MATIERES!$A$2:$F$349,4,0))</f>
        <v/>
      </c>
      <c r="U4" s="364">
        <v>9</v>
      </c>
      <c r="V4" s="365" t="str">
        <f>IF($C4="","",U4*VLOOKUP($C4,MATIERES!$A$2:$F$349,4,0))</f>
        <v/>
      </c>
      <c r="W4" s="364">
        <v>10</v>
      </c>
      <c r="X4" s="365" t="str">
        <f>IF($C4="","",W4*VLOOKUP($C4,MATIERES!$A$2:$F$349,4,0))</f>
        <v/>
      </c>
      <c r="Y4" s="364">
        <v>11</v>
      </c>
      <c r="Z4" s="365" t="str">
        <f>IF($C4="","",Y4*VLOOKUP($C4,MATIERES!$A$2:$F$349,4,0))</f>
        <v/>
      </c>
      <c r="AA4" s="364">
        <v>12</v>
      </c>
      <c r="AB4" s="365" t="str">
        <f>IF($C4="","",AA4*VLOOKUP($C4,MATIERES!$A$2:$F$349,4,0))</f>
        <v/>
      </c>
      <c r="AC4" s="364">
        <v>13</v>
      </c>
      <c r="AD4" s="365" t="str">
        <f>IF($C4="","",AC4*VLOOKUP($C4,MATIERES!$A$2:$F$349,4,0))</f>
        <v/>
      </c>
      <c r="AE4" s="364">
        <v>14</v>
      </c>
      <c r="AF4" s="365" t="str">
        <f>IF($C4="","",AE4*VLOOKUP($C4,MATIERES!$A$2:$F$349,4,0))</f>
        <v/>
      </c>
      <c r="AG4" s="364">
        <v>15</v>
      </c>
      <c r="AH4" s="365" t="str">
        <f>IF($C4="","",AG4*VLOOKUP($C4,MATIERES!$A$2:$F$349,4,0))</f>
        <v/>
      </c>
      <c r="AI4" s="364">
        <v>16</v>
      </c>
      <c r="AJ4" s="365" t="str">
        <f>IF($C4="","",AI4*VLOOKUP($C4,MATIERES!$A$2:$F$349,4,0))</f>
        <v/>
      </c>
      <c r="AK4" s="364">
        <v>17</v>
      </c>
      <c r="AL4" s="365" t="str">
        <f>IF($C4="","",AK4*VLOOKUP($C4,MATIERES!$A$2:$F$349,4,0))</f>
        <v/>
      </c>
      <c r="AM4" s="364">
        <v>18</v>
      </c>
      <c r="AN4" s="365" t="str">
        <f>IF($C4="","",AM4*VLOOKUP($C4,MATIERES!$A$2:$F$349,4,0))</f>
        <v/>
      </c>
    </row>
    <row r="5" spans="1:42" ht="15" customHeight="1" x14ac:dyDescent="0.2">
      <c r="A5" s="1550"/>
      <c r="B5" s="361"/>
      <c r="C5" s="362"/>
      <c r="D5" s="363" t="str">
        <f>IF($C5="","",VLOOKUP($C5,MATIERES!$A$2:$F$227,5,0))</f>
        <v/>
      </c>
      <c r="E5" s="364">
        <v>2</v>
      </c>
      <c r="F5" s="365" t="str">
        <f>IF($C5="","",E5*VLOOKUP($C5,MATIERES!$A$2:$F$349,4,0))</f>
        <v/>
      </c>
      <c r="G5" s="364">
        <v>3</v>
      </c>
      <c r="H5" s="365" t="str">
        <f>IF($C5="","",G5*VLOOKUP($C5,MATIERES!$A$2:$F$349,4,0))</f>
        <v/>
      </c>
      <c r="I5" s="364">
        <v>4</v>
      </c>
      <c r="J5" s="365" t="str">
        <f>IF($C5="","",I5*VLOOKUP($C5,MATIERES!$A$2:$F$349,4,0))</f>
        <v/>
      </c>
      <c r="K5" s="364">
        <v>5</v>
      </c>
      <c r="L5" s="365" t="str">
        <f>IF($C5="","",K5*VLOOKUP($C5,MATIERES!$A$2:$F$349,4,0))</f>
        <v/>
      </c>
      <c r="M5" s="364">
        <v>6</v>
      </c>
      <c r="N5" s="365" t="str">
        <f>IF($C5="","",M5*VLOOKUP($C5,MATIERES!$A$2:$F$349,4,0))</f>
        <v/>
      </c>
      <c r="O5" s="364">
        <v>7</v>
      </c>
      <c r="P5" s="365" t="str">
        <f>IF($C5="","",O5*VLOOKUP($C5,MATIERES!$A$2:$F$349,4,0))</f>
        <v/>
      </c>
      <c r="Q5" s="364">
        <v>8</v>
      </c>
      <c r="R5" s="365" t="str">
        <f>IF($C5="","",Q5*VLOOKUP($C5,MATIERES!$A$2:$F$349,4,0))</f>
        <v/>
      </c>
      <c r="S5" s="364">
        <v>9</v>
      </c>
      <c r="T5" s="365" t="str">
        <f>IF($C5="","",S5*VLOOKUP($C5,MATIERES!$A$2:$F$349,4,0))</f>
        <v/>
      </c>
      <c r="U5" s="364">
        <v>10</v>
      </c>
      <c r="V5" s="365" t="str">
        <f>IF($C5="","",U5*VLOOKUP($C5,MATIERES!$A$2:$F$349,4,0))</f>
        <v/>
      </c>
      <c r="W5" s="364">
        <v>11</v>
      </c>
      <c r="X5" s="365" t="str">
        <f>IF($C5="","",W5*VLOOKUP($C5,MATIERES!$A$2:$F$349,4,0))</f>
        <v/>
      </c>
      <c r="Y5" s="364">
        <v>12</v>
      </c>
      <c r="Z5" s="365" t="str">
        <f>IF($C5="","",Y5*VLOOKUP($C5,MATIERES!$A$2:$F$349,4,0))</f>
        <v/>
      </c>
      <c r="AA5" s="364">
        <v>13</v>
      </c>
      <c r="AB5" s="365" t="str">
        <f>IF($C5="","",AA5*VLOOKUP($C5,MATIERES!$A$2:$F$349,4,0))</f>
        <v/>
      </c>
      <c r="AC5" s="364">
        <v>14</v>
      </c>
      <c r="AD5" s="365" t="str">
        <f>IF($C5="","",AC5*VLOOKUP($C5,MATIERES!$A$2:$F$349,4,0))</f>
        <v/>
      </c>
      <c r="AE5" s="364">
        <v>15</v>
      </c>
      <c r="AF5" s="365" t="str">
        <f>IF($C5="","",AE5*VLOOKUP($C5,MATIERES!$A$2:$F$349,4,0))</f>
        <v/>
      </c>
      <c r="AG5" s="364">
        <v>16</v>
      </c>
      <c r="AH5" s="365" t="str">
        <f>IF($C5="","",AG5*VLOOKUP($C5,MATIERES!$A$2:$F$349,4,0))</f>
        <v/>
      </c>
      <c r="AI5" s="364">
        <v>17</v>
      </c>
      <c r="AJ5" s="365" t="str">
        <f>IF($C5="","",AI5*VLOOKUP($C5,MATIERES!$A$2:$F$349,4,0))</f>
        <v/>
      </c>
      <c r="AK5" s="364">
        <v>18</v>
      </c>
      <c r="AL5" s="365" t="str">
        <f>IF($C5="","",AK5*VLOOKUP($C5,MATIERES!$A$2:$F$349,4,0))</f>
        <v/>
      </c>
      <c r="AM5" s="364">
        <v>19</v>
      </c>
      <c r="AN5" s="365" t="str">
        <f>IF($C5="","",AM5*VLOOKUP($C5,MATIERES!$A$2:$F$349,4,0))</f>
        <v/>
      </c>
    </row>
    <row r="6" spans="1:42" ht="15" customHeight="1" x14ac:dyDescent="0.2">
      <c r="A6" s="1550"/>
      <c r="B6" s="361"/>
      <c r="C6" s="362"/>
      <c r="D6" s="363" t="str">
        <f>IF($C6="","",VLOOKUP($C6,MATIERES!$A$2:$F$227,5,0))</f>
        <v/>
      </c>
      <c r="E6" s="364">
        <v>3</v>
      </c>
      <c r="F6" s="365" t="str">
        <f>IF($C6="","",E6*VLOOKUP($C6,MATIERES!$A$2:$F$349,4,0))</f>
        <v/>
      </c>
      <c r="G6" s="364">
        <v>4</v>
      </c>
      <c r="H6" s="365" t="str">
        <f>IF($C6="","",G6*VLOOKUP($C6,MATIERES!$A$2:$F$349,4,0))</f>
        <v/>
      </c>
      <c r="I6" s="364">
        <v>5</v>
      </c>
      <c r="J6" s="365" t="str">
        <f>IF($C6="","",I6*VLOOKUP($C6,MATIERES!$A$2:$F$349,4,0))</f>
        <v/>
      </c>
      <c r="K6" s="364">
        <v>6</v>
      </c>
      <c r="L6" s="365" t="str">
        <f>IF($C6="","",K6*VLOOKUP($C6,MATIERES!$A$2:$F$349,4,0))</f>
        <v/>
      </c>
      <c r="M6" s="364">
        <v>7</v>
      </c>
      <c r="N6" s="365" t="str">
        <f>IF($C6="","",M6*VLOOKUP($C6,MATIERES!$A$2:$F$349,4,0))</f>
        <v/>
      </c>
      <c r="O6" s="364">
        <v>8</v>
      </c>
      <c r="P6" s="365" t="str">
        <f>IF($C6="","",O6*VLOOKUP($C6,MATIERES!$A$2:$F$349,4,0))</f>
        <v/>
      </c>
      <c r="Q6" s="364">
        <v>9</v>
      </c>
      <c r="R6" s="365" t="str">
        <f>IF($C6="","",Q6*VLOOKUP($C6,MATIERES!$A$2:$F$349,4,0))</f>
        <v/>
      </c>
      <c r="S6" s="364">
        <v>10</v>
      </c>
      <c r="T6" s="365" t="str">
        <f>IF($C6="","",S6*VLOOKUP($C6,MATIERES!$A$2:$F$349,4,0))</f>
        <v/>
      </c>
      <c r="U6" s="364">
        <v>11</v>
      </c>
      <c r="V6" s="365" t="str">
        <f>IF($C6="","",U6*VLOOKUP($C6,MATIERES!$A$2:$F$349,4,0))</f>
        <v/>
      </c>
      <c r="W6" s="364">
        <v>12</v>
      </c>
      <c r="X6" s="365" t="str">
        <f>IF($C6="","",W6*VLOOKUP($C6,MATIERES!$A$2:$F$349,4,0))</f>
        <v/>
      </c>
      <c r="Y6" s="364">
        <v>13</v>
      </c>
      <c r="Z6" s="365" t="str">
        <f>IF($C6="","",Y6*VLOOKUP($C6,MATIERES!$A$2:$F$349,4,0))</f>
        <v/>
      </c>
      <c r="AA6" s="364">
        <v>14</v>
      </c>
      <c r="AB6" s="365" t="str">
        <f>IF($C6="","",AA6*VLOOKUP($C6,MATIERES!$A$2:$F$349,4,0))</f>
        <v/>
      </c>
      <c r="AC6" s="364">
        <v>15</v>
      </c>
      <c r="AD6" s="365" t="str">
        <f>IF($C6="","",AC6*VLOOKUP($C6,MATIERES!$A$2:$F$349,4,0))</f>
        <v/>
      </c>
      <c r="AE6" s="364">
        <v>16</v>
      </c>
      <c r="AF6" s="365" t="str">
        <f>IF($C6="","",AE6*VLOOKUP($C6,MATIERES!$A$2:$F$349,4,0))</f>
        <v/>
      </c>
      <c r="AG6" s="364">
        <v>17</v>
      </c>
      <c r="AH6" s="365" t="str">
        <f>IF($C6="","",AG6*VLOOKUP($C6,MATIERES!$A$2:$F$349,4,0))</f>
        <v/>
      </c>
      <c r="AI6" s="364">
        <v>18</v>
      </c>
      <c r="AJ6" s="365" t="str">
        <f>IF($C6="","",AI6*VLOOKUP($C6,MATIERES!$A$2:$F$349,4,0))</f>
        <v/>
      </c>
      <c r="AK6" s="364">
        <v>19</v>
      </c>
      <c r="AL6" s="365" t="str">
        <f>IF($C6="","",AK6*VLOOKUP($C6,MATIERES!$A$2:$F$349,4,0))</f>
        <v/>
      </c>
      <c r="AM6" s="364">
        <v>20</v>
      </c>
      <c r="AN6" s="365" t="str">
        <f>IF($C6="","",AM6*VLOOKUP($C6,MATIERES!$A$2:$F$349,4,0))</f>
        <v/>
      </c>
    </row>
    <row r="7" spans="1:42" ht="15" customHeight="1" x14ac:dyDescent="0.2">
      <c r="A7" s="1550"/>
      <c r="B7" s="361"/>
      <c r="C7" s="362"/>
      <c r="D7" s="363" t="str">
        <f>IF($C7="","",VLOOKUP($C7,MATIERES!$A$2:$F$227,5,0))</f>
        <v/>
      </c>
      <c r="E7" s="364">
        <v>4</v>
      </c>
      <c r="F7" s="365" t="str">
        <f>IF($C7="","",E7*VLOOKUP($C7,MATIERES!$A$2:$F$349,4,0))</f>
        <v/>
      </c>
      <c r="G7" s="364">
        <v>5</v>
      </c>
      <c r="H7" s="365" t="str">
        <f>IF($C7="","",G7*VLOOKUP($C7,MATIERES!$A$2:$F$349,4,0))</f>
        <v/>
      </c>
      <c r="I7" s="364">
        <v>6</v>
      </c>
      <c r="J7" s="365" t="str">
        <f>IF($C7="","",I7*VLOOKUP($C7,MATIERES!$A$2:$F$349,4,0))</f>
        <v/>
      </c>
      <c r="K7" s="364">
        <v>7</v>
      </c>
      <c r="L7" s="365" t="str">
        <f>IF($C7="","",K7*VLOOKUP($C7,MATIERES!$A$2:$F$349,4,0))</f>
        <v/>
      </c>
      <c r="M7" s="364">
        <v>8</v>
      </c>
      <c r="N7" s="365" t="str">
        <f>IF($C7="","",M7*VLOOKUP($C7,MATIERES!$A$2:$F$349,4,0))</f>
        <v/>
      </c>
      <c r="O7" s="364">
        <v>9</v>
      </c>
      <c r="P7" s="365" t="str">
        <f>IF($C7="","",O7*VLOOKUP($C7,MATIERES!$A$2:$F$349,4,0))</f>
        <v/>
      </c>
      <c r="Q7" s="364">
        <v>10</v>
      </c>
      <c r="R7" s="365" t="str">
        <f>IF($C7="","",Q7*VLOOKUP($C7,MATIERES!$A$2:$F$349,4,0))</f>
        <v/>
      </c>
      <c r="S7" s="364">
        <v>11</v>
      </c>
      <c r="T7" s="365" t="str">
        <f>IF($C7="","",S7*VLOOKUP($C7,MATIERES!$A$2:$F$349,4,0))</f>
        <v/>
      </c>
      <c r="U7" s="364">
        <v>12</v>
      </c>
      <c r="V7" s="365" t="str">
        <f>IF($C7="","",U7*VLOOKUP($C7,MATIERES!$A$2:$F$349,4,0))</f>
        <v/>
      </c>
      <c r="W7" s="364">
        <v>13</v>
      </c>
      <c r="X7" s="365" t="str">
        <f>IF($C7="","",W7*VLOOKUP($C7,MATIERES!$A$2:$F$349,4,0))</f>
        <v/>
      </c>
      <c r="Y7" s="364">
        <v>14</v>
      </c>
      <c r="Z7" s="365" t="str">
        <f>IF($C7="","",Y7*VLOOKUP($C7,MATIERES!$A$2:$F$349,4,0))</f>
        <v/>
      </c>
      <c r="AA7" s="364">
        <v>15</v>
      </c>
      <c r="AB7" s="365" t="str">
        <f>IF($C7="","",AA7*VLOOKUP($C7,MATIERES!$A$2:$F$349,4,0))</f>
        <v/>
      </c>
      <c r="AC7" s="364">
        <v>16</v>
      </c>
      <c r="AD7" s="365" t="str">
        <f>IF($C7="","",AC7*VLOOKUP($C7,MATIERES!$A$2:$F$349,4,0))</f>
        <v/>
      </c>
      <c r="AE7" s="364">
        <v>17</v>
      </c>
      <c r="AF7" s="365" t="str">
        <f>IF($C7="","",AE7*VLOOKUP($C7,MATIERES!$A$2:$F$349,4,0))</f>
        <v/>
      </c>
      <c r="AG7" s="364">
        <v>18</v>
      </c>
      <c r="AH7" s="365" t="str">
        <f>IF($C7="","",AG7*VLOOKUP($C7,MATIERES!$A$2:$F$349,4,0))</f>
        <v/>
      </c>
      <c r="AI7" s="364">
        <v>19</v>
      </c>
      <c r="AJ7" s="365" t="str">
        <f>IF($C7="","",AI7*VLOOKUP($C7,MATIERES!$A$2:$F$349,4,0))</f>
        <v/>
      </c>
      <c r="AK7" s="364">
        <v>20</v>
      </c>
      <c r="AL7" s="365" t="str">
        <f>IF($C7="","",AK7*VLOOKUP($C7,MATIERES!$A$2:$F$349,4,0))</f>
        <v/>
      </c>
      <c r="AM7" s="364">
        <v>21</v>
      </c>
      <c r="AN7" s="365" t="str">
        <f>IF($C7="","",AM7*VLOOKUP($C7,MATIERES!$A$2:$F$349,4,0))</f>
        <v/>
      </c>
    </row>
    <row r="8" spans="1:42" ht="15" customHeight="1" x14ac:dyDescent="0.2">
      <c r="A8" s="1550"/>
      <c r="B8" s="361"/>
      <c r="C8" s="362"/>
      <c r="D8" s="363" t="str">
        <f>IF($C8="","",VLOOKUP($C8,MATIERES!$A$2:$F$227,5,0))</f>
        <v/>
      </c>
      <c r="E8" s="364">
        <v>5</v>
      </c>
      <c r="F8" s="365" t="str">
        <f>IF($C8="","",E8*VLOOKUP($C8,MATIERES!$A$2:$F$349,4,0))</f>
        <v/>
      </c>
      <c r="G8" s="364">
        <v>6</v>
      </c>
      <c r="H8" s="365" t="str">
        <f>IF($C8="","",G8*VLOOKUP($C8,MATIERES!$A$2:$F$349,4,0))</f>
        <v/>
      </c>
      <c r="I8" s="364">
        <v>7</v>
      </c>
      <c r="J8" s="365" t="str">
        <f>IF($C8="","",I8*VLOOKUP($C8,MATIERES!$A$2:$F$349,4,0))</f>
        <v/>
      </c>
      <c r="K8" s="364">
        <v>8</v>
      </c>
      <c r="L8" s="365" t="str">
        <f>IF($C8="","",K8*VLOOKUP($C8,MATIERES!$A$2:$F$349,4,0))</f>
        <v/>
      </c>
      <c r="M8" s="364">
        <v>9</v>
      </c>
      <c r="N8" s="365" t="str">
        <f>IF($C8="","",M8*VLOOKUP($C8,MATIERES!$A$2:$F$349,4,0))</f>
        <v/>
      </c>
      <c r="O8" s="364">
        <v>10</v>
      </c>
      <c r="P8" s="365" t="str">
        <f>IF($C8="","",O8*VLOOKUP($C8,MATIERES!$A$2:$F$349,4,0))</f>
        <v/>
      </c>
      <c r="Q8" s="364">
        <v>11</v>
      </c>
      <c r="R8" s="365" t="str">
        <f>IF($C8="","",Q8*VLOOKUP($C8,MATIERES!$A$2:$F$349,4,0))</f>
        <v/>
      </c>
      <c r="S8" s="364">
        <v>12</v>
      </c>
      <c r="T8" s="365" t="str">
        <f>IF($C8="","",S8*VLOOKUP($C8,MATIERES!$A$2:$F$349,4,0))</f>
        <v/>
      </c>
      <c r="U8" s="364">
        <v>13</v>
      </c>
      <c r="V8" s="365" t="str">
        <f>IF($C8="","",U8*VLOOKUP($C8,MATIERES!$A$2:$F$349,4,0))</f>
        <v/>
      </c>
      <c r="W8" s="364">
        <v>14</v>
      </c>
      <c r="X8" s="365" t="str">
        <f>IF($C8="","",W8*VLOOKUP($C8,MATIERES!$A$2:$F$349,4,0))</f>
        <v/>
      </c>
      <c r="Y8" s="364">
        <v>15</v>
      </c>
      <c r="Z8" s="365" t="str">
        <f>IF($C8="","",Y8*VLOOKUP($C8,MATIERES!$A$2:$F$349,4,0))</f>
        <v/>
      </c>
      <c r="AA8" s="364">
        <v>16</v>
      </c>
      <c r="AB8" s="365" t="str">
        <f>IF($C8="","",AA8*VLOOKUP($C8,MATIERES!$A$2:$F$349,4,0))</f>
        <v/>
      </c>
      <c r="AC8" s="364">
        <v>17</v>
      </c>
      <c r="AD8" s="365" t="str">
        <f>IF($C8="","",AC8*VLOOKUP($C8,MATIERES!$A$2:$F$349,4,0))</f>
        <v/>
      </c>
      <c r="AE8" s="364">
        <v>18</v>
      </c>
      <c r="AF8" s="365" t="str">
        <f>IF($C8="","",AE8*VLOOKUP($C8,MATIERES!$A$2:$F$349,4,0))</f>
        <v/>
      </c>
      <c r="AG8" s="364">
        <v>19</v>
      </c>
      <c r="AH8" s="365" t="str">
        <f>IF($C8="","",AG8*VLOOKUP($C8,MATIERES!$A$2:$F$349,4,0))</f>
        <v/>
      </c>
      <c r="AI8" s="364">
        <v>20</v>
      </c>
      <c r="AJ8" s="365" t="str">
        <f>IF($C8="","",AI8*VLOOKUP($C8,MATIERES!$A$2:$F$349,4,0))</f>
        <v/>
      </c>
      <c r="AK8" s="364">
        <v>21</v>
      </c>
      <c r="AL8" s="365" t="str">
        <f>IF($C8="","",AK8*VLOOKUP($C8,MATIERES!$A$2:$F$349,4,0))</f>
        <v/>
      </c>
      <c r="AM8" s="364">
        <v>22</v>
      </c>
      <c r="AN8" s="365" t="str">
        <f>IF($C8="","",AM8*VLOOKUP($C8,MATIERES!$A$2:$F$349,4,0))</f>
        <v/>
      </c>
    </row>
    <row r="9" spans="1:42" ht="15" customHeight="1" x14ac:dyDescent="0.2">
      <c r="A9" s="1550"/>
      <c r="B9" s="361"/>
      <c r="C9" s="362"/>
      <c r="D9" s="363" t="str">
        <f>IF($C9="","",VLOOKUP($C9,MATIERES!$A$2:$F$227,5,0))</f>
        <v/>
      </c>
      <c r="E9" s="364">
        <v>6</v>
      </c>
      <c r="F9" s="365" t="str">
        <f>IF($C9="","",E9*VLOOKUP($C9,MATIERES!$A$2:$F$349,4,0))</f>
        <v/>
      </c>
      <c r="G9" s="364">
        <v>7</v>
      </c>
      <c r="H9" s="365" t="str">
        <f>IF($C9="","",G9*VLOOKUP($C9,MATIERES!$A$2:$F$349,4,0))</f>
        <v/>
      </c>
      <c r="I9" s="364">
        <v>8</v>
      </c>
      <c r="J9" s="365" t="str">
        <f>IF($C9="","",I9*VLOOKUP($C9,MATIERES!$A$2:$F$349,4,0))</f>
        <v/>
      </c>
      <c r="K9" s="364">
        <v>9</v>
      </c>
      <c r="L9" s="365" t="str">
        <f>IF($C9="","",K9*VLOOKUP($C9,MATIERES!$A$2:$F$349,4,0))</f>
        <v/>
      </c>
      <c r="M9" s="364">
        <v>10</v>
      </c>
      <c r="N9" s="365" t="str">
        <f>IF($C9="","",M9*VLOOKUP($C9,MATIERES!$A$2:$F$349,4,0))</f>
        <v/>
      </c>
      <c r="O9" s="364">
        <v>11</v>
      </c>
      <c r="P9" s="365" t="str">
        <f>IF($C9="","",O9*VLOOKUP($C9,MATIERES!$A$2:$F$349,4,0))</f>
        <v/>
      </c>
      <c r="Q9" s="364">
        <v>12</v>
      </c>
      <c r="R9" s="365" t="str">
        <f>IF($C9="","",Q9*VLOOKUP($C9,MATIERES!$A$2:$F$349,4,0))</f>
        <v/>
      </c>
      <c r="S9" s="364">
        <v>13</v>
      </c>
      <c r="T9" s="365" t="str">
        <f>IF($C9="","",S9*VLOOKUP($C9,MATIERES!$A$2:$F$349,4,0))</f>
        <v/>
      </c>
      <c r="U9" s="364">
        <v>14</v>
      </c>
      <c r="V9" s="365" t="str">
        <f>IF($C9="","",U9*VLOOKUP($C9,MATIERES!$A$2:$F$349,4,0))</f>
        <v/>
      </c>
      <c r="W9" s="364">
        <v>15</v>
      </c>
      <c r="X9" s="365" t="str">
        <f>IF($C9="","",W9*VLOOKUP($C9,MATIERES!$A$2:$F$349,4,0))</f>
        <v/>
      </c>
      <c r="Y9" s="364">
        <v>16</v>
      </c>
      <c r="Z9" s="365" t="str">
        <f>IF($C9="","",Y9*VLOOKUP($C9,MATIERES!$A$2:$F$349,4,0))</f>
        <v/>
      </c>
      <c r="AA9" s="364">
        <v>17</v>
      </c>
      <c r="AB9" s="365" t="str">
        <f>IF($C9="","",AA9*VLOOKUP($C9,MATIERES!$A$2:$F$349,4,0))</f>
        <v/>
      </c>
      <c r="AC9" s="364">
        <v>18</v>
      </c>
      <c r="AD9" s="365" t="str">
        <f>IF($C9="","",AC9*VLOOKUP($C9,MATIERES!$A$2:$F$349,4,0))</f>
        <v/>
      </c>
      <c r="AE9" s="364">
        <v>19</v>
      </c>
      <c r="AF9" s="365" t="str">
        <f>IF($C9="","",AE9*VLOOKUP($C9,MATIERES!$A$2:$F$349,4,0))</f>
        <v/>
      </c>
      <c r="AG9" s="364">
        <v>20</v>
      </c>
      <c r="AH9" s="365" t="str">
        <f>IF($C9="","",AG9*VLOOKUP($C9,MATIERES!$A$2:$F$349,4,0))</f>
        <v/>
      </c>
      <c r="AI9" s="364">
        <v>21</v>
      </c>
      <c r="AJ9" s="365" t="str">
        <f>IF($C9="","",AI9*VLOOKUP($C9,MATIERES!$A$2:$F$349,4,0))</f>
        <v/>
      </c>
      <c r="AK9" s="364">
        <v>22</v>
      </c>
      <c r="AL9" s="365" t="str">
        <f>IF($C9="","",AK9*VLOOKUP($C9,MATIERES!$A$2:$F$349,4,0))</f>
        <v/>
      </c>
      <c r="AM9" s="364">
        <v>23</v>
      </c>
      <c r="AN9" s="365" t="str">
        <f>IF($C9="","",AM9*VLOOKUP($C9,MATIERES!$A$2:$F$349,4,0))</f>
        <v/>
      </c>
    </row>
    <row r="10" spans="1:42" ht="15" customHeight="1" x14ac:dyDescent="0.2">
      <c r="A10" s="1550"/>
      <c r="B10" s="361"/>
      <c r="C10" s="362"/>
      <c r="D10" s="363" t="str">
        <f>IF($C10="","",VLOOKUP($C10,MATIERES!$A$2:$F$227,5,0))</f>
        <v/>
      </c>
      <c r="E10" s="364">
        <v>7</v>
      </c>
      <c r="F10" s="365" t="str">
        <f>IF($C10="","",E10*VLOOKUP($C10,MATIERES!$A$2:$F$349,4,0))</f>
        <v/>
      </c>
      <c r="G10" s="364">
        <v>8</v>
      </c>
      <c r="H10" s="365" t="str">
        <f>IF($C10="","",G10*VLOOKUP($C10,MATIERES!$A$2:$F$349,4,0))</f>
        <v/>
      </c>
      <c r="I10" s="364">
        <v>9</v>
      </c>
      <c r="J10" s="365" t="str">
        <f>IF($C10="","",I10*VLOOKUP($C10,MATIERES!$A$2:$F$349,4,0))</f>
        <v/>
      </c>
      <c r="K10" s="364">
        <v>10</v>
      </c>
      <c r="L10" s="365" t="str">
        <f>IF($C10="","",K10*VLOOKUP($C10,MATIERES!$A$2:$F$349,4,0))</f>
        <v/>
      </c>
      <c r="M10" s="364">
        <v>11</v>
      </c>
      <c r="N10" s="365" t="str">
        <f>IF($C10="","",M10*VLOOKUP($C10,MATIERES!$A$2:$F$349,4,0))</f>
        <v/>
      </c>
      <c r="O10" s="364">
        <v>12</v>
      </c>
      <c r="P10" s="365" t="str">
        <f>IF($C10="","",O10*VLOOKUP($C10,MATIERES!$A$2:$F$349,4,0))</f>
        <v/>
      </c>
      <c r="Q10" s="364">
        <v>13</v>
      </c>
      <c r="R10" s="365" t="str">
        <f>IF($C10="","",Q10*VLOOKUP($C10,MATIERES!$A$2:$F$349,4,0))</f>
        <v/>
      </c>
      <c r="S10" s="364">
        <v>14</v>
      </c>
      <c r="T10" s="365" t="str">
        <f>IF($C10="","",S10*VLOOKUP($C10,MATIERES!$A$2:$F$349,4,0))</f>
        <v/>
      </c>
      <c r="U10" s="364">
        <v>15</v>
      </c>
      <c r="V10" s="365" t="str">
        <f>IF($C10="","",U10*VLOOKUP($C10,MATIERES!$A$2:$F$349,4,0))</f>
        <v/>
      </c>
      <c r="W10" s="364">
        <v>16</v>
      </c>
      <c r="X10" s="365" t="str">
        <f>IF($C10="","",W10*VLOOKUP($C10,MATIERES!$A$2:$F$349,4,0))</f>
        <v/>
      </c>
      <c r="Y10" s="364">
        <v>17</v>
      </c>
      <c r="Z10" s="365" t="str">
        <f>IF($C10="","",Y10*VLOOKUP($C10,MATIERES!$A$2:$F$349,4,0))</f>
        <v/>
      </c>
      <c r="AA10" s="364">
        <v>18</v>
      </c>
      <c r="AB10" s="365" t="str">
        <f>IF($C10="","",AA10*VLOOKUP($C10,MATIERES!$A$2:$F$349,4,0))</f>
        <v/>
      </c>
      <c r="AC10" s="364">
        <v>19</v>
      </c>
      <c r="AD10" s="365" t="str">
        <f>IF($C10="","",AC10*VLOOKUP($C10,MATIERES!$A$2:$F$349,4,0))</f>
        <v/>
      </c>
      <c r="AE10" s="364">
        <v>20</v>
      </c>
      <c r="AF10" s="365" t="str">
        <f>IF($C10="","",AE10*VLOOKUP($C10,MATIERES!$A$2:$F$349,4,0))</f>
        <v/>
      </c>
      <c r="AG10" s="364">
        <v>21</v>
      </c>
      <c r="AH10" s="365" t="str">
        <f>IF($C10="","",AG10*VLOOKUP($C10,MATIERES!$A$2:$F$349,4,0))</f>
        <v/>
      </c>
      <c r="AI10" s="364">
        <v>22</v>
      </c>
      <c r="AJ10" s="365" t="str">
        <f>IF($C10="","",AI10*VLOOKUP($C10,MATIERES!$A$2:$F$349,4,0))</f>
        <v/>
      </c>
      <c r="AK10" s="364">
        <v>23</v>
      </c>
      <c r="AL10" s="365" t="str">
        <f>IF($C10="","",AK10*VLOOKUP($C10,MATIERES!$A$2:$F$349,4,0))</f>
        <v/>
      </c>
      <c r="AM10" s="364">
        <v>24</v>
      </c>
      <c r="AN10" s="365" t="str">
        <f>IF($C10="","",AM10*VLOOKUP($C10,MATIERES!$A$2:$F$349,4,0))</f>
        <v/>
      </c>
    </row>
    <row r="11" spans="1:42" ht="15" customHeight="1" x14ac:dyDescent="0.2">
      <c r="A11" s="1550"/>
      <c r="B11" s="361"/>
      <c r="C11" s="362"/>
      <c r="D11" s="363" t="str">
        <f>IF($C11="","",VLOOKUP($C11,MATIERES!$A$2:$F$227,5,0))</f>
        <v/>
      </c>
      <c r="E11" s="364">
        <v>8</v>
      </c>
      <c r="F11" s="365" t="str">
        <f>IF($C11="","",E11*VLOOKUP($C11,MATIERES!$A$2:$F$349,4,0))</f>
        <v/>
      </c>
      <c r="G11" s="364">
        <v>9</v>
      </c>
      <c r="H11" s="365" t="str">
        <f>IF($C11="","",G11*VLOOKUP($C11,MATIERES!$A$2:$F$349,4,0))</f>
        <v/>
      </c>
      <c r="I11" s="364">
        <v>10</v>
      </c>
      <c r="J11" s="365" t="str">
        <f>IF($C11="","",I11*VLOOKUP($C11,MATIERES!$A$2:$F$349,4,0))</f>
        <v/>
      </c>
      <c r="K11" s="364">
        <v>11</v>
      </c>
      <c r="L11" s="365" t="str">
        <f>IF($C11="","",K11*VLOOKUP($C11,MATIERES!$A$2:$F$349,4,0))</f>
        <v/>
      </c>
      <c r="M11" s="364">
        <v>12</v>
      </c>
      <c r="N11" s="365" t="str">
        <f>IF($C11="","",M11*VLOOKUP($C11,MATIERES!$A$2:$F$349,4,0))</f>
        <v/>
      </c>
      <c r="O11" s="364">
        <v>13</v>
      </c>
      <c r="P11" s="365" t="str">
        <f>IF($C11="","",O11*VLOOKUP($C11,MATIERES!$A$2:$F$349,4,0))</f>
        <v/>
      </c>
      <c r="Q11" s="364">
        <v>14</v>
      </c>
      <c r="R11" s="365" t="str">
        <f>IF($C11="","",Q11*VLOOKUP($C11,MATIERES!$A$2:$F$349,4,0))</f>
        <v/>
      </c>
      <c r="S11" s="364">
        <v>15</v>
      </c>
      <c r="T11" s="365" t="str">
        <f>IF($C11="","",S11*VLOOKUP($C11,MATIERES!$A$2:$F$349,4,0))</f>
        <v/>
      </c>
      <c r="U11" s="364">
        <v>16</v>
      </c>
      <c r="V11" s="365" t="str">
        <f>IF($C11="","",U11*VLOOKUP($C11,MATIERES!$A$2:$F$349,4,0))</f>
        <v/>
      </c>
      <c r="W11" s="364">
        <v>17</v>
      </c>
      <c r="X11" s="365" t="str">
        <f>IF($C11="","",W11*VLOOKUP($C11,MATIERES!$A$2:$F$349,4,0))</f>
        <v/>
      </c>
      <c r="Y11" s="364">
        <v>18</v>
      </c>
      <c r="Z11" s="365" t="str">
        <f>IF($C11="","",Y11*VLOOKUP($C11,MATIERES!$A$2:$F$349,4,0))</f>
        <v/>
      </c>
      <c r="AA11" s="364">
        <v>19</v>
      </c>
      <c r="AB11" s="365" t="str">
        <f>IF($C11="","",AA11*VLOOKUP($C11,MATIERES!$A$2:$F$349,4,0))</f>
        <v/>
      </c>
      <c r="AC11" s="364">
        <v>20</v>
      </c>
      <c r="AD11" s="365" t="str">
        <f>IF($C11="","",AC11*VLOOKUP($C11,MATIERES!$A$2:$F$349,4,0))</f>
        <v/>
      </c>
      <c r="AE11" s="364">
        <v>21</v>
      </c>
      <c r="AF11" s="365" t="str">
        <f>IF($C11="","",AE11*VLOOKUP($C11,MATIERES!$A$2:$F$349,4,0))</f>
        <v/>
      </c>
      <c r="AG11" s="364">
        <v>22</v>
      </c>
      <c r="AH11" s="365" t="str">
        <f>IF($C11="","",AG11*VLOOKUP($C11,MATIERES!$A$2:$F$349,4,0))</f>
        <v/>
      </c>
      <c r="AI11" s="364">
        <v>23</v>
      </c>
      <c r="AJ11" s="365" t="str">
        <f>IF($C11="","",AI11*VLOOKUP($C11,MATIERES!$A$2:$F$349,4,0))</f>
        <v/>
      </c>
      <c r="AK11" s="364">
        <v>24</v>
      </c>
      <c r="AL11" s="365" t="str">
        <f>IF($C11="","",AK11*VLOOKUP($C11,MATIERES!$A$2:$F$349,4,0))</f>
        <v/>
      </c>
      <c r="AM11" s="364">
        <v>25</v>
      </c>
      <c r="AN11" s="365" t="str">
        <f>IF($C11="","",AM11*VLOOKUP($C11,MATIERES!$A$2:$F$349,4,0))</f>
        <v/>
      </c>
    </row>
    <row r="12" spans="1:42" ht="15" customHeight="1" x14ac:dyDescent="0.2">
      <c r="A12" s="1550"/>
      <c r="B12" s="361"/>
      <c r="C12" s="362"/>
      <c r="D12" s="363" t="str">
        <f>IF($C12="","",VLOOKUP($C12,MATIERES!$A$2:$F$227,5,0))</f>
        <v/>
      </c>
      <c r="E12" s="364">
        <v>9</v>
      </c>
      <c r="F12" s="365" t="str">
        <f>IF($C12="","",E12*VLOOKUP($C12,MATIERES!$A$2:$F$349,4,0))</f>
        <v/>
      </c>
      <c r="G12" s="364">
        <v>10</v>
      </c>
      <c r="H12" s="365" t="str">
        <f>IF($C12="","",G12*VLOOKUP($C12,MATIERES!$A$2:$F$349,4,0))</f>
        <v/>
      </c>
      <c r="I12" s="364">
        <v>11</v>
      </c>
      <c r="J12" s="365" t="str">
        <f>IF($C12="","",I12*VLOOKUP($C12,MATIERES!$A$2:$F$349,4,0))</f>
        <v/>
      </c>
      <c r="K12" s="364">
        <v>12</v>
      </c>
      <c r="L12" s="365" t="str">
        <f>IF($C12="","",K12*VLOOKUP($C12,MATIERES!$A$2:$F$349,4,0))</f>
        <v/>
      </c>
      <c r="M12" s="364">
        <v>13</v>
      </c>
      <c r="N12" s="365" t="str">
        <f>IF($C12="","",M12*VLOOKUP($C12,MATIERES!$A$2:$F$349,4,0))</f>
        <v/>
      </c>
      <c r="O12" s="364">
        <v>14</v>
      </c>
      <c r="P12" s="365" t="str">
        <f>IF($C12="","",O12*VLOOKUP($C12,MATIERES!$A$2:$F$349,4,0))</f>
        <v/>
      </c>
      <c r="Q12" s="364">
        <v>15</v>
      </c>
      <c r="R12" s="365" t="str">
        <f>IF($C12="","",Q12*VLOOKUP($C12,MATIERES!$A$2:$F$349,4,0))</f>
        <v/>
      </c>
      <c r="S12" s="364">
        <v>16</v>
      </c>
      <c r="T12" s="365" t="str">
        <f>IF($C12="","",S12*VLOOKUP($C12,MATIERES!$A$2:$F$349,4,0))</f>
        <v/>
      </c>
      <c r="U12" s="364">
        <v>17</v>
      </c>
      <c r="V12" s="365" t="str">
        <f>IF($C12="","",U12*VLOOKUP($C12,MATIERES!$A$2:$F$349,4,0))</f>
        <v/>
      </c>
      <c r="W12" s="364">
        <v>18</v>
      </c>
      <c r="X12" s="365" t="str">
        <f>IF($C12="","",W12*VLOOKUP($C12,MATIERES!$A$2:$F$349,4,0))</f>
        <v/>
      </c>
      <c r="Y12" s="364">
        <v>19</v>
      </c>
      <c r="Z12" s="365" t="str">
        <f>IF($C12="","",Y12*VLOOKUP($C12,MATIERES!$A$2:$F$349,4,0))</f>
        <v/>
      </c>
      <c r="AA12" s="364">
        <v>20</v>
      </c>
      <c r="AB12" s="365" t="str">
        <f>IF($C12="","",AA12*VLOOKUP($C12,MATIERES!$A$2:$F$349,4,0))</f>
        <v/>
      </c>
      <c r="AC12" s="364">
        <v>21</v>
      </c>
      <c r="AD12" s="365" t="str">
        <f>IF($C12="","",AC12*VLOOKUP($C12,MATIERES!$A$2:$F$349,4,0))</f>
        <v/>
      </c>
      <c r="AE12" s="364">
        <v>22</v>
      </c>
      <c r="AF12" s="365" t="str">
        <f>IF($C12="","",AE12*VLOOKUP($C12,MATIERES!$A$2:$F$349,4,0))</f>
        <v/>
      </c>
      <c r="AG12" s="364">
        <v>23</v>
      </c>
      <c r="AH12" s="365" t="str">
        <f>IF($C12="","",AG12*VLOOKUP($C12,MATIERES!$A$2:$F$349,4,0))</f>
        <v/>
      </c>
      <c r="AI12" s="364">
        <v>24</v>
      </c>
      <c r="AJ12" s="365" t="str">
        <f>IF($C12="","",AI12*VLOOKUP($C12,MATIERES!$A$2:$F$349,4,0))</f>
        <v/>
      </c>
      <c r="AK12" s="364">
        <v>25</v>
      </c>
      <c r="AL12" s="365" t="str">
        <f>IF($C12="","",AK12*VLOOKUP($C12,MATIERES!$A$2:$F$349,4,0))</f>
        <v/>
      </c>
      <c r="AM12" s="364">
        <v>26</v>
      </c>
      <c r="AN12" s="365" t="str">
        <f>IF($C12="","",AM12*VLOOKUP($C12,MATIERES!$A$2:$F$349,4,0))</f>
        <v/>
      </c>
    </row>
    <row r="13" spans="1:42" ht="15" customHeight="1" x14ac:dyDescent="0.2">
      <c r="A13" s="1550"/>
      <c r="B13" s="361"/>
      <c r="C13" s="362"/>
      <c r="D13" s="363" t="str">
        <f>IF($C13="","",VLOOKUP($C13,MATIERES!$A$2:$F$227,5,0))</f>
        <v/>
      </c>
      <c r="E13" s="364">
        <v>10</v>
      </c>
      <c r="F13" s="365" t="str">
        <f>IF($C13="","",E13*VLOOKUP($C13,MATIERES!$A$2:$F$349,4,0))</f>
        <v/>
      </c>
      <c r="G13" s="364">
        <v>11</v>
      </c>
      <c r="H13" s="365" t="str">
        <f>IF($C13="","",G13*VLOOKUP($C13,MATIERES!$A$2:$F$349,4,0))</f>
        <v/>
      </c>
      <c r="I13" s="364">
        <v>12</v>
      </c>
      <c r="J13" s="365" t="str">
        <f>IF($C13="","",I13*VLOOKUP($C13,MATIERES!$A$2:$F$349,4,0))</f>
        <v/>
      </c>
      <c r="K13" s="364">
        <v>13</v>
      </c>
      <c r="L13" s="365" t="str">
        <f>IF($C13="","",K13*VLOOKUP($C13,MATIERES!$A$2:$F$349,4,0))</f>
        <v/>
      </c>
      <c r="M13" s="364">
        <v>14</v>
      </c>
      <c r="N13" s="365" t="str">
        <f>IF($C13="","",M13*VLOOKUP($C13,MATIERES!$A$2:$F$349,4,0))</f>
        <v/>
      </c>
      <c r="O13" s="364">
        <v>15</v>
      </c>
      <c r="P13" s="365" t="str">
        <f>IF($C13="","",O13*VLOOKUP($C13,MATIERES!$A$2:$F$349,4,0))</f>
        <v/>
      </c>
      <c r="Q13" s="364">
        <v>16</v>
      </c>
      <c r="R13" s="365" t="str">
        <f>IF($C13="","",Q13*VLOOKUP($C13,MATIERES!$A$2:$F$349,4,0))</f>
        <v/>
      </c>
      <c r="S13" s="364">
        <v>17</v>
      </c>
      <c r="T13" s="365" t="str">
        <f>IF($C13="","",S13*VLOOKUP($C13,MATIERES!$A$2:$F$349,4,0))</f>
        <v/>
      </c>
      <c r="U13" s="364">
        <v>18</v>
      </c>
      <c r="V13" s="365" t="str">
        <f>IF($C13="","",U13*VLOOKUP($C13,MATIERES!$A$2:$F$349,4,0))</f>
        <v/>
      </c>
      <c r="W13" s="364">
        <v>19</v>
      </c>
      <c r="X13" s="365" t="str">
        <f>IF($C13="","",W13*VLOOKUP($C13,MATIERES!$A$2:$F$349,4,0))</f>
        <v/>
      </c>
      <c r="Y13" s="364">
        <v>20</v>
      </c>
      <c r="Z13" s="365" t="str">
        <f>IF($C13="","",Y13*VLOOKUP($C13,MATIERES!$A$2:$F$349,4,0))</f>
        <v/>
      </c>
      <c r="AA13" s="364">
        <v>21</v>
      </c>
      <c r="AB13" s="365" t="str">
        <f>IF($C13="","",AA13*VLOOKUP($C13,MATIERES!$A$2:$F$349,4,0))</f>
        <v/>
      </c>
      <c r="AC13" s="364">
        <v>22</v>
      </c>
      <c r="AD13" s="365" t="str">
        <f>IF($C13="","",AC13*VLOOKUP($C13,MATIERES!$A$2:$F$349,4,0))</f>
        <v/>
      </c>
      <c r="AE13" s="364">
        <v>23</v>
      </c>
      <c r="AF13" s="365" t="str">
        <f>IF($C13="","",AE13*VLOOKUP($C13,MATIERES!$A$2:$F$349,4,0))</f>
        <v/>
      </c>
      <c r="AG13" s="364">
        <v>24</v>
      </c>
      <c r="AH13" s="365" t="str">
        <f>IF($C13="","",AG13*VLOOKUP($C13,MATIERES!$A$2:$F$349,4,0))</f>
        <v/>
      </c>
      <c r="AI13" s="364">
        <v>25</v>
      </c>
      <c r="AJ13" s="365" t="str">
        <f>IF($C13="","",AI13*VLOOKUP($C13,MATIERES!$A$2:$F$349,4,0))</f>
        <v/>
      </c>
      <c r="AK13" s="364">
        <v>26</v>
      </c>
      <c r="AL13" s="365" t="str">
        <f>IF($C13="","",AK13*VLOOKUP($C13,MATIERES!$A$2:$F$349,4,0))</f>
        <v/>
      </c>
      <c r="AM13" s="364">
        <v>27</v>
      </c>
      <c r="AN13" s="365" t="str">
        <f>IF($C13="","",AM13*VLOOKUP($C13,MATIERES!$A$2:$F$349,4,0))</f>
        <v/>
      </c>
      <c r="AO13" s="186"/>
    </row>
    <row r="14" spans="1:42" ht="15" customHeight="1" x14ac:dyDescent="0.2">
      <c r="A14" s="1550"/>
      <c r="B14" s="361"/>
      <c r="C14" s="362"/>
      <c r="D14" s="363" t="str">
        <f>IF($C14="","",VLOOKUP($C14,MATIERES!$A$2:$F$227,5,0))</f>
        <v/>
      </c>
      <c r="E14" s="364">
        <v>11</v>
      </c>
      <c r="F14" s="365" t="str">
        <f>IF($C14="","",E14*VLOOKUP($C14,MATIERES!$A$2:$F$349,4,0))</f>
        <v/>
      </c>
      <c r="G14" s="364">
        <v>12</v>
      </c>
      <c r="H14" s="365" t="str">
        <f>IF($C14="","",G14*VLOOKUP($C14,MATIERES!$A$2:$F$349,4,0))</f>
        <v/>
      </c>
      <c r="I14" s="364">
        <v>13</v>
      </c>
      <c r="J14" s="365" t="str">
        <f>IF($C14="","",I14*VLOOKUP($C14,MATIERES!$A$2:$F$349,4,0))</f>
        <v/>
      </c>
      <c r="K14" s="364">
        <v>14</v>
      </c>
      <c r="L14" s="365" t="str">
        <f>IF($C14="","",K14*VLOOKUP($C14,MATIERES!$A$2:$F$349,4,0))</f>
        <v/>
      </c>
      <c r="M14" s="364">
        <v>15</v>
      </c>
      <c r="N14" s="365" t="str">
        <f>IF($C14="","",M14*VLOOKUP($C14,MATIERES!$A$2:$F$349,4,0))</f>
        <v/>
      </c>
      <c r="O14" s="364">
        <v>16</v>
      </c>
      <c r="P14" s="365" t="str">
        <f>IF($C14="","",O14*VLOOKUP($C14,MATIERES!$A$2:$F$349,4,0))</f>
        <v/>
      </c>
      <c r="Q14" s="364">
        <v>17</v>
      </c>
      <c r="R14" s="365" t="str">
        <f>IF($C14="","",Q14*VLOOKUP($C14,MATIERES!$A$2:$F$349,4,0))</f>
        <v/>
      </c>
      <c r="S14" s="364">
        <v>18</v>
      </c>
      <c r="T14" s="365" t="str">
        <f>IF($C14="","",S14*VLOOKUP($C14,MATIERES!$A$2:$F$349,4,0))</f>
        <v/>
      </c>
      <c r="U14" s="364">
        <v>19</v>
      </c>
      <c r="V14" s="365" t="str">
        <f>IF($C14="","",U14*VLOOKUP($C14,MATIERES!$A$2:$F$349,4,0))</f>
        <v/>
      </c>
      <c r="W14" s="364">
        <v>20</v>
      </c>
      <c r="X14" s="365" t="str">
        <f>IF($C14="","",W14*VLOOKUP($C14,MATIERES!$A$2:$F$349,4,0))</f>
        <v/>
      </c>
      <c r="Y14" s="364">
        <v>21</v>
      </c>
      <c r="Z14" s="365" t="str">
        <f>IF($C14="","",Y14*VLOOKUP($C14,MATIERES!$A$2:$F$349,4,0))</f>
        <v/>
      </c>
      <c r="AA14" s="364">
        <v>22</v>
      </c>
      <c r="AB14" s="365" t="str">
        <f>IF($C14="","",AA14*VLOOKUP($C14,MATIERES!$A$2:$F$349,4,0))</f>
        <v/>
      </c>
      <c r="AC14" s="364">
        <v>23</v>
      </c>
      <c r="AD14" s="365" t="str">
        <f>IF($C14="","",AC14*VLOOKUP($C14,MATIERES!$A$2:$F$349,4,0))</f>
        <v/>
      </c>
      <c r="AE14" s="364">
        <v>24</v>
      </c>
      <c r="AF14" s="365" t="str">
        <f>IF($C14="","",AE14*VLOOKUP($C14,MATIERES!$A$2:$F$349,4,0))</f>
        <v/>
      </c>
      <c r="AG14" s="364">
        <v>25</v>
      </c>
      <c r="AH14" s="365" t="str">
        <f>IF($C14="","",AG14*VLOOKUP($C14,MATIERES!$A$2:$F$349,4,0))</f>
        <v/>
      </c>
      <c r="AI14" s="364">
        <v>26</v>
      </c>
      <c r="AJ14" s="365" t="str">
        <f>IF($C14="","",AI14*VLOOKUP($C14,MATIERES!$A$2:$F$349,4,0))</f>
        <v/>
      </c>
      <c r="AK14" s="364">
        <v>27</v>
      </c>
      <c r="AL14" s="365" t="str">
        <f>IF($C14="","",AK14*VLOOKUP($C14,MATIERES!$A$2:$F$349,4,0))</f>
        <v/>
      </c>
      <c r="AM14" s="364">
        <v>28</v>
      </c>
      <c r="AN14" s="365" t="str">
        <f>IF($C14="","",AM14*VLOOKUP($C14,MATIERES!$A$2:$F$349,4,0))</f>
        <v/>
      </c>
    </row>
    <row r="15" spans="1:42" ht="15" customHeight="1" x14ac:dyDescent="0.2">
      <c r="A15" s="1550"/>
      <c r="B15" s="361"/>
      <c r="C15" s="362"/>
      <c r="D15" s="363" t="str">
        <f>IF($C15="","",VLOOKUP($C15,MATIERES!$A$2:$F$227,5,0))</f>
        <v/>
      </c>
      <c r="E15" s="364">
        <v>12</v>
      </c>
      <c r="F15" s="365" t="str">
        <f>IF($C15="","",E15*VLOOKUP($C15,MATIERES!$A$2:$F$349,4,0))</f>
        <v/>
      </c>
      <c r="G15" s="364">
        <v>13</v>
      </c>
      <c r="H15" s="365" t="str">
        <f>IF($C15="","",G15*VLOOKUP($C15,MATIERES!$A$2:$F$349,4,0))</f>
        <v/>
      </c>
      <c r="I15" s="364">
        <v>14</v>
      </c>
      <c r="J15" s="365" t="str">
        <f>IF($C15="","",I15*VLOOKUP($C15,MATIERES!$A$2:$F$349,4,0))</f>
        <v/>
      </c>
      <c r="K15" s="364">
        <v>15</v>
      </c>
      <c r="L15" s="365" t="str">
        <f>IF($C15="","",K15*VLOOKUP($C15,MATIERES!$A$2:$F$349,4,0))</f>
        <v/>
      </c>
      <c r="M15" s="364">
        <v>16</v>
      </c>
      <c r="N15" s="365" t="str">
        <f>IF($C15="","",M15*VLOOKUP($C15,MATIERES!$A$2:$F$349,4,0))</f>
        <v/>
      </c>
      <c r="O15" s="364">
        <v>17</v>
      </c>
      <c r="P15" s="365" t="str">
        <f>IF($C15="","",O15*VLOOKUP($C15,MATIERES!$A$2:$F$349,4,0))</f>
        <v/>
      </c>
      <c r="Q15" s="364">
        <v>18</v>
      </c>
      <c r="R15" s="365" t="str">
        <f>IF($C15="","",Q15*VLOOKUP($C15,MATIERES!$A$2:$F$349,4,0))</f>
        <v/>
      </c>
      <c r="S15" s="364">
        <v>19</v>
      </c>
      <c r="T15" s="365" t="str">
        <f>IF($C15="","",S15*VLOOKUP($C15,MATIERES!$A$2:$F$349,4,0))</f>
        <v/>
      </c>
      <c r="U15" s="364">
        <v>20</v>
      </c>
      <c r="V15" s="365" t="str">
        <f>IF($C15="","",U15*VLOOKUP($C15,MATIERES!$A$2:$F$349,4,0))</f>
        <v/>
      </c>
      <c r="W15" s="364">
        <v>21</v>
      </c>
      <c r="X15" s="365" t="str">
        <f>IF($C15="","",W15*VLOOKUP($C15,MATIERES!$A$2:$F$349,4,0))</f>
        <v/>
      </c>
      <c r="Y15" s="364">
        <v>22</v>
      </c>
      <c r="Z15" s="365" t="str">
        <f>IF($C15="","",Y15*VLOOKUP($C15,MATIERES!$A$2:$F$349,4,0))</f>
        <v/>
      </c>
      <c r="AA15" s="364">
        <v>23</v>
      </c>
      <c r="AB15" s="365" t="str">
        <f>IF($C15="","",AA15*VLOOKUP($C15,MATIERES!$A$2:$F$349,4,0))</f>
        <v/>
      </c>
      <c r="AC15" s="364">
        <v>24</v>
      </c>
      <c r="AD15" s="365" t="str">
        <f>IF($C15="","",AC15*VLOOKUP($C15,MATIERES!$A$2:$F$349,4,0))</f>
        <v/>
      </c>
      <c r="AE15" s="364">
        <v>25</v>
      </c>
      <c r="AF15" s="365" t="str">
        <f>IF($C15="","",AE15*VLOOKUP($C15,MATIERES!$A$2:$F$349,4,0))</f>
        <v/>
      </c>
      <c r="AG15" s="364">
        <v>26</v>
      </c>
      <c r="AH15" s="365" t="str">
        <f>IF($C15="","",AG15*VLOOKUP($C15,MATIERES!$A$2:$F$349,4,0))</f>
        <v/>
      </c>
      <c r="AI15" s="364">
        <v>27</v>
      </c>
      <c r="AJ15" s="365" t="str">
        <f>IF($C15="","",AI15*VLOOKUP($C15,MATIERES!$A$2:$F$349,4,0))</f>
        <v/>
      </c>
      <c r="AK15" s="364">
        <v>28</v>
      </c>
      <c r="AL15" s="365" t="str">
        <f>IF($C15="","",AK15*VLOOKUP($C15,MATIERES!$A$2:$F$349,4,0))</f>
        <v/>
      </c>
      <c r="AM15" s="364">
        <v>29</v>
      </c>
      <c r="AN15" s="365" t="str">
        <f>IF($C15="","",AM15*VLOOKUP($C15,MATIERES!$A$2:$F$349,4,0))</f>
        <v/>
      </c>
    </row>
    <row r="16" spans="1:42" ht="15" customHeight="1" x14ac:dyDescent="0.2">
      <c r="A16" s="1550"/>
      <c r="B16" s="361"/>
      <c r="C16" s="362"/>
      <c r="D16" s="363" t="str">
        <f>IF($C16="","",VLOOKUP($C16,MATIERES!$A$2:$F$227,5,0))</f>
        <v/>
      </c>
      <c r="E16" s="364">
        <v>13</v>
      </c>
      <c r="F16" s="365" t="str">
        <f>IF($C16="","",E16*VLOOKUP($C16,MATIERES!$A$2:$F$349,4,0))</f>
        <v/>
      </c>
      <c r="G16" s="364">
        <v>14</v>
      </c>
      <c r="H16" s="365" t="str">
        <f>IF($C16="","",G16*VLOOKUP($C16,MATIERES!$A$2:$F$349,4,0))</f>
        <v/>
      </c>
      <c r="I16" s="364">
        <v>15</v>
      </c>
      <c r="J16" s="365" t="str">
        <f>IF($C16="","",I16*VLOOKUP($C16,MATIERES!$A$2:$F$349,4,0))</f>
        <v/>
      </c>
      <c r="K16" s="364">
        <v>16</v>
      </c>
      <c r="L16" s="365" t="str">
        <f>IF($C16="","",K16*VLOOKUP($C16,MATIERES!$A$2:$F$349,4,0))</f>
        <v/>
      </c>
      <c r="M16" s="364">
        <v>17</v>
      </c>
      <c r="N16" s="365" t="str">
        <f>IF($C16="","",M16*VLOOKUP($C16,MATIERES!$A$2:$F$349,4,0))</f>
        <v/>
      </c>
      <c r="O16" s="364">
        <v>18</v>
      </c>
      <c r="P16" s="365" t="str">
        <f>IF($C16="","",O16*VLOOKUP($C16,MATIERES!$A$2:$F$349,4,0))</f>
        <v/>
      </c>
      <c r="Q16" s="364">
        <v>19</v>
      </c>
      <c r="R16" s="365" t="str">
        <f>IF($C16="","",Q16*VLOOKUP($C16,MATIERES!$A$2:$F$349,4,0))</f>
        <v/>
      </c>
      <c r="S16" s="364">
        <v>20</v>
      </c>
      <c r="T16" s="365" t="str">
        <f>IF($C16="","",S16*VLOOKUP($C16,MATIERES!$A$2:$F$349,4,0))</f>
        <v/>
      </c>
      <c r="U16" s="364">
        <v>21</v>
      </c>
      <c r="V16" s="365" t="str">
        <f>IF($C16="","",U16*VLOOKUP($C16,MATIERES!$A$2:$F$349,4,0))</f>
        <v/>
      </c>
      <c r="W16" s="364">
        <v>22</v>
      </c>
      <c r="X16" s="365" t="str">
        <f>IF($C16="","",W16*VLOOKUP($C16,MATIERES!$A$2:$F$349,4,0))</f>
        <v/>
      </c>
      <c r="Y16" s="364">
        <v>23</v>
      </c>
      <c r="Z16" s="365" t="str">
        <f>IF($C16="","",Y16*VLOOKUP($C16,MATIERES!$A$2:$F$349,4,0))</f>
        <v/>
      </c>
      <c r="AA16" s="364">
        <v>24</v>
      </c>
      <c r="AB16" s="365" t="str">
        <f>IF($C16="","",AA16*VLOOKUP($C16,MATIERES!$A$2:$F$349,4,0))</f>
        <v/>
      </c>
      <c r="AC16" s="364">
        <v>25</v>
      </c>
      <c r="AD16" s="365" t="str">
        <f>IF($C16="","",AC16*VLOOKUP($C16,MATIERES!$A$2:$F$349,4,0))</f>
        <v/>
      </c>
      <c r="AE16" s="364">
        <v>26</v>
      </c>
      <c r="AF16" s="365" t="str">
        <f>IF($C16="","",AE16*VLOOKUP($C16,MATIERES!$A$2:$F$349,4,0))</f>
        <v/>
      </c>
      <c r="AG16" s="364">
        <v>27</v>
      </c>
      <c r="AH16" s="365" t="str">
        <f>IF($C16="","",AG16*VLOOKUP($C16,MATIERES!$A$2:$F$349,4,0))</f>
        <v/>
      </c>
      <c r="AI16" s="364">
        <v>28</v>
      </c>
      <c r="AJ16" s="365" t="str">
        <f>IF($C16="","",AI16*VLOOKUP($C16,MATIERES!$A$2:$F$349,4,0))</f>
        <v/>
      </c>
      <c r="AK16" s="364">
        <v>29</v>
      </c>
      <c r="AL16" s="365" t="str">
        <f>IF($C16="","",AK16*VLOOKUP($C16,MATIERES!$A$2:$F$349,4,0))</f>
        <v/>
      </c>
      <c r="AM16" s="364">
        <v>30</v>
      </c>
      <c r="AN16" s="365" t="str">
        <f>IF($C16="","",AM16*VLOOKUP($C16,MATIERES!$A$2:$F$349,4,0))</f>
        <v/>
      </c>
    </row>
    <row r="17" spans="1:40" ht="15" customHeight="1" x14ac:dyDescent="0.2">
      <c r="A17" s="1551"/>
      <c r="B17" s="361"/>
      <c r="C17" s="362"/>
      <c r="D17" s="363" t="str">
        <f>IF($C17="","",VLOOKUP($C17,MATIERES!$A$2:$F$227,5,0))</f>
        <v/>
      </c>
      <c r="E17" s="364">
        <v>14</v>
      </c>
      <c r="F17" s="365" t="str">
        <f>IF($C17="","",E17*VLOOKUP($C17,MATIERES!$A$2:$F$349,4,0))</f>
        <v/>
      </c>
      <c r="G17" s="364">
        <v>15</v>
      </c>
      <c r="H17" s="365" t="str">
        <f>IF($C17="","",G17*VLOOKUP($C17,MATIERES!$A$2:$F$349,4,0))</f>
        <v/>
      </c>
      <c r="I17" s="364">
        <v>16</v>
      </c>
      <c r="J17" s="365" t="str">
        <f>IF($C17="","",I17*VLOOKUP($C17,MATIERES!$A$2:$F$349,4,0))</f>
        <v/>
      </c>
      <c r="K17" s="364">
        <v>17</v>
      </c>
      <c r="L17" s="365" t="str">
        <f>IF($C17="","",K17*VLOOKUP($C17,MATIERES!$A$2:$F$349,4,0))</f>
        <v/>
      </c>
      <c r="M17" s="364">
        <v>18</v>
      </c>
      <c r="N17" s="365" t="str">
        <f>IF($C17="","",M17*VLOOKUP($C17,MATIERES!$A$2:$F$349,4,0))</f>
        <v/>
      </c>
      <c r="O17" s="364">
        <v>19</v>
      </c>
      <c r="P17" s="365" t="str">
        <f>IF($C17="","",O17*VLOOKUP($C17,MATIERES!$A$2:$F$349,4,0))</f>
        <v/>
      </c>
      <c r="Q17" s="364">
        <v>20</v>
      </c>
      <c r="R17" s="365" t="str">
        <f>IF($C17="","",Q17*VLOOKUP($C17,MATIERES!$A$2:$F$349,4,0))</f>
        <v/>
      </c>
      <c r="S17" s="364">
        <v>21</v>
      </c>
      <c r="T17" s="365" t="str">
        <f>IF($C17="","",S17*VLOOKUP($C17,MATIERES!$A$2:$F$349,4,0))</f>
        <v/>
      </c>
      <c r="U17" s="364">
        <v>22</v>
      </c>
      <c r="V17" s="365" t="str">
        <f>IF($C17="","",U17*VLOOKUP($C17,MATIERES!$A$2:$F$349,4,0))</f>
        <v/>
      </c>
      <c r="W17" s="364">
        <v>23</v>
      </c>
      <c r="X17" s="365" t="str">
        <f>IF($C17="","",W17*VLOOKUP($C17,MATIERES!$A$2:$F$349,4,0))</f>
        <v/>
      </c>
      <c r="Y17" s="364">
        <v>24</v>
      </c>
      <c r="Z17" s="365" t="str">
        <f>IF($C17="","",Y17*VLOOKUP($C17,MATIERES!$A$2:$F$349,4,0))</f>
        <v/>
      </c>
      <c r="AA17" s="364">
        <v>25</v>
      </c>
      <c r="AB17" s="365" t="str">
        <f>IF($C17="","",AA17*VLOOKUP($C17,MATIERES!$A$2:$F$349,4,0))</f>
        <v/>
      </c>
      <c r="AC17" s="364">
        <v>26</v>
      </c>
      <c r="AD17" s="365" t="str">
        <f>IF($C17="","",AC17*VLOOKUP($C17,MATIERES!$A$2:$F$349,4,0))</f>
        <v/>
      </c>
      <c r="AE17" s="364">
        <v>27</v>
      </c>
      <c r="AF17" s="365" t="str">
        <f>IF($C17="","",AE17*VLOOKUP($C17,MATIERES!$A$2:$F$349,4,0))</f>
        <v/>
      </c>
      <c r="AG17" s="364">
        <v>28</v>
      </c>
      <c r="AH17" s="365" t="str">
        <f>IF($C17="","",AG17*VLOOKUP($C17,MATIERES!$A$2:$F$349,4,0))</f>
        <v/>
      </c>
      <c r="AI17" s="364">
        <v>29</v>
      </c>
      <c r="AJ17" s="365" t="str">
        <f>IF($C17="","",AI17*VLOOKUP($C17,MATIERES!$A$2:$F$349,4,0))</f>
        <v/>
      </c>
      <c r="AK17" s="364">
        <v>30</v>
      </c>
      <c r="AL17" s="365" t="str">
        <f>IF($C17="","",AK17*VLOOKUP($C17,MATIERES!$A$2:$F$349,4,0))</f>
        <v/>
      </c>
      <c r="AM17" s="364">
        <v>31</v>
      </c>
      <c r="AN17" s="365" t="str">
        <f>IF($C17="","",AM17*VLOOKUP($C17,MATIERES!$A$2:$F$349,4,0))</f>
        <v/>
      </c>
    </row>
    <row r="18" spans="1:40" ht="15" customHeight="1" x14ac:dyDescent="0.2">
      <c r="A18" s="1550"/>
      <c r="B18" s="361"/>
      <c r="C18" s="362"/>
      <c r="D18" s="363" t="str">
        <f>IF($C18="","",VLOOKUP($C18,MATIERES!$A$2:$F$227,5,0))</f>
        <v/>
      </c>
      <c r="E18" s="364">
        <v>15</v>
      </c>
      <c r="F18" s="365" t="str">
        <f>IF($C18="","",E18*VLOOKUP($C18,MATIERES!$A$2:$F$349,4,0))</f>
        <v/>
      </c>
      <c r="G18" s="364">
        <v>16</v>
      </c>
      <c r="H18" s="365" t="str">
        <f>IF($C18="","",G18*VLOOKUP($C18,MATIERES!$A$2:$F$349,4,0))</f>
        <v/>
      </c>
      <c r="I18" s="364">
        <v>17</v>
      </c>
      <c r="J18" s="365" t="str">
        <f>IF($C18="","",I18*VLOOKUP($C18,MATIERES!$A$2:$F$349,4,0))</f>
        <v/>
      </c>
      <c r="K18" s="364">
        <v>18</v>
      </c>
      <c r="L18" s="365" t="str">
        <f>IF($C18="","",K18*VLOOKUP($C18,MATIERES!$A$2:$F$349,4,0))</f>
        <v/>
      </c>
      <c r="M18" s="364">
        <v>19</v>
      </c>
      <c r="N18" s="365" t="str">
        <f>IF($C18="","",M18*VLOOKUP($C18,MATIERES!$A$2:$F$349,4,0))</f>
        <v/>
      </c>
      <c r="O18" s="364">
        <v>20</v>
      </c>
      <c r="P18" s="365" t="str">
        <f>IF($C18="","",O18*VLOOKUP($C18,MATIERES!$A$2:$F$349,4,0))</f>
        <v/>
      </c>
      <c r="Q18" s="364">
        <v>21</v>
      </c>
      <c r="R18" s="365" t="str">
        <f>IF($C18="","",Q18*VLOOKUP($C18,MATIERES!$A$2:$F$349,4,0))</f>
        <v/>
      </c>
      <c r="S18" s="364">
        <v>22</v>
      </c>
      <c r="T18" s="365" t="str">
        <f>IF($C18="","",S18*VLOOKUP($C18,MATIERES!$A$2:$F$349,4,0))</f>
        <v/>
      </c>
      <c r="U18" s="364">
        <v>23</v>
      </c>
      <c r="V18" s="365" t="str">
        <f>IF($C18="","",U18*VLOOKUP($C18,MATIERES!$A$2:$F$349,4,0))</f>
        <v/>
      </c>
      <c r="W18" s="364">
        <v>24</v>
      </c>
      <c r="X18" s="365" t="str">
        <f>IF($C18="","",W18*VLOOKUP($C18,MATIERES!$A$2:$F$349,4,0))</f>
        <v/>
      </c>
      <c r="Y18" s="364">
        <v>25</v>
      </c>
      <c r="Z18" s="365" t="str">
        <f>IF($C18="","",Y18*VLOOKUP($C18,MATIERES!$A$2:$F$349,4,0))</f>
        <v/>
      </c>
      <c r="AA18" s="364">
        <v>26</v>
      </c>
      <c r="AB18" s="365" t="str">
        <f>IF($C18="","",AA18*VLOOKUP($C18,MATIERES!$A$2:$F$349,4,0))</f>
        <v/>
      </c>
      <c r="AC18" s="364">
        <v>27</v>
      </c>
      <c r="AD18" s="365" t="str">
        <f>IF($C18="","",AC18*VLOOKUP($C18,MATIERES!$A$2:$F$349,4,0))</f>
        <v/>
      </c>
      <c r="AE18" s="364">
        <v>28</v>
      </c>
      <c r="AF18" s="365" t="str">
        <f>IF($C18="","",AE18*VLOOKUP($C18,MATIERES!$A$2:$F$349,4,0))</f>
        <v/>
      </c>
      <c r="AG18" s="364">
        <v>29</v>
      </c>
      <c r="AH18" s="365" t="str">
        <f>IF($C18="","",AG18*VLOOKUP($C18,MATIERES!$A$2:$F$349,4,0))</f>
        <v/>
      </c>
      <c r="AI18" s="364">
        <v>30</v>
      </c>
      <c r="AJ18" s="365" t="str">
        <f>IF($C18="","",AI18*VLOOKUP($C18,MATIERES!$A$2:$F$349,4,0))</f>
        <v/>
      </c>
      <c r="AK18" s="364">
        <v>31</v>
      </c>
      <c r="AL18" s="365" t="str">
        <f>IF($C18="","",AK18*VLOOKUP($C18,MATIERES!$A$2:$F$349,4,0))</f>
        <v/>
      </c>
      <c r="AM18" s="364">
        <v>32</v>
      </c>
      <c r="AN18" s="365" t="str">
        <f>IF($C18="","",AM18*VLOOKUP($C18,MATIERES!$A$2:$F$349,4,0))</f>
        <v/>
      </c>
    </row>
    <row r="19" spans="1:40" ht="15" customHeight="1" x14ac:dyDescent="0.2">
      <c r="A19" s="1550"/>
      <c r="B19" s="361"/>
      <c r="C19" s="362"/>
      <c r="D19" s="363" t="str">
        <f>IF($C19="","",VLOOKUP($C19,MATIERES!$A$2:$F$227,5,0))</f>
        <v/>
      </c>
      <c r="E19" s="364">
        <v>16</v>
      </c>
      <c r="F19" s="365" t="str">
        <f>IF($C19="","",E19*VLOOKUP($C19,MATIERES!$A$2:$F$349,4,0))</f>
        <v/>
      </c>
      <c r="G19" s="364">
        <v>17</v>
      </c>
      <c r="H19" s="365" t="str">
        <f>IF($C19="","",G19*VLOOKUP($C19,MATIERES!$A$2:$F$349,4,0))</f>
        <v/>
      </c>
      <c r="I19" s="364">
        <v>18</v>
      </c>
      <c r="J19" s="365" t="str">
        <f>IF($C19="","",I19*VLOOKUP($C19,MATIERES!$A$2:$F$349,4,0))</f>
        <v/>
      </c>
      <c r="K19" s="364">
        <v>19</v>
      </c>
      <c r="L19" s="365" t="str">
        <f>IF($C19="","",K19*VLOOKUP($C19,MATIERES!$A$2:$F$349,4,0))</f>
        <v/>
      </c>
      <c r="M19" s="364">
        <v>20</v>
      </c>
      <c r="N19" s="365" t="str">
        <f>IF($C19="","",M19*VLOOKUP($C19,MATIERES!$A$2:$F$349,4,0))</f>
        <v/>
      </c>
      <c r="O19" s="364">
        <v>21</v>
      </c>
      <c r="P19" s="365" t="str">
        <f>IF($C19="","",O19*VLOOKUP($C19,MATIERES!$A$2:$F$349,4,0))</f>
        <v/>
      </c>
      <c r="Q19" s="364">
        <v>22</v>
      </c>
      <c r="R19" s="365" t="str">
        <f>IF($C19="","",Q19*VLOOKUP($C19,MATIERES!$A$2:$F$349,4,0))</f>
        <v/>
      </c>
      <c r="S19" s="364">
        <v>23</v>
      </c>
      <c r="T19" s="365" t="str">
        <f>IF($C19="","",S19*VLOOKUP($C19,MATIERES!$A$2:$F$349,4,0))</f>
        <v/>
      </c>
      <c r="U19" s="364">
        <v>24</v>
      </c>
      <c r="V19" s="365" t="str">
        <f>IF($C19="","",U19*VLOOKUP($C19,MATIERES!$A$2:$F$349,4,0))</f>
        <v/>
      </c>
      <c r="W19" s="364">
        <v>25</v>
      </c>
      <c r="X19" s="365" t="str">
        <f>IF($C19="","",W19*VLOOKUP($C19,MATIERES!$A$2:$F$349,4,0))</f>
        <v/>
      </c>
      <c r="Y19" s="364">
        <v>26</v>
      </c>
      <c r="Z19" s="365" t="str">
        <f>IF($C19="","",Y19*VLOOKUP($C19,MATIERES!$A$2:$F$349,4,0))</f>
        <v/>
      </c>
      <c r="AA19" s="364">
        <v>27</v>
      </c>
      <c r="AB19" s="365" t="str">
        <f>IF($C19="","",AA19*VLOOKUP($C19,MATIERES!$A$2:$F$349,4,0))</f>
        <v/>
      </c>
      <c r="AC19" s="364">
        <v>28</v>
      </c>
      <c r="AD19" s="365" t="str">
        <f>IF($C19="","",AC19*VLOOKUP($C19,MATIERES!$A$2:$F$349,4,0))</f>
        <v/>
      </c>
      <c r="AE19" s="364">
        <v>29</v>
      </c>
      <c r="AF19" s="365" t="str">
        <f>IF($C19="","",AE19*VLOOKUP($C19,MATIERES!$A$2:$F$349,4,0))</f>
        <v/>
      </c>
      <c r="AG19" s="364">
        <v>30</v>
      </c>
      <c r="AH19" s="365" t="str">
        <f>IF($C19="","",AG19*VLOOKUP($C19,MATIERES!$A$2:$F$349,4,0))</f>
        <v/>
      </c>
      <c r="AI19" s="364">
        <v>31</v>
      </c>
      <c r="AJ19" s="365" t="str">
        <f>IF($C19="","",AI19*VLOOKUP($C19,MATIERES!$A$2:$F$349,4,0))</f>
        <v/>
      </c>
      <c r="AK19" s="364">
        <v>32</v>
      </c>
      <c r="AL19" s="365" t="str">
        <f>IF($C19="","",AK19*VLOOKUP($C19,MATIERES!$A$2:$F$349,4,0))</f>
        <v/>
      </c>
      <c r="AM19" s="364">
        <v>33</v>
      </c>
      <c r="AN19" s="365" t="str">
        <f>IF($C19="","",AM19*VLOOKUP($C19,MATIERES!$A$2:$F$349,4,0))</f>
        <v/>
      </c>
    </row>
    <row r="20" spans="1:40" ht="15" customHeight="1" x14ac:dyDescent="0.2">
      <c r="A20" s="1550"/>
      <c r="B20" s="361"/>
      <c r="C20" s="362"/>
      <c r="D20" s="363" t="str">
        <f>IF($C20="","",VLOOKUP($C20,MATIERES!$A$2:$F$227,5,0))</f>
        <v/>
      </c>
      <c r="E20" s="364">
        <v>17</v>
      </c>
      <c r="F20" s="365" t="str">
        <f>IF($C20="","",E20*VLOOKUP($C20,MATIERES!$A$2:$F$349,4,0))</f>
        <v/>
      </c>
      <c r="G20" s="364">
        <v>18</v>
      </c>
      <c r="H20" s="365" t="str">
        <f>IF($C20="","",G20*VLOOKUP($C20,MATIERES!$A$2:$F$349,4,0))</f>
        <v/>
      </c>
      <c r="I20" s="364">
        <v>19</v>
      </c>
      <c r="J20" s="365" t="str">
        <f>IF($C20="","",I20*VLOOKUP($C20,MATIERES!$A$2:$F$349,4,0))</f>
        <v/>
      </c>
      <c r="K20" s="364">
        <v>20</v>
      </c>
      <c r="L20" s="365" t="str">
        <f>IF($C20="","",K20*VLOOKUP($C20,MATIERES!$A$2:$F$349,4,0))</f>
        <v/>
      </c>
      <c r="M20" s="364">
        <v>21</v>
      </c>
      <c r="N20" s="365" t="str">
        <f>IF($C20="","",M20*VLOOKUP($C20,MATIERES!$A$2:$F$349,4,0))</f>
        <v/>
      </c>
      <c r="O20" s="364">
        <v>22</v>
      </c>
      <c r="P20" s="365" t="str">
        <f>IF($C20="","",O20*VLOOKUP($C20,MATIERES!$A$2:$F$349,4,0))</f>
        <v/>
      </c>
      <c r="Q20" s="364">
        <v>23</v>
      </c>
      <c r="R20" s="365" t="str">
        <f>IF($C20="","",Q20*VLOOKUP($C20,MATIERES!$A$2:$F$349,4,0))</f>
        <v/>
      </c>
      <c r="S20" s="364">
        <v>24</v>
      </c>
      <c r="T20" s="365" t="str">
        <f>IF($C20="","",S20*VLOOKUP($C20,MATIERES!$A$2:$F$349,4,0))</f>
        <v/>
      </c>
      <c r="U20" s="364">
        <v>25</v>
      </c>
      <c r="V20" s="365" t="str">
        <f>IF($C20="","",U20*VLOOKUP($C20,MATIERES!$A$2:$F$349,4,0))</f>
        <v/>
      </c>
      <c r="W20" s="364">
        <v>26</v>
      </c>
      <c r="X20" s="365" t="str">
        <f>IF($C20="","",W20*VLOOKUP($C20,MATIERES!$A$2:$F$349,4,0))</f>
        <v/>
      </c>
      <c r="Y20" s="364">
        <v>27</v>
      </c>
      <c r="Z20" s="365" t="str">
        <f>IF($C20="","",Y20*VLOOKUP($C20,MATIERES!$A$2:$F$349,4,0))</f>
        <v/>
      </c>
      <c r="AA20" s="364">
        <v>28</v>
      </c>
      <c r="AB20" s="365" t="str">
        <f>IF($C20="","",AA20*VLOOKUP($C20,MATIERES!$A$2:$F$349,4,0))</f>
        <v/>
      </c>
      <c r="AC20" s="364">
        <v>29</v>
      </c>
      <c r="AD20" s="365" t="str">
        <f>IF($C20="","",AC20*VLOOKUP($C20,MATIERES!$A$2:$F$349,4,0))</f>
        <v/>
      </c>
      <c r="AE20" s="364">
        <v>30</v>
      </c>
      <c r="AF20" s="365" t="str">
        <f>IF($C20="","",AE20*VLOOKUP($C20,MATIERES!$A$2:$F$349,4,0))</f>
        <v/>
      </c>
      <c r="AG20" s="364">
        <v>31</v>
      </c>
      <c r="AH20" s="365" t="str">
        <f>IF($C20="","",AG20*VLOOKUP($C20,MATIERES!$A$2:$F$349,4,0))</f>
        <v/>
      </c>
      <c r="AI20" s="364">
        <v>32</v>
      </c>
      <c r="AJ20" s="365" t="str">
        <f>IF($C20="","",AI20*VLOOKUP($C20,MATIERES!$A$2:$F$349,4,0))</f>
        <v/>
      </c>
      <c r="AK20" s="364">
        <v>33</v>
      </c>
      <c r="AL20" s="365" t="str">
        <f>IF($C20="","",AK20*VLOOKUP($C20,MATIERES!$A$2:$F$349,4,0))</f>
        <v/>
      </c>
      <c r="AM20" s="364">
        <v>34</v>
      </c>
      <c r="AN20" s="365" t="str">
        <f>IF($C20="","",AM20*VLOOKUP($C20,MATIERES!$A$2:$F$349,4,0))</f>
        <v/>
      </c>
    </row>
    <row r="21" spans="1:40" ht="15" customHeight="1" x14ac:dyDescent="0.2">
      <c r="A21" s="1550"/>
      <c r="B21" s="361"/>
      <c r="C21" s="362"/>
      <c r="D21" s="363" t="str">
        <f>IF($C21="","",VLOOKUP($C21,MATIERES!$A$2:$F$227,5,0))</f>
        <v/>
      </c>
      <c r="E21" s="364">
        <v>18</v>
      </c>
      <c r="F21" s="365" t="str">
        <f>IF($C21="","",E21*VLOOKUP($C21,MATIERES!$A$2:$F$349,4,0))</f>
        <v/>
      </c>
      <c r="G21" s="364">
        <v>19</v>
      </c>
      <c r="H21" s="365" t="str">
        <f>IF($C21="","",G21*VLOOKUP($C21,MATIERES!$A$2:$F$349,4,0))</f>
        <v/>
      </c>
      <c r="I21" s="364">
        <v>20</v>
      </c>
      <c r="J21" s="365" t="str">
        <f>IF($C21="","",I21*VLOOKUP($C21,MATIERES!$A$2:$F$349,4,0))</f>
        <v/>
      </c>
      <c r="K21" s="364">
        <v>21</v>
      </c>
      <c r="L21" s="365" t="str">
        <f>IF($C21="","",K21*VLOOKUP($C21,MATIERES!$A$2:$F$349,4,0))</f>
        <v/>
      </c>
      <c r="M21" s="364">
        <v>22</v>
      </c>
      <c r="N21" s="365" t="str">
        <f>IF($C21="","",M21*VLOOKUP($C21,MATIERES!$A$2:$F$349,4,0))</f>
        <v/>
      </c>
      <c r="O21" s="364">
        <v>23</v>
      </c>
      <c r="P21" s="365" t="str">
        <f>IF($C21="","",O21*VLOOKUP($C21,MATIERES!$A$2:$F$349,4,0))</f>
        <v/>
      </c>
      <c r="Q21" s="364">
        <v>24</v>
      </c>
      <c r="R21" s="365" t="str">
        <f>IF($C21="","",Q21*VLOOKUP($C21,MATIERES!$A$2:$F$349,4,0))</f>
        <v/>
      </c>
      <c r="S21" s="364">
        <v>25</v>
      </c>
      <c r="T21" s="365" t="str">
        <f>IF($C21="","",S21*VLOOKUP($C21,MATIERES!$A$2:$F$349,4,0))</f>
        <v/>
      </c>
      <c r="U21" s="364">
        <v>26</v>
      </c>
      <c r="V21" s="365" t="str">
        <f>IF($C21="","",U21*VLOOKUP($C21,MATIERES!$A$2:$F$349,4,0))</f>
        <v/>
      </c>
      <c r="W21" s="364">
        <v>27</v>
      </c>
      <c r="X21" s="365" t="str">
        <f>IF($C21="","",W21*VLOOKUP($C21,MATIERES!$A$2:$F$349,4,0))</f>
        <v/>
      </c>
      <c r="Y21" s="364">
        <v>28</v>
      </c>
      <c r="Z21" s="365" t="str">
        <f>IF($C21="","",Y21*VLOOKUP($C21,MATIERES!$A$2:$F$349,4,0))</f>
        <v/>
      </c>
      <c r="AA21" s="364">
        <v>29</v>
      </c>
      <c r="AB21" s="365" t="str">
        <f>IF($C21="","",AA21*VLOOKUP($C21,MATIERES!$A$2:$F$349,4,0))</f>
        <v/>
      </c>
      <c r="AC21" s="364">
        <v>30</v>
      </c>
      <c r="AD21" s="365" t="str">
        <f>IF($C21="","",AC21*VLOOKUP($C21,MATIERES!$A$2:$F$349,4,0))</f>
        <v/>
      </c>
      <c r="AE21" s="364">
        <v>31</v>
      </c>
      <c r="AF21" s="365" t="str">
        <f>IF($C21="","",AE21*VLOOKUP($C21,MATIERES!$A$2:$F$349,4,0))</f>
        <v/>
      </c>
      <c r="AG21" s="364">
        <v>32</v>
      </c>
      <c r="AH21" s="365" t="str">
        <f>IF($C21="","",AG21*VLOOKUP($C21,MATIERES!$A$2:$F$349,4,0))</f>
        <v/>
      </c>
      <c r="AI21" s="364">
        <v>33</v>
      </c>
      <c r="AJ21" s="365" t="str">
        <f>IF($C21="","",AI21*VLOOKUP($C21,MATIERES!$A$2:$F$349,4,0))</f>
        <v/>
      </c>
      <c r="AK21" s="364">
        <v>34</v>
      </c>
      <c r="AL21" s="365" t="str">
        <f>IF($C21="","",AK21*VLOOKUP($C21,MATIERES!$A$2:$F$349,4,0))</f>
        <v/>
      </c>
      <c r="AM21" s="364">
        <v>35</v>
      </c>
      <c r="AN21" s="365" t="str">
        <f>IF($C21="","",AM21*VLOOKUP($C21,MATIERES!$A$2:$F$349,4,0))</f>
        <v/>
      </c>
    </row>
    <row r="22" spans="1:40" ht="15" customHeight="1" x14ac:dyDescent="0.2">
      <c r="A22" s="1550"/>
      <c r="B22" s="361"/>
      <c r="C22" s="362"/>
      <c r="D22" s="363" t="str">
        <f>IF($C22="","",VLOOKUP($C22,MATIERES!$A$2:$F$227,5,0))</f>
        <v/>
      </c>
      <c r="E22" s="364">
        <v>19</v>
      </c>
      <c r="F22" s="365" t="str">
        <f>IF($C22="","",E22*VLOOKUP($C22,MATIERES!$A$2:$F$349,4,0))</f>
        <v/>
      </c>
      <c r="G22" s="364">
        <v>20</v>
      </c>
      <c r="H22" s="365" t="str">
        <f>IF($C22="","",G22*VLOOKUP($C22,MATIERES!$A$2:$F$349,4,0))</f>
        <v/>
      </c>
      <c r="I22" s="364">
        <v>21</v>
      </c>
      <c r="J22" s="365" t="str">
        <f>IF($C22="","",I22*VLOOKUP($C22,MATIERES!$A$2:$F$349,4,0))</f>
        <v/>
      </c>
      <c r="K22" s="364">
        <v>22</v>
      </c>
      <c r="L22" s="365" t="str">
        <f>IF($C22="","",K22*VLOOKUP($C22,MATIERES!$A$2:$F$349,4,0))</f>
        <v/>
      </c>
      <c r="M22" s="364">
        <v>23</v>
      </c>
      <c r="N22" s="365" t="str">
        <f>IF($C22="","",M22*VLOOKUP($C22,MATIERES!$A$2:$F$349,4,0))</f>
        <v/>
      </c>
      <c r="O22" s="364">
        <v>24</v>
      </c>
      <c r="P22" s="365" t="str">
        <f>IF($C22="","",O22*VLOOKUP($C22,MATIERES!$A$2:$F$349,4,0))</f>
        <v/>
      </c>
      <c r="Q22" s="364">
        <v>25</v>
      </c>
      <c r="R22" s="365" t="str">
        <f>IF($C22="","",Q22*VLOOKUP($C22,MATIERES!$A$2:$F$349,4,0))</f>
        <v/>
      </c>
      <c r="S22" s="364">
        <v>26</v>
      </c>
      <c r="T22" s="365" t="str">
        <f>IF($C22="","",S22*VLOOKUP($C22,MATIERES!$A$2:$F$349,4,0))</f>
        <v/>
      </c>
      <c r="U22" s="364">
        <v>27</v>
      </c>
      <c r="V22" s="365" t="str">
        <f>IF($C22="","",U22*VLOOKUP($C22,MATIERES!$A$2:$F$349,4,0))</f>
        <v/>
      </c>
      <c r="W22" s="364">
        <v>28</v>
      </c>
      <c r="X22" s="365" t="str">
        <f>IF($C22="","",W22*VLOOKUP($C22,MATIERES!$A$2:$F$349,4,0))</f>
        <v/>
      </c>
      <c r="Y22" s="364">
        <v>29</v>
      </c>
      <c r="Z22" s="365" t="str">
        <f>IF($C22="","",Y22*VLOOKUP($C22,MATIERES!$A$2:$F$349,4,0))</f>
        <v/>
      </c>
      <c r="AA22" s="364">
        <v>30</v>
      </c>
      <c r="AB22" s="365" t="str">
        <f>IF($C22="","",AA22*VLOOKUP($C22,MATIERES!$A$2:$F$349,4,0))</f>
        <v/>
      </c>
      <c r="AC22" s="364">
        <v>31</v>
      </c>
      <c r="AD22" s="365" t="str">
        <f>IF($C22="","",AC22*VLOOKUP($C22,MATIERES!$A$2:$F$349,4,0))</f>
        <v/>
      </c>
      <c r="AE22" s="364">
        <v>32</v>
      </c>
      <c r="AF22" s="365" t="str">
        <f>IF($C22="","",AE22*VLOOKUP($C22,MATIERES!$A$2:$F$349,4,0))</f>
        <v/>
      </c>
      <c r="AG22" s="364">
        <v>33</v>
      </c>
      <c r="AH22" s="365" t="str">
        <f>IF($C22="","",AG22*VLOOKUP($C22,MATIERES!$A$2:$F$349,4,0))</f>
        <v/>
      </c>
      <c r="AI22" s="364">
        <v>34</v>
      </c>
      <c r="AJ22" s="365" t="str">
        <f>IF($C22="","",AI22*VLOOKUP($C22,MATIERES!$A$2:$F$349,4,0))</f>
        <v/>
      </c>
      <c r="AK22" s="364">
        <v>35</v>
      </c>
      <c r="AL22" s="365" t="str">
        <f>IF($C22="","",AK22*VLOOKUP($C22,MATIERES!$A$2:$F$349,4,0))</f>
        <v/>
      </c>
      <c r="AM22" s="364">
        <v>36</v>
      </c>
      <c r="AN22" s="365" t="str">
        <f>IF($C22="","",AM22*VLOOKUP($C22,MATIERES!$A$2:$F$349,4,0))</f>
        <v/>
      </c>
    </row>
    <row r="23" spans="1:40" ht="15" customHeight="1" x14ac:dyDescent="0.2">
      <c r="A23" s="1550"/>
      <c r="B23" s="361"/>
      <c r="C23" s="362"/>
      <c r="D23" s="363" t="str">
        <f>IF($C23="","",VLOOKUP($C23,MATIERES!$A$2:$F$227,5,0))</f>
        <v/>
      </c>
      <c r="E23" s="364">
        <v>20</v>
      </c>
      <c r="F23" s="365" t="str">
        <f>IF($C23="","",E23*VLOOKUP($C23,MATIERES!$A$2:$F$349,4,0))</f>
        <v/>
      </c>
      <c r="G23" s="364">
        <v>21</v>
      </c>
      <c r="H23" s="365" t="str">
        <f>IF($C23="","",G23*VLOOKUP($C23,MATIERES!$A$2:$F$349,4,0))</f>
        <v/>
      </c>
      <c r="I23" s="364">
        <v>22</v>
      </c>
      <c r="J23" s="365" t="str">
        <f>IF($C23="","",I23*VLOOKUP($C23,MATIERES!$A$2:$F$349,4,0))</f>
        <v/>
      </c>
      <c r="K23" s="364">
        <v>23</v>
      </c>
      <c r="L23" s="365" t="str">
        <f>IF($C23="","",K23*VLOOKUP($C23,MATIERES!$A$2:$F$349,4,0))</f>
        <v/>
      </c>
      <c r="M23" s="364">
        <v>24</v>
      </c>
      <c r="N23" s="365" t="str">
        <f>IF($C23="","",M23*VLOOKUP($C23,MATIERES!$A$2:$F$349,4,0))</f>
        <v/>
      </c>
      <c r="O23" s="364">
        <v>25</v>
      </c>
      <c r="P23" s="365" t="str">
        <f>IF($C23="","",O23*VLOOKUP($C23,MATIERES!$A$2:$F$349,4,0))</f>
        <v/>
      </c>
      <c r="Q23" s="364">
        <v>26</v>
      </c>
      <c r="R23" s="365" t="str">
        <f>IF($C23="","",Q23*VLOOKUP($C23,MATIERES!$A$2:$F$349,4,0))</f>
        <v/>
      </c>
      <c r="S23" s="364">
        <v>27</v>
      </c>
      <c r="T23" s="365" t="str">
        <f>IF($C23="","",S23*VLOOKUP($C23,MATIERES!$A$2:$F$349,4,0))</f>
        <v/>
      </c>
      <c r="U23" s="364">
        <v>28</v>
      </c>
      <c r="V23" s="365" t="str">
        <f>IF($C23="","",U23*VLOOKUP($C23,MATIERES!$A$2:$F$349,4,0))</f>
        <v/>
      </c>
      <c r="W23" s="364">
        <v>29</v>
      </c>
      <c r="X23" s="365" t="str">
        <f>IF($C23="","",W23*VLOOKUP($C23,MATIERES!$A$2:$F$349,4,0))</f>
        <v/>
      </c>
      <c r="Y23" s="364">
        <v>30</v>
      </c>
      <c r="Z23" s="365" t="str">
        <f>IF($C23="","",Y23*VLOOKUP($C23,MATIERES!$A$2:$F$349,4,0))</f>
        <v/>
      </c>
      <c r="AA23" s="364">
        <v>31</v>
      </c>
      <c r="AB23" s="365" t="str">
        <f>IF($C23="","",AA23*VLOOKUP($C23,MATIERES!$A$2:$F$349,4,0))</f>
        <v/>
      </c>
      <c r="AC23" s="364">
        <v>32</v>
      </c>
      <c r="AD23" s="365" t="str">
        <f>IF($C23="","",AC23*VLOOKUP($C23,MATIERES!$A$2:$F$349,4,0))</f>
        <v/>
      </c>
      <c r="AE23" s="364">
        <v>33</v>
      </c>
      <c r="AF23" s="365" t="str">
        <f>IF($C23="","",AE23*VLOOKUP($C23,MATIERES!$A$2:$F$349,4,0))</f>
        <v/>
      </c>
      <c r="AG23" s="364">
        <v>34</v>
      </c>
      <c r="AH23" s="365" t="str">
        <f>IF($C23="","",AG23*VLOOKUP($C23,MATIERES!$A$2:$F$349,4,0))</f>
        <v/>
      </c>
      <c r="AI23" s="364">
        <v>35</v>
      </c>
      <c r="AJ23" s="365" t="str">
        <f>IF($C23="","",AI23*VLOOKUP($C23,MATIERES!$A$2:$F$349,4,0))</f>
        <v/>
      </c>
      <c r="AK23" s="364">
        <v>36</v>
      </c>
      <c r="AL23" s="365" t="str">
        <f>IF($C23="","",AK23*VLOOKUP($C23,MATIERES!$A$2:$F$349,4,0))</f>
        <v/>
      </c>
      <c r="AM23" s="364">
        <v>37</v>
      </c>
      <c r="AN23" s="365" t="str">
        <f>IF($C23="","",AM23*VLOOKUP($C23,MATIERES!$A$2:$F$349,4,0))</f>
        <v/>
      </c>
    </row>
    <row r="24" spans="1:40" ht="15" customHeight="1" x14ac:dyDescent="0.2">
      <c r="A24" s="1550"/>
      <c r="B24" s="361"/>
      <c r="C24" s="362"/>
      <c r="D24" s="363" t="str">
        <f>IF($C24="","",VLOOKUP($C24,MATIERES!$A$2:$F$227,5,0))</f>
        <v/>
      </c>
      <c r="E24" s="364">
        <v>21</v>
      </c>
      <c r="F24" s="365" t="str">
        <f>IF($C24="","",E24*VLOOKUP($C24,MATIERES!$A$2:$F$349,4,0))</f>
        <v/>
      </c>
      <c r="G24" s="364">
        <v>22</v>
      </c>
      <c r="H24" s="365" t="str">
        <f>IF($C24="","",G24*VLOOKUP($C24,MATIERES!$A$2:$F$349,4,0))</f>
        <v/>
      </c>
      <c r="I24" s="364">
        <v>23</v>
      </c>
      <c r="J24" s="365" t="str">
        <f>IF($C24="","",I24*VLOOKUP($C24,MATIERES!$A$2:$F$349,4,0))</f>
        <v/>
      </c>
      <c r="K24" s="364">
        <v>24</v>
      </c>
      <c r="L24" s="365" t="str">
        <f>IF($C24="","",K24*VLOOKUP($C24,MATIERES!$A$2:$F$349,4,0))</f>
        <v/>
      </c>
      <c r="M24" s="364">
        <v>25</v>
      </c>
      <c r="N24" s="365" t="str">
        <f>IF($C24="","",M24*VLOOKUP($C24,MATIERES!$A$2:$F$349,4,0))</f>
        <v/>
      </c>
      <c r="O24" s="364">
        <v>26</v>
      </c>
      <c r="P24" s="365" t="str">
        <f>IF($C24="","",O24*VLOOKUP($C24,MATIERES!$A$2:$F$349,4,0))</f>
        <v/>
      </c>
      <c r="Q24" s="364">
        <v>27</v>
      </c>
      <c r="R24" s="365" t="str">
        <f>IF($C24="","",Q24*VLOOKUP($C24,MATIERES!$A$2:$F$349,4,0))</f>
        <v/>
      </c>
      <c r="S24" s="364">
        <v>28</v>
      </c>
      <c r="T24" s="365" t="str">
        <f>IF($C24="","",S24*VLOOKUP($C24,MATIERES!$A$2:$F$349,4,0))</f>
        <v/>
      </c>
      <c r="U24" s="364">
        <v>29</v>
      </c>
      <c r="V24" s="365" t="str">
        <f>IF($C24="","",U24*VLOOKUP($C24,MATIERES!$A$2:$F$349,4,0))</f>
        <v/>
      </c>
      <c r="W24" s="364">
        <v>30</v>
      </c>
      <c r="X24" s="365" t="str">
        <f>IF($C24="","",W24*VLOOKUP($C24,MATIERES!$A$2:$F$349,4,0))</f>
        <v/>
      </c>
      <c r="Y24" s="364">
        <v>31</v>
      </c>
      <c r="Z24" s="365" t="str">
        <f>IF($C24="","",Y24*VLOOKUP($C24,MATIERES!$A$2:$F$349,4,0))</f>
        <v/>
      </c>
      <c r="AA24" s="364">
        <v>32</v>
      </c>
      <c r="AB24" s="365" t="str">
        <f>IF($C24="","",AA24*VLOOKUP($C24,MATIERES!$A$2:$F$349,4,0))</f>
        <v/>
      </c>
      <c r="AC24" s="364">
        <v>33</v>
      </c>
      <c r="AD24" s="365" t="str">
        <f>IF($C24="","",AC24*VLOOKUP($C24,MATIERES!$A$2:$F$349,4,0))</f>
        <v/>
      </c>
      <c r="AE24" s="364">
        <v>34</v>
      </c>
      <c r="AF24" s="365" t="str">
        <f>IF($C24="","",AE24*VLOOKUP($C24,MATIERES!$A$2:$F$349,4,0))</f>
        <v/>
      </c>
      <c r="AG24" s="364">
        <v>35</v>
      </c>
      <c r="AH24" s="365" t="str">
        <f>IF($C24="","",AG24*VLOOKUP($C24,MATIERES!$A$2:$F$349,4,0))</f>
        <v/>
      </c>
      <c r="AI24" s="364">
        <v>36</v>
      </c>
      <c r="AJ24" s="365" t="str">
        <f>IF($C24="","",AI24*VLOOKUP($C24,MATIERES!$A$2:$F$349,4,0))</f>
        <v/>
      </c>
      <c r="AK24" s="364">
        <v>37</v>
      </c>
      <c r="AL24" s="365" t="str">
        <f>IF($C24="","",AK24*VLOOKUP($C24,MATIERES!$A$2:$F$349,4,0))</f>
        <v/>
      </c>
      <c r="AM24" s="364">
        <v>38</v>
      </c>
      <c r="AN24" s="365" t="str">
        <f>IF($C24="","",AM24*VLOOKUP($C24,MATIERES!$A$2:$F$349,4,0))</f>
        <v/>
      </c>
    </row>
    <row r="25" spans="1:40" ht="15" customHeight="1" x14ac:dyDescent="0.2">
      <c r="A25" s="1550"/>
      <c r="B25" s="361"/>
      <c r="C25" s="362"/>
      <c r="D25" s="363" t="str">
        <f>IF($C25="","",VLOOKUP($C25,MATIERES!$A$2:$F$227,5,0))</f>
        <v/>
      </c>
      <c r="E25" s="364">
        <v>22</v>
      </c>
      <c r="F25" s="365" t="str">
        <f>IF($C25="","",E25*VLOOKUP($C25,MATIERES!$A$2:$F$349,4,0))</f>
        <v/>
      </c>
      <c r="G25" s="364">
        <v>23</v>
      </c>
      <c r="H25" s="365" t="str">
        <f>IF($C25="","",G25*VLOOKUP($C25,MATIERES!$A$2:$F$349,4,0))</f>
        <v/>
      </c>
      <c r="I25" s="364">
        <v>24</v>
      </c>
      <c r="J25" s="365" t="str">
        <f>IF($C25="","",I25*VLOOKUP($C25,MATIERES!$A$2:$F$349,4,0))</f>
        <v/>
      </c>
      <c r="K25" s="364">
        <v>25</v>
      </c>
      <c r="L25" s="365" t="str">
        <f>IF($C25="","",K25*VLOOKUP($C25,MATIERES!$A$2:$F$349,4,0))</f>
        <v/>
      </c>
      <c r="M25" s="364">
        <v>26</v>
      </c>
      <c r="N25" s="365" t="str">
        <f>IF($C25="","",M25*VLOOKUP($C25,MATIERES!$A$2:$F$349,4,0))</f>
        <v/>
      </c>
      <c r="O25" s="364">
        <v>27</v>
      </c>
      <c r="P25" s="365" t="str">
        <f>IF($C25="","",O25*VLOOKUP($C25,MATIERES!$A$2:$F$349,4,0))</f>
        <v/>
      </c>
      <c r="Q25" s="364">
        <v>28</v>
      </c>
      <c r="R25" s="365" t="str">
        <f>IF($C25="","",Q25*VLOOKUP($C25,MATIERES!$A$2:$F$349,4,0))</f>
        <v/>
      </c>
      <c r="S25" s="364">
        <v>29</v>
      </c>
      <c r="T25" s="365" t="str">
        <f>IF($C25="","",S25*VLOOKUP($C25,MATIERES!$A$2:$F$349,4,0))</f>
        <v/>
      </c>
      <c r="U25" s="364">
        <v>30</v>
      </c>
      <c r="V25" s="365" t="str">
        <f>IF($C25="","",U25*VLOOKUP($C25,MATIERES!$A$2:$F$349,4,0))</f>
        <v/>
      </c>
      <c r="W25" s="364">
        <v>31</v>
      </c>
      <c r="X25" s="365" t="str">
        <f>IF($C25="","",W25*VLOOKUP($C25,MATIERES!$A$2:$F$349,4,0))</f>
        <v/>
      </c>
      <c r="Y25" s="364">
        <v>32</v>
      </c>
      <c r="Z25" s="365" t="str">
        <f>IF($C25="","",Y25*VLOOKUP($C25,MATIERES!$A$2:$F$349,4,0))</f>
        <v/>
      </c>
      <c r="AA25" s="364">
        <v>33</v>
      </c>
      <c r="AB25" s="365" t="str">
        <f>IF($C25="","",AA25*VLOOKUP($C25,MATIERES!$A$2:$F$349,4,0))</f>
        <v/>
      </c>
      <c r="AC25" s="364">
        <v>34</v>
      </c>
      <c r="AD25" s="365" t="str">
        <f>IF($C25="","",AC25*VLOOKUP($C25,MATIERES!$A$2:$F$349,4,0))</f>
        <v/>
      </c>
      <c r="AE25" s="364">
        <v>35</v>
      </c>
      <c r="AF25" s="365" t="str">
        <f>IF($C25="","",AE25*VLOOKUP($C25,MATIERES!$A$2:$F$349,4,0))</f>
        <v/>
      </c>
      <c r="AG25" s="364">
        <v>36</v>
      </c>
      <c r="AH25" s="365" t="str">
        <f>IF($C25="","",AG25*VLOOKUP($C25,MATIERES!$A$2:$F$349,4,0))</f>
        <v/>
      </c>
      <c r="AI25" s="364">
        <v>37</v>
      </c>
      <c r="AJ25" s="365" t="str">
        <f>IF($C25="","",AI25*VLOOKUP($C25,MATIERES!$A$2:$F$349,4,0))</f>
        <v/>
      </c>
      <c r="AK25" s="364">
        <v>38</v>
      </c>
      <c r="AL25" s="365" t="str">
        <f>IF($C25="","",AK25*VLOOKUP($C25,MATIERES!$A$2:$F$349,4,0))</f>
        <v/>
      </c>
      <c r="AM25" s="364">
        <v>39</v>
      </c>
      <c r="AN25" s="365" t="str">
        <f>IF($C25="","",AM25*VLOOKUP($C25,MATIERES!$A$2:$F$349,4,0))</f>
        <v/>
      </c>
    </row>
    <row r="26" spans="1:40" ht="30" customHeight="1" x14ac:dyDescent="0.2">
      <c r="A26" s="366"/>
      <c r="B26" s="367" t="s">
        <v>683</v>
      </c>
      <c r="C26" s="368" t="s">
        <v>446</v>
      </c>
      <c r="D26" s="369" t="s">
        <v>447</v>
      </c>
      <c r="E26" s="370">
        <f>F26*(1+Simulation!$P$11)</f>
        <v>0</v>
      </c>
      <c r="F26" s="371">
        <f>SUM(F4:F25)</f>
        <v>0</v>
      </c>
      <c r="G26" s="370">
        <f>H26*(1+Simulation!$P$11)</f>
        <v>0</v>
      </c>
      <c r="H26" s="371">
        <f>SUM(H4:H25)</f>
        <v>0</v>
      </c>
      <c r="I26" s="370">
        <f>J26*(1+Simulation!$P$11)</f>
        <v>0</v>
      </c>
      <c r="J26" s="371">
        <f>SUM(J4:J25)</f>
        <v>0</v>
      </c>
      <c r="K26" s="370">
        <f>L26*(1+Simulation!$P$11)</f>
        <v>0</v>
      </c>
      <c r="L26" s="371">
        <f>SUM(L4:L25)</f>
        <v>0</v>
      </c>
      <c r="M26" s="370">
        <f>N26*(1+Simulation!$P$11)</f>
        <v>0</v>
      </c>
      <c r="N26" s="371">
        <f>SUM(N4:N25)</f>
        <v>0</v>
      </c>
      <c r="O26" s="370">
        <f>P26*(1+Simulation!$P$11)</f>
        <v>0</v>
      </c>
      <c r="P26" s="371">
        <f>SUM(P4:P25)</f>
        <v>0</v>
      </c>
      <c r="Q26" s="370">
        <f>R26*(1+Simulation!$P$11)</f>
        <v>0</v>
      </c>
      <c r="R26" s="371">
        <f>SUM(R4:R25)</f>
        <v>0</v>
      </c>
      <c r="S26" s="370">
        <f>T26*(1+Simulation!$P$11)</f>
        <v>0</v>
      </c>
      <c r="T26" s="371">
        <f>SUM(T4:T25)</f>
        <v>0</v>
      </c>
      <c r="U26" s="370">
        <f>V26*(1+Simulation!$P$11)</f>
        <v>0</v>
      </c>
      <c r="V26" s="371">
        <f>SUM(V4:V25)</f>
        <v>0</v>
      </c>
      <c r="W26" s="370">
        <f>X26*(1+Simulation!$P$11)</f>
        <v>0</v>
      </c>
      <c r="X26" s="371">
        <f>SUM(X4:X25)</f>
        <v>0</v>
      </c>
      <c r="Y26" s="370">
        <f>Z26*(1+Simulation!$P$11)</f>
        <v>0</v>
      </c>
      <c r="Z26" s="371">
        <f>SUM(Z4:Z25)</f>
        <v>0</v>
      </c>
      <c r="AA26" s="370">
        <f>AB26*(1+Simulation!$P$11)</f>
        <v>0</v>
      </c>
      <c r="AB26" s="371">
        <f>SUM(AB4:AB25)</f>
        <v>0</v>
      </c>
      <c r="AC26" s="370">
        <f>AD26*(1+Simulation!$P$11)</f>
        <v>0</v>
      </c>
      <c r="AD26" s="371">
        <f>SUM(AD4:AD25)</f>
        <v>0</v>
      </c>
      <c r="AE26" s="370">
        <f>AF26*(1+Simulation!$P$11)</f>
        <v>0</v>
      </c>
      <c r="AF26" s="371">
        <f>SUM(AF4:AF25)</f>
        <v>0</v>
      </c>
      <c r="AG26" s="370">
        <f>AH26*(1+Simulation!$P$11)</f>
        <v>0</v>
      </c>
      <c r="AH26" s="371">
        <f>SUM(AH4:AH25)</f>
        <v>0</v>
      </c>
      <c r="AI26" s="370">
        <f>AJ26*(1+Simulation!$P$11)</f>
        <v>0</v>
      </c>
      <c r="AJ26" s="371">
        <f>SUM(AJ4:AJ25)</f>
        <v>0</v>
      </c>
      <c r="AK26" s="370">
        <f>AL26*(1+Simulation!$P$11)</f>
        <v>0</v>
      </c>
      <c r="AL26" s="371">
        <f>SUM(AL4:AL25)</f>
        <v>0</v>
      </c>
      <c r="AM26" s="370">
        <f>AN26*(1+Simulation!$P$11)</f>
        <v>0</v>
      </c>
      <c r="AN26" s="371">
        <f>SUM(AN4:AN25)</f>
        <v>0</v>
      </c>
    </row>
    <row r="27" spans="1:40" ht="15" customHeight="1" x14ac:dyDescent="0.2">
      <c r="A27" s="1553" t="s">
        <v>448</v>
      </c>
      <c r="B27" s="361" t="s">
        <v>1079</v>
      </c>
      <c r="C27" s="362" t="s">
        <v>419</v>
      </c>
      <c r="D27" s="363" t="e">
        <f>IF($C27="","",VLOOKUP($C27,ATELIER!$B$2:$E$109,3,0))</f>
        <v>#N/A</v>
      </c>
      <c r="E27" s="364">
        <v>1</v>
      </c>
      <c r="F27" s="372" t="e">
        <f>IF($C27="","",E27*VLOOKUP($C27,ATELIER!$B$2:$F$109,4,0))</f>
        <v>#N/A</v>
      </c>
      <c r="G27" s="364">
        <v>2</v>
      </c>
      <c r="H27" s="372" t="e">
        <f>IF($C27="","",G27*VLOOKUP($C27,ATELIER!$B$2:$F$109,4,0))</f>
        <v>#N/A</v>
      </c>
      <c r="I27" s="364">
        <v>3</v>
      </c>
      <c r="J27" s="372" t="e">
        <f>IF($C27="","",I27*VLOOKUP($C27,ATELIER!$B$2:$F$109,4,0))</f>
        <v>#N/A</v>
      </c>
      <c r="K27" s="364">
        <v>4</v>
      </c>
      <c r="L27" s="372" t="e">
        <f>IF($C27="","",K27*VLOOKUP($C27,ATELIER!$B$2:$F$109,4,0))</f>
        <v>#N/A</v>
      </c>
      <c r="M27" s="364">
        <v>5</v>
      </c>
      <c r="N27" s="372" t="e">
        <f>IF($C27="","",M27*VLOOKUP($C27,ATELIER!$B$2:$F$109,4,0))</f>
        <v>#N/A</v>
      </c>
      <c r="O27" s="364">
        <v>6</v>
      </c>
      <c r="P27" s="372" t="e">
        <f>IF($C27="","",O27*VLOOKUP($C27,ATELIER!$B$2:$F$109,4,0))</f>
        <v>#N/A</v>
      </c>
      <c r="Q27" s="364">
        <v>7</v>
      </c>
      <c r="R27" s="372" t="e">
        <f>IF($C27="","",Q27*VLOOKUP($C27,ATELIER!$B$2:$F$109,4,0))</f>
        <v>#N/A</v>
      </c>
      <c r="S27" s="364">
        <v>8</v>
      </c>
      <c r="T27" s="372" t="e">
        <f>IF($C27="","",S27*VLOOKUP($C27,ATELIER!$B$2:$F$109,4,0))</f>
        <v>#N/A</v>
      </c>
      <c r="U27" s="364">
        <v>9</v>
      </c>
      <c r="V27" s="372" t="e">
        <f>IF($C27="","",U27*VLOOKUP($C27,ATELIER!$B$2:$F$109,4,0))</f>
        <v>#N/A</v>
      </c>
      <c r="W27" s="364">
        <v>10</v>
      </c>
      <c r="X27" s="372" t="e">
        <f>IF($C27="","",W27*VLOOKUP($C27,ATELIER!$B$2:$F$109,4,0))</f>
        <v>#N/A</v>
      </c>
      <c r="Y27" s="364">
        <v>11</v>
      </c>
      <c r="Z27" s="372" t="e">
        <f>IF($C27="","",Y27*VLOOKUP($C27,ATELIER!$B$2:$F$109,4,0))</f>
        <v>#N/A</v>
      </c>
      <c r="AA27" s="364">
        <v>12</v>
      </c>
      <c r="AB27" s="372" t="e">
        <f>IF($C27="","",AA27*VLOOKUP($C27,ATELIER!$B$2:$F$109,4,0))</f>
        <v>#N/A</v>
      </c>
      <c r="AC27" s="364">
        <v>13</v>
      </c>
      <c r="AD27" s="372" t="e">
        <f>IF($C27="","",AC27*VLOOKUP($C27,ATELIER!$B$2:$F$109,4,0))</f>
        <v>#N/A</v>
      </c>
      <c r="AE27" s="364">
        <v>14</v>
      </c>
      <c r="AF27" s="372" t="e">
        <f>IF($C27="","",AE27*VLOOKUP($C27,ATELIER!$B$2:$F$109,4,0))</f>
        <v>#N/A</v>
      </c>
      <c r="AG27" s="364">
        <v>15</v>
      </c>
      <c r="AH27" s="372" t="e">
        <f>IF($C27="","",AG27*VLOOKUP($C27,ATELIER!$B$2:$F$109,4,0))</f>
        <v>#N/A</v>
      </c>
      <c r="AI27" s="364">
        <v>16</v>
      </c>
      <c r="AJ27" s="372" t="e">
        <f>IF($C27="","",AI27*VLOOKUP($C27,ATELIER!$B$2:$F$109,4,0))</f>
        <v>#N/A</v>
      </c>
      <c r="AK27" s="364">
        <v>17</v>
      </c>
      <c r="AL27" s="372" t="e">
        <f>IF($C27="","",AK27*VLOOKUP($C27,ATELIER!$B$2:$F$109,4,0))</f>
        <v>#N/A</v>
      </c>
      <c r="AM27" s="364">
        <v>18</v>
      </c>
      <c r="AN27" s="372" t="e">
        <f>IF($C27="","",AM27*VLOOKUP($C27,ATELIER!$B$2:$F$109,4,0))</f>
        <v>#N/A</v>
      </c>
    </row>
    <row r="28" spans="1:40" ht="15" customHeight="1" x14ac:dyDescent="0.2">
      <c r="A28" s="1553"/>
      <c r="B28" s="361" t="str">
        <f>IF($C28="","",VLOOKUP($C28,ATELIER!$B$2:$F$109,2,0))</f>
        <v/>
      </c>
      <c r="C28" s="362"/>
      <c r="D28" s="363" t="str">
        <f>IF($C28="","",VLOOKUP($C28,ATELIER!$B$2:$E$109,3,0))</f>
        <v/>
      </c>
      <c r="E28" s="364">
        <v>2</v>
      </c>
      <c r="F28" s="372" t="str">
        <f>IF($C28="","",E28*VLOOKUP($C28,ATELIER!$B$2:$F$109,4,0))</f>
        <v/>
      </c>
      <c r="G28" s="364">
        <v>3</v>
      </c>
      <c r="H28" s="372" t="str">
        <f>IF($C28="","",G28*VLOOKUP($C28,ATELIER!$B$2:$F$109,4,0))</f>
        <v/>
      </c>
      <c r="I28" s="364">
        <v>4</v>
      </c>
      <c r="J28" s="372" t="str">
        <f>IF($C28="","",I28*VLOOKUP($C28,ATELIER!$B$2:$F$109,4,0))</f>
        <v/>
      </c>
      <c r="K28" s="364">
        <v>5</v>
      </c>
      <c r="L28" s="372" t="str">
        <f>IF($C28="","",K28*VLOOKUP($C28,ATELIER!$B$2:$F$109,4,0))</f>
        <v/>
      </c>
      <c r="M28" s="364">
        <v>6</v>
      </c>
      <c r="N28" s="372" t="str">
        <f>IF($C28="","",M28*VLOOKUP($C28,ATELIER!$B$2:$F$109,4,0))</f>
        <v/>
      </c>
      <c r="O28" s="364">
        <v>7</v>
      </c>
      <c r="P28" s="372" t="str">
        <f>IF($C28="","",O28*VLOOKUP($C28,ATELIER!$B$2:$F$109,4,0))</f>
        <v/>
      </c>
      <c r="Q28" s="364">
        <v>8</v>
      </c>
      <c r="R28" s="372" t="str">
        <f>IF($C28="","",Q28*VLOOKUP($C28,ATELIER!$B$2:$F$109,4,0))</f>
        <v/>
      </c>
      <c r="S28" s="364">
        <v>9</v>
      </c>
      <c r="T28" s="372" t="str">
        <f>IF($C28="","",S28*VLOOKUP($C28,ATELIER!$B$2:$F$109,4,0))</f>
        <v/>
      </c>
      <c r="U28" s="364">
        <v>10</v>
      </c>
      <c r="V28" s="372" t="str">
        <f>IF($C28="","",U28*VLOOKUP($C28,ATELIER!$B$2:$F$109,4,0))</f>
        <v/>
      </c>
      <c r="W28" s="364">
        <v>11</v>
      </c>
      <c r="X28" s="372" t="str">
        <f>IF($C28="","",W28*VLOOKUP($C28,ATELIER!$B$2:$F$109,4,0))</f>
        <v/>
      </c>
      <c r="Y28" s="364">
        <v>12</v>
      </c>
      <c r="Z28" s="372" t="str">
        <f>IF($C28="","",Y28*VLOOKUP($C28,ATELIER!$B$2:$F$109,4,0))</f>
        <v/>
      </c>
      <c r="AA28" s="364">
        <v>13</v>
      </c>
      <c r="AB28" s="372" t="str">
        <f>IF($C28="","",AA28*VLOOKUP($C28,ATELIER!$B$2:$F$109,4,0))</f>
        <v/>
      </c>
      <c r="AC28" s="364">
        <v>14</v>
      </c>
      <c r="AD28" s="372" t="str">
        <f>IF($C28="","",AC28*VLOOKUP($C28,ATELIER!$B$2:$F$109,4,0))</f>
        <v/>
      </c>
      <c r="AE28" s="364">
        <v>15</v>
      </c>
      <c r="AF28" s="372" t="str">
        <f>IF($C28="","",AE28*VLOOKUP($C28,ATELIER!$B$2:$F$109,4,0))</f>
        <v/>
      </c>
      <c r="AG28" s="364">
        <v>16</v>
      </c>
      <c r="AH28" s="372" t="str">
        <f>IF($C28="","",AG28*VLOOKUP($C28,ATELIER!$B$2:$F$109,4,0))</f>
        <v/>
      </c>
      <c r="AI28" s="364">
        <v>17</v>
      </c>
      <c r="AJ28" s="372" t="str">
        <f>IF($C28="","",AI28*VLOOKUP($C28,ATELIER!$B$2:$F$109,4,0))</f>
        <v/>
      </c>
      <c r="AK28" s="364">
        <v>18</v>
      </c>
      <c r="AL28" s="372" t="str">
        <f>IF($C28="","",AK28*VLOOKUP($C28,ATELIER!$B$2:$F$109,4,0))</f>
        <v/>
      </c>
      <c r="AM28" s="364">
        <v>19</v>
      </c>
      <c r="AN28" s="372" t="str">
        <f>IF($C28="","",AM28*VLOOKUP($C28,ATELIER!$B$2:$F$109,4,0))</f>
        <v/>
      </c>
    </row>
    <row r="29" spans="1:40" ht="15" customHeight="1" x14ac:dyDescent="0.2">
      <c r="A29" s="1552"/>
      <c r="B29" s="373" t="str">
        <f>IF($C29="","",VLOOKUP($C29,ATELIER!$B$2:$F$109,2,0))</f>
        <v/>
      </c>
      <c r="C29" s="374"/>
      <c r="D29" s="363" t="str">
        <f>IF($C29="","",VLOOKUP($C29,ATELIER!$B$2:$E$109,3,0))</f>
        <v/>
      </c>
      <c r="E29" s="364">
        <v>3</v>
      </c>
      <c r="F29" s="372" t="str">
        <f>IF($C29="","",E29*VLOOKUP($C29,ATELIER!$B$2:$F$109,4,0))</f>
        <v/>
      </c>
      <c r="G29" s="364">
        <v>4</v>
      </c>
      <c r="H29" s="372" t="str">
        <f>IF($C29="","",G29*VLOOKUP($C29,ATELIER!$B$2:$F$109,4,0))</f>
        <v/>
      </c>
      <c r="I29" s="364">
        <v>5</v>
      </c>
      <c r="J29" s="372" t="str">
        <f>IF($C29="","",I29*VLOOKUP($C29,ATELIER!$B$2:$F$109,4,0))</f>
        <v/>
      </c>
      <c r="K29" s="364">
        <v>6</v>
      </c>
      <c r="L29" s="372" t="str">
        <f>IF($C29="","",K29*VLOOKUP($C29,ATELIER!$B$2:$F$109,4,0))</f>
        <v/>
      </c>
      <c r="M29" s="364">
        <v>7</v>
      </c>
      <c r="N29" s="372" t="str">
        <f>IF($C29="","",M29*VLOOKUP($C29,ATELIER!$B$2:$F$109,4,0))</f>
        <v/>
      </c>
      <c r="O29" s="364">
        <v>8</v>
      </c>
      <c r="P29" s="372" t="str">
        <f>IF($C29="","",O29*VLOOKUP($C29,ATELIER!$B$2:$F$109,4,0))</f>
        <v/>
      </c>
      <c r="Q29" s="364">
        <v>9</v>
      </c>
      <c r="R29" s="372" t="str">
        <f>IF($C29="","",Q29*VLOOKUP($C29,ATELIER!$B$2:$F$109,4,0))</f>
        <v/>
      </c>
      <c r="S29" s="364">
        <v>10</v>
      </c>
      <c r="T29" s="372" t="str">
        <f>IF($C29="","",S29*VLOOKUP($C29,ATELIER!$B$2:$F$109,4,0))</f>
        <v/>
      </c>
      <c r="U29" s="364">
        <v>11</v>
      </c>
      <c r="V29" s="372" t="str">
        <f>IF($C29="","",U29*VLOOKUP($C29,ATELIER!$B$2:$F$109,4,0))</f>
        <v/>
      </c>
      <c r="W29" s="364">
        <v>12</v>
      </c>
      <c r="X29" s="372" t="str">
        <f>IF($C29="","",W29*VLOOKUP($C29,ATELIER!$B$2:$F$109,4,0))</f>
        <v/>
      </c>
      <c r="Y29" s="364">
        <v>13</v>
      </c>
      <c r="Z29" s="372" t="str">
        <f>IF($C29="","",Y29*VLOOKUP($C29,ATELIER!$B$2:$F$109,4,0))</f>
        <v/>
      </c>
      <c r="AA29" s="364">
        <v>14</v>
      </c>
      <c r="AB29" s="372" t="str">
        <f>IF($C29="","",AA29*VLOOKUP($C29,ATELIER!$B$2:$F$109,4,0))</f>
        <v/>
      </c>
      <c r="AC29" s="364">
        <v>15</v>
      </c>
      <c r="AD29" s="372" t="str">
        <f>IF($C29="","",AC29*VLOOKUP($C29,ATELIER!$B$2:$F$109,4,0))</f>
        <v/>
      </c>
      <c r="AE29" s="364">
        <v>16</v>
      </c>
      <c r="AF29" s="372" t="str">
        <f>IF($C29="","",AE29*VLOOKUP($C29,ATELIER!$B$2:$F$109,4,0))</f>
        <v/>
      </c>
      <c r="AG29" s="364">
        <v>17</v>
      </c>
      <c r="AH29" s="372" t="str">
        <f>IF($C29="","",AG29*VLOOKUP($C29,ATELIER!$B$2:$F$109,4,0))</f>
        <v/>
      </c>
      <c r="AI29" s="364">
        <v>18</v>
      </c>
      <c r="AJ29" s="372" t="str">
        <f>IF($C29="","",AI29*VLOOKUP($C29,ATELIER!$B$2:$F$109,4,0))</f>
        <v/>
      </c>
      <c r="AK29" s="364">
        <v>19</v>
      </c>
      <c r="AL29" s="372" t="str">
        <f>IF($C29="","",AK29*VLOOKUP($C29,ATELIER!$B$2:$F$109,4,0))</f>
        <v/>
      </c>
      <c r="AM29" s="364">
        <v>20</v>
      </c>
      <c r="AN29" s="372" t="str">
        <f>IF($C29="","",AM29*VLOOKUP($C29,ATELIER!$B$2:$F$109,4,0))</f>
        <v/>
      </c>
    </row>
    <row r="30" spans="1:40" ht="15" customHeight="1" x14ac:dyDescent="0.2">
      <c r="A30" s="1553"/>
      <c r="B30" s="361" t="str">
        <f>IF($C30="","",VLOOKUP($C30,ATELIER!$B$2:$F$109,2,0))</f>
        <v/>
      </c>
      <c r="C30" s="362"/>
      <c r="D30" s="363" t="str">
        <f>IF($C30="","",VLOOKUP($C30,ATELIER!$B$2:$E$109,3,0))</f>
        <v/>
      </c>
      <c r="E30" s="364">
        <v>4</v>
      </c>
      <c r="F30" s="372" t="str">
        <f>IF($C30="","",E30*VLOOKUP($C30,ATELIER!$B$2:$F$109,4,0))</f>
        <v/>
      </c>
      <c r="G30" s="364">
        <v>5</v>
      </c>
      <c r="H30" s="372" t="str">
        <f>IF($C30="","",G30*VLOOKUP($C30,ATELIER!$B$2:$F$109,4,0))</f>
        <v/>
      </c>
      <c r="I30" s="364">
        <v>6</v>
      </c>
      <c r="J30" s="372" t="str">
        <f>IF($C30="","",I30*VLOOKUP($C30,ATELIER!$B$2:$F$109,4,0))</f>
        <v/>
      </c>
      <c r="K30" s="364">
        <v>7</v>
      </c>
      <c r="L30" s="372" t="str">
        <f>IF($C30="","",K30*VLOOKUP($C30,ATELIER!$B$2:$F$109,4,0))</f>
        <v/>
      </c>
      <c r="M30" s="364">
        <v>8</v>
      </c>
      <c r="N30" s="372" t="str">
        <f>IF($C30="","",M30*VLOOKUP($C30,ATELIER!$B$2:$F$109,4,0))</f>
        <v/>
      </c>
      <c r="O30" s="364">
        <v>9</v>
      </c>
      <c r="P30" s="372" t="str">
        <f>IF($C30="","",O30*VLOOKUP($C30,ATELIER!$B$2:$F$109,4,0))</f>
        <v/>
      </c>
      <c r="Q30" s="364">
        <v>10</v>
      </c>
      <c r="R30" s="372" t="str">
        <f>IF($C30="","",Q30*VLOOKUP($C30,ATELIER!$B$2:$F$109,4,0))</f>
        <v/>
      </c>
      <c r="S30" s="364">
        <v>11</v>
      </c>
      <c r="T30" s="372" t="str">
        <f>IF($C30="","",S30*VLOOKUP($C30,ATELIER!$B$2:$F$109,4,0))</f>
        <v/>
      </c>
      <c r="U30" s="364">
        <v>12</v>
      </c>
      <c r="V30" s="372" t="str">
        <f>IF($C30="","",U30*VLOOKUP($C30,ATELIER!$B$2:$F$109,4,0))</f>
        <v/>
      </c>
      <c r="W30" s="364">
        <v>13</v>
      </c>
      <c r="X30" s="372" t="str">
        <f>IF($C30="","",W30*VLOOKUP($C30,ATELIER!$B$2:$F$109,4,0))</f>
        <v/>
      </c>
      <c r="Y30" s="364">
        <v>14</v>
      </c>
      <c r="Z30" s="372" t="str">
        <f>IF($C30="","",Y30*VLOOKUP($C30,ATELIER!$B$2:$F$109,4,0))</f>
        <v/>
      </c>
      <c r="AA30" s="364">
        <v>15</v>
      </c>
      <c r="AB30" s="372" t="str">
        <f>IF($C30="","",AA30*VLOOKUP($C30,ATELIER!$B$2:$F$109,4,0))</f>
        <v/>
      </c>
      <c r="AC30" s="364">
        <v>16</v>
      </c>
      <c r="AD30" s="372" t="str">
        <f>IF($C30="","",AC30*VLOOKUP($C30,ATELIER!$B$2:$F$109,4,0))</f>
        <v/>
      </c>
      <c r="AE30" s="364">
        <v>17</v>
      </c>
      <c r="AF30" s="372" t="str">
        <f>IF($C30="","",AE30*VLOOKUP($C30,ATELIER!$B$2:$F$109,4,0))</f>
        <v/>
      </c>
      <c r="AG30" s="364">
        <v>18</v>
      </c>
      <c r="AH30" s="372" t="str">
        <f>IF($C30="","",AG30*VLOOKUP($C30,ATELIER!$B$2:$F$109,4,0))</f>
        <v/>
      </c>
      <c r="AI30" s="364">
        <v>19</v>
      </c>
      <c r="AJ30" s="372" t="str">
        <f>IF($C30="","",AI30*VLOOKUP($C30,ATELIER!$B$2:$F$109,4,0))</f>
        <v/>
      </c>
      <c r="AK30" s="364">
        <v>20</v>
      </c>
      <c r="AL30" s="372" t="str">
        <f>IF($C30="","",AK30*VLOOKUP($C30,ATELIER!$B$2:$F$109,4,0))</f>
        <v/>
      </c>
      <c r="AM30" s="364">
        <v>21</v>
      </c>
      <c r="AN30" s="372" t="str">
        <f>IF($C30="","",AM30*VLOOKUP($C30,ATELIER!$B$2:$F$109,4,0))</f>
        <v/>
      </c>
    </row>
    <row r="31" spans="1:40" ht="15" customHeight="1" x14ac:dyDescent="0.2">
      <c r="A31" s="1553"/>
      <c r="B31" s="361" t="str">
        <f>IF($C31="","",VLOOKUP($C31,ATELIER!$B$2:$F$109,2,0))</f>
        <v/>
      </c>
      <c r="C31" s="362"/>
      <c r="D31" s="363" t="str">
        <f>IF($C31="","",VLOOKUP($C31,ATELIER!$B$2:$E$109,3,0))</f>
        <v/>
      </c>
      <c r="E31" s="364">
        <v>5</v>
      </c>
      <c r="F31" s="372" t="str">
        <f>IF($C31="","",E31*VLOOKUP($C31,ATELIER!$B$2:$F$109,4,0))</f>
        <v/>
      </c>
      <c r="G31" s="364">
        <v>6</v>
      </c>
      <c r="H31" s="372" t="str">
        <f>IF($C31="","",G31*VLOOKUP($C31,ATELIER!$B$2:$F$109,4,0))</f>
        <v/>
      </c>
      <c r="I31" s="364">
        <v>7</v>
      </c>
      <c r="J31" s="372" t="str">
        <f>IF($C31="","",I31*VLOOKUP($C31,ATELIER!$B$2:$F$109,4,0))</f>
        <v/>
      </c>
      <c r="K31" s="364">
        <v>8</v>
      </c>
      <c r="L31" s="372" t="str">
        <f>IF($C31="","",K31*VLOOKUP($C31,ATELIER!$B$2:$F$109,4,0))</f>
        <v/>
      </c>
      <c r="M31" s="364">
        <v>9</v>
      </c>
      <c r="N31" s="372" t="str">
        <f>IF($C31="","",M31*VLOOKUP($C31,ATELIER!$B$2:$F$109,4,0))</f>
        <v/>
      </c>
      <c r="O31" s="364">
        <v>10</v>
      </c>
      <c r="P31" s="372" t="str">
        <f>IF($C31="","",O31*VLOOKUP($C31,ATELIER!$B$2:$F$109,4,0))</f>
        <v/>
      </c>
      <c r="Q31" s="364">
        <v>11</v>
      </c>
      <c r="R31" s="372" t="str">
        <f>IF($C31="","",Q31*VLOOKUP($C31,ATELIER!$B$2:$F$109,4,0))</f>
        <v/>
      </c>
      <c r="S31" s="364">
        <v>12</v>
      </c>
      <c r="T31" s="372" t="str">
        <f>IF($C31="","",S31*VLOOKUP($C31,ATELIER!$B$2:$F$109,4,0))</f>
        <v/>
      </c>
      <c r="U31" s="364">
        <v>13</v>
      </c>
      <c r="V31" s="372" t="str">
        <f>IF($C31="","",U31*VLOOKUP($C31,ATELIER!$B$2:$F$109,4,0))</f>
        <v/>
      </c>
      <c r="W31" s="364">
        <v>14</v>
      </c>
      <c r="X31" s="372" t="str">
        <f>IF($C31="","",W31*VLOOKUP($C31,ATELIER!$B$2:$F$109,4,0))</f>
        <v/>
      </c>
      <c r="Y31" s="364">
        <v>15</v>
      </c>
      <c r="Z31" s="372" t="str">
        <f>IF($C31="","",Y31*VLOOKUP($C31,ATELIER!$B$2:$F$109,4,0))</f>
        <v/>
      </c>
      <c r="AA31" s="364">
        <v>16</v>
      </c>
      <c r="AB31" s="372" t="str">
        <f>IF($C31="","",AA31*VLOOKUP($C31,ATELIER!$B$2:$F$109,4,0))</f>
        <v/>
      </c>
      <c r="AC31" s="364">
        <v>17</v>
      </c>
      <c r="AD31" s="372" t="str">
        <f>IF($C31="","",AC31*VLOOKUP($C31,ATELIER!$B$2:$F$109,4,0))</f>
        <v/>
      </c>
      <c r="AE31" s="364">
        <v>18</v>
      </c>
      <c r="AF31" s="372" t="str">
        <f>IF($C31="","",AE31*VLOOKUP($C31,ATELIER!$B$2:$F$109,4,0))</f>
        <v/>
      </c>
      <c r="AG31" s="364">
        <v>19</v>
      </c>
      <c r="AH31" s="372" t="str">
        <f>IF($C31="","",AG31*VLOOKUP($C31,ATELIER!$B$2:$F$109,4,0))</f>
        <v/>
      </c>
      <c r="AI31" s="364">
        <v>20</v>
      </c>
      <c r="AJ31" s="372" t="str">
        <f>IF($C31="","",AI31*VLOOKUP($C31,ATELIER!$B$2:$F$109,4,0))</f>
        <v/>
      </c>
      <c r="AK31" s="364">
        <v>21</v>
      </c>
      <c r="AL31" s="372" t="str">
        <f>IF($C31="","",AK31*VLOOKUP($C31,ATELIER!$B$2:$F$109,4,0))</f>
        <v/>
      </c>
      <c r="AM31" s="364">
        <v>22</v>
      </c>
      <c r="AN31" s="372" t="str">
        <f>IF($C31="","",AM31*VLOOKUP($C31,ATELIER!$B$2:$F$109,4,0))</f>
        <v/>
      </c>
    </row>
    <row r="32" spans="1:40" ht="15" customHeight="1" x14ac:dyDescent="0.2">
      <c r="A32" s="1553"/>
      <c r="B32" s="361" t="str">
        <f>IF($C32="","",VLOOKUP($C32,ATELIER!$B$2:$F$109,2,0))</f>
        <v/>
      </c>
      <c r="C32" s="362"/>
      <c r="D32" s="363" t="str">
        <f>IF($C32="","",VLOOKUP($C32,ATELIER!$B$2:$E$109,3,0))</f>
        <v/>
      </c>
      <c r="E32" s="364">
        <v>6</v>
      </c>
      <c r="F32" s="372" t="str">
        <f>IF($C32="","",E32*VLOOKUP($C32,ATELIER!$B$2:$F$109,4,0))</f>
        <v/>
      </c>
      <c r="G32" s="364">
        <v>7</v>
      </c>
      <c r="H32" s="372" t="str">
        <f>IF($C32="","",G32*VLOOKUP($C32,ATELIER!$B$2:$F$109,4,0))</f>
        <v/>
      </c>
      <c r="I32" s="364">
        <v>8</v>
      </c>
      <c r="J32" s="372" t="str">
        <f>IF($C32="","",I32*VLOOKUP($C32,ATELIER!$B$2:$F$109,4,0))</f>
        <v/>
      </c>
      <c r="K32" s="364">
        <v>9</v>
      </c>
      <c r="L32" s="372" t="str">
        <f>IF($C32="","",K32*VLOOKUP($C32,ATELIER!$B$2:$F$109,4,0))</f>
        <v/>
      </c>
      <c r="M32" s="364">
        <v>10</v>
      </c>
      <c r="N32" s="372" t="str">
        <f>IF($C32="","",M32*VLOOKUP($C32,ATELIER!$B$2:$F$109,4,0))</f>
        <v/>
      </c>
      <c r="O32" s="364">
        <v>11</v>
      </c>
      <c r="P32" s="372" t="str">
        <f>IF($C32="","",O32*VLOOKUP($C32,ATELIER!$B$2:$F$109,4,0))</f>
        <v/>
      </c>
      <c r="Q32" s="364">
        <v>12</v>
      </c>
      <c r="R32" s="372" t="str">
        <f>IF($C32="","",Q32*VLOOKUP($C32,ATELIER!$B$2:$F$109,4,0))</f>
        <v/>
      </c>
      <c r="S32" s="364">
        <v>13</v>
      </c>
      <c r="T32" s="372" t="str">
        <f>IF($C32="","",S32*VLOOKUP($C32,ATELIER!$B$2:$F$109,4,0))</f>
        <v/>
      </c>
      <c r="U32" s="364">
        <v>14</v>
      </c>
      <c r="V32" s="372" t="str">
        <f>IF($C32="","",U32*VLOOKUP($C32,ATELIER!$B$2:$F$109,4,0))</f>
        <v/>
      </c>
      <c r="W32" s="364">
        <v>15</v>
      </c>
      <c r="X32" s="372" t="str">
        <f>IF($C32="","",W32*VLOOKUP($C32,ATELIER!$B$2:$F$109,4,0))</f>
        <v/>
      </c>
      <c r="Y32" s="364">
        <v>16</v>
      </c>
      <c r="Z32" s="372" t="str">
        <f>IF($C32="","",Y32*VLOOKUP($C32,ATELIER!$B$2:$F$109,4,0))</f>
        <v/>
      </c>
      <c r="AA32" s="364">
        <v>17</v>
      </c>
      <c r="AB32" s="372" t="str">
        <f>IF($C32="","",AA32*VLOOKUP($C32,ATELIER!$B$2:$F$109,4,0))</f>
        <v/>
      </c>
      <c r="AC32" s="364">
        <v>18</v>
      </c>
      <c r="AD32" s="372" t="str">
        <f>IF($C32="","",AC32*VLOOKUP($C32,ATELIER!$B$2:$F$109,4,0))</f>
        <v/>
      </c>
      <c r="AE32" s="364">
        <v>19</v>
      </c>
      <c r="AF32" s="372" t="str">
        <f>IF($C32="","",AE32*VLOOKUP($C32,ATELIER!$B$2:$F$109,4,0))</f>
        <v/>
      </c>
      <c r="AG32" s="364">
        <v>20</v>
      </c>
      <c r="AH32" s="372" t="str">
        <f>IF($C32="","",AG32*VLOOKUP($C32,ATELIER!$B$2:$F$109,4,0))</f>
        <v/>
      </c>
      <c r="AI32" s="364">
        <v>21</v>
      </c>
      <c r="AJ32" s="372" t="str">
        <f>IF($C32="","",AI32*VLOOKUP($C32,ATELIER!$B$2:$F$109,4,0))</f>
        <v/>
      </c>
      <c r="AK32" s="364">
        <v>22</v>
      </c>
      <c r="AL32" s="372" t="str">
        <f>IF($C32="","",AK32*VLOOKUP($C32,ATELIER!$B$2:$F$109,4,0))</f>
        <v/>
      </c>
      <c r="AM32" s="364">
        <v>23</v>
      </c>
      <c r="AN32" s="372" t="str">
        <f>IF($C32="","",AM32*VLOOKUP($C32,ATELIER!$B$2:$F$109,4,0))</f>
        <v/>
      </c>
    </row>
    <row r="33" spans="1:42" ht="15" customHeight="1" x14ac:dyDescent="0.2">
      <c r="A33" s="1553"/>
      <c r="B33" s="361" t="str">
        <f>IF($C33="","",VLOOKUP($C33,ATELIER!$B$2:$F$109,2,0))</f>
        <v/>
      </c>
      <c r="C33" s="362"/>
      <c r="D33" s="363" t="str">
        <f>IF($C33="","",VLOOKUP($C33,ATELIER!$B$2:$E$109,3,0))</f>
        <v/>
      </c>
      <c r="E33" s="364">
        <v>7</v>
      </c>
      <c r="F33" s="372" t="str">
        <f>IF($C33="","",E33*VLOOKUP($C33,ATELIER!$B$2:$F$109,4,0))</f>
        <v/>
      </c>
      <c r="G33" s="364">
        <v>8</v>
      </c>
      <c r="H33" s="372" t="str">
        <f>IF($C33="","",G33*VLOOKUP($C33,ATELIER!$B$2:$F$109,4,0))</f>
        <v/>
      </c>
      <c r="I33" s="364">
        <v>9</v>
      </c>
      <c r="J33" s="372" t="str">
        <f>IF($C33="","",I33*VLOOKUP($C33,ATELIER!$B$2:$F$109,4,0))</f>
        <v/>
      </c>
      <c r="K33" s="364">
        <v>10</v>
      </c>
      <c r="L33" s="372" t="str">
        <f>IF($C33="","",K33*VLOOKUP($C33,ATELIER!$B$2:$F$109,4,0))</f>
        <v/>
      </c>
      <c r="M33" s="364">
        <v>11</v>
      </c>
      <c r="N33" s="372" t="str">
        <f>IF($C33="","",M33*VLOOKUP($C33,ATELIER!$B$2:$F$109,4,0))</f>
        <v/>
      </c>
      <c r="O33" s="364">
        <v>12</v>
      </c>
      <c r="P33" s="372" t="str">
        <f>IF($C33="","",O33*VLOOKUP($C33,ATELIER!$B$2:$F$109,4,0))</f>
        <v/>
      </c>
      <c r="Q33" s="364">
        <v>13</v>
      </c>
      <c r="R33" s="372" t="str">
        <f>IF($C33="","",Q33*VLOOKUP($C33,ATELIER!$B$2:$F$109,4,0))</f>
        <v/>
      </c>
      <c r="S33" s="364">
        <v>14</v>
      </c>
      <c r="T33" s="372" t="str">
        <f>IF($C33="","",S33*VLOOKUP($C33,ATELIER!$B$2:$F$109,4,0))</f>
        <v/>
      </c>
      <c r="U33" s="364">
        <v>15</v>
      </c>
      <c r="V33" s="372" t="str">
        <f>IF($C33="","",U33*VLOOKUP($C33,ATELIER!$B$2:$F$109,4,0))</f>
        <v/>
      </c>
      <c r="W33" s="364">
        <v>16</v>
      </c>
      <c r="X33" s="372" t="str">
        <f>IF($C33="","",W33*VLOOKUP($C33,ATELIER!$B$2:$F$109,4,0))</f>
        <v/>
      </c>
      <c r="Y33" s="364">
        <v>17</v>
      </c>
      <c r="Z33" s="372" t="str">
        <f>IF($C33="","",Y33*VLOOKUP($C33,ATELIER!$B$2:$F$109,4,0))</f>
        <v/>
      </c>
      <c r="AA33" s="364">
        <v>18</v>
      </c>
      <c r="AB33" s="372" t="str">
        <f>IF($C33="","",AA33*VLOOKUP($C33,ATELIER!$B$2:$F$109,4,0))</f>
        <v/>
      </c>
      <c r="AC33" s="364">
        <v>19</v>
      </c>
      <c r="AD33" s="372" t="str">
        <f>IF($C33="","",AC33*VLOOKUP($C33,ATELIER!$B$2:$F$109,4,0))</f>
        <v/>
      </c>
      <c r="AE33" s="364">
        <v>20</v>
      </c>
      <c r="AF33" s="372" t="str">
        <f>IF($C33="","",AE33*VLOOKUP($C33,ATELIER!$B$2:$F$109,4,0))</f>
        <v/>
      </c>
      <c r="AG33" s="364">
        <v>21</v>
      </c>
      <c r="AH33" s="372" t="str">
        <f>IF($C33="","",AG33*VLOOKUP($C33,ATELIER!$B$2:$F$109,4,0))</f>
        <v/>
      </c>
      <c r="AI33" s="364">
        <v>22</v>
      </c>
      <c r="AJ33" s="372" t="str">
        <f>IF($C33="","",AI33*VLOOKUP($C33,ATELIER!$B$2:$F$109,4,0))</f>
        <v/>
      </c>
      <c r="AK33" s="364">
        <v>23</v>
      </c>
      <c r="AL33" s="372" t="str">
        <f>IF($C33="","",AK33*VLOOKUP($C33,ATELIER!$B$2:$F$109,4,0))</f>
        <v/>
      </c>
      <c r="AM33" s="364">
        <v>24</v>
      </c>
      <c r="AN33" s="372" t="str">
        <f>IF($C33="","",AM33*VLOOKUP($C33,ATELIER!$B$2:$F$109,4,0))</f>
        <v/>
      </c>
    </row>
    <row r="34" spans="1:42" ht="15" customHeight="1" x14ac:dyDescent="0.2">
      <c r="A34" s="1553"/>
      <c r="B34" s="361" t="str">
        <f>IF($C34="","",VLOOKUP($C34,ATELIER!$B$2:$F$109,2,0))</f>
        <v/>
      </c>
      <c r="C34" s="362"/>
      <c r="D34" s="363" t="str">
        <f>IF($C34="","",VLOOKUP($C34,ATELIER!$B$2:$E$109,3,0))</f>
        <v/>
      </c>
      <c r="E34" s="364">
        <v>8</v>
      </c>
      <c r="F34" s="372" t="str">
        <f>IF($C34="","",E34*VLOOKUP($C34,ATELIER!$B$2:$F$109,4,0))</f>
        <v/>
      </c>
      <c r="G34" s="364">
        <v>9</v>
      </c>
      <c r="H34" s="372" t="str">
        <f>IF($C34="","",G34*VLOOKUP($C34,ATELIER!$B$2:$F$109,4,0))</f>
        <v/>
      </c>
      <c r="I34" s="364">
        <v>10</v>
      </c>
      <c r="J34" s="372" t="str">
        <f>IF($C34="","",I34*VLOOKUP($C34,ATELIER!$B$2:$F$109,4,0))</f>
        <v/>
      </c>
      <c r="K34" s="364">
        <v>11</v>
      </c>
      <c r="L34" s="372" t="str">
        <f>IF($C34="","",K34*VLOOKUP($C34,ATELIER!$B$2:$F$109,4,0))</f>
        <v/>
      </c>
      <c r="M34" s="364">
        <v>12</v>
      </c>
      <c r="N34" s="372" t="str">
        <f>IF($C34="","",M34*VLOOKUP($C34,ATELIER!$B$2:$F$109,4,0))</f>
        <v/>
      </c>
      <c r="O34" s="364">
        <v>13</v>
      </c>
      <c r="P34" s="372" t="str">
        <f>IF($C34="","",O34*VLOOKUP($C34,ATELIER!$B$2:$F$109,4,0))</f>
        <v/>
      </c>
      <c r="Q34" s="364">
        <v>14</v>
      </c>
      <c r="R34" s="372" t="str">
        <f>IF($C34="","",Q34*VLOOKUP($C34,ATELIER!$B$2:$F$109,4,0))</f>
        <v/>
      </c>
      <c r="S34" s="364">
        <v>15</v>
      </c>
      <c r="T34" s="372" t="str">
        <f>IF($C34="","",S34*VLOOKUP($C34,ATELIER!$B$2:$F$109,4,0))</f>
        <v/>
      </c>
      <c r="U34" s="364">
        <v>16</v>
      </c>
      <c r="V34" s="372" t="str">
        <f>IF($C34="","",U34*VLOOKUP($C34,ATELIER!$B$2:$F$109,4,0))</f>
        <v/>
      </c>
      <c r="W34" s="364">
        <v>17</v>
      </c>
      <c r="X34" s="372" t="str">
        <f>IF($C34="","",W34*VLOOKUP($C34,ATELIER!$B$2:$F$109,4,0))</f>
        <v/>
      </c>
      <c r="Y34" s="364">
        <v>18</v>
      </c>
      <c r="Z34" s="372" t="str">
        <f>IF($C34="","",Y34*VLOOKUP($C34,ATELIER!$B$2:$F$109,4,0))</f>
        <v/>
      </c>
      <c r="AA34" s="364">
        <v>19</v>
      </c>
      <c r="AB34" s="372" t="str">
        <f>IF($C34="","",AA34*VLOOKUP($C34,ATELIER!$B$2:$F$109,4,0))</f>
        <v/>
      </c>
      <c r="AC34" s="364">
        <v>20</v>
      </c>
      <c r="AD34" s="372" t="str">
        <f>IF($C34="","",AC34*VLOOKUP($C34,ATELIER!$B$2:$F$109,4,0))</f>
        <v/>
      </c>
      <c r="AE34" s="364">
        <v>21</v>
      </c>
      <c r="AF34" s="372" t="str">
        <f>IF($C34="","",AE34*VLOOKUP($C34,ATELIER!$B$2:$F$109,4,0))</f>
        <v/>
      </c>
      <c r="AG34" s="364">
        <v>22</v>
      </c>
      <c r="AH34" s="372" t="str">
        <f>IF($C34="","",AG34*VLOOKUP($C34,ATELIER!$B$2:$F$109,4,0))</f>
        <v/>
      </c>
      <c r="AI34" s="364">
        <v>23</v>
      </c>
      <c r="AJ34" s="372" t="str">
        <f>IF($C34="","",AI34*VLOOKUP($C34,ATELIER!$B$2:$F$109,4,0))</f>
        <v/>
      </c>
      <c r="AK34" s="364">
        <v>24</v>
      </c>
      <c r="AL34" s="372" t="str">
        <f>IF($C34="","",AK34*VLOOKUP($C34,ATELIER!$B$2:$F$109,4,0))</f>
        <v/>
      </c>
      <c r="AM34" s="364">
        <v>25</v>
      </c>
      <c r="AN34" s="372" t="str">
        <f>IF($C34="","",AM34*VLOOKUP($C34,ATELIER!$B$2:$F$109,4,0))</f>
        <v/>
      </c>
      <c r="AO34" s="222"/>
      <c r="AP34" s="223"/>
    </row>
    <row r="35" spans="1:42" ht="15" customHeight="1" x14ac:dyDescent="0.2">
      <c r="A35" s="1553"/>
      <c r="B35" s="361" t="str">
        <f>IF($C35="","",VLOOKUP($C35,ATELIER!$B$2:$F$109,2,0))</f>
        <v/>
      </c>
      <c r="C35" s="362"/>
      <c r="D35" s="363" t="str">
        <f>IF($C35="","",VLOOKUP($C35,ATELIER!$B$2:$E$109,3,0))</f>
        <v/>
      </c>
      <c r="E35" s="364">
        <v>9</v>
      </c>
      <c r="F35" s="372" t="str">
        <f>IF($C35="","",E35*VLOOKUP($C35,ATELIER!$B$2:$F$109,4,0))</f>
        <v/>
      </c>
      <c r="G35" s="364">
        <v>10</v>
      </c>
      <c r="H35" s="372" t="str">
        <f>IF($C35="","",G35*VLOOKUP($C35,ATELIER!$B$2:$F$109,4,0))</f>
        <v/>
      </c>
      <c r="I35" s="364">
        <v>11</v>
      </c>
      <c r="J35" s="372" t="str">
        <f>IF($C35="","",I35*VLOOKUP($C35,ATELIER!$B$2:$F$109,4,0))</f>
        <v/>
      </c>
      <c r="K35" s="364">
        <v>12</v>
      </c>
      <c r="L35" s="372" t="str">
        <f>IF($C35="","",K35*VLOOKUP($C35,ATELIER!$B$2:$F$109,4,0))</f>
        <v/>
      </c>
      <c r="M35" s="364">
        <v>13</v>
      </c>
      <c r="N35" s="372" t="str">
        <f>IF($C35="","",M35*VLOOKUP($C35,ATELIER!$B$2:$F$109,4,0))</f>
        <v/>
      </c>
      <c r="O35" s="364">
        <v>14</v>
      </c>
      <c r="P35" s="372" t="str">
        <f>IF($C35="","",O35*VLOOKUP($C35,ATELIER!$B$2:$F$109,4,0))</f>
        <v/>
      </c>
      <c r="Q35" s="364">
        <v>15</v>
      </c>
      <c r="R35" s="372" t="str">
        <f>IF($C35="","",Q35*VLOOKUP($C35,ATELIER!$B$2:$F$109,4,0))</f>
        <v/>
      </c>
      <c r="S35" s="364">
        <v>16</v>
      </c>
      <c r="T35" s="372" t="str">
        <f>IF($C35="","",S35*VLOOKUP($C35,ATELIER!$B$2:$F$109,4,0))</f>
        <v/>
      </c>
      <c r="U35" s="364">
        <v>17</v>
      </c>
      <c r="V35" s="372" t="str">
        <f>IF($C35="","",U35*VLOOKUP($C35,ATELIER!$B$2:$F$109,4,0))</f>
        <v/>
      </c>
      <c r="W35" s="364">
        <v>18</v>
      </c>
      <c r="X35" s="372" t="str">
        <f>IF($C35="","",W35*VLOOKUP($C35,ATELIER!$B$2:$F$109,4,0))</f>
        <v/>
      </c>
      <c r="Y35" s="364">
        <v>19</v>
      </c>
      <c r="Z35" s="372" t="str">
        <f>IF($C35="","",Y35*VLOOKUP($C35,ATELIER!$B$2:$F$109,4,0))</f>
        <v/>
      </c>
      <c r="AA35" s="364">
        <v>20</v>
      </c>
      <c r="AB35" s="372" t="str">
        <f>IF($C35="","",AA35*VLOOKUP($C35,ATELIER!$B$2:$F$109,4,0))</f>
        <v/>
      </c>
      <c r="AC35" s="364">
        <v>21</v>
      </c>
      <c r="AD35" s="372" t="str">
        <f>IF($C35="","",AC35*VLOOKUP($C35,ATELIER!$B$2:$F$109,4,0))</f>
        <v/>
      </c>
      <c r="AE35" s="364">
        <v>22</v>
      </c>
      <c r="AF35" s="372" t="str">
        <f>IF($C35="","",AE35*VLOOKUP($C35,ATELIER!$B$2:$F$109,4,0))</f>
        <v/>
      </c>
      <c r="AG35" s="364">
        <v>23</v>
      </c>
      <c r="AH35" s="372" t="str">
        <f>IF($C35="","",AG35*VLOOKUP($C35,ATELIER!$B$2:$F$109,4,0))</f>
        <v/>
      </c>
      <c r="AI35" s="364">
        <v>24</v>
      </c>
      <c r="AJ35" s="372" t="str">
        <f>IF($C35="","",AI35*VLOOKUP($C35,ATELIER!$B$2:$F$109,4,0))</f>
        <v/>
      </c>
      <c r="AK35" s="364">
        <v>25</v>
      </c>
      <c r="AL35" s="372" t="str">
        <f>IF($C35="","",AK35*VLOOKUP($C35,ATELIER!$B$2:$F$109,4,0))</f>
        <v/>
      </c>
      <c r="AM35" s="364">
        <v>26</v>
      </c>
      <c r="AN35" s="372" t="str">
        <f>IF($C35="","",AM35*VLOOKUP($C35,ATELIER!$B$2:$F$109,4,0))</f>
        <v/>
      </c>
      <c r="AO35" s="203"/>
      <c r="AP35" s="158"/>
    </row>
    <row r="36" spans="1:42" ht="15" customHeight="1" x14ac:dyDescent="0.2">
      <c r="A36" s="1553"/>
      <c r="B36" s="361" t="str">
        <f>IF($C36="","",VLOOKUP($C36,ATELIER!$B$2:$F$109,2,0))</f>
        <v/>
      </c>
      <c r="C36" s="362"/>
      <c r="D36" s="363" t="str">
        <f>IF($C36="","",VLOOKUP($C36,ATELIER!$B$2:$E$109,3,0))</f>
        <v/>
      </c>
      <c r="E36" s="364">
        <v>10</v>
      </c>
      <c r="F36" s="372" t="str">
        <f>IF($C36="","",E36*VLOOKUP($C36,ATELIER!$B$2:$F$109,4,0))</f>
        <v/>
      </c>
      <c r="G36" s="364">
        <v>11</v>
      </c>
      <c r="H36" s="372" t="str">
        <f>IF($C36="","",G36*VLOOKUP($C36,ATELIER!$B$2:$F$109,4,0))</f>
        <v/>
      </c>
      <c r="I36" s="364">
        <v>12</v>
      </c>
      <c r="J36" s="372" t="str">
        <f>IF($C36="","",I36*VLOOKUP($C36,ATELIER!$B$2:$F$109,4,0))</f>
        <v/>
      </c>
      <c r="K36" s="364">
        <v>13</v>
      </c>
      <c r="L36" s="372" t="str">
        <f>IF($C36="","",K36*VLOOKUP($C36,ATELIER!$B$2:$F$109,4,0))</f>
        <v/>
      </c>
      <c r="M36" s="364">
        <v>14</v>
      </c>
      <c r="N36" s="372" t="str">
        <f>IF($C36="","",M36*VLOOKUP($C36,ATELIER!$B$2:$F$109,4,0))</f>
        <v/>
      </c>
      <c r="O36" s="364">
        <v>15</v>
      </c>
      <c r="P36" s="372" t="str">
        <f>IF($C36="","",O36*VLOOKUP($C36,ATELIER!$B$2:$F$109,4,0))</f>
        <v/>
      </c>
      <c r="Q36" s="364">
        <v>16</v>
      </c>
      <c r="R36" s="372" t="str">
        <f>IF($C36="","",Q36*VLOOKUP($C36,ATELIER!$B$2:$F$109,4,0))</f>
        <v/>
      </c>
      <c r="S36" s="364">
        <v>17</v>
      </c>
      <c r="T36" s="372" t="str">
        <f>IF($C36="","",S36*VLOOKUP($C36,ATELIER!$B$2:$F$109,4,0))</f>
        <v/>
      </c>
      <c r="U36" s="364">
        <v>18</v>
      </c>
      <c r="V36" s="372" t="str">
        <f>IF($C36="","",U36*VLOOKUP($C36,ATELIER!$B$2:$F$109,4,0))</f>
        <v/>
      </c>
      <c r="W36" s="364">
        <v>19</v>
      </c>
      <c r="X36" s="372" t="str">
        <f>IF($C36="","",W36*VLOOKUP($C36,ATELIER!$B$2:$F$109,4,0))</f>
        <v/>
      </c>
      <c r="Y36" s="364">
        <v>20</v>
      </c>
      <c r="Z36" s="372" t="str">
        <f>IF($C36="","",Y36*VLOOKUP($C36,ATELIER!$B$2:$F$109,4,0))</f>
        <v/>
      </c>
      <c r="AA36" s="364">
        <v>21</v>
      </c>
      <c r="AB36" s="372" t="str">
        <f>IF($C36="","",AA36*VLOOKUP($C36,ATELIER!$B$2:$F$109,4,0))</f>
        <v/>
      </c>
      <c r="AC36" s="364">
        <v>22</v>
      </c>
      <c r="AD36" s="372" t="str">
        <f>IF($C36="","",AC36*VLOOKUP($C36,ATELIER!$B$2:$F$109,4,0))</f>
        <v/>
      </c>
      <c r="AE36" s="364">
        <v>23</v>
      </c>
      <c r="AF36" s="372" t="str">
        <f>IF($C36="","",AE36*VLOOKUP($C36,ATELIER!$B$2:$F$109,4,0))</f>
        <v/>
      </c>
      <c r="AG36" s="364">
        <v>24</v>
      </c>
      <c r="AH36" s="372" t="str">
        <f>IF($C36="","",AG36*VLOOKUP($C36,ATELIER!$B$2:$F$109,4,0))</f>
        <v/>
      </c>
      <c r="AI36" s="364">
        <v>25</v>
      </c>
      <c r="AJ36" s="372" t="str">
        <f>IF($C36="","",AI36*VLOOKUP($C36,ATELIER!$B$2:$F$109,4,0))</f>
        <v/>
      </c>
      <c r="AK36" s="364">
        <v>26</v>
      </c>
      <c r="AL36" s="372" t="str">
        <f>IF($C36="","",AK36*VLOOKUP($C36,ATELIER!$B$2:$F$109,4,0))</f>
        <v/>
      </c>
      <c r="AM36" s="364">
        <v>27</v>
      </c>
      <c r="AN36" s="372" t="str">
        <f>IF($C36="","",AM36*VLOOKUP($C36,ATELIER!$B$2:$F$109,4,0))</f>
        <v/>
      </c>
      <c r="AO36" s="203"/>
      <c r="AP36" s="158"/>
    </row>
    <row r="37" spans="1:42" ht="15" customHeight="1" x14ac:dyDescent="0.2">
      <c r="A37" s="1553"/>
      <c r="B37" s="361" t="str">
        <f>IF($C37="","",VLOOKUP($C37,ATELIER!$B$2:$F$109,2,0))</f>
        <v/>
      </c>
      <c r="C37" s="362"/>
      <c r="D37" s="363" t="str">
        <f>IF($C37="","",VLOOKUP($C37,ATELIER!$B$2:$E$109,3,0))</f>
        <v/>
      </c>
      <c r="E37" s="364">
        <v>11</v>
      </c>
      <c r="F37" s="372" t="str">
        <f>IF($C37="","",E37*VLOOKUP($C37,ATELIER!$B$2:$F$109,4,0))</f>
        <v/>
      </c>
      <c r="G37" s="364">
        <v>12</v>
      </c>
      <c r="H37" s="372" t="str">
        <f>IF($C37="","",G37*VLOOKUP($C37,ATELIER!$B$2:$F$109,4,0))</f>
        <v/>
      </c>
      <c r="I37" s="364">
        <v>13</v>
      </c>
      <c r="J37" s="372" t="str">
        <f>IF($C37="","",I37*VLOOKUP($C37,ATELIER!$B$2:$F$109,4,0))</f>
        <v/>
      </c>
      <c r="K37" s="364">
        <v>14</v>
      </c>
      <c r="L37" s="372" t="str">
        <f>IF($C37="","",K37*VLOOKUP($C37,ATELIER!$B$2:$F$109,4,0))</f>
        <v/>
      </c>
      <c r="M37" s="364">
        <v>15</v>
      </c>
      <c r="N37" s="372" t="str">
        <f>IF($C37="","",M37*VLOOKUP($C37,ATELIER!$B$2:$F$109,4,0))</f>
        <v/>
      </c>
      <c r="O37" s="364">
        <v>16</v>
      </c>
      <c r="P37" s="372" t="str">
        <f>IF($C37="","",O37*VLOOKUP($C37,ATELIER!$B$2:$F$109,4,0))</f>
        <v/>
      </c>
      <c r="Q37" s="364">
        <v>17</v>
      </c>
      <c r="R37" s="372" t="str">
        <f>IF($C37="","",Q37*VLOOKUP($C37,ATELIER!$B$2:$F$109,4,0))</f>
        <v/>
      </c>
      <c r="S37" s="364">
        <v>18</v>
      </c>
      <c r="T37" s="372" t="str">
        <f>IF($C37="","",S37*VLOOKUP($C37,ATELIER!$B$2:$F$109,4,0))</f>
        <v/>
      </c>
      <c r="U37" s="364">
        <v>19</v>
      </c>
      <c r="V37" s="372" t="str">
        <f>IF($C37="","",U37*VLOOKUP($C37,ATELIER!$B$2:$F$109,4,0))</f>
        <v/>
      </c>
      <c r="W37" s="364">
        <v>20</v>
      </c>
      <c r="X37" s="372" t="str">
        <f>IF($C37="","",W37*VLOOKUP($C37,ATELIER!$B$2:$F$109,4,0))</f>
        <v/>
      </c>
      <c r="Y37" s="364">
        <v>21</v>
      </c>
      <c r="Z37" s="372" t="str">
        <f>IF($C37="","",Y37*VLOOKUP($C37,ATELIER!$B$2:$F$109,4,0))</f>
        <v/>
      </c>
      <c r="AA37" s="364">
        <v>22</v>
      </c>
      <c r="AB37" s="372" t="str">
        <f>IF($C37="","",AA37*VLOOKUP($C37,ATELIER!$B$2:$F$109,4,0))</f>
        <v/>
      </c>
      <c r="AC37" s="364">
        <v>23</v>
      </c>
      <c r="AD37" s="372" t="str">
        <f>IF($C37="","",AC37*VLOOKUP($C37,ATELIER!$B$2:$F$109,4,0))</f>
        <v/>
      </c>
      <c r="AE37" s="364">
        <v>24</v>
      </c>
      <c r="AF37" s="372" t="str">
        <f>IF($C37="","",AE37*VLOOKUP($C37,ATELIER!$B$2:$F$109,4,0))</f>
        <v/>
      </c>
      <c r="AG37" s="364">
        <v>25</v>
      </c>
      <c r="AH37" s="372" t="str">
        <f>IF($C37="","",AG37*VLOOKUP($C37,ATELIER!$B$2:$F$109,4,0))</f>
        <v/>
      </c>
      <c r="AI37" s="364">
        <v>26</v>
      </c>
      <c r="AJ37" s="372" t="str">
        <f>IF($C37="","",AI37*VLOOKUP($C37,ATELIER!$B$2:$F$109,4,0))</f>
        <v/>
      </c>
      <c r="AK37" s="364">
        <v>27</v>
      </c>
      <c r="AL37" s="372" t="str">
        <f>IF($C37="","",AK37*VLOOKUP($C37,ATELIER!$B$2:$F$109,4,0))</f>
        <v/>
      </c>
      <c r="AM37" s="364">
        <v>28</v>
      </c>
      <c r="AN37" s="372" t="str">
        <f>IF($C37="","",AM37*VLOOKUP($C37,ATELIER!$B$2:$F$109,4,0))</f>
        <v/>
      </c>
      <c r="AO37" s="155"/>
      <c r="AP37" s="155"/>
    </row>
    <row r="38" spans="1:42" ht="35.25" customHeight="1" x14ac:dyDescent="0.2">
      <c r="A38" s="1553"/>
      <c r="B38" s="375" t="s">
        <v>449</v>
      </c>
      <c r="C38" s="376" t="s">
        <v>450</v>
      </c>
      <c r="D38" s="377" t="s">
        <v>451</v>
      </c>
      <c r="E38" s="376" t="e">
        <f>F38*Simulation!$P$8</f>
        <v>#N/A</v>
      </c>
      <c r="F38" s="377" t="e">
        <f>SUM(F27:F37)</f>
        <v>#N/A</v>
      </c>
      <c r="G38" s="376" t="e">
        <f>H38*Simulation!$P$8</f>
        <v>#N/A</v>
      </c>
      <c r="H38" s="377" t="e">
        <f>SUM(H27:H37)</f>
        <v>#N/A</v>
      </c>
      <c r="I38" s="376" t="e">
        <f>J38*Simulation!$P$8</f>
        <v>#N/A</v>
      </c>
      <c r="J38" s="377" t="e">
        <f>SUM(J27:J37)</f>
        <v>#N/A</v>
      </c>
      <c r="K38" s="376" t="e">
        <f>L38*Simulation!$P$8</f>
        <v>#N/A</v>
      </c>
      <c r="L38" s="377" t="e">
        <f>SUM(L27:L37)</f>
        <v>#N/A</v>
      </c>
      <c r="M38" s="376" t="e">
        <f>N38*Simulation!$P$8</f>
        <v>#N/A</v>
      </c>
      <c r="N38" s="377" t="e">
        <f>SUM(N27:N37)</f>
        <v>#N/A</v>
      </c>
      <c r="O38" s="376" t="e">
        <f>P38*Simulation!$P$8</f>
        <v>#N/A</v>
      </c>
      <c r="P38" s="377" t="e">
        <f>SUM(P27:P37)</f>
        <v>#N/A</v>
      </c>
      <c r="Q38" s="376" t="e">
        <f>R38*Simulation!$P$8</f>
        <v>#N/A</v>
      </c>
      <c r="R38" s="377" t="e">
        <f>SUM(R27:R37)</f>
        <v>#N/A</v>
      </c>
      <c r="S38" s="376" t="e">
        <f>T38*Simulation!$P$8</f>
        <v>#N/A</v>
      </c>
      <c r="T38" s="377" t="e">
        <f>SUM(T27:T37)</f>
        <v>#N/A</v>
      </c>
      <c r="U38" s="376" t="e">
        <f>V38*Simulation!$P$8</f>
        <v>#N/A</v>
      </c>
      <c r="V38" s="377" t="e">
        <f>SUM(V27:V37)</f>
        <v>#N/A</v>
      </c>
      <c r="W38" s="376" t="e">
        <f>X38*Simulation!$P$8</f>
        <v>#N/A</v>
      </c>
      <c r="X38" s="377" t="e">
        <f>SUM(X27:X37)</f>
        <v>#N/A</v>
      </c>
      <c r="Y38" s="376" t="e">
        <f>Z38*Simulation!$P$8</f>
        <v>#N/A</v>
      </c>
      <c r="Z38" s="377" t="e">
        <f>SUM(Z27:Z37)</f>
        <v>#N/A</v>
      </c>
      <c r="AA38" s="376" t="e">
        <f>AB38*Simulation!$P$8</f>
        <v>#N/A</v>
      </c>
      <c r="AB38" s="377" t="e">
        <f>SUM(AB27:AB37)</f>
        <v>#N/A</v>
      </c>
      <c r="AC38" s="376" t="e">
        <f>AD38*Simulation!$P$8</f>
        <v>#N/A</v>
      </c>
      <c r="AD38" s="377" t="e">
        <f>SUM(AD27:AD37)</f>
        <v>#N/A</v>
      </c>
      <c r="AE38" s="376" t="e">
        <f>AF38*Simulation!$P$8</f>
        <v>#N/A</v>
      </c>
      <c r="AF38" s="377" t="e">
        <f>SUM(AF27:AF37)</f>
        <v>#N/A</v>
      </c>
      <c r="AG38" s="376" t="e">
        <f>AH38*Simulation!$P$8</f>
        <v>#N/A</v>
      </c>
      <c r="AH38" s="377" t="e">
        <f>SUM(AH27:AH37)</f>
        <v>#N/A</v>
      </c>
      <c r="AI38" s="376" t="e">
        <f>AJ38*Simulation!$P$8</f>
        <v>#N/A</v>
      </c>
      <c r="AJ38" s="377" t="e">
        <f>SUM(AJ27:AJ37)</f>
        <v>#N/A</v>
      </c>
      <c r="AK38" s="376" t="e">
        <f>AL38*Simulation!$P$8</f>
        <v>#N/A</v>
      </c>
      <c r="AL38" s="377" t="e">
        <f>SUM(AL27:AL37)</f>
        <v>#N/A</v>
      </c>
      <c r="AM38" s="376" t="e">
        <f>AN38*Simulation!$P$8</f>
        <v>#N/A</v>
      </c>
      <c r="AN38" s="377" t="e">
        <f>SUM(AN27:AN37)</f>
        <v>#N/A</v>
      </c>
      <c r="AO38" s="224"/>
      <c r="AP38" s="224"/>
    </row>
    <row r="39" spans="1:42" ht="15" customHeight="1" x14ac:dyDescent="0.2">
      <c r="A39" s="1554" t="s">
        <v>452</v>
      </c>
      <c r="B39" s="361" t="s">
        <v>1082</v>
      </c>
      <c r="C39" s="378" t="s">
        <v>378</v>
      </c>
      <c r="D39" s="363" t="str">
        <f>IF(C39="","",VLOOKUP($C39,CHANTIER!$A$2:$C$83,3,0))</f>
        <v>forfait</v>
      </c>
      <c r="E39" s="364">
        <v>1</v>
      </c>
      <c r="F39" s="372">
        <f>IF($C39="","",E39*VLOOKUP($C39,CHANTIER!$A$2:$D$83,4,0))</f>
        <v>0.25</v>
      </c>
      <c r="G39" s="364">
        <v>2</v>
      </c>
      <c r="H39" s="372">
        <f>IF($C39="","",G39*VLOOKUP($C39,CHANTIER!$A$2:$D$83,4,0))</f>
        <v>0.5</v>
      </c>
      <c r="I39" s="364">
        <v>3</v>
      </c>
      <c r="J39" s="372">
        <f>IF($C39="","",I39*VLOOKUP($C39,CHANTIER!$A$2:$D$83,4,0))</f>
        <v>0.75</v>
      </c>
      <c r="K39" s="364">
        <v>4</v>
      </c>
      <c r="L39" s="372">
        <f>IF($C39="","",K39*VLOOKUP($C39,CHANTIER!$A$2:$D$83,4,0))</f>
        <v>1</v>
      </c>
      <c r="M39" s="364">
        <v>5</v>
      </c>
      <c r="N39" s="372">
        <f>IF($C39="","",M39*VLOOKUP($C39,CHANTIER!$A$2:$D$83,4,0))</f>
        <v>1.25</v>
      </c>
      <c r="O39" s="364">
        <v>6</v>
      </c>
      <c r="P39" s="372">
        <f>IF($C39="","",O39*VLOOKUP($C39,CHANTIER!$A$2:$D$83,4,0))</f>
        <v>1.5</v>
      </c>
      <c r="Q39" s="364">
        <v>7</v>
      </c>
      <c r="R39" s="372">
        <f>IF($C39="","",Q39*VLOOKUP($C39,CHANTIER!$A$2:$D$83,4,0))</f>
        <v>1.75</v>
      </c>
      <c r="S39" s="364">
        <v>8</v>
      </c>
      <c r="T39" s="372">
        <f>IF($C39="","",S39*VLOOKUP($C39,CHANTIER!$A$2:$D$83,4,0))</f>
        <v>2</v>
      </c>
      <c r="U39" s="364">
        <v>9</v>
      </c>
      <c r="V39" s="372">
        <f>IF($C39="","",U39*VLOOKUP($C39,CHANTIER!$A$2:$D$83,4,0))</f>
        <v>2.25</v>
      </c>
      <c r="W39" s="364">
        <v>10</v>
      </c>
      <c r="X39" s="372">
        <f>IF($C39="","",W39*VLOOKUP($C39,CHANTIER!$A$2:$D$83,4,0))</f>
        <v>2.5</v>
      </c>
      <c r="Y39" s="364">
        <v>11</v>
      </c>
      <c r="Z39" s="372">
        <f>IF($C39="","",Y39*VLOOKUP($C39,CHANTIER!$A$2:$D$83,4,0))</f>
        <v>2.75</v>
      </c>
      <c r="AA39" s="364">
        <v>12</v>
      </c>
      <c r="AB39" s="372">
        <f>IF($C39="","",AA39*VLOOKUP($C39,CHANTIER!$A$2:$D$83,4,0))</f>
        <v>3</v>
      </c>
      <c r="AC39" s="364">
        <v>13</v>
      </c>
      <c r="AD39" s="372">
        <f>IF($C39="","",AC39*VLOOKUP($C39,CHANTIER!$A$2:$D$83,4,0))</f>
        <v>3.25</v>
      </c>
      <c r="AE39" s="364">
        <v>14</v>
      </c>
      <c r="AF39" s="372">
        <f>IF($C39="","",AE39*VLOOKUP($C39,CHANTIER!$A$2:$D$83,4,0))</f>
        <v>3.5</v>
      </c>
      <c r="AG39" s="364">
        <v>15</v>
      </c>
      <c r="AH39" s="372">
        <f>IF($C39="","",AG39*VLOOKUP($C39,CHANTIER!$A$2:$D$83,4,0))</f>
        <v>3.75</v>
      </c>
      <c r="AI39" s="364">
        <v>16</v>
      </c>
      <c r="AJ39" s="372">
        <f>IF($C39="","",AI39*VLOOKUP($C39,CHANTIER!$A$2:$D$83,4,0))</f>
        <v>4</v>
      </c>
      <c r="AK39" s="364">
        <v>17</v>
      </c>
      <c r="AL39" s="372">
        <f>IF($C39="","",AK39*VLOOKUP($C39,CHANTIER!$A$2:$D$83,4,0))</f>
        <v>4.25</v>
      </c>
      <c r="AM39" s="364">
        <v>18</v>
      </c>
      <c r="AN39" s="372">
        <f>IF($C39="","",AM39*VLOOKUP($C39,CHANTIER!$A$2:$D$83,4,0))</f>
        <v>4.5</v>
      </c>
      <c r="AO39" s="224"/>
      <c r="AP39" s="224"/>
    </row>
    <row r="40" spans="1:42" ht="15" customHeight="1" x14ac:dyDescent="0.2">
      <c r="A40" s="1554"/>
      <c r="B40" s="361"/>
      <c r="C40" s="378"/>
      <c r="D40" s="363" t="str">
        <f>IF(C40="","",VLOOKUP($C40,CHANTIER!$A$2:$C$83,3,0))</f>
        <v/>
      </c>
      <c r="E40" s="364">
        <v>2</v>
      </c>
      <c r="F40" s="372" t="str">
        <f>IF($C40="","",E40*VLOOKUP($C40,CHANTIER!$A$2:$D$83,4,0))</f>
        <v/>
      </c>
      <c r="G40" s="364">
        <v>3</v>
      </c>
      <c r="H40" s="372" t="str">
        <f>IF($C40="","",G40*VLOOKUP($C40,CHANTIER!$A$2:$D$83,4,0))</f>
        <v/>
      </c>
      <c r="I40" s="364">
        <v>4</v>
      </c>
      <c r="J40" s="372" t="str">
        <f>IF($C40="","",I40*VLOOKUP($C40,CHANTIER!$A$2:$D$83,4,0))</f>
        <v/>
      </c>
      <c r="K40" s="364">
        <v>5</v>
      </c>
      <c r="L40" s="372" t="str">
        <f>IF($C40="","",K40*VLOOKUP($C40,CHANTIER!$A$2:$D$83,4,0))</f>
        <v/>
      </c>
      <c r="M40" s="364">
        <v>6</v>
      </c>
      <c r="N40" s="372" t="str">
        <f>IF($C40="","",M40*VLOOKUP($C40,CHANTIER!$A$2:$D$83,4,0))</f>
        <v/>
      </c>
      <c r="O40" s="364">
        <v>7</v>
      </c>
      <c r="P40" s="372" t="str">
        <f>IF($C40="","",O40*VLOOKUP($C40,CHANTIER!$A$2:$D$83,4,0))</f>
        <v/>
      </c>
      <c r="Q40" s="364">
        <v>8</v>
      </c>
      <c r="R40" s="372" t="str">
        <f>IF($C40="","",Q40*VLOOKUP($C40,CHANTIER!$A$2:$D$83,4,0))</f>
        <v/>
      </c>
      <c r="S40" s="364">
        <v>9</v>
      </c>
      <c r="T40" s="372" t="str">
        <f>IF($C40="","",S40*VLOOKUP($C40,CHANTIER!$A$2:$D$83,4,0))</f>
        <v/>
      </c>
      <c r="U40" s="364">
        <v>10</v>
      </c>
      <c r="V40" s="372" t="str">
        <f>IF($C40="","",U40*VLOOKUP($C40,CHANTIER!$A$2:$D$83,4,0))</f>
        <v/>
      </c>
      <c r="W40" s="364">
        <v>11</v>
      </c>
      <c r="X40" s="372" t="str">
        <f>IF($C40="","",W40*VLOOKUP($C40,CHANTIER!$A$2:$D$83,4,0))</f>
        <v/>
      </c>
      <c r="Y40" s="364">
        <v>12</v>
      </c>
      <c r="Z40" s="372" t="str">
        <f>IF($C40="","",Y40*VLOOKUP($C40,CHANTIER!$A$2:$D$83,4,0))</f>
        <v/>
      </c>
      <c r="AA40" s="364">
        <v>13</v>
      </c>
      <c r="AB40" s="372" t="str">
        <f>IF($C40="","",AA40*VLOOKUP($C40,CHANTIER!$A$2:$D$83,4,0))</f>
        <v/>
      </c>
      <c r="AC40" s="364">
        <v>14</v>
      </c>
      <c r="AD40" s="372" t="str">
        <f>IF($C40="","",AC40*VLOOKUP($C40,CHANTIER!$A$2:$D$83,4,0))</f>
        <v/>
      </c>
      <c r="AE40" s="364">
        <v>15</v>
      </c>
      <c r="AF40" s="372" t="str">
        <f>IF($C40="","",AE40*VLOOKUP($C40,CHANTIER!$A$2:$D$83,4,0))</f>
        <v/>
      </c>
      <c r="AG40" s="364">
        <v>16</v>
      </c>
      <c r="AH40" s="372" t="str">
        <f>IF($C40="","",AG40*VLOOKUP($C40,CHANTIER!$A$2:$D$83,4,0))</f>
        <v/>
      </c>
      <c r="AI40" s="364">
        <v>17</v>
      </c>
      <c r="AJ40" s="372" t="str">
        <f>IF($C40="","",AI40*VLOOKUP($C40,CHANTIER!$A$2:$D$83,4,0))</f>
        <v/>
      </c>
      <c r="AK40" s="364">
        <v>18</v>
      </c>
      <c r="AL40" s="372" t="str">
        <f>IF($C40="","",AK40*VLOOKUP($C40,CHANTIER!$A$2:$D$83,4,0))</f>
        <v/>
      </c>
      <c r="AM40" s="364">
        <v>19</v>
      </c>
      <c r="AN40" s="372" t="str">
        <f>IF($C40="","",AM40*VLOOKUP($C40,CHANTIER!$A$2:$D$83,4,0))</f>
        <v/>
      </c>
      <c r="AO40" s="224"/>
      <c r="AP40" s="224"/>
    </row>
    <row r="41" spans="1:42" ht="15" customHeight="1" x14ac:dyDescent="0.2">
      <c r="A41" s="1555"/>
      <c r="B41" s="361"/>
      <c r="C41" s="378"/>
      <c r="D41" s="363" t="str">
        <f>IF(C41="","",VLOOKUP($C41,CHANTIER!$A$2:$C$83,3,0))</f>
        <v/>
      </c>
      <c r="E41" s="364">
        <v>3</v>
      </c>
      <c r="F41" s="372" t="str">
        <f>IF($C41="","",E41*VLOOKUP($C41,CHANTIER!$A$2:$D$83,4,0))</f>
        <v/>
      </c>
      <c r="G41" s="364">
        <v>4</v>
      </c>
      <c r="H41" s="372" t="str">
        <f>IF($C41="","",G41*VLOOKUP($C41,CHANTIER!$A$2:$D$83,4,0))</f>
        <v/>
      </c>
      <c r="I41" s="364">
        <v>5</v>
      </c>
      <c r="J41" s="372" t="str">
        <f>IF($C41="","",I41*VLOOKUP($C41,CHANTIER!$A$2:$D$83,4,0))</f>
        <v/>
      </c>
      <c r="K41" s="364">
        <v>6</v>
      </c>
      <c r="L41" s="372" t="str">
        <f>IF($C41="","",K41*VLOOKUP($C41,CHANTIER!$A$2:$D$83,4,0))</f>
        <v/>
      </c>
      <c r="M41" s="364">
        <v>7</v>
      </c>
      <c r="N41" s="372" t="str">
        <f>IF($C41="","",M41*VLOOKUP($C41,CHANTIER!$A$2:$D$83,4,0))</f>
        <v/>
      </c>
      <c r="O41" s="364">
        <v>8</v>
      </c>
      <c r="P41" s="372" t="str">
        <f>IF($C41="","",O41*VLOOKUP($C41,CHANTIER!$A$2:$D$83,4,0))</f>
        <v/>
      </c>
      <c r="Q41" s="364">
        <v>9</v>
      </c>
      <c r="R41" s="372" t="str">
        <f>IF($C41="","",Q41*VLOOKUP($C41,CHANTIER!$A$2:$D$83,4,0))</f>
        <v/>
      </c>
      <c r="S41" s="364">
        <v>10</v>
      </c>
      <c r="T41" s="372" t="str">
        <f>IF($C41="","",S41*VLOOKUP($C41,CHANTIER!$A$2:$D$83,4,0))</f>
        <v/>
      </c>
      <c r="U41" s="364">
        <v>11</v>
      </c>
      <c r="V41" s="372" t="str">
        <f>IF($C41="","",U41*VLOOKUP($C41,CHANTIER!$A$2:$D$83,4,0))</f>
        <v/>
      </c>
      <c r="W41" s="364">
        <v>12</v>
      </c>
      <c r="X41" s="372" t="str">
        <f>IF($C41="","",W41*VLOOKUP($C41,CHANTIER!$A$2:$D$83,4,0))</f>
        <v/>
      </c>
      <c r="Y41" s="364">
        <v>13</v>
      </c>
      <c r="Z41" s="372" t="str">
        <f>IF($C41="","",Y41*VLOOKUP($C41,CHANTIER!$A$2:$D$83,4,0))</f>
        <v/>
      </c>
      <c r="AA41" s="364">
        <v>14</v>
      </c>
      <c r="AB41" s="372" t="str">
        <f>IF($C41="","",AA41*VLOOKUP($C41,CHANTIER!$A$2:$D$83,4,0))</f>
        <v/>
      </c>
      <c r="AC41" s="364">
        <v>15</v>
      </c>
      <c r="AD41" s="372" t="str">
        <f>IF($C41="","",AC41*VLOOKUP($C41,CHANTIER!$A$2:$D$83,4,0))</f>
        <v/>
      </c>
      <c r="AE41" s="364">
        <v>16</v>
      </c>
      <c r="AF41" s="372" t="str">
        <f>IF($C41="","",AE41*VLOOKUP($C41,CHANTIER!$A$2:$D$83,4,0))</f>
        <v/>
      </c>
      <c r="AG41" s="364">
        <v>17</v>
      </c>
      <c r="AH41" s="372" t="str">
        <f>IF($C41="","",AG41*VLOOKUP($C41,CHANTIER!$A$2:$D$83,4,0))</f>
        <v/>
      </c>
      <c r="AI41" s="364">
        <v>18</v>
      </c>
      <c r="AJ41" s="372" t="str">
        <f>IF($C41="","",AI41*VLOOKUP($C41,CHANTIER!$A$2:$D$83,4,0))</f>
        <v/>
      </c>
      <c r="AK41" s="364">
        <v>19</v>
      </c>
      <c r="AL41" s="372" t="str">
        <f>IF($C41="","",AK41*VLOOKUP($C41,CHANTIER!$A$2:$D$83,4,0))</f>
        <v/>
      </c>
      <c r="AM41" s="364">
        <v>20</v>
      </c>
      <c r="AN41" s="372" t="str">
        <f>IF($C41="","",AM41*VLOOKUP($C41,CHANTIER!$A$2:$D$83,4,0))</f>
        <v/>
      </c>
      <c r="AO41" s="224"/>
      <c r="AP41" s="224"/>
    </row>
    <row r="42" spans="1:42" ht="15" customHeight="1" x14ac:dyDescent="0.2">
      <c r="A42" s="1554"/>
      <c r="B42" s="361"/>
      <c r="C42" s="378"/>
      <c r="D42" s="363" t="str">
        <f>IF(C42="","",VLOOKUP($C42,CHANTIER!$A$2:$C$83,3,0))</f>
        <v/>
      </c>
      <c r="E42" s="364">
        <v>4</v>
      </c>
      <c r="F42" s="372" t="str">
        <f>IF($C42="","",E42*VLOOKUP($C42,CHANTIER!$A$2:$D$83,4,0))</f>
        <v/>
      </c>
      <c r="G42" s="364">
        <v>5</v>
      </c>
      <c r="H42" s="372" t="str">
        <f>IF($C42="","",G42*VLOOKUP($C42,CHANTIER!$A$2:$D$83,4,0))</f>
        <v/>
      </c>
      <c r="I42" s="364">
        <v>6</v>
      </c>
      <c r="J42" s="372" t="str">
        <f>IF($C42="","",I42*VLOOKUP($C42,CHANTIER!$A$2:$D$83,4,0))</f>
        <v/>
      </c>
      <c r="K42" s="364">
        <v>7</v>
      </c>
      <c r="L42" s="372" t="str">
        <f>IF($C42="","",K42*VLOOKUP($C42,CHANTIER!$A$2:$D$83,4,0))</f>
        <v/>
      </c>
      <c r="M42" s="364">
        <v>8</v>
      </c>
      <c r="N42" s="372" t="str">
        <f>IF($C42="","",M42*VLOOKUP($C42,CHANTIER!$A$2:$D$83,4,0))</f>
        <v/>
      </c>
      <c r="O42" s="364">
        <v>9</v>
      </c>
      <c r="P42" s="372" t="str">
        <f>IF($C42="","",O42*VLOOKUP($C42,CHANTIER!$A$2:$D$83,4,0))</f>
        <v/>
      </c>
      <c r="Q42" s="364">
        <v>10</v>
      </c>
      <c r="R42" s="372" t="str">
        <f>IF($C42="","",Q42*VLOOKUP($C42,CHANTIER!$A$2:$D$83,4,0))</f>
        <v/>
      </c>
      <c r="S42" s="364">
        <v>11</v>
      </c>
      <c r="T42" s="372" t="str">
        <f>IF($C42="","",S42*VLOOKUP($C42,CHANTIER!$A$2:$D$83,4,0))</f>
        <v/>
      </c>
      <c r="U42" s="364">
        <v>12</v>
      </c>
      <c r="V42" s="372" t="str">
        <f>IF($C42="","",U42*VLOOKUP($C42,CHANTIER!$A$2:$D$83,4,0))</f>
        <v/>
      </c>
      <c r="W42" s="364">
        <v>13</v>
      </c>
      <c r="X42" s="372" t="str">
        <f>IF($C42="","",W42*VLOOKUP($C42,CHANTIER!$A$2:$D$83,4,0))</f>
        <v/>
      </c>
      <c r="Y42" s="364">
        <v>14</v>
      </c>
      <c r="Z42" s="372" t="str">
        <f>IF($C42="","",Y42*VLOOKUP($C42,CHANTIER!$A$2:$D$83,4,0))</f>
        <v/>
      </c>
      <c r="AA42" s="364">
        <v>15</v>
      </c>
      <c r="AB42" s="372" t="str">
        <f>IF($C42="","",AA42*VLOOKUP($C42,CHANTIER!$A$2:$D$83,4,0))</f>
        <v/>
      </c>
      <c r="AC42" s="364">
        <v>16</v>
      </c>
      <c r="AD42" s="372" t="str">
        <f>IF($C42="","",AC42*VLOOKUP($C42,CHANTIER!$A$2:$D$83,4,0))</f>
        <v/>
      </c>
      <c r="AE42" s="364">
        <v>17</v>
      </c>
      <c r="AF42" s="372" t="str">
        <f>IF($C42="","",AE42*VLOOKUP($C42,CHANTIER!$A$2:$D$83,4,0))</f>
        <v/>
      </c>
      <c r="AG42" s="364">
        <v>18</v>
      </c>
      <c r="AH42" s="372" t="str">
        <f>IF($C42="","",AG42*VLOOKUP($C42,CHANTIER!$A$2:$D$83,4,0))</f>
        <v/>
      </c>
      <c r="AI42" s="364">
        <v>19</v>
      </c>
      <c r="AJ42" s="372" t="str">
        <f>IF($C42="","",AI42*VLOOKUP($C42,CHANTIER!$A$2:$D$83,4,0))</f>
        <v/>
      </c>
      <c r="AK42" s="364">
        <v>20</v>
      </c>
      <c r="AL42" s="372" t="str">
        <f>IF($C42="","",AK42*VLOOKUP($C42,CHANTIER!$A$2:$D$83,4,0))</f>
        <v/>
      </c>
      <c r="AM42" s="364">
        <v>21</v>
      </c>
      <c r="AN42" s="372" t="str">
        <f>IF($C42="","",AM42*VLOOKUP($C42,CHANTIER!$A$2:$D$83,4,0))</f>
        <v/>
      </c>
      <c r="AO42" s="224"/>
      <c r="AP42" s="224"/>
    </row>
    <row r="43" spans="1:42" ht="15" customHeight="1" x14ac:dyDescent="0.2">
      <c r="A43" s="1554"/>
      <c r="B43" s="361"/>
      <c r="C43" s="378"/>
      <c r="D43" s="363" t="str">
        <f>IF(C43="","",VLOOKUP($C43,CHANTIER!$A$2:$C$83,3,0))</f>
        <v/>
      </c>
      <c r="E43" s="364">
        <v>5</v>
      </c>
      <c r="F43" s="372" t="str">
        <f>IF($C43="","",E43*VLOOKUP($C43,CHANTIER!$A$2:$D$83,4,0))</f>
        <v/>
      </c>
      <c r="G43" s="364">
        <v>6</v>
      </c>
      <c r="H43" s="372" t="str">
        <f>IF($C43="","",G43*VLOOKUP($C43,CHANTIER!$A$2:$D$83,4,0))</f>
        <v/>
      </c>
      <c r="I43" s="364">
        <v>7</v>
      </c>
      <c r="J43" s="372" t="str">
        <f>IF($C43="","",I43*VLOOKUP($C43,CHANTIER!$A$2:$D$83,4,0))</f>
        <v/>
      </c>
      <c r="K43" s="364">
        <v>8</v>
      </c>
      <c r="L43" s="372" t="str">
        <f>IF($C43="","",K43*VLOOKUP($C43,CHANTIER!$A$2:$D$83,4,0))</f>
        <v/>
      </c>
      <c r="M43" s="364">
        <v>9</v>
      </c>
      <c r="N43" s="372" t="str">
        <f>IF($C43="","",M43*VLOOKUP($C43,CHANTIER!$A$2:$D$83,4,0))</f>
        <v/>
      </c>
      <c r="O43" s="364">
        <v>10</v>
      </c>
      <c r="P43" s="372" t="str">
        <f>IF($C43="","",O43*VLOOKUP($C43,CHANTIER!$A$2:$D$83,4,0))</f>
        <v/>
      </c>
      <c r="Q43" s="364">
        <v>11</v>
      </c>
      <c r="R43" s="372" t="str">
        <f>IF($C43="","",Q43*VLOOKUP($C43,CHANTIER!$A$2:$D$83,4,0))</f>
        <v/>
      </c>
      <c r="S43" s="364">
        <v>12</v>
      </c>
      <c r="T43" s="372" t="str">
        <f>IF($C43="","",S43*VLOOKUP($C43,CHANTIER!$A$2:$D$83,4,0))</f>
        <v/>
      </c>
      <c r="U43" s="364">
        <v>13</v>
      </c>
      <c r="V43" s="372" t="str">
        <f>IF($C43="","",U43*VLOOKUP($C43,CHANTIER!$A$2:$D$83,4,0))</f>
        <v/>
      </c>
      <c r="W43" s="364">
        <v>14</v>
      </c>
      <c r="X43" s="372" t="str">
        <f>IF($C43="","",W43*VLOOKUP($C43,CHANTIER!$A$2:$D$83,4,0))</f>
        <v/>
      </c>
      <c r="Y43" s="364">
        <v>15</v>
      </c>
      <c r="Z43" s="372" t="str">
        <f>IF($C43="","",Y43*VLOOKUP($C43,CHANTIER!$A$2:$D$83,4,0))</f>
        <v/>
      </c>
      <c r="AA43" s="364">
        <v>16</v>
      </c>
      <c r="AB43" s="372" t="str">
        <f>IF($C43="","",AA43*VLOOKUP($C43,CHANTIER!$A$2:$D$83,4,0))</f>
        <v/>
      </c>
      <c r="AC43" s="364">
        <v>17</v>
      </c>
      <c r="AD43" s="372" t="str">
        <f>IF($C43="","",AC43*VLOOKUP($C43,CHANTIER!$A$2:$D$83,4,0))</f>
        <v/>
      </c>
      <c r="AE43" s="364">
        <v>18</v>
      </c>
      <c r="AF43" s="372" t="str">
        <f>IF($C43="","",AE43*VLOOKUP($C43,CHANTIER!$A$2:$D$83,4,0))</f>
        <v/>
      </c>
      <c r="AG43" s="364">
        <v>19</v>
      </c>
      <c r="AH43" s="372" t="str">
        <f>IF($C43="","",AG43*VLOOKUP($C43,CHANTIER!$A$2:$D$83,4,0))</f>
        <v/>
      </c>
      <c r="AI43" s="364">
        <v>20</v>
      </c>
      <c r="AJ43" s="372" t="str">
        <f>IF($C43="","",AI43*VLOOKUP($C43,CHANTIER!$A$2:$D$83,4,0))</f>
        <v/>
      </c>
      <c r="AK43" s="364">
        <v>21</v>
      </c>
      <c r="AL43" s="372" t="str">
        <f>IF($C43="","",AK43*VLOOKUP($C43,CHANTIER!$A$2:$D$83,4,0))</f>
        <v/>
      </c>
      <c r="AM43" s="364">
        <v>22</v>
      </c>
      <c r="AN43" s="372" t="str">
        <f>IF($C43="","",AM43*VLOOKUP($C43,CHANTIER!$A$2:$D$83,4,0))</f>
        <v/>
      </c>
      <c r="AO43" s="224"/>
      <c r="AP43" s="224"/>
    </row>
    <row r="44" spans="1:42" ht="15" customHeight="1" x14ac:dyDescent="0.2">
      <c r="A44" s="1554"/>
      <c r="B44" s="361"/>
      <c r="C44" s="378"/>
      <c r="D44" s="363" t="str">
        <f>IF(C44="","",VLOOKUP($C44,CHANTIER!$A$2:$C$83,3,0))</f>
        <v/>
      </c>
      <c r="E44" s="364">
        <v>6</v>
      </c>
      <c r="F44" s="372" t="str">
        <f>IF($C44="","",E44*VLOOKUP($C44,CHANTIER!$A$2:$D$83,4,0))</f>
        <v/>
      </c>
      <c r="G44" s="364">
        <v>7</v>
      </c>
      <c r="H44" s="372" t="str">
        <f>IF($C44="","",G44*VLOOKUP($C44,CHANTIER!$A$2:$D$83,4,0))</f>
        <v/>
      </c>
      <c r="I44" s="364">
        <v>8</v>
      </c>
      <c r="J44" s="372" t="str">
        <f>IF($C44="","",I44*VLOOKUP($C44,CHANTIER!$A$2:$D$83,4,0))</f>
        <v/>
      </c>
      <c r="K44" s="364">
        <v>9</v>
      </c>
      <c r="L44" s="372" t="str">
        <f>IF($C44="","",K44*VLOOKUP($C44,CHANTIER!$A$2:$D$83,4,0))</f>
        <v/>
      </c>
      <c r="M44" s="364">
        <v>10</v>
      </c>
      <c r="N44" s="372" t="str">
        <f>IF($C44="","",M44*VLOOKUP($C44,CHANTIER!$A$2:$D$83,4,0))</f>
        <v/>
      </c>
      <c r="O44" s="364">
        <v>11</v>
      </c>
      <c r="P44" s="372" t="str">
        <f>IF($C44="","",O44*VLOOKUP($C44,CHANTIER!$A$2:$D$83,4,0))</f>
        <v/>
      </c>
      <c r="Q44" s="364">
        <v>12</v>
      </c>
      <c r="R44" s="372" t="str">
        <f>IF($C44="","",Q44*VLOOKUP($C44,CHANTIER!$A$2:$D$83,4,0))</f>
        <v/>
      </c>
      <c r="S44" s="364">
        <v>13</v>
      </c>
      <c r="T44" s="372" t="str">
        <f>IF($C44="","",S44*VLOOKUP($C44,CHANTIER!$A$2:$D$83,4,0))</f>
        <v/>
      </c>
      <c r="U44" s="364">
        <v>14</v>
      </c>
      <c r="V44" s="372" t="str">
        <f>IF($C44="","",U44*VLOOKUP($C44,CHANTIER!$A$2:$D$83,4,0))</f>
        <v/>
      </c>
      <c r="W44" s="364">
        <v>15</v>
      </c>
      <c r="X44" s="372" t="str">
        <f>IF($C44="","",W44*VLOOKUP($C44,CHANTIER!$A$2:$D$83,4,0))</f>
        <v/>
      </c>
      <c r="Y44" s="364">
        <v>16</v>
      </c>
      <c r="Z44" s="372" t="str">
        <f>IF($C44="","",Y44*VLOOKUP($C44,CHANTIER!$A$2:$D$83,4,0))</f>
        <v/>
      </c>
      <c r="AA44" s="364">
        <v>17</v>
      </c>
      <c r="AB44" s="372" t="str">
        <f>IF($C44="","",AA44*VLOOKUP($C44,CHANTIER!$A$2:$D$83,4,0))</f>
        <v/>
      </c>
      <c r="AC44" s="364">
        <v>18</v>
      </c>
      <c r="AD44" s="372" t="str">
        <f>IF($C44="","",AC44*VLOOKUP($C44,CHANTIER!$A$2:$D$83,4,0))</f>
        <v/>
      </c>
      <c r="AE44" s="364">
        <v>19</v>
      </c>
      <c r="AF44" s="372" t="str">
        <f>IF($C44="","",AE44*VLOOKUP($C44,CHANTIER!$A$2:$D$83,4,0))</f>
        <v/>
      </c>
      <c r="AG44" s="364">
        <v>20</v>
      </c>
      <c r="AH44" s="372" t="str">
        <f>IF($C44="","",AG44*VLOOKUP($C44,CHANTIER!$A$2:$D$83,4,0))</f>
        <v/>
      </c>
      <c r="AI44" s="364">
        <v>21</v>
      </c>
      <c r="AJ44" s="372" t="str">
        <f>IF($C44="","",AI44*VLOOKUP($C44,CHANTIER!$A$2:$D$83,4,0))</f>
        <v/>
      </c>
      <c r="AK44" s="364">
        <v>22</v>
      </c>
      <c r="AL44" s="372" t="str">
        <f>IF($C44="","",AK44*VLOOKUP($C44,CHANTIER!$A$2:$D$83,4,0))</f>
        <v/>
      </c>
      <c r="AM44" s="364">
        <v>23</v>
      </c>
      <c r="AN44" s="372" t="str">
        <f>IF($C44="","",AM44*VLOOKUP($C44,CHANTIER!$A$2:$D$83,4,0))</f>
        <v/>
      </c>
      <c r="AO44" s="224"/>
      <c r="AP44" s="224"/>
    </row>
    <row r="45" spans="1:42" ht="15" customHeight="1" x14ac:dyDescent="0.2">
      <c r="A45" s="1554"/>
      <c r="B45" s="361"/>
      <c r="C45" s="378"/>
      <c r="D45" s="363" t="str">
        <f>IF(C45="","",VLOOKUP($C45,CHANTIER!$A$2:$C$83,3,0))</f>
        <v/>
      </c>
      <c r="E45" s="364">
        <v>7</v>
      </c>
      <c r="F45" s="372" t="str">
        <f>IF($C45="","",E45*VLOOKUP($C45,CHANTIER!$A$2:$D$83,4,0))</f>
        <v/>
      </c>
      <c r="G45" s="364">
        <v>8</v>
      </c>
      <c r="H45" s="372" t="str">
        <f>IF($C45="","",G45*VLOOKUP($C45,CHANTIER!$A$2:$D$83,4,0))</f>
        <v/>
      </c>
      <c r="I45" s="364">
        <v>9</v>
      </c>
      <c r="J45" s="372" t="str">
        <f>IF($C45="","",I45*VLOOKUP($C45,CHANTIER!$A$2:$D$83,4,0))</f>
        <v/>
      </c>
      <c r="K45" s="364">
        <v>10</v>
      </c>
      <c r="L45" s="372" t="str">
        <f>IF($C45="","",K45*VLOOKUP($C45,CHANTIER!$A$2:$D$83,4,0))</f>
        <v/>
      </c>
      <c r="M45" s="364">
        <v>11</v>
      </c>
      <c r="N45" s="372" t="str">
        <f>IF($C45="","",M45*VLOOKUP($C45,CHANTIER!$A$2:$D$83,4,0))</f>
        <v/>
      </c>
      <c r="O45" s="364">
        <v>12</v>
      </c>
      <c r="P45" s="372" t="str">
        <f>IF($C45="","",O45*VLOOKUP($C45,CHANTIER!$A$2:$D$83,4,0))</f>
        <v/>
      </c>
      <c r="Q45" s="364">
        <v>13</v>
      </c>
      <c r="R45" s="372" t="str">
        <f>IF($C45="","",Q45*VLOOKUP($C45,CHANTIER!$A$2:$D$83,4,0))</f>
        <v/>
      </c>
      <c r="S45" s="364">
        <v>14</v>
      </c>
      <c r="T45" s="372" t="str">
        <f>IF($C45="","",S45*VLOOKUP($C45,CHANTIER!$A$2:$D$83,4,0))</f>
        <v/>
      </c>
      <c r="U45" s="364">
        <v>15</v>
      </c>
      <c r="V45" s="372" t="str">
        <f>IF($C45="","",U45*VLOOKUP($C45,CHANTIER!$A$2:$D$83,4,0))</f>
        <v/>
      </c>
      <c r="W45" s="364">
        <v>16</v>
      </c>
      <c r="X45" s="372" t="str">
        <f>IF($C45="","",W45*VLOOKUP($C45,CHANTIER!$A$2:$D$83,4,0))</f>
        <v/>
      </c>
      <c r="Y45" s="364">
        <v>17</v>
      </c>
      <c r="Z45" s="372" t="str">
        <f>IF($C45="","",Y45*VLOOKUP($C45,CHANTIER!$A$2:$D$83,4,0))</f>
        <v/>
      </c>
      <c r="AA45" s="364">
        <v>18</v>
      </c>
      <c r="AB45" s="372" t="str">
        <f>IF($C45="","",AA45*VLOOKUP($C45,CHANTIER!$A$2:$D$83,4,0))</f>
        <v/>
      </c>
      <c r="AC45" s="364">
        <v>19</v>
      </c>
      <c r="AD45" s="372" t="str">
        <f>IF($C45="","",AC45*VLOOKUP($C45,CHANTIER!$A$2:$D$83,4,0))</f>
        <v/>
      </c>
      <c r="AE45" s="364">
        <v>20</v>
      </c>
      <c r="AF45" s="372" t="str">
        <f>IF($C45="","",AE45*VLOOKUP($C45,CHANTIER!$A$2:$D$83,4,0))</f>
        <v/>
      </c>
      <c r="AG45" s="364">
        <v>21</v>
      </c>
      <c r="AH45" s="372" t="str">
        <f>IF($C45="","",AG45*VLOOKUP($C45,CHANTIER!$A$2:$D$83,4,0))</f>
        <v/>
      </c>
      <c r="AI45" s="364">
        <v>22</v>
      </c>
      <c r="AJ45" s="372" t="str">
        <f>IF($C45="","",AI45*VLOOKUP($C45,CHANTIER!$A$2:$D$83,4,0))</f>
        <v/>
      </c>
      <c r="AK45" s="364">
        <v>23</v>
      </c>
      <c r="AL45" s="372" t="str">
        <f>IF($C45="","",AK45*VLOOKUP($C45,CHANTIER!$A$2:$D$83,4,0))</f>
        <v/>
      </c>
      <c r="AM45" s="364">
        <v>24</v>
      </c>
      <c r="AN45" s="372" t="str">
        <f>IF($C45="","",AM45*VLOOKUP($C45,CHANTIER!$A$2:$D$83,4,0))</f>
        <v/>
      </c>
      <c r="AO45" s="224"/>
      <c r="AP45" s="224"/>
    </row>
    <row r="46" spans="1:42" ht="15" customHeight="1" x14ac:dyDescent="0.2">
      <c r="A46" s="1554"/>
      <c r="B46" s="361"/>
      <c r="C46" s="378"/>
      <c r="D46" s="363" t="str">
        <f>IF(C46="","",VLOOKUP($C46,CHANTIER!$A$2:$C$83,3,0))</f>
        <v/>
      </c>
      <c r="E46" s="364">
        <v>8</v>
      </c>
      <c r="F46" s="372" t="str">
        <f>IF($C46="","",E46*VLOOKUP($C46,CHANTIER!$A$2:$D$83,4,0))</f>
        <v/>
      </c>
      <c r="G46" s="364">
        <v>9</v>
      </c>
      <c r="H46" s="372" t="str">
        <f>IF($C46="","",G46*VLOOKUP($C46,CHANTIER!$A$2:$D$83,4,0))</f>
        <v/>
      </c>
      <c r="I46" s="364">
        <v>10</v>
      </c>
      <c r="J46" s="372" t="str">
        <f>IF($C46="","",I46*VLOOKUP($C46,CHANTIER!$A$2:$D$83,4,0))</f>
        <v/>
      </c>
      <c r="K46" s="364">
        <v>11</v>
      </c>
      <c r="L46" s="372" t="str">
        <f>IF($C46="","",K46*VLOOKUP($C46,CHANTIER!$A$2:$D$83,4,0))</f>
        <v/>
      </c>
      <c r="M46" s="364">
        <v>12</v>
      </c>
      <c r="N46" s="372" t="str">
        <f>IF($C46="","",M46*VLOOKUP($C46,CHANTIER!$A$2:$D$83,4,0))</f>
        <v/>
      </c>
      <c r="O46" s="364">
        <v>13</v>
      </c>
      <c r="P46" s="372" t="str">
        <f>IF($C46="","",O46*VLOOKUP($C46,CHANTIER!$A$2:$D$83,4,0))</f>
        <v/>
      </c>
      <c r="Q46" s="364">
        <v>14</v>
      </c>
      <c r="R46" s="372" t="str">
        <f>IF($C46="","",Q46*VLOOKUP($C46,CHANTIER!$A$2:$D$83,4,0))</f>
        <v/>
      </c>
      <c r="S46" s="364">
        <v>15</v>
      </c>
      <c r="T46" s="372" t="str">
        <f>IF($C46="","",S46*VLOOKUP($C46,CHANTIER!$A$2:$D$83,4,0))</f>
        <v/>
      </c>
      <c r="U46" s="364">
        <v>16</v>
      </c>
      <c r="V46" s="372" t="str">
        <f>IF($C46="","",U46*VLOOKUP($C46,CHANTIER!$A$2:$D$83,4,0))</f>
        <v/>
      </c>
      <c r="W46" s="364">
        <v>17</v>
      </c>
      <c r="X46" s="372" t="str">
        <f>IF($C46="","",W46*VLOOKUP($C46,CHANTIER!$A$2:$D$83,4,0))</f>
        <v/>
      </c>
      <c r="Y46" s="364">
        <v>18</v>
      </c>
      <c r="Z46" s="372" t="str">
        <f>IF($C46="","",Y46*VLOOKUP($C46,CHANTIER!$A$2:$D$83,4,0))</f>
        <v/>
      </c>
      <c r="AA46" s="364">
        <v>19</v>
      </c>
      <c r="AB46" s="372" t="str">
        <f>IF($C46="","",AA46*VLOOKUP($C46,CHANTIER!$A$2:$D$83,4,0))</f>
        <v/>
      </c>
      <c r="AC46" s="364">
        <v>20</v>
      </c>
      <c r="AD46" s="372" t="str">
        <f>IF($C46="","",AC46*VLOOKUP($C46,CHANTIER!$A$2:$D$83,4,0))</f>
        <v/>
      </c>
      <c r="AE46" s="364">
        <v>21</v>
      </c>
      <c r="AF46" s="372" t="str">
        <f>IF($C46="","",AE46*VLOOKUP($C46,CHANTIER!$A$2:$D$83,4,0))</f>
        <v/>
      </c>
      <c r="AG46" s="364">
        <v>22</v>
      </c>
      <c r="AH46" s="372" t="str">
        <f>IF($C46="","",AG46*VLOOKUP($C46,CHANTIER!$A$2:$D$83,4,0))</f>
        <v/>
      </c>
      <c r="AI46" s="364">
        <v>23</v>
      </c>
      <c r="AJ46" s="372" t="str">
        <f>IF($C46="","",AI46*VLOOKUP($C46,CHANTIER!$A$2:$D$83,4,0))</f>
        <v/>
      </c>
      <c r="AK46" s="364">
        <v>24</v>
      </c>
      <c r="AL46" s="372" t="str">
        <f>IF($C46="","",AK46*VLOOKUP($C46,CHANTIER!$A$2:$D$83,4,0))</f>
        <v/>
      </c>
      <c r="AM46" s="364">
        <v>25</v>
      </c>
      <c r="AN46" s="372" t="str">
        <f>IF($C46="","",AM46*VLOOKUP($C46,CHANTIER!$A$2:$D$83,4,0))</f>
        <v/>
      </c>
      <c r="AO46" s="225"/>
      <c r="AP46" s="226"/>
    </row>
    <row r="47" spans="1:42" ht="15" customHeight="1" x14ac:dyDescent="0.2">
      <c r="A47" s="1554"/>
      <c r="B47" s="361"/>
      <c r="C47" s="378"/>
      <c r="D47" s="363" t="str">
        <f>IF(C47="","",VLOOKUP($C47,CHANTIER!$A$2:$C$83,3,0))</f>
        <v/>
      </c>
      <c r="E47" s="364">
        <v>9</v>
      </c>
      <c r="F47" s="372" t="str">
        <f>IF($C47="","",E47*VLOOKUP($C47,CHANTIER!$A$2:$D$83,4,0))</f>
        <v/>
      </c>
      <c r="G47" s="364">
        <v>10</v>
      </c>
      <c r="H47" s="372" t="str">
        <f>IF($C47="","",G47*VLOOKUP($C47,CHANTIER!$A$2:$D$83,4,0))</f>
        <v/>
      </c>
      <c r="I47" s="364">
        <v>11</v>
      </c>
      <c r="J47" s="372" t="str">
        <f>IF($C47="","",I47*VLOOKUP($C47,CHANTIER!$A$2:$D$83,4,0))</f>
        <v/>
      </c>
      <c r="K47" s="364">
        <v>12</v>
      </c>
      <c r="L47" s="372" t="str">
        <f>IF($C47="","",K47*VLOOKUP($C47,CHANTIER!$A$2:$D$83,4,0))</f>
        <v/>
      </c>
      <c r="M47" s="364">
        <v>13</v>
      </c>
      <c r="N47" s="372" t="str">
        <f>IF($C47="","",M47*VLOOKUP($C47,CHANTIER!$A$2:$D$83,4,0))</f>
        <v/>
      </c>
      <c r="O47" s="364">
        <v>14</v>
      </c>
      <c r="P47" s="372" t="str">
        <f>IF($C47="","",O47*VLOOKUP($C47,CHANTIER!$A$2:$D$83,4,0))</f>
        <v/>
      </c>
      <c r="Q47" s="364">
        <v>15</v>
      </c>
      <c r="R47" s="372" t="str">
        <f>IF($C47="","",Q47*VLOOKUP($C47,CHANTIER!$A$2:$D$83,4,0))</f>
        <v/>
      </c>
      <c r="S47" s="364">
        <v>16</v>
      </c>
      <c r="T47" s="372" t="str">
        <f>IF($C47="","",S47*VLOOKUP($C47,CHANTIER!$A$2:$D$83,4,0))</f>
        <v/>
      </c>
      <c r="U47" s="364">
        <v>17</v>
      </c>
      <c r="V47" s="372" t="str">
        <f>IF($C47="","",U47*VLOOKUP($C47,CHANTIER!$A$2:$D$83,4,0))</f>
        <v/>
      </c>
      <c r="W47" s="364">
        <v>18</v>
      </c>
      <c r="X47" s="372" t="str">
        <f>IF($C47="","",W47*VLOOKUP($C47,CHANTIER!$A$2:$D$83,4,0))</f>
        <v/>
      </c>
      <c r="Y47" s="364">
        <v>19</v>
      </c>
      <c r="Z47" s="372" t="str">
        <f>IF($C47="","",Y47*VLOOKUP($C47,CHANTIER!$A$2:$D$83,4,0))</f>
        <v/>
      </c>
      <c r="AA47" s="364">
        <v>20</v>
      </c>
      <c r="AB47" s="372" t="str">
        <f>IF($C47="","",AA47*VLOOKUP($C47,CHANTIER!$A$2:$D$83,4,0))</f>
        <v/>
      </c>
      <c r="AC47" s="364">
        <v>21</v>
      </c>
      <c r="AD47" s="372" t="str">
        <f>IF($C47="","",AC47*VLOOKUP($C47,CHANTIER!$A$2:$D$83,4,0))</f>
        <v/>
      </c>
      <c r="AE47" s="364">
        <v>22</v>
      </c>
      <c r="AF47" s="372" t="str">
        <f>IF($C47="","",AE47*VLOOKUP($C47,CHANTIER!$A$2:$D$83,4,0))</f>
        <v/>
      </c>
      <c r="AG47" s="364">
        <v>23</v>
      </c>
      <c r="AH47" s="372" t="str">
        <f>IF($C47="","",AG47*VLOOKUP($C47,CHANTIER!$A$2:$D$83,4,0))</f>
        <v/>
      </c>
      <c r="AI47" s="364">
        <v>24</v>
      </c>
      <c r="AJ47" s="372" t="str">
        <f>IF($C47="","",AI47*VLOOKUP($C47,CHANTIER!$A$2:$D$83,4,0))</f>
        <v/>
      </c>
      <c r="AK47" s="364">
        <v>25</v>
      </c>
      <c r="AL47" s="372" t="str">
        <f>IF($C47="","",AK47*VLOOKUP($C47,CHANTIER!$A$2:$D$83,4,0))</f>
        <v/>
      </c>
      <c r="AM47" s="364">
        <v>26</v>
      </c>
      <c r="AN47" s="372" t="str">
        <f>IF($C47="","",AM47*VLOOKUP($C47,CHANTIER!$A$2:$D$83,4,0))</f>
        <v/>
      </c>
    </row>
    <row r="48" spans="1:42" ht="15" customHeight="1" x14ac:dyDescent="0.2">
      <c r="A48" s="1554"/>
      <c r="B48" s="361"/>
      <c r="C48" s="378"/>
      <c r="D48" s="363" t="str">
        <f>IF(C48="","",VLOOKUP($C48,CHANTIER!$A$2:$C$83,3,0))</f>
        <v/>
      </c>
      <c r="E48" s="364">
        <v>10</v>
      </c>
      <c r="F48" s="372" t="str">
        <f>IF($C48="","",E48*VLOOKUP($C48,CHANTIER!$A$2:$D$83,4,0))</f>
        <v/>
      </c>
      <c r="G48" s="364">
        <v>11</v>
      </c>
      <c r="H48" s="372" t="str">
        <f>IF($C48="","",G48*VLOOKUP($C48,CHANTIER!$A$2:$D$83,4,0))</f>
        <v/>
      </c>
      <c r="I48" s="364">
        <v>12</v>
      </c>
      <c r="J48" s="372" t="str">
        <f>IF($C48="","",I48*VLOOKUP($C48,CHANTIER!$A$2:$D$83,4,0))</f>
        <v/>
      </c>
      <c r="K48" s="364">
        <v>13</v>
      </c>
      <c r="L48" s="372" t="str">
        <f>IF($C48="","",K48*VLOOKUP($C48,CHANTIER!$A$2:$D$83,4,0))</f>
        <v/>
      </c>
      <c r="M48" s="364">
        <v>14</v>
      </c>
      <c r="N48" s="372" t="str">
        <f>IF($C48="","",M48*VLOOKUP($C48,CHANTIER!$A$2:$D$83,4,0))</f>
        <v/>
      </c>
      <c r="O48" s="364">
        <v>15</v>
      </c>
      <c r="P48" s="372" t="str">
        <f>IF($C48="","",O48*VLOOKUP($C48,CHANTIER!$A$2:$D$83,4,0))</f>
        <v/>
      </c>
      <c r="Q48" s="364">
        <v>16</v>
      </c>
      <c r="R48" s="372" t="str">
        <f>IF($C48="","",Q48*VLOOKUP($C48,CHANTIER!$A$2:$D$83,4,0))</f>
        <v/>
      </c>
      <c r="S48" s="364">
        <v>17</v>
      </c>
      <c r="T48" s="372" t="str">
        <f>IF($C48="","",S48*VLOOKUP($C48,CHANTIER!$A$2:$D$83,4,0))</f>
        <v/>
      </c>
      <c r="U48" s="364">
        <v>18</v>
      </c>
      <c r="V48" s="372" t="str">
        <f>IF($C48="","",U48*VLOOKUP($C48,CHANTIER!$A$2:$D$83,4,0))</f>
        <v/>
      </c>
      <c r="W48" s="364">
        <v>19</v>
      </c>
      <c r="X48" s="372" t="str">
        <f>IF($C48="","",W48*VLOOKUP($C48,CHANTIER!$A$2:$D$83,4,0))</f>
        <v/>
      </c>
      <c r="Y48" s="364">
        <v>20</v>
      </c>
      <c r="Z48" s="372" t="str">
        <f>IF($C48="","",Y48*VLOOKUP($C48,CHANTIER!$A$2:$D$83,4,0))</f>
        <v/>
      </c>
      <c r="AA48" s="364">
        <v>21</v>
      </c>
      <c r="AB48" s="372" t="str">
        <f>IF($C48="","",AA48*VLOOKUP($C48,CHANTIER!$A$2:$D$83,4,0))</f>
        <v/>
      </c>
      <c r="AC48" s="364">
        <v>22</v>
      </c>
      <c r="AD48" s="372" t="str">
        <f>IF($C48="","",AC48*VLOOKUP($C48,CHANTIER!$A$2:$D$83,4,0))</f>
        <v/>
      </c>
      <c r="AE48" s="364">
        <v>23</v>
      </c>
      <c r="AF48" s="372" t="str">
        <f>IF($C48="","",AE48*VLOOKUP($C48,CHANTIER!$A$2:$D$83,4,0))</f>
        <v/>
      </c>
      <c r="AG48" s="364">
        <v>24</v>
      </c>
      <c r="AH48" s="372" t="str">
        <f>IF($C48="","",AG48*VLOOKUP($C48,CHANTIER!$A$2:$D$83,4,0))</f>
        <v/>
      </c>
      <c r="AI48" s="364">
        <v>25</v>
      </c>
      <c r="AJ48" s="372" t="str">
        <f>IF($C48="","",AI48*VLOOKUP($C48,CHANTIER!$A$2:$D$83,4,0))</f>
        <v/>
      </c>
      <c r="AK48" s="364">
        <v>26</v>
      </c>
      <c r="AL48" s="372" t="str">
        <f>IF($C48="","",AK48*VLOOKUP($C48,CHANTIER!$A$2:$D$83,4,0))</f>
        <v/>
      </c>
      <c r="AM48" s="364">
        <v>27</v>
      </c>
      <c r="AN48" s="372" t="str">
        <f>IF($C48="","",AM48*VLOOKUP($C48,CHANTIER!$A$2:$D$83,4,0))</f>
        <v/>
      </c>
    </row>
    <row r="49" spans="1:42" ht="15" customHeight="1" x14ac:dyDescent="0.2">
      <c r="A49" s="1554"/>
      <c r="B49" s="361"/>
      <c r="C49" s="378"/>
      <c r="D49" s="363" t="str">
        <f>IF(C49="","",VLOOKUP($C49,CHANTIER!$A$2:$C$83,3,0))</f>
        <v/>
      </c>
      <c r="E49" s="364">
        <v>11</v>
      </c>
      <c r="F49" s="372" t="str">
        <f>IF($C49="","",E49*VLOOKUP($C49,CHANTIER!$A$2:$D$83,4,0))</f>
        <v/>
      </c>
      <c r="G49" s="364">
        <v>12</v>
      </c>
      <c r="H49" s="372" t="str">
        <f>IF($C49="","",G49*VLOOKUP($C49,CHANTIER!$A$2:$D$83,4,0))</f>
        <v/>
      </c>
      <c r="I49" s="364">
        <v>13</v>
      </c>
      <c r="J49" s="372" t="str">
        <f>IF($C49="","",I49*VLOOKUP($C49,CHANTIER!$A$2:$D$83,4,0))</f>
        <v/>
      </c>
      <c r="K49" s="364">
        <v>14</v>
      </c>
      <c r="L49" s="372" t="str">
        <f>IF($C49="","",K49*VLOOKUP($C49,CHANTIER!$A$2:$D$83,4,0))</f>
        <v/>
      </c>
      <c r="M49" s="364">
        <v>15</v>
      </c>
      <c r="N49" s="372" t="str">
        <f>IF($C49="","",M49*VLOOKUP($C49,CHANTIER!$A$2:$D$83,4,0))</f>
        <v/>
      </c>
      <c r="O49" s="364">
        <v>16</v>
      </c>
      <c r="P49" s="372" t="str">
        <f>IF($C49="","",O49*VLOOKUP($C49,CHANTIER!$A$2:$D$83,4,0))</f>
        <v/>
      </c>
      <c r="Q49" s="364">
        <v>17</v>
      </c>
      <c r="R49" s="372" t="str">
        <f>IF($C49="","",Q49*VLOOKUP($C49,CHANTIER!$A$2:$D$83,4,0))</f>
        <v/>
      </c>
      <c r="S49" s="364">
        <v>18</v>
      </c>
      <c r="T49" s="372" t="str">
        <f>IF($C49="","",S49*VLOOKUP($C49,CHANTIER!$A$2:$D$83,4,0))</f>
        <v/>
      </c>
      <c r="U49" s="364">
        <v>19</v>
      </c>
      <c r="V49" s="372" t="str">
        <f>IF($C49="","",U49*VLOOKUP($C49,CHANTIER!$A$2:$D$83,4,0))</f>
        <v/>
      </c>
      <c r="W49" s="364">
        <v>20</v>
      </c>
      <c r="X49" s="372" t="str">
        <f>IF($C49="","",W49*VLOOKUP($C49,CHANTIER!$A$2:$D$83,4,0))</f>
        <v/>
      </c>
      <c r="Y49" s="364">
        <v>21</v>
      </c>
      <c r="Z49" s="372" t="str">
        <f>IF($C49="","",Y49*VLOOKUP($C49,CHANTIER!$A$2:$D$83,4,0))</f>
        <v/>
      </c>
      <c r="AA49" s="364">
        <v>22</v>
      </c>
      <c r="AB49" s="372" t="str">
        <f>IF($C49="","",AA49*VLOOKUP($C49,CHANTIER!$A$2:$D$83,4,0))</f>
        <v/>
      </c>
      <c r="AC49" s="364">
        <v>23</v>
      </c>
      <c r="AD49" s="372" t="str">
        <f>IF($C49="","",AC49*VLOOKUP($C49,CHANTIER!$A$2:$D$83,4,0))</f>
        <v/>
      </c>
      <c r="AE49" s="364">
        <v>24</v>
      </c>
      <c r="AF49" s="372" t="str">
        <f>IF($C49="","",AE49*VLOOKUP($C49,CHANTIER!$A$2:$D$83,4,0))</f>
        <v/>
      </c>
      <c r="AG49" s="364">
        <v>25</v>
      </c>
      <c r="AH49" s="372" t="str">
        <f>IF($C49="","",AG49*VLOOKUP($C49,CHANTIER!$A$2:$D$83,4,0))</f>
        <v/>
      </c>
      <c r="AI49" s="364">
        <v>26</v>
      </c>
      <c r="AJ49" s="372" t="str">
        <f>IF($C49="","",AI49*VLOOKUP($C49,CHANTIER!$A$2:$D$83,4,0))</f>
        <v/>
      </c>
      <c r="AK49" s="364">
        <v>27</v>
      </c>
      <c r="AL49" s="372" t="str">
        <f>IF($C49="","",AK49*VLOOKUP($C49,CHANTIER!$A$2:$D$83,4,0))</f>
        <v/>
      </c>
      <c r="AM49" s="364">
        <v>28</v>
      </c>
      <c r="AN49" s="372" t="str">
        <f>IF($C49="","",AM49*VLOOKUP($C49,CHANTIER!$A$2:$D$83,4,0))</f>
        <v/>
      </c>
    </row>
    <row r="50" spans="1:42" ht="30.75" customHeight="1" x14ac:dyDescent="0.2">
      <c r="A50" s="1554"/>
      <c r="B50" s="379" t="s">
        <v>453</v>
      </c>
      <c r="C50" s="380" t="s">
        <v>450</v>
      </c>
      <c r="D50" s="381" t="s">
        <v>451</v>
      </c>
      <c r="E50" s="382">
        <f>F50*Simulation!$P$9</f>
        <v>11.25</v>
      </c>
      <c r="F50" s="383">
        <f>SUM(F39:F49)</f>
        <v>0.25</v>
      </c>
      <c r="G50" s="382">
        <f>H50*Simulation!$P$9</f>
        <v>22.5</v>
      </c>
      <c r="H50" s="383">
        <f>SUM(H39:H49)</f>
        <v>0.5</v>
      </c>
      <c r="I50" s="382">
        <f>J50*Simulation!$P$9</f>
        <v>33.75</v>
      </c>
      <c r="J50" s="383">
        <f>SUM(J39:J49)</f>
        <v>0.75</v>
      </c>
      <c r="K50" s="382">
        <f>L50*Simulation!$P$9</f>
        <v>45</v>
      </c>
      <c r="L50" s="383">
        <f>SUM(L39:L49)</f>
        <v>1</v>
      </c>
      <c r="M50" s="382">
        <f>N50*Simulation!$P$9</f>
        <v>56.25</v>
      </c>
      <c r="N50" s="383">
        <f>SUM(N39:N49)</f>
        <v>1.25</v>
      </c>
      <c r="O50" s="382">
        <f>P50*Simulation!$P$9</f>
        <v>67.5</v>
      </c>
      <c r="P50" s="383">
        <f>SUM(P39:P49)</f>
        <v>1.5</v>
      </c>
      <c r="Q50" s="382">
        <f>R50*Simulation!$P$9</f>
        <v>78.75</v>
      </c>
      <c r="R50" s="383">
        <f>SUM(R39:R49)</f>
        <v>1.75</v>
      </c>
      <c r="S50" s="382">
        <f>T50*Simulation!$P$9</f>
        <v>90</v>
      </c>
      <c r="T50" s="383">
        <f>SUM(T39:T49)</f>
        <v>2</v>
      </c>
      <c r="U50" s="382">
        <f>V50*Simulation!$P$9</f>
        <v>101.25</v>
      </c>
      <c r="V50" s="383">
        <f>SUM(V39:V49)</f>
        <v>2.25</v>
      </c>
      <c r="W50" s="382">
        <f>X50*Simulation!$P$9</f>
        <v>112.5</v>
      </c>
      <c r="X50" s="383">
        <f>SUM(X39:X49)</f>
        <v>2.5</v>
      </c>
      <c r="Y50" s="382">
        <f>Z50*Simulation!$P$9</f>
        <v>123.75</v>
      </c>
      <c r="Z50" s="383">
        <f>SUM(Z39:Z49)</f>
        <v>2.75</v>
      </c>
      <c r="AA50" s="382">
        <f>AB50*Simulation!$P$9</f>
        <v>135</v>
      </c>
      <c r="AB50" s="383">
        <f>SUM(AB39:AB49)</f>
        <v>3</v>
      </c>
      <c r="AC50" s="382">
        <f>AD50*Simulation!$P$9</f>
        <v>146.25</v>
      </c>
      <c r="AD50" s="383">
        <f>SUM(AD39:AD49)</f>
        <v>3.25</v>
      </c>
      <c r="AE50" s="382">
        <f>AF50*Simulation!$P$9</f>
        <v>157.5</v>
      </c>
      <c r="AF50" s="383">
        <f>SUM(AF39:AF49)</f>
        <v>3.5</v>
      </c>
      <c r="AG50" s="382">
        <f>AH50*Simulation!$P$9</f>
        <v>168.75</v>
      </c>
      <c r="AH50" s="383">
        <f>SUM(AH39:AH49)</f>
        <v>3.75</v>
      </c>
      <c r="AI50" s="382">
        <f>AJ50*Simulation!$P$9</f>
        <v>180</v>
      </c>
      <c r="AJ50" s="383">
        <f>SUM(AJ39:AJ49)</f>
        <v>4</v>
      </c>
      <c r="AK50" s="382">
        <f>AL50*Simulation!$P$9</f>
        <v>191.25</v>
      </c>
      <c r="AL50" s="383">
        <f>SUM(AL39:AL49)</f>
        <v>4.25</v>
      </c>
      <c r="AM50" s="382">
        <f>AN50*Simulation!$P$9</f>
        <v>202.5</v>
      </c>
      <c r="AN50" s="383">
        <f>SUM(AN39:AN49)</f>
        <v>4.5</v>
      </c>
    </row>
    <row r="51" spans="1:42" ht="15" customHeight="1" x14ac:dyDescent="0.2">
      <c r="A51" s="1559" t="s">
        <v>4</v>
      </c>
      <c r="B51" s="361" t="s">
        <v>371</v>
      </c>
      <c r="C51" s="378" t="s">
        <v>400</v>
      </c>
      <c r="D51" s="363" t="str">
        <f>IF(C51="","",VLOOKUP($C51,MINIPELLE!$A$2:$C$28,3,0))</f>
        <v>cm</v>
      </c>
      <c r="E51" s="364">
        <v>2</v>
      </c>
      <c r="F51" s="372">
        <f>IF($C51="","",E51*VLOOKUP($C51,MINIPELLE!$A$2:$D$28,4,0))</f>
        <v>0.05</v>
      </c>
      <c r="G51" s="364">
        <v>2</v>
      </c>
      <c r="H51" s="372">
        <f>IF($C51="","",G51*VLOOKUP($C51,MINIPELLE!$A$2:$D$28,4,0))</f>
        <v>0.05</v>
      </c>
      <c r="I51" s="364">
        <v>2</v>
      </c>
      <c r="J51" s="372">
        <f>IF($C51="","",I51*VLOOKUP($C51,MINIPELLE!$A$2:$D$28,4,0))</f>
        <v>0.05</v>
      </c>
      <c r="K51" s="364">
        <v>2</v>
      </c>
      <c r="L51" s="372">
        <f>IF($C51="","",K51*VLOOKUP($C51,MINIPELLE!$A$2:$D$28,4,0))</f>
        <v>0.05</v>
      </c>
      <c r="M51" s="364">
        <v>2</v>
      </c>
      <c r="N51" s="372">
        <f>IF($C51="","",M51*VLOOKUP($C51,MINIPELLE!$A$2:$D$28,4,0))</f>
        <v>0.05</v>
      </c>
      <c r="O51" s="364">
        <v>2</v>
      </c>
      <c r="P51" s="372">
        <f>IF($C51="","",O51*VLOOKUP($C51,MINIPELLE!$A$2:$D$28,4,0))</f>
        <v>0.05</v>
      </c>
      <c r="Q51" s="364">
        <v>2</v>
      </c>
      <c r="R51" s="372">
        <f>IF($C51="","",Q51*VLOOKUP($C51,MINIPELLE!$A$2:$D$28,4,0))</f>
        <v>0.05</v>
      </c>
      <c r="S51" s="364">
        <v>2</v>
      </c>
      <c r="T51" s="372">
        <f>IF($C51="","",S51*VLOOKUP($C51,MINIPELLE!$A$2:$D$28,4,0))</f>
        <v>0.05</v>
      </c>
      <c r="U51" s="364">
        <v>2</v>
      </c>
      <c r="V51" s="372">
        <f>IF($C51="","",U51*VLOOKUP($C51,MINIPELLE!$A$2:$D$28,4,0))</f>
        <v>0.05</v>
      </c>
      <c r="W51" s="364">
        <v>2</v>
      </c>
      <c r="X51" s="372">
        <f>IF($C51="","",W51*VLOOKUP($C51,MINIPELLE!$A$2:$D$28,4,0))</f>
        <v>0.05</v>
      </c>
      <c r="Y51" s="364">
        <v>2</v>
      </c>
      <c r="Z51" s="372">
        <f>IF($C51="","",Y51*VLOOKUP($C51,MINIPELLE!$A$2:$D$28,4,0))</f>
        <v>0.05</v>
      </c>
      <c r="AA51" s="364">
        <v>2</v>
      </c>
      <c r="AB51" s="372">
        <f>IF($C51="","",AA51*VLOOKUP($C51,MINIPELLE!$A$2:$D$28,4,0))</f>
        <v>0.05</v>
      </c>
      <c r="AC51" s="364">
        <v>2</v>
      </c>
      <c r="AD51" s="372">
        <f>IF($C51="","",AC51*VLOOKUP($C51,MINIPELLE!$A$2:$D$28,4,0))</f>
        <v>0.05</v>
      </c>
      <c r="AE51" s="364">
        <v>2</v>
      </c>
      <c r="AF51" s="372">
        <f>IF($C51="","",AE51*VLOOKUP($C51,MINIPELLE!$A$2:$D$28,4,0))</f>
        <v>0.05</v>
      </c>
      <c r="AG51" s="364">
        <v>2</v>
      </c>
      <c r="AH51" s="372">
        <f>IF($C51="","",AG51*VLOOKUP($C51,MINIPELLE!$A$2:$D$28,4,0))</f>
        <v>0.05</v>
      </c>
      <c r="AI51" s="364">
        <v>2</v>
      </c>
      <c r="AJ51" s="372">
        <f>IF($C51="","",AI51*VLOOKUP($C51,MINIPELLE!$A$2:$D$28,4,0))</f>
        <v>0.05</v>
      </c>
      <c r="AK51" s="364">
        <v>2</v>
      </c>
      <c r="AL51" s="372">
        <f>IF($C51="","",AK51*VLOOKUP($C51,MINIPELLE!$A$2:$D$28,4,0))</f>
        <v>0.05</v>
      </c>
      <c r="AM51" s="364">
        <v>2</v>
      </c>
      <c r="AN51" s="372">
        <f>IF($C51="","",AM51*VLOOKUP($C51,MINIPELLE!$A$2:$D$28,4,0))</f>
        <v>0.05</v>
      </c>
    </row>
    <row r="52" spans="1:42" ht="15" customHeight="1" x14ac:dyDescent="0.2">
      <c r="A52" s="1560"/>
      <c r="B52" s="361"/>
      <c r="C52" s="378"/>
      <c r="D52" s="363" t="str">
        <f>IF(C52="","",VLOOKUP($C52,MINIPELLE!$A$2:$C$28,3,0))</f>
        <v/>
      </c>
      <c r="E52" s="364">
        <v>3</v>
      </c>
      <c r="F52" s="389" t="str">
        <f>IF($C52="","",E52*VLOOKUP($C52,MINIPELLE!$A$2:$D$28,4,0))</f>
        <v/>
      </c>
      <c r="G52" s="364">
        <v>3</v>
      </c>
      <c r="H52" s="389" t="str">
        <f>IF($C52="","",G52*VLOOKUP($C52,MINIPELLE!$A$2:$D$28,4,0))</f>
        <v/>
      </c>
      <c r="I52" s="364">
        <v>3</v>
      </c>
      <c r="J52" s="389" t="str">
        <f>IF($C52="","",I52*VLOOKUP($C52,MINIPELLE!$A$2:$D$28,4,0))</f>
        <v/>
      </c>
      <c r="K52" s="364">
        <v>3</v>
      </c>
      <c r="L52" s="389" t="str">
        <f>IF($C52="","",K52*VLOOKUP($C52,MINIPELLE!$A$2:$D$28,4,0))</f>
        <v/>
      </c>
      <c r="M52" s="364">
        <v>3</v>
      </c>
      <c r="N52" s="389" t="str">
        <f>IF($C52="","",M52*VLOOKUP($C52,MINIPELLE!$A$2:$D$28,4,0))</f>
        <v/>
      </c>
      <c r="O52" s="364">
        <v>3</v>
      </c>
      <c r="P52" s="389" t="str">
        <f>IF($C52="","",O52*VLOOKUP($C52,MINIPELLE!$A$2:$D$28,4,0))</f>
        <v/>
      </c>
      <c r="Q52" s="364">
        <v>3</v>
      </c>
      <c r="R52" s="389" t="str">
        <f>IF($C52="","",Q52*VLOOKUP($C52,MINIPELLE!$A$2:$D$28,4,0))</f>
        <v/>
      </c>
      <c r="S52" s="364">
        <v>3</v>
      </c>
      <c r="T52" s="389" t="str">
        <f>IF($C52="","",S52*VLOOKUP($C52,MINIPELLE!$A$2:$D$28,4,0))</f>
        <v/>
      </c>
      <c r="U52" s="364">
        <v>3</v>
      </c>
      <c r="V52" s="389" t="str">
        <f>IF($C52="","",U52*VLOOKUP($C52,MINIPELLE!$A$2:$D$28,4,0))</f>
        <v/>
      </c>
      <c r="W52" s="364">
        <v>3</v>
      </c>
      <c r="X52" s="389" t="str">
        <f>IF($C52="","",W52*VLOOKUP($C52,MINIPELLE!$A$2:$D$28,4,0))</f>
        <v/>
      </c>
      <c r="Y52" s="364">
        <v>3</v>
      </c>
      <c r="Z52" s="389" t="str">
        <f>IF($C52="","",Y52*VLOOKUP($C52,MINIPELLE!$A$2:$D$28,4,0))</f>
        <v/>
      </c>
      <c r="AA52" s="364">
        <v>3</v>
      </c>
      <c r="AB52" s="389" t="str">
        <f>IF($C52="","",AA52*VLOOKUP($C52,MINIPELLE!$A$2:$D$28,4,0))</f>
        <v/>
      </c>
      <c r="AC52" s="364">
        <v>3</v>
      </c>
      <c r="AD52" s="389" t="str">
        <f>IF($C52="","",AC52*VLOOKUP($C52,MINIPELLE!$A$2:$D$28,4,0))</f>
        <v/>
      </c>
      <c r="AE52" s="364">
        <v>3</v>
      </c>
      <c r="AF52" s="389" t="str">
        <f>IF($C52="","",AE52*VLOOKUP($C52,MINIPELLE!$A$2:$D$28,4,0))</f>
        <v/>
      </c>
      <c r="AG52" s="364">
        <v>3</v>
      </c>
      <c r="AH52" s="389" t="str">
        <f>IF($C52="","",AG52*VLOOKUP($C52,MINIPELLE!$A$2:$D$28,4,0))</f>
        <v/>
      </c>
      <c r="AI52" s="364">
        <v>3</v>
      </c>
      <c r="AJ52" s="389" t="str">
        <f>IF($C52="","",AI52*VLOOKUP($C52,MINIPELLE!$A$2:$D$28,4,0))</f>
        <v/>
      </c>
      <c r="AK52" s="364">
        <v>3</v>
      </c>
      <c r="AL52" s="389" t="str">
        <f>IF($C52="","",AK52*VLOOKUP($C52,MINIPELLE!$A$2:$D$28,4,0))</f>
        <v/>
      </c>
      <c r="AM52" s="364">
        <v>3</v>
      </c>
      <c r="AN52" s="389" t="str">
        <f>IF($C52="","",AM52*VLOOKUP($C52,MINIPELLE!$A$2:$D$28,4,0))</f>
        <v/>
      </c>
    </row>
    <row r="53" spans="1:42" ht="15" customHeight="1" x14ac:dyDescent="0.2">
      <c r="A53" s="1560"/>
      <c r="B53" s="361"/>
      <c r="C53" s="378"/>
      <c r="D53" s="363" t="str">
        <f>IF(C53="","",VLOOKUP($C53,MINIPELLE!$A$2:$C$28,3,0))</f>
        <v/>
      </c>
      <c r="E53" s="364">
        <v>4</v>
      </c>
      <c r="F53" s="389" t="str">
        <f>IF($C53="","",E53*VLOOKUP($C53,MINIPELLE!$A$2:$D$28,4,0))</f>
        <v/>
      </c>
      <c r="G53" s="364">
        <v>4</v>
      </c>
      <c r="H53" s="389" t="str">
        <f>IF($C53="","",G53*VLOOKUP($C53,MINIPELLE!$A$2:$D$28,4,0))</f>
        <v/>
      </c>
      <c r="I53" s="364">
        <v>4</v>
      </c>
      <c r="J53" s="389" t="str">
        <f>IF($C53="","",I53*VLOOKUP($C53,MINIPELLE!$A$2:$D$28,4,0))</f>
        <v/>
      </c>
      <c r="K53" s="364">
        <v>4</v>
      </c>
      <c r="L53" s="389" t="str">
        <f>IF($C53="","",K53*VLOOKUP($C53,MINIPELLE!$A$2:$D$28,4,0))</f>
        <v/>
      </c>
      <c r="M53" s="364">
        <v>4</v>
      </c>
      <c r="N53" s="389" t="str">
        <f>IF($C53="","",M53*VLOOKUP($C53,MINIPELLE!$A$2:$D$28,4,0))</f>
        <v/>
      </c>
      <c r="O53" s="364">
        <v>4</v>
      </c>
      <c r="P53" s="389" t="str">
        <f>IF($C53="","",O53*VLOOKUP($C53,MINIPELLE!$A$2:$D$28,4,0))</f>
        <v/>
      </c>
      <c r="Q53" s="364">
        <v>4</v>
      </c>
      <c r="R53" s="389" t="str">
        <f>IF($C53="","",Q53*VLOOKUP($C53,MINIPELLE!$A$2:$D$28,4,0))</f>
        <v/>
      </c>
      <c r="S53" s="364">
        <v>4</v>
      </c>
      <c r="T53" s="389" t="str">
        <f>IF($C53="","",S53*VLOOKUP($C53,MINIPELLE!$A$2:$D$28,4,0))</f>
        <v/>
      </c>
      <c r="U53" s="364">
        <v>4</v>
      </c>
      <c r="V53" s="389" t="str">
        <f>IF($C53="","",U53*VLOOKUP($C53,MINIPELLE!$A$2:$D$28,4,0))</f>
        <v/>
      </c>
      <c r="W53" s="364">
        <v>4</v>
      </c>
      <c r="X53" s="389" t="str">
        <f>IF($C53="","",W53*VLOOKUP($C53,MINIPELLE!$A$2:$D$28,4,0))</f>
        <v/>
      </c>
      <c r="Y53" s="364">
        <v>4</v>
      </c>
      <c r="Z53" s="389" t="str">
        <f>IF($C53="","",Y53*VLOOKUP($C53,MINIPELLE!$A$2:$D$28,4,0))</f>
        <v/>
      </c>
      <c r="AA53" s="364">
        <v>4</v>
      </c>
      <c r="AB53" s="389" t="str">
        <f>IF($C53="","",AA53*VLOOKUP($C53,MINIPELLE!$A$2:$D$28,4,0))</f>
        <v/>
      </c>
      <c r="AC53" s="364">
        <v>4</v>
      </c>
      <c r="AD53" s="389" t="str">
        <f>IF($C53="","",AC53*VLOOKUP($C53,MINIPELLE!$A$2:$D$28,4,0))</f>
        <v/>
      </c>
      <c r="AE53" s="364">
        <v>4</v>
      </c>
      <c r="AF53" s="389" t="str">
        <f>IF($C53="","",AE53*VLOOKUP($C53,MINIPELLE!$A$2:$D$28,4,0))</f>
        <v/>
      </c>
      <c r="AG53" s="364">
        <v>4</v>
      </c>
      <c r="AH53" s="389" t="str">
        <f>IF($C53="","",AG53*VLOOKUP($C53,MINIPELLE!$A$2:$D$28,4,0))</f>
        <v/>
      </c>
      <c r="AI53" s="364">
        <v>4</v>
      </c>
      <c r="AJ53" s="389" t="str">
        <f>IF($C53="","",AI53*VLOOKUP($C53,MINIPELLE!$A$2:$D$28,4,0))</f>
        <v/>
      </c>
      <c r="AK53" s="364">
        <v>4</v>
      </c>
      <c r="AL53" s="389" t="str">
        <f>IF($C53="","",AK53*VLOOKUP($C53,MINIPELLE!$A$2:$D$28,4,0))</f>
        <v/>
      </c>
      <c r="AM53" s="364">
        <v>4</v>
      </c>
      <c r="AN53" s="389" t="str">
        <f>IF($C53="","",AM53*VLOOKUP($C53,MINIPELLE!$A$2:$D$28,4,0))</f>
        <v/>
      </c>
    </row>
    <row r="54" spans="1:42" ht="15" customHeight="1" x14ac:dyDescent="0.2">
      <c r="A54" s="1560"/>
      <c r="B54" s="361"/>
      <c r="C54" s="378"/>
      <c r="D54" s="363" t="str">
        <f>IF(C54="","",VLOOKUP($C54,MINIPELLE!$A$2:$C$28,3,0))</f>
        <v/>
      </c>
      <c r="E54" s="364">
        <v>5</v>
      </c>
      <c r="F54" s="389" t="str">
        <f>IF($C54="","",E54*VLOOKUP($C54,MINIPELLE!$A$2:$D$28,4,0))</f>
        <v/>
      </c>
      <c r="G54" s="364">
        <v>5</v>
      </c>
      <c r="H54" s="389" t="str">
        <f>IF($C54="","",G54*VLOOKUP($C54,MINIPELLE!$A$2:$D$28,4,0))</f>
        <v/>
      </c>
      <c r="I54" s="364">
        <v>5</v>
      </c>
      <c r="J54" s="389" t="str">
        <f>IF($C54="","",I54*VLOOKUP($C54,MINIPELLE!$A$2:$D$28,4,0))</f>
        <v/>
      </c>
      <c r="K54" s="364">
        <v>5</v>
      </c>
      <c r="L54" s="389" t="str">
        <f>IF($C54="","",K54*VLOOKUP($C54,MINIPELLE!$A$2:$D$28,4,0))</f>
        <v/>
      </c>
      <c r="M54" s="364">
        <v>5</v>
      </c>
      <c r="N54" s="389" t="str">
        <f>IF($C54="","",M54*VLOOKUP($C54,MINIPELLE!$A$2:$D$28,4,0))</f>
        <v/>
      </c>
      <c r="O54" s="364">
        <v>5</v>
      </c>
      <c r="P54" s="389" t="str">
        <f>IF($C54="","",O54*VLOOKUP($C54,MINIPELLE!$A$2:$D$28,4,0))</f>
        <v/>
      </c>
      <c r="Q54" s="364">
        <v>5</v>
      </c>
      <c r="R54" s="389" t="str">
        <f>IF($C54="","",Q54*VLOOKUP($C54,MINIPELLE!$A$2:$D$28,4,0))</f>
        <v/>
      </c>
      <c r="S54" s="364">
        <v>5</v>
      </c>
      <c r="T54" s="389" t="str">
        <f>IF($C54="","",S54*VLOOKUP($C54,MINIPELLE!$A$2:$D$28,4,0))</f>
        <v/>
      </c>
      <c r="U54" s="364">
        <v>5</v>
      </c>
      <c r="V54" s="389" t="str">
        <f>IF($C54="","",U54*VLOOKUP($C54,MINIPELLE!$A$2:$D$28,4,0))</f>
        <v/>
      </c>
      <c r="W54" s="364">
        <v>5</v>
      </c>
      <c r="X54" s="389" t="str">
        <f>IF($C54="","",W54*VLOOKUP($C54,MINIPELLE!$A$2:$D$28,4,0))</f>
        <v/>
      </c>
      <c r="Y54" s="364">
        <v>5</v>
      </c>
      <c r="Z54" s="389" t="str">
        <f>IF($C54="","",Y54*VLOOKUP($C54,MINIPELLE!$A$2:$D$28,4,0))</f>
        <v/>
      </c>
      <c r="AA54" s="364">
        <v>5</v>
      </c>
      <c r="AB54" s="389" t="str">
        <f>IF($C54="","",AA54*VLOOKUP($C54,MINIPELLE!$A$2:$D$28,4,0))</f>
        <v/>
      </c>
      <c r="AC54" s="364">
        <v>5</v>
      </c>
      <c r="AD54" s="389" t="str">
        <f>IF($C54="","",AC54*VLOOKUP($C54,MINIPELLE!$A$2:$D$28,4,0))</f>
        <v/>
      </c>
      <c r="AE54" s="364">
        <v>5</v>
      </c>
      <c r="AF54" s="389" t="str">
        <f>IF($C54="","",AE54*VLOOKUP($C54,MINIPELLE!$A$2:$D$28,4,0))</f>
        <v/>
      </c>
      <c r="AG54" s="364">
        <v>5</v>
      </c>
      <c r="AH54" s="389" t="str">
        <f>IF($C54="","",AG54*VLOOKUP($C54,MINIPELLE!$A$2:$D$28,4,0))</f>
        <v/>
      </c>
      <c r="AI54" s="364">
        <v>5</v>
      </c>
      <c r="AJ54" s="389" t="str">
        <f>IF($C54="","",AI54*VLOOKUP($C54,MINIPELLE!$A$2:$D$28,4,0))</f>
        <v/>
      </c>
      <c r="AK54" s="364">
        <v>5</v>
      </c>
      <c r="AL54" s="389" t="str">
        <f>IF($C54="","",AK54*VLOOKUP($C54,MINIPELLE!$A$2:$D$28,4,0))</f>
        <v/>
      </c>
      <c r="AM54" s="364">
        <v>5</v>
      </c>
      <c r="AN54" s="389" t="str">
        <f>IF($C54="","",AM54*VLOOKUP($C54,MINIPELLE!$A$2:$D$28,4,0))</f>
        <v/>
      </c>
    </row>
    <row r="55" spans="1:42" ht="15" customHeight="1" x14ac:dyDescent="0.2">
      <c r="A55" s="1560"/>
      <c r="B55" s="361"/>
      <c r="C55" s="378"/>
      <c r="D55" s="363" t="str">
        <f>IF(C55="","",VLOOKUP($C55,MINIPELLE!$A$2:$C$28,3,0))</f>
        <v/>
      </c>
      <c r="E55" s="364">
        <v>6</v>
      </c>
      <c r="F55" s="389" t="str">
        <f>IF($C55="","",E55*VLOOKUP($C55,MINIPELLE!$A$2:$D$28,4,0))</f>
        <v/>
      </c>
      <c r="G55" s="364">
        <v>6</v>
      </c>
      <c r="H55" s="389" t="str">
        <f>IF($C55="","",G55*VLOOKUP($C55,MINIPELLE!$A$2:$D$28,4,0))</f>
        <v/>
      </c>
      <c r="I55" s="364">
        <v>6</v>
      </c>
      <c r="J55" s="389" t="str">
        <f>IF($C55="","",I55*VLOOKUP($C55,MINIPELLE!$A$2:$D$28,4,0))</f>
        <v/>
      </c>
      <c r="K55" s="364">
        <v>6</v>
      </c>
      <c r="L55" s="389" t="str">
        <f>IF($C55="","",K55*VLOOKUP($C55,MINIPELLE!$A$2:$D$28,4,0))</f>
        <v/>
      </c>
      <c r="M55" s="364">
        <v>6</v>
      </c>
      <c r="N55" s="389" t="str">
        <f>IF($C55="","",M55*VLOOKUP($C55,MINIPELLE!$A$2:$D$28,4,0))</f>
        <v/>
      </c>
      <c r="O55" s="364">
        <v>6</v>
      </c>
      <c r="P55" s="389" t="str">
        <f>IF($C55="","",O55*VLOOKUP($C55,MINIPELLE!$A$2:$D$28,4,0))</f>
        <v/>
      </c>
      <c r="Q55" s="364">
        <v>6</v>
      </c>
      <c r="R55" s="389" t="str">
        <f>IF($C55="","",Q55*VLOOKUP($C55,MINIPELLE!$A$2:$D$28,4,0))</f>
        <v/>
      </c>
      <c r="S55" s="364">
        <v>6</v>
      </c>
      <c r="T55" s="389" t="str">
        <f>IF($C55="","",S55*VLOOKUP($C55,MINIPELLE!$A$2:$D$28,4,0))</f>
        <v/>
      </c>
      <c r="U55" s="364">
        <v>6</v>
      </c>
      <c r="V55" s="389" t="str">
        <f>IF($C55="","",U55*VLOOKUP($C55,MINIPELLE!$A$2:$D$28,4,0))</f>
        <v/>
      </c>
      <c r="W55" s="364">
        <v>6</v>
      </c>
      <c r="X55" s="389" t="str">
        <f>IF($C55="","",W55*VLOOKUP($C55,MINIPELLE!$A$2:$D$28,4,0))</f>
        <v/>
      </c>
      <c r="Y55" s="364">
        <v>6</v>
      </c>
      <c r="Z55" s="389" t="str">
        <f>IF($C55="","",Y55*VLOOKUP($C55,MINIPELLE!$A$2:$D$28,4,0))</f>
        <v/>
      </c>
      <c r="AA55" s="364">
        <v>6</v>
      </c>
      <c r="AB55" s="389" t="str">
        <f>IF($C55="","",AA55*VLOOKUP($C55,MINIPELLE!$A$2:$D$28,4,0))</f>
        <v/>
      </c>
      <c r="AC55" s="364">
        <v>6</v>
      </c>
      <c r="AD55" s="389" t="str">
        <f>IF($C55="","",AC55*VLOOKUP($C55,MINIPELLE!$A$2:$D$28,4,0))</f>
        <v/>
      </c>
      <c r="AE55" s="364">
        <v>6</v>
      </c>
      <c r="AF55" s="389" t="str">
        <f>IF($C55="","",AE55*VLOOKUP($C55,MINIPELLE!$A$2:$D$28,4,0))</f>
        <v/>
      </c>
      <c r="AG55" s="364">
        <v>6</v>
      </c>
      <c r="AH55" s="389" t="str">
        <f>IF($C55="","",AG55*VLOOKUP($C55,MINIPELLE!$A$2:$D$28,4,0))</f>
        <v/>
      </c>
      <c r="AI55" s="364">
        <v>6</v>
      </c>
      <c r="AJ55" s="389" t="str">
        <f>IF($C55="","",AI55*VLOOKUP($C55,MINIPELLE!$A$2:$D$28,4,0))</f>
        <v/>
      </c>
      <c r="AK55" s="364">
        <v>6</v>
      </c>
      <c r="AL55" s="389" t="str">
        <f>IF($C55="","",AK55*VLOOKUP($C55,MINIPELLE!$A$2:$D$28,4,0))</f>
        <v/>
      </c>
      <c r="AM55" s="364">
        <v>6</v>
      </c>
      <c r="AN55" s="389" t="str">
        <f>IF($C55="","",AM55*VLOOKUP($C55,MINIPELLE!$A$2:$D$28,4,0))</f>
        <v/>
      </c>
    </row>
    <row r="56" spans="1:42" ht="15" customHeight="1" x14ac:dyDescent="0.2">
      <c r="A56" s="1560"/>
      <c r="B56" s="361"/>
      <c r="C56" s="378"/>
      <c r="D56" s="363" t="str">
        <f>IF(C56="","",VLOOKUP($C56,MINIPELLE!$A$2:$C$28,3,0))</f>
        <v/>
      </c>
      <c r="E56" s="364">
        <v>7</v>
      </c>
      <c r="F56" s="389" t="str">
        <f>IF($C56="","",E56*VLOOKUP($C56,MINIPELLE!$A$2:$D$28,4,0))</f>
        <v/>
      </c>
      <c r="G56" s="364">
        <v>7</v>
      </c>
      <c r="H56" s="389" t="str">
        <f>IF($C56="","",G56*VLOOKUP($C56,MINIPELLE!$A$2:$D$28,4,0))</f>
        <v/>
      </c>
      <c r="I56" s="364">
        <v>7</v>
      </c>
      <c r="J56" s="389" t="str">
        <f>IF($C56="","",I56*VLOOKUP($C56,MINIPELLE!$A$2:$D$28,4,0))</f>
        <v/>
      </c>
      <c r="K56" s="364">
        <v>7</v>
      </c>
      <c r="L56" s="389" t="str">
        <f>IF($C56="","",K56*VLOOKUP($C56,MINIPELLE!$A$2:$D$28,4,0))</f>
        <v/>
      </c>
      <c r="M56" s="364">
        <v>7</v>
      </c>
      <c r="N56" s="389" t="str">
        <f>IF($C56="","",M56*VLOOKUP($C56,MINIPELLE!$A$2:$D$28,4,0))</f>
        <v/>
      </c>
      <c r="O56" s="364">
        <v>7</v>
      </c>
      <c r="P56" s="389" t="str">
        <f>IF($C56="","",O56*VLOOKUP($C56,MINIPELLE!$A$2:$D$28,4,0))</f>
        <v/>
      </c>
      <c r="Q56" s="364">
        <v>7</v>
      </c>
      <c r="R56" s="389" t="str">
        <f>IF($C56="","",Q56*VLOOKUP($C56,MINIPELLE!$A$2:$D$28,4,0))</f>
        <v/>
      </c>
      <c r="S56" s="364">
        <v>7</v>
      </c>
      <c r="T56" s="389" t="str">
        <f>IF($C56="","",S56*VLOOKUP($C56,MINIPELLE!$A$2:$D$28,4,0))</f>
        <v/>
      </c>
      <c r="U56" s="364">
        <v>7</v>
      </c>
      <c r="V56" s="389" t="str">
        <f>IF($C56="","",U56*VLOOKUP($C56,MINIPELLE!$A$2:$D$28,4,0))</f>
        <v/>
      </c>
      <c r="W56" s="364">
        <v>7</v>
      </c>
      <c r="X56" s="389" t="str">
        <f>IF($C56="","",W56*VLOOKUP($C56,MINIPELLE!$A$2:$D$28,4,0))</f>
        <v/>
      </c>
      <c r="Y56" s="364">
        <v>7</v>
      </c>
      <c r="Z56" s="389" t="str">
        <f>IF($C56="","",Y56*VLOOKUP($C56,MINIPELLE!$A$2:$D$28,4,0))</f>
        <v/>
      </c>
      <c r="AA56" s="364">
        <v>7</v>
      </c>
      <c r="AB56" s="389" t="str">
        <f>IF($C56="","",AA56*VLOOKUP($C56,MINIPELLE!$A$2:$D$28,4,0))</f>
        <v/>
      </c>
      <c r="AC56" s="364">
        <v>7</v>
      </c>
      <c r="AD56" s="389" t="str">
        <f>IF($C56="","",AC56*VLOOKUP($C56,MINIPELLE!$A$2:$D$28,4,0))</f>
        <v/>
      </c>
      <c r="AE56" s="364">
        <v>7</v>
      </c>
      <c r="AF56" s="389" t="str">
        <f>IF($C56="","",AE56*VLOOKUP($C56,MINIPELLE!$A$2:$D$28,4,0))</f>
        <v/>
      </c>
      <c r="AG56" s="364">
        <v>7</v>
      </c>
      <c r="AH56" s="389" t="str">
        <f>IF($C56="","",AG56*VLOOKUP($C56,MINIPELLE!$A$2:$D$28,4,0))</f>
        <v/>
      </c>
      <c r="AI56" s="364">
        <v>7</v>
      </c>
      <c r="AJ56" s="389" t="str">
        <f>IF($C56="","",AI56*VLOOKUP($C56,MINIPELLE!$A$2:$D$28,4,0))</f>
        <v/>
      </c>
      <c r="AK56" s="364">
        <v>7</v>
      </c>
      <c r="AL56" s="389" t="str">
        <f>IF($C56="","",AK56*VLOOKUP($C56,MINIPELLE!$A$2:$D$28,4,0))</f>
        <v/>
      </c>
      <c r="AM56" s="364">
        <v>7</v>
      </c>
      <c r="AN56" s="389" t="str">
        <f>IF($C56="","",AM56*VLOOKUP($C56,MINIPELLE!$A$2:$D$28,4,0))</f>
        <v/>
      </c>
    </row>
    <row r="57" spans="1:42" ht="15" customHeight="1" x14ac:dyDescent="0.2">
      <c r="A57" s="1560"/>
      <c r="B57" s="361"/>
      <c r="C57" s="378"/>
      <c r="D57" s="363" t="str">
        <f>IF(C57="","",VLOOKUP($C57,MINIPELLE!$A$2:$C$28,3,0))</f>
        <v/>
      </c>
      <c r="E57" s="364">
        <v>8</v>
      </c>
      <c r="F57" s="389" t="str">
        <f>IF($C57="","",E57*VLOOKUP($C57,MINIPELLE!$A$2:$D$28,4,0))</f>
        <v/>
      </c>
      <c r="G57" s="364">
        <v>8</v>
      </c>
      <c r="H57" s="389" t="str">
        <f>IF($C57="","",G57*VLOOKUP($C57,MINIPELLE!$A$2:$D$28,4,0))</f>
        <v/>
      </c>
      <c r="I57" s="364">
        <v>8</v>
      </c>
      <c r="J57" s="389" t="str">
        <f>IF($C57="","",I57*VLOOKUP($C57,MINIPELLE!$A$2:$D$28,4,0))</f>
        <v/>
      </c>
      <c r="K57" s="364">
        <v>8</v>
      </c>
      <c r="L57" s="389" t="str">
        <f>IF($C57="","",K57*VLOOKUP($C57,MINIPELLE!$A$2:$D$28,4,0))</f>
        <v/>
      </c>
      <c r="M57" s="364">
        <v>8</v>
      </c>
      <c r="N57" s="389" t="str">
        <f>IF($C57="","",M57*VLOOKUP($C57,MINIPELLE!$A$2:$D$28,4,0))</f>
        <v/>
      </c>
      <c r="O57" s="364">
        <v>8</v>
      </c>
      <c r="P57" s="389" t="str">
        <f>IF($C57="","",O57*VLOOKUP($C57,MINIPELLE!$A$2:$D$28,4,0))</f>
        <v/>
      </c>
      <c r="Q57" s="364">
        <v>8</v>
      </c>
      <c r="R57" s="389" t="str">
        <f>IF($C57="","",Q57*VLOOKUP($C57,MINIPELLE!$A$2:$D$28,4,0))</f>
        <v/>
      </c>
      <c r="S57" s="364">
        <v>8</v>
      </c>
      <c r="T57" s="389" t="str">
        <f>IF($C57="","",S57*VLOOKUP($C57,MINIPELLE!$A$2:$D$28,4,0))</f>
        <v/>
      </c>
      <c r="U57" s="364">
        <v>8</v>
      </c>
      <c r="V57" s="389" t="str">
        <f>IF($C57="","",U57*VLOOKUP($C57,MINIPELLE!$A$2:$D$28,4,0))</f>
        <v/>
      </c>
      <c r="W57" s="364">
        <v>8</v>
      </c>
      <c r="X57" s="389" t="str">
        <f>IF($C57="","",W57*VLOOKUP($C57,MINIPELLE!$A$2:$D$28,4,0))</f>
        <v/>
      </c>
      <c r="Y57" s="364">
        <v>8</v>
      </c>
      <c r="Z57" s="389" t="str">
        <f>IF($C57="","",Y57*VLOOKUP($C57,MINIPELLE!$A$2:$D$28,4,0))</f>
        <v/>
      </c>
      <c r="AA57" s="364">
        <v>8</v>
      </c>
      <c r="AB57" s="389" t="str">
        <f>IF($C57="","",AA57*VLOOKUP($C57,MINIPELLE!$A$2:$D$28,4,0))</f>
        <v/>
      </c>
      <c r="AC57" s="364">
        <v>8</v>
      </c>
      <c r="AD57" s="389" t="str">
        <f>IF($C57="","",AC57*VLOOKUP($C57,MINIPELLE!$A$2:$D$28,4,0))</f>
        <v/>
      </c>
      <c r="AE57" s="364">
        <v>8</v>
      </c>
      <c r="AF57" s="389" t="str">
        <f>IF($C57="","",AE57*VLOOKUP($C57,MINIPELLE!$A$2:$D$28,4,0))</f>
        <v/>
      </c>
      <c r="AG57" s="364">
        <v>8</v>
      </c>
      <c r="AH57" s="389" t="str">
        <f>IF($C57="","",AG57*VLOOKUP($C57,MINIPELLE!$A$2:$D$28,4,0))</f>
        <v/>
      </c>
      <c r="AI57" s="364">
        <v>8</v>
      </c>
      <c r="AJ57" s="389" t="str">
        <f>IF($C57="","",AI57*VLOOKUP($C57,MINIPELLE!$A$2:$D$28,4,0))</f>
        <v/>
      </c>
      <c r="AK57" s="364">
        <v>8</v>
      </c>
      <c r="AL57" s="389" t="str">
        <f>IF($C57="","",AK57*VLOOKUP($C57,MINIPELLE!$A$2:$D$28,4,0))</f>
        <v/>
      </c>
      <c r="AM57" s="364">
        <v>8</v>
      </c>
      <c r="AN57" s="389" t="str">
        <f>IF($C57="","",AM57*VLOOKUP($C57,MINIPELLE!$A$2:$D$28,4,0))</f>
        <v/>
      </c>
    </row>
    <row r="58" spans="1:42" ht="15" customHeight="1" x14ac:dyDescent="0.2">
      <c r="A58" s="1560"/>
      <c r="B58" s="361"/>
      <c r="C58" s="378"/>
      <c r="D58" s="363" t="str">
        <f>IF(C58="","",VLOOKUP($C58,MINIPELLE!$A$2:$C$28,3,0))</f>
        <v/>
      </c>
      <c r="E58" s="364">
        <v>9</v>
      </c>
      <c r="F58" s="389" t="str">
        <f>IF($C58="","",E58*VLOOKUP($C58,MINIPELLE!$A$2:$D$28,4,0))</f>
        <v/>
      </c>
      <c r="G58" s="364">
        <v>9</v>
      </c>
      <c r="H58" s="389" t="str">
        <f>IF($C58="","",G58*VLOOKUP($C58,MINIPELLE!$A$2:$D$28,4,0))</f>
        <v/>
      </c>
      <c r="I58" s="364">
        <v>9</v>
      </c>
      <c r="J58" s="389" t="str">
        <f>IF($C58="","",I58*VLOOKUP($C58,MINIPELLE!$A$2:$D$28,4,0))</f>
        <v/>
      </c>
      <c r="K58" s="364">
        <v>9</v>
      </c>
      <c r="L58" s="389" t="str">
        <f>IF($C58="","",K58*VLOOKUP($C58,MINIPELLE!$A$2:$D$28,4,0))</f>
        <v/>
      </c>
      <c r="M58" s="364">
        <v>9</v>
      </c>
      <c r="N58" s="389" t="str">
        <f>IF($C58="","",M58*VLOOKUP($C58,MINIPELLE!$A$2:$D$28,4,0))</f>
        <v/>
      </c>
      <c r="O58" s="364">
        <v>9</v>
      </c>
      <c r="P58" s="389" t="str">
        <f>IF($C58="","",O58*VLOOKUP($C58,MINIPELLE!$A$2:$D$28,4,0))</f>
        <v/>
      </c>
      <c r="Q58" s="364">
        <v>9</v>
      </c>
      <c r="R58" s="389" t="str">
        <f>IF($C58="","",Q58*VLOOKUP($C58,MINIPELLE!$A$2:$D$28,4,0))</f>
        <v/>
      </c>
      <c r="S58" s="364">
        <v>9</v>
      </c>
      <c r="T58" s="389" t="str">
        <f>IF($C58="","",S58*VLOOKUP($C58,MINIPELLE!$A$2:$D$28,4,0))</f>
        <v/>
      </c>
      <c r="U58" s="364">
        <v>9</v>
      </c>
      <c r="V58" s="389" t="str">
        <f>IF($C58="","",U58*VLOOKUP($C58,MINIPELLE!$A$2:$D$28,4,0))</f>
        <v/>
      </c>
      <c r="W58" s="364">
        <v>9</v>
      </c>
      <c r="X58" s="389" t="str">
        <f>IF($C58="","",W58*VLOOKUP($C58,MINIPELLE!$A$2:$D$28,4,0))</f>
        <v/>
      </c>
      <c r="Y58" s="364">
        <v>9</v>
      </c>
      <c r="Z58" s="389" t="str">
        <f>IF($C58="","",Y58*VLOOKUP($C58,MINIPELLE!$A$2:$D$28,4,0))</f>
        <v/>
      </c>
      <c r="AA58" s="364">
        <v>9</v>
      </c>
      <c r="AB58" s="389" t="str">
        <f>IF($C58="","",AA58*VLOOKUP($C58,MINIPELLE!$A$2:$D$28,4,0))</f>
        <v/>
      </c>
      <c r="AC58" s="364">
        <v>9</v>
      </c>
      <c r="AD58" s="389" t="str">
        <f>IF($C58="","",AC58*VLOOKUP($C58,MINIPELLE!$A$2:$D$28,4,0))</f>
        <v/>
      </c>
      <c r="AE58" s="364">
        <v>9</v>
      </c>
      <c r="AF58" s="389" t="str">
        <f>IF($C58="","",AE58*VLOOKUP($C58,MINIPELLE!$A$2:$D$28,4,0))</f>
        <v/>
      </c>
      <c r="AG58" s="364">
        <v>9</v>
      </c>
      <c r="AH58" s="389" t="str">
        <f>IF($C58="","",AG58*VLOOKUP($C58,MINIPELLE!$A$2:$D$28,4,0))</f>
        <v/>
      </c>
      <c r="AI58" s="364">
        <v>9</v>
      </c>
      <c r="AJ58" s="389" t="str">
        <f>IF($C58="","",AI58*VLOOKUP($C58,MINIPELLE!$A$2:$D$28,4,0))</f>
        <v/>
      </c>
      <c r="AK58" s="364">
        <v>9</v>
      </c>
      <c r="AL58" s="389" t="str">
        <f>IF($C58="","",AK58*VLOOKUP($C58,MINIPELLE!$A$2:$D$28,4,0))</f>
        <v/>
      </c>
      <c r="AM58" s="364">
        <v>9</v>
      </c>
      <c r="AN58" s="389" t="str">
        <f>IF($C58="","",AM58*VLOOKUP($C58,MINIPELLE!$A$2:$D$28,4,0))</f>
        <v/>
      </c>
      <c r="AO58" s="223"/>
      <c r="AP58" s="223"/>
    </row>
    <row r="59" spans="1:42" ht="15" customHeight="1" x14ac:dyDescent="0.2">
      <c r="A59" s="1560"/>
      <c r="B59" s="361"/>
      <c r="C59" s="378"/>
      <c r="D59" s="363" t="str">
        <f>IF(C59="","",VLOOKUP($C59,MINIPELLE!$A$2:$C$28,3,0))</f>
        <v/>
      </c>
      <c r="E59" s="364">
        <v>10</v>
      </c>
      <c r="F59" s="389" t="str">
        <f>IF($C59="","",E59*VLOOKUP($C59,MINIPELLE!$A$2:$D$28,4,0))</f>
        <v/>
      </c>
      <c r="G59" s="364">
        <v>10</v>
      </c>
      <c r="H59" s="389" t="str">
        <f>IF($C59="","",G59*VLOOKUP($C59,MINIPELLE!$A$2:$D$28,4,0))</f>
        <v/>
      </c>
      <c r="I59" s="364">
        <v>10</v>
      </c>
      <c r="J59" s="389" t="str">
        <f>IF($C59="","",I59*VLOOKUP($C59,MINIPELLE!$A$2:$D$28,4,0))</f>
        <v/>
      </c>
      <c r="K59" s="364">
        <v>10</v>
      </c>
      <c r="L59" s="389" t="str">
        <f>IF($C59="","",K59*VLOOKUP($C59,MINIPELLE!$A$2:$D$28,4,0))</f>
        <v/>
      </c>
      <c r="M59" s="364">
        <v>10</v>
      </c>
      <c r="N59" s="389" t="str">
        <f>IF($C59="","",M59*VLOOKUP($C59,MINIPELLE!$A$2:$D$28,4,0))</f>
        <v/>
      </c>
      <c r="O59" s="364">
        <v>10</v>
      </c>
      <c r="P59" s="389" t="str">
        <f>IF($C59="","",O59*VLOOKUP($C59,MINIPELLE!$A$2:$D$28,4,0))</f>
        <v/>
      </c>
      <c r="Q59" s="364">
        <v>10</v>
      </c>
      <c r="R59" s="389" t="str">
        <f>IF($C59="","",Q59*VLOOKUP($C59,MINIPELLE!$A$2:$D$28,4,0))</f>
        <v/>
      </c>
      <c r="S59" s="364">
        <v>10</v>
      </c>
      <c r="T59" s="389" t="str">
        <f>IF($C59="","",S59*VLOOKUP($C59,MINIPELLE!$A$2:$D$28,4,0))</f>
        <v/>
      </c>
      <c r="U59" s="364">
        <v>10</v>
      </c>
      <c r="V59" s="389" t="str">
        <f>IF($C59="","",U59*VLOOKUP($C59,MINIPELLE!$A$2:$D$28,4,0))</f>
        <v/>
      </c>
      <c r="W59" s="364">
        <v>10</v>
      </c>
      <c r="X59" s="389" t="str">
        <f>IF($C59="","",W59*VLOOKUP($C59,MINIPELLE!$A$2:$D$28,4,0))</f>
        <v/>
      </c>
      <c r="Y59" s="364">
        <v>10</v>
      </c>
      <c r="Z59" s="389" t="str">
        <f>IF($C59="","",Y59*VLOOKUP($C59,MINIPELLE!$A$2:$D$28,4,0))</f>
        <v/>
      </c>
      <c r="AA59" s="364">
        <v>10</v>
      </c>
      <c r="AB59" s="389" t="str">
        <f>IF($C59="","",AA59*VLOOKUP($C59,MINIPELLE!$A$2:$D$28,4,0))</f>
        <v/>
      </c>
      <c r="AC59" s="364">
        <v>10</v>
      </c>
      <c r="AD59" s="389" t="str">
        <f>IF($C59="","",AC59*VLOOKUP($C59,MINIPELLE!$A$2:$D$28,4,0))</f>
        <v/>
      </c>
      <c r="AE59" s="364">
        <v>10</v>
      </c>
      <c r="AF59" s="389" t="str">
        <f>IF($C59="","",AE59*VLOOKUP($C59,MINIPELLE!$A$2:$D$28,4,0))</f>
        <v/>
      </c>
      <c r="AG59" s="364">
        <v>10</v>
      </c>
      <c r="AH59" s="389" t="str">
        <f>IF($C59="","",AG59*VLOOKUP($C59,MINIPELLE!$A$2:$D$28,4,0))</f>
        <v/>
      </c>
      <c r="AI59" s="364">
        <v>10</v>
      </c>
      <c r="AJ59" s="389" t="str">
        <f>IF($C59="","",AI59*VLOOKUP($C59,MINIPELLE!$A$2:$D$28,4,0))</f>
        <v/>
      </c>
      <c r="AK59" s="364">
        <v>10</v>
      </c>
      <c r="AL59" s="389" t="str">
        <f>IF($C59="","",AK59*VLOOKUP($C59,MINIPELLE!$A$2:$D$28,4,0))</f>
        <v/>
      </c>
      <c r="AM59" s="364">
        <v>10</v>
      </c>
      <c r="AN59" s="389" t="str">
        <f>IF($C59="","",AM59*VLOOKUP($C59,MINIPELLE!$A$2:$D$28,4,0))</f>
        <v/>
      </c>
    </row>
    <row r="60" spans="1:42" ht="15" customHeight="1" x14ac:dyDescent="0.2">
      <c r="A60" s="1560"/>
      <c r="B60" s="361"/>
      <c r="C60" s="378"/>
      <c r="D60" s="363" t="str">
        <f>IF(C60="","",VLOOKUP($C60,MINIPELLE!$A$2:$C$28,3,0))</f>
        <v/>
      </c>
      <c r="E60" s="364">
        <v>11</v>
      </c>
      <c r="F60" s="389" t="str">
        <f>IF($C60="","",E60*VLOOKUP($C60,MINIPELLE!$A$2:$D$28,4,0))</f>
        <v/>
      </c>
      <c r="G60" s="364">
        <v>11</v>
      </c>
      <c r="H60" s="389" t="str">
        <f>IF($C60="","",G60*VLOOKUP($C60,MINIPELLE!$A$2:$D$28,4,0))</f>
        <v/>
      </c>
      <c r="I60" s="364">
        <v>11</v>
      </c>
      <c r="J60" s="389" t="str">
        <f>IF($C60="","",I60*VLOOKUP($C60,MINIPELLE!$A$2:$D$28,4,0))</f>
        <v/>
      </c>
      <c r="K60" s="364">
        <v>11</v>
      </c>
      <c r="L60" s="389" t="str">
        <f>IF($C60="","",K60*VLOOKUP($C60,MINIPELLE!$A$2:$D$28,4,0))</f>
        <v/>
      </c>
      <c r="M60" s="364">
        <v>11</v>
      </c>
      <c r="N60" s="389" t="str">
        <f>IF($C60="","",M60*VLOOKUP($C60,MINIPELLE!$A$2:$D$28,4,0))</f>
        <v/>
      </c>
      <c r="O60" s="364">
        <v>11</v>
      </c>
      <c r="P60" s="389" t="str">
        <f>IF($C60="","",O60*VLOOKUP($C60,MINIPELLE!$A$2:$D$28,4,0))</f>
        <v/>
      </c>
      <c r="Q60" s="364">
        <v>11</v>
      </c>
      <c r="R60" s="389" t="str">
        <f>IF($C60="","",Q60*VLOOKUP($C60,MINIPELLE!$A$2:$D$28,4,0))</f>
        <v/>
      </c>
      <c r="S60" s="364">
        <v>11</v>
      </c>
      <c r="T60" s="389" t="str">
        <f>IF($C60="","",S60*VLOOKUP($C60,MINIPELLE!$A$2:$D$28,4,0))</f>
        <v/>
      </c>
      <c r="U60" s="364">
        <v>11</v>
      </c>
      <c r="V60" s="389" t="str">
        <f>IF($C60="","",U60*VLOOKUP($C60,MINIPELLE!$A$2:$D$28,4,0))</f>
        <v/>
      </c>
      <c r="W60" s="364">
        <v>11</v>
      </c>
      <c r="X60" s="389" t="str">
        <f>IF($C60="","",W60*VLOOKUP($C60,MINIPELLE!$A$2:$D$28,4,0))</f>
        <v/>
      </c>
      <c r="Y60" s="364">
        <v>11</v>
      </c>
      <c r="Z60" s="389" t="str">
        <f>IF($C60="","",Y60*VLOOKUP($C60,MINIPELLE!$A$2:$D$28,4,0))</f>
        <v/>
      </c>
      <c r="AA60" s="364">
        <v>11</v>
      </c>
      <c r="AB60" s="389" t="str">
        <f>IF($C60="","",AA60*VLOOKUP($C60,MINIPELLE!$A$2:$D$28,4,0))</f>
        <v/>
      </c>
      <c r="AC60" s="364">
        <v>11</v>
      </c>
      <c r="AD60" s="389" t="str">
        <f>IF($C60="","",AC60*VLOOKUP($C60,MINIPELLE!$A$2:$D$28,4,0))</f>
        <v/>
      </c>
      <c r="AE60" s="364">
        <v>11</v>
      </c>
      <c r="AF60" s="389" t="str">
        <f>IF($C60="","",AE60*VLOOKUP($C60,MINIPELLE!$A$2:$D$28,4,0))</f>
        <v/>
      </c>
      <c r="AG60" s="364">
        <v>11</v>
      </c>
      <c r="AH60" s="389" t="str">
        <f>IF($C60="","",AG60*VLOOKUP($C60,MINIPELLE!$A$2:$D$28,4,0))</f>
        <v/>
      </c>
      <c r="AI60" s="364">
        <v>11</v>
      </c>
      <c r="AJ60" s="389" t="str">
        <f>IF($C60="","",AI60*VLOOKUP($C60,MINIPELLE!$A$2:$D$28,4,0))</f>
        <v/>
      </c>
      <c r="AK60" s="364">
        <v>11</v>
      </c>
      <c r="AL60" s="389" t="str">
        <f>IF($C60="","",AK60*VLOOKUP($C60,MINIPELLE!$A$2:$D$28,4,0))</f>
        <v/>
      </c>
      <c r="AM60" s="364">
        <v>11</v>
      </c>
      <c r="AN60" s="389" t="str">
        <f>IF($C60="","",AM60*VLOOKUP($C60,MINIPELLE!$A$2:$D$28,4,0))</f>
        <v/>
      </c>
    </row>
    <row r="61" spans="1:42" ht="15" customHeight="1" x14ac:dyDescent="0.2">
      <c r="A61" s="1560"/>
      <c r="B61" s="361"/>
      <c r="C61" s="378"/>
      <c r="D61" s="363" t="str">
        <f>IF(C61="","",VLOOKUP($C61,MINIPELLE!$A$2:$C$28,3,0))</f>
        <v/>
      </c>
      <c r="E61" s="364">
        <v>12</v>
      </c>
      <c r="F61" s="389" t="str">
        <f>IF($C61="","",E61*VLOOKUP($C61,MINIPELLE!$A$2:$D$28,4,0))</f>
        <v/>
      </c>
      <c r="G61" s="364">
        <v>12</v>
      </c>
      <c r="H61" s="389" t="str">
        <f>IF($C61="","",G61*VLOOKUP($C61,MINIPELLE!$A$2:$D$28,4,0))</f>
        <v/>
      </c>
      <c r="I61" s="364">
        <v>12</v>
      </c>
      <c r="J61" s="389" t="str">
        <f>IF($C61="","",I61*VLOOKUP($C61,MINIPELLE!$A$2:$D$28,4,0))</f>
        <v/>
      </c>
      <c r="K61" s="364">
        <v>12</v>
      </c>
      <c r="L61" s="389" t="str">
        <f>IF($C61="","",K61*VLOOKUP($C61,MINIPELLE!$A$2:$D$28,4,0))</f>
        <v/>
      </c>
      <c r="M61" s="364">
        <v>12</v>
      </c>
      <c r="N61" s="389" t="str">
        <f>IF($C61="","",M61*VLOOKUP($C61,MINIPELLE!$A$2:$D$28,4,0))</f>
        <v/>
      </c>
      <c r="O61" s="364">
        <v>12</v>
      </c>
      <c r="P61" s="389" t="str">
        <f>IF($C61="","",O61*VLOOKUP($C61,MINIPELLE!$A$2:$D$28,4,0))</f>
        <v/>
      </c>
      <c r="Q61" s="364">
        <v>12</v>
      </c>
      <c r="R61" s="389" t="str">
        <f>IF($C61="","",Q61*VLOOKUP($C61,MINIPELLE!$A$2:$D$28,4,0))</f>
        <v/>
      </c>
      <c r="S61" s="364">
        <v>12</v>
      </c>
      <c r="T61" s="389" t="str">
        <f>IF($C61="","",S61*VLOOKUP($C61,MINIPELLE!$A$2:$D$28,4,0))</f>
        <v/>
      </c>
      <c r="U61" s="364">
        <v>12</v>
      </c>
      <c r="V61" s="389" t="str">
        <f>IF($C61="","",U61*VLOOKUP($C61,MINIPELLE!$A$2:$D$28,4,0))</f>
        <v/>
      </c>
      <c r="W61" s="364">
        <v>12</v>
      </c>
      <c r="X61" s="389" t="str">
        <f>IF($C61="","",W61*VLOOKUP($C61,MINIPELLE!$A$2:$D$28,4,0))</f>
        <v/>
      </c>
      <c r="Y61" s="364">
        <v>12</v>
      </c>
      <c r="Z61" s="389" t="str">
        <f>IF($C61="","",Y61*VLOOKUP($C61,MINIPELLE!$A$2:$D$28,4,0))</f>
        <v/>
      </c>
      <c r="AA61" s="364">
        <v>12</v>
      </c>
      <c r="AB61" s="389" t="str">
        <f>IF($C61="","",AA61*VLOOKUP($C61,MINIPELLE!$A$2:$D$28,4,0))</f>
        <v/>
      </c>
      <c r="AC61" s="364">
        <v>12</v>
      </c>
      <c r="AD61" s="389" t="str">
        <f>IF($C61="","",AC61*VLOOKUP($C61,MINIPELLE!$A$2:$D$28,4,0))</f>
        <v/>
      </c>
      <c r="AE61" s="364">
        <v>12</v>
      </c>
      <c r="AF61" s="389" t="str">
        <f>IF($C61="","",AE61*VLOOKUP($C61,MINIPELLE!$A$2:$D$28,4,0))</f>
        <v/>
      </c>
      <c r="AG61" s="364">
        <v>12</v>
      </c>
      <c r="AH61" s="389" t="str">
        <f>IF($C61="","",AG61*VLOOKUP($C61,MINIPELLE!$A$2:$D$28,4,0))</f>
        <v/>
      </c>
      <c r="AI61" s="364">
        <v>12</v>
      </c>
      <c r="AJ61" s="389" t="str">
        <f>IF($C61="","",AI61*VLOOKUP($C61,MINIPELLE!$A$2:$D$28,4,0))</f>
        <v/>
      </c>
      <c r="AK61" s="364">
        <v>12</v>
      </c>
      <c r="AL61" s="389" t="str">
        <f>IF($C61="","",AK61*VLOOKUP($C61,MINIPELLE!$A$2:$D$28,4,0))</f>
        <v/>
      </c>
      <c r="AM61" s="364">
        <v>12</v>
      </c>
      <c r="AN61" s="389" t="str">
        <f>IF($C61="","",AM61*VLOOKUP($C61,MINIPELLE!$A$2:$D$28,4,0))</f>
        <v/>
      </c>
    </row>
    <row r="62" spans="1:42" ht="29.25" customHeight="1" x14ac:dyDescent="0.2">
      <c r="A62" s="1560"/>
      <c r="B62" s="384" t="s">
        <v>454</v>
      </c>
      <c r="C62" s="385" t="s">
        <v>455</v>
      </c>
      <c r="D62" s="386" t="s">
        <v>451</v>
      </c>
      <c r="E62" s="387">
        <f>F62*Simulation!$P$10</f>
        <v>4</v>
      </c>
      <c r="F62" s="388">
        <f>SUM(F51:F61)</f>
        <v>0.05</v>
      </c>
      <c r="G62" s="387">
        <f>H62*Simulation!$P$10</f>
        <v>4</v>
      </c>
      <c r="H62" s="388">
        <f>SUM(H51:H61)</f>
        <v>0.05</v>
      </c>
      <c r="I62" s="387">
        <f>J62*Simulation!$P$10</f>
        <v>4</v>
      </c>
      <c r="J62" s="388">
        <f>SUM(J51:J61)</f>
        <v>0.05</v>
      </c>
      <c r="K62" s="387">
        <f>L62*Simulation!$P$10</f>
        <v>4</v>
      </c>
      <c r="L62" s="388">
        <f>SUM(L51:L61)</f>
        <v>0.05</v>
      </c>
      <c r="M62" s="387">
        <f>N62*Simulation!$P$10</f>
        <v>4</v>
      </c>
      <c r="N62" s="388">
        <f>SUM(N51:N61)</f>
        <v>0.05</v>
      </c>
      <c r="O62" s="387">
        <f>P62*Simulation!$P$10</f>
        <v>4</v>
      </c>
      <c r="P62" s="388">
        <f>SUM(P51:P61)</f>
        <v>0.05</v>
      </c>
      <c r="Q62" s="387">
        <f>R62*Simulation!$P$10</f>
        <v>4</v>
      </c>
      <c r="R62" s="388">
        <f>SUM(R51:R61)</f>
        <v>0.05</v>
      </c>
      <c r="S62" s="387">
        <f>T62*Simulation!$P$10</f>
        <v>4</v>
      </c>
      <c r="T62" s="388">
        <f>SUM(T51:T61)</f>
        <v>0.05</v>
      </c>
      <c r="U62" s="387">
        <f>V62*Simulation!$P$10</f>
        <v>4</v>
      </c>
      <c r="V62" s="388">
        <f>SUM(V51:V61)</f>
        <v>0.05</v>
      </c>
      <c r="W62" s="387">
        <f>X62*Simulation!$P$10</f>
        <v>4</v>
      </c>
      <c r="X62" s="388">
        <f>SUM(X51:X61)</f>
        <v>0.05</v>
      </c>
      <c r="Y62" s="387">
        <f>Z62*Simulation!$P$10</f>
        <v>4</v>
      </c>
      <c r="Z62" s="388">
        <f>SUM(Z51:Z61)</f>
        <v>0.05</v>
      </c>
      <c r="AA62" s="387">
        <f>AB62*Simulation!$P$10</f>
        <v>4</v>
      </c>
      <c r="AB62" s="388">
        <f>SUM(AB51:AB61)</f>
        <v>0.05</v>
      </c>
      <c r="AC62" s="387">
        <f>AD62*Simulation!$P$10</f>
        <v>4</v>
      </c>
      <c r="AD62" s="388">
        <f>SUM(AD51:AD61)</f>
        <v>0.05</v>
      </c>
      <c r="AE62" s="387">
        <f>AF62*Simulation!$P$10</f>
        <v>4</v>
      </c>
      <c r="AF62" s="388">
        <f>SUM(AF51:AF61)</f>
        <v>0.05</v>
      </c>
      <c r="AG62" s="387">
        <f>AH62*Simulation!$P$10</f>
        <v>4</v>
      </c>
      <c r="AH62" s="388">
        <f>SUM(AH51:AH61)</f>
        <v>0.05</v>
      </c>
      <c r="AI62" s="387">
        <f>AJ62*Simulation!$P$10</f>
        <v>4</v>
      </c>
      <c r="AJ62" s="388">
        <f>SUM(AJ51:AJ61)</f>
        <v>0.05</v>
      </c>
      <c r="AK62" s="387">
        <f>AL62*Simulation!$P$10</f>
        <v>4</v>
      </c>
      <c r="AL62" s="388">
        <f>SUM(AL51:AL61)</f>
        <v>0.05</v>
      </c>
      <c r="AM62" s="387">
        <f>AN62*Simulation!$P$10</f>
        <v>4</v>
      </c>
      <c r="AN62" s="388">
        <f>SUM(AN51:AN61)</f>
        <v>0.05</v>
      </c>
    </row>
    <row r="63" spans="1:42" x14ac:dyDescent="0.2">
      <c r="A63" s="199"/>
      <c r="B63" s="172"/>
      <c r="C63" s="200"/>
      <c r="D63" s="201"/>
      <c r="E63" s="202"/>
      <c r="F63" s="203"/>
      <c r="G63" s="202"/>
      <c r="H63" s="203"/>
      <c r="I63" s="202"/>
      <c r="J63" s="203"/>
      <c r="K63" s="202"/>
      <c r="L63" s="203"/>
      <c r="M63" s="202"/>
      <c r="N63" s="203"/>
      <c r="O63" s="202"/>
      <c r="P63" s="203"/>
      <c r="Q63" s="202"/>
      <c r="R63" s="203"/>
      <c r="S63" s="202"/>
      <c r="T63" s="203"/>
      <c r="U63" s="202"/>
      <c r="V63" s="203"/>
      <c r="W63" s="202"/>
      <c r="X63" s="203"/>
      <c r="Y63" s="202"/>
      <c r="Z63" s="203"/>
      <c r="AA63" s="202"/>
      <c r="AB63" s="203"/>
      <c r="AC63" s="202"/>
      <c r="AD63" s="203"/>
      <c r="AE63" s="202"/>
      <c r="AF63" s="203"/>
      <c r="AG63" s="202"/>
      <c r="AH63" s="203"/>
      <c r="AI63" s="202"/>
      <c r="AJ63" s="203"/>
      <c r="AK63" s="202"/>
      <c r="AL63" s="203"/>
      <c r="AM63" s="202"/>
      <c r="AN63" s="203"/>
    </row>
    <row r="64" spans="1:42" ht="36" customHeight="1" x14ac:dyDescent="0.2">
      <c r="A64" s="204"/>
      <c r="B64" s="1561" t="s">
        <v>456</v>
      </c>
      <c r="C64" s="1564" t="s">
        <v>445</v>
      </c>
      <c r="D64" s="1564"/>
      <c r="E64" s="1547" t="e">
        <f>E62+E50+E38+E26</f>
        <v>#N/A</v>
      </c>
      <c r="F64" s="1547"/>
      <c r="G64" s="1547" t="e">
        <f>G62+G50+G38+G26</f>
        <v>#N/A</v>
      </c>
      <c r="H64" s="1547"/>
      <c r="I64" s="1547" t="e">
        <f>I62+I50+I38+I26</f>
        <v>#N/A</v>
      </c>
      <c r="J64" s="1547"/>
      <c r="K64" s="1547" t="e">
        <f>K62+K50+K38+K26</f>
        <v>#N/A</v>
      </c>
      <c r="L64" s="1547"/>
      <c r="M64" s="1547" t="e">
        <f>M62+M50+M38+M26</f>
        <v>#N/A</v>
      </c>
      <c r="N64" s="1547"/>
      <c r="O64" s="1547" t="e">
        <f>O62+O50+O38+O26</f>
        <v>#N/A</v>
      </c>
      <c r="P64" s="1547"/>
      <c r="Q64" s="1547" t="e">
        <f>Q62+Q50+Q38+Q26</f>
        <v>#N/A</v>
      </c>
      <c r="R64" s="1547"/>
      <c r="S64" s="1547" t="e">
        <f>S62+S50+S38+S26</f>
        <v>#N/A</v>
      </c>
      <c r="T64" s="1547"/>
      <c r="U64" s="1547" t="e">
        <f>U62+U50+U38+U26</f>
        <v>#N/A</v>
      </c>
      <c r="V64" s="1547"/>
      <c r="W64" s="1547" t="e">
        <f>W62+W50+W38+W26</f>
        <v>#N/A</v>
      </c>
      <c r="X64" s="1547"/>
      <c r="Y64" s="1547" t="e">
        <f>Y62+Y50+Y38+Y26</f>
        <v>#N/A</v>
      </c>
      <c r="Z64" s="1547"/>
      <c r="AA64" s="1547" t="e">
        <f>AA62+AA50+AA38+AA26</f>
        <v>#N/A</v>
      </c>
      <c r="AB64" s="1547"/>
      <c r="AC64" s="1547" t="e">
        <f>AC62+AC50+AC38+AC26</f>
        <v>#N/A</v>
      </c>
      <c r="AD64" s="1547"/>
      <c r="AE64" s="1547" t="e">
        <f>AE62+AE50+AE38+AE26</f>
        <v>#N/A</v>
      </c>
      <c r="AF64" s="1547"/>
      <c r="AG64" s="1547" t="e">
        <f>AG62+AG50+AG38+AG26</f>
        <v>#N/A</v>
      </c>
      <c r="AH64" s="1547"/>
      <c r="AI64" s="1547" t="e">
        <f>AI62+AI50+AI38+AI26</f>
        <v>#N/A</v>
      </c>
      <c r="AJ64" s="1547"/>
      <c r="AK64" s="1547" t="e">
        <f>AK62+AK50+AK38+AK26</f>
        <v>#N/A</v>
      </c>
      <c r="AL64" s="1547"/>
      <c r="AM64" s="1547" t="e">
        <f>AM62+AM50+AM38+AM26</f>
        <v>#N/A</v>
      </c>
      <c r="AN64" s="1547"/>
    </row>
    <row r="65" spans="1:42" ht="18" customHeight="1" x14ac:dyDescent="0.2">
      <c r="A65" s="154"/>
      <c r="B65" s="1562"/>
      <c r="C65" s="1565" t="s">
        <v>457</v>
      </c>
      <c r="D65" s="1565"/>
      <c r="E65" s="149">
        <f>E26-F26</f>
        <v>0</v>
      </c>
      <c r="F65" s="207" t="e">
        <f>E65/E$64</f>
        <v>#N/A</v>
      </c>
      <c r="G65" s="149">
        <f>G26-H26</f>
        <v>0</v>
      </c>
      <c r="H65" s="207" t="e">
        <f>G65/G$64</f>
        <v>#N/A</v>
      </c>
      <c r="I65" s="149">
        <f>I26-J26</f>
        <v>0</v>
      </c>
      <c r="J65" s="207" t="e">
        <f>I65/I$64</f>
        <v>#N/A</v>
      </c>
      <c r="K65" s="149">
        <f>K26-L26</f>
        <v>0</v>
      </c>
      <c r="L65" s="207" t="e">
        <f>K65/K$64</f>
        <v>#N/A</v>
      </c>
      <c r="M65" s="149">
        <f>M26-N26</f>
        <v>0</v>
      </c>
      <c r="N65" s="207" t="e">
        <f>M65/M$64</f>
        <v>#N/A</v>
      </c>
      <c r="O65" s="149">
        <f>O26-P26</f>
        <v>0</v>
      </c>
      <c r="P65" s="207" t="e">
        <f>O65/O$64</f>
        <v>#N/A</v>
      </c>
      <c r="Q65" s="149">
        <f>Q26-R26</f>
        <v>0</v>
      </c>
      <c r="R65" s="207" t="e">
        <f>Q65/Q$64</f>
        <v>#N/A</v>
      </c>
      <c r="S65" s="149">
        <f>S26-T26</f>
        <v>0</v>
      </c>
      <c r="T65" s="207" t="e">
        <f>S65/S$64</f>
        <v>#N/A</v>
      </c>
      <c r="U65" s="149">
        <f>U26-V26</f>
        <v>0</v>
      </c>
      <c r="V65" s="207" t="e">
        <f>U65/U$64</f>
        <v>#N/A</v>
      </c>
      <c r="W65" s="149">
        <f>W26-X26</f>
        <v>0</v>
      </c>
      <c r="X65" s="207" t="e">
        <f>W65/W$64</f>
        <v>#N/A</v>
      </c>
      <c r="Y65" s="149">
        <f>Y26-Z26</f>
        <v>0</v>
      </c>
      <c r="Z65" s="207" t="e">
        <f>Y65/Y$64</f>
        <v>#N/A</v>
      </c>
      <c r="AA65" s="149">
        <f>AA26-AB26</f>
        <v>0</v>
      </c>
      <c r="AB65" s="207" t="e">
        <f>AA65/AA$64</f>
        <v>#N/A</v>
      </c>
      <c r="AC65" s="149">
        <f>AC26-AD26</f>
        <v>0</v>
      </c>
      <c r="AD65" s="207" t="e">
        <f>AC65/AC$64</f>
        <v>#N/A</v>
      </c>
      <c r="AE65" s="149">
        <f>AE26-AF26</f>
        <v>0</v>
      </c>
      <c r="AF65" s="207" t="e">
        <f>AE65/AE$64</f>
        <v>#N/A</v>
      </c>
      <c r="AG65" s="149">
        <f>AG26-AH26</f>
        <v>0</v>
      </c>
      <c r="AH65" s="207" t="e">
        <f>AG65/AG$64</f>
        <v>#N/A</v>
      </c>
      <c r="AI65" s="149">
        <f>AI26-AJ26</f>
        <v>0</v>
      </c>
      <c r="AJ65" s="207" t="e">
        <f>AI65/AI$64</f>
        <v>#N/A</v>
      </c>
      <c r="AK65" s="149">
        <f>AK26-AL26</f>
        <v>0</v>
      </c>
      <c r="AL65" s="207" t="e">
        <f>AK65/AK$64</f>
        <v>#N/A</v>
      </c>
      <c r="AM65" s="149">
        <f>AM26-AN26</f>
        <v>0</v>
      </c>
      <c r="AN65" s="207" t="e">
        <f>AM65/AM$64</f>
        <v>#N/A</v>
      </c>
    </row>
    <row r="66" spans="1:42" ht="18" customHeight="1" x14ac:dyDescent="0.2">
      <c r="A66" s="154"/>
      <c r="B66" s="1562"/>
      <c r="C66" s="1565" t="s">
        <v>9</v>
      </c>
      <c r="D66" s="1565"/>
      <c r="E66" s="149">
        <f>E26</f>
        <v>0</v>
      </c>
      <c r="F66" s="207" t="e">
        <f>E66/E$64</f>
        <v>#N/A</v>
      </c>
      <c r="G66" s="149">
        <f>G26</f>
        <v>0</v>
      </c>
      <c r="H66" s="207" t="e">
        <f>G66/G$64</f>
        <v>#N/A</v>
      </c>
      <c r="I66" s="149">
        <f>I26</f>
        <v>0</v>
      </c>
      <c r="J66" s="207" t="e">
        <f>I66/I$64</f>
        <v>#N/A</v>
      </c>
      <c r="K66" s="149">
        <f>K26</f>
        <v>0</v>
      </c>
      <c r="L66" s="207" t="e">
        <f>K66/K$64</f>
        <v>#N/A</v>
      </c>
      <c r="M66" s="149">
        <f>M26</f>
        <v>0</v>
      </c>
      <c r="N66" s="207" t="e">
        <f>M66/M$64</f>
        <v>#N/A</v>
      </c>
      <c r="O66" s="149">
        <f>O26</f>
        <v>0</v>
      </c>
      <c r="P66" s="207" t="e">
        <f>O66/O$64</f>
        <v>#N/A</v>
      </c>
      <c r="Q66" s="149">
        <f>Q26</f>
        <v>0</v>
      </c>
      <c r="R66" s="207" t="e">
        <f>Q66/Q$64</f>
        <v>#N/A</v>
      </c>
      <c r="S66" s="149">
        <f>S26</f>
        <v>0</v>
      </c>
      <c r="T66" s="207" t="e">
        <f>S66/S$64</f>
        <v>#N/A</v>
      </c>
      <c r="U66" s="149">
        <f>U26</f>
        <v>0</v>
      </c>
      <c r="V66" s="207" t="e">
        <f>U66/U$64</f>
        <v>#N/A</v>
      </c>
      <c r="W66" s="149">
        <f>W26</f>
        <v>0</v>
      </c>
      <c r="X66" s="207" t="e">
        <f>W66/W$64</f>
        <v>#N/A</v>
      </c>
      <c r="Y66" s="149">
        <f>Y26</f>
        <v>0</v>
      </c>
      <c r="Z66" s="207" t="e">
        <f>Y66/Y$64</f>
        <v>#N/A</v>
      </c>
      <c r="AA66" s="149">
        <f>AA26</f>
        <v>0</v>
      </c>
      <c r="AB66" s="207" t="e">
        <f>AA66/AA$64</f>
        <v>#N/A</v>
      </c>
      <c r="AC66" s="149">
        <f>AC26</f>
        <v>0</v>
      </c>
      <c r="AD66" s="207" t="e">
        <f>AC66/AC$64</f>
        <v>#N/A</v>
      </c>
      <c r="AE66" s="149">
        <f>AE26</f>
        <v>0</v>
      </c>
      <c r="AF66" s="207" t="e">
        <f>AE66/AE$64</f>
        <v>#N/A</v>
      </c>
      <c r="AG66" s="149">
        <f>AG26</f>
        <v>0</v>
      </c>
      <c r="AH66" s="207" t="e">
        <f>AG66/AG$64</f>
        <v>#N/A</v>
      </c>
      <c r="AI66" s="149">
        <f>AI26</f>
        <v>0</v>
      </c>
      <c r="AJ66" s="207" t="e">
        <f>AI66/AI$64</f>
        <v>#N/A</v>
      </c>
      <c r="AK66" s="149">
        <f>AK26</f>
        <v>0</v>
      </c>
      <c r="AL66" s="207" t="e">
        <f>AK66/AK$64</f>
        <v>#N/A</v>
      </c>
      <c r="AM66" s="149">
        <f>AM26</f>
        <v>0</v>
      </c>
      <c r="AN66" s="207" t="e">
        <f>AM66/AM$64</f>
        <v>#N/A</v>
      </c>
    </row>
    <row r="67" spans="1:42" ht="18" customHeight="1" x14ac:dyDescent="0.2">
      <c r="A67" s="154"/>
      <c r="B67" s="1562"/>
      <c r="C67" s="1565" t="s">
        <v>458</v>
      </c>
      <c r="D67" s="1565"/>
      <c r="E67" s="149" t="e">
        <f>E38</f>
        <v>#N/A</v>
      </c>
      <c r="F67" s="207" t="e">
        <f>E67/E$64</f>
        <v>#N/A</v>
      </c>
      <c r="G67" s="149" t="e">
        <f>G38</f>
        <v>#N/A</v>
      </c>
      <c r="H67" s="207" t="e">
        <f>G67/G$64</f>
        <v>#N/A</v>
      </c>
      <c r="I67" s="149" t="e">
        <f>I38</f>
        <v>#N/A</v>
      </c>
      <c r="J67" s="207" t="e">
        <f>I67/I$64</f>
        <v>#N/A</v>
      </c>
      <c r="K67" s="149" t="e">
        <f>K38</f>
        <v>#N/A</v>
      </c>
      <c r="L67" s="207" t="e">
        <f>K67/K$64</f>
        <v>#N/A</v>
      </c>
      <c r="M67" s="149" t="e">
        <f>M38</f>
        <v>#N/A</v>
      </c>
      <c r="N67" s="207" t="e">
        <f>M67/M$64</f>
        <v>#N/A</v>
      </c>
      <c r="O67" s="149" t="e">
        <f>O38</f>
        <v>#N/A</v>
      </c>
      <c r="P67" s="207" t="e">
        <f>O67/O$64</f>
        <v>#N/A</v>
      </c>
      <c r="Q67" s="149" t="e">
        <f>Q38</f>
        <v>#N/A</v>
      </c>
      <c r="R67" s="207" t="e">
        <f>Q67/Q$64</f>
        <v>#N/A</v>
      </c>
      <c r="S67" s="149" t="e">
        <f>S38</f>
        <v>#N/A</v>
      </c>
      <c r="T67" s="207" t="e">
        <f>S67/S$64</f>
        <v>#N/A</v>
      </c>
      <c r="U67" s="149" t="e">
        <f>U38</f>
        <v>#N/A</v>
      </c>
      <c r="V67" s="207" t="e">
        <f>U67/U$64</f>
        <v>#N/A</v>
      </c>
      <c r="W67" s="149" t="e">
        <f>W38</f>
        <v>#N/A</v>
      </c>
      <c r="X67" s="207" t="e">
        <f>W67/W$64</f>
        <v>#N/A</v>
      </c>
      <c r="Y67" s="149" t="e">
        <f>Y38</f>
        <v>#N/A</v>
      </c>
      <c r="Z67" s="207" t="e">
        <f>Y67/Y$64</f>
        <v>#N/A</v>
      </c>
      <c r="AA67" s="149" t="e">
        <f>AA38</f>
        <v>#N/A</v>
      </c>
      <c r="AB67" s="207" t="e">
        <f>AA67/AA$64</f>
        <v>#N/A</v>
      </c>
      <c r="AC67" s="149" t="e">
        <f>AC38</f>
        <v>#N/A</v>
      </c>
      <c r="AD67" s="207" t="e">
        <f>AC67/AC$64</f>
        <v>#N/A</v>
      </c>
      <c r="AE67" s="149" t="e">
        <f>AE38</f>
        <v>#N/A</v>
      </c>
      <c r="AF67" s="207" t="e">
        <f>AE67/AE$64</f>
        <v>#N/A</v>
      </c>
      <c r="AG67" s="149" t="e">
        <f>AG38</f>
        <v>#N/A</v>
      </c>
      <c r="AH67" s="207" t="e">
        <f>AG67/AG$64</f>
        <v>#N/A</v>
      </c>
      <c r="AI67" s="149" t="e">
        <f>AI38</f>
        <v>#N/A</v>
      </c>
      <c r="AJ67" s="207" t="e">
        <f>AI67/AI$64</f>
        <v>#N/A</v>
      </c>
      <c r="AK67" s="149" t="e">
        <f>AK38</f>
        <v>#N/A</v>
      </c>
      <c r="AL67" s="207" t="e">
        <f>AK67/AK$64</f>
        <v>#N/A</v>
      </c>
      <c r="AM67" s="149" t="e">
        <f>AM38</f>
        <v>#N/A</v>
      </c>
      <c r="AN67" s="207" t="e">
        <f>AM67/AM$64</f>
        <v>#N/A</v>
      </c>
    </row>
    <row r="68" spans="1:42" ht="18" customHeight="1" x14ac:dyDescent="0.2">
      <c r="A68" s="154"/>
      <c r="B68" s="1562"/>
      <c r="C68" s="1565" t="s">
        <v>459</v>
      </c>
      <c r="D68" s="1565"/>
      <c r="E68" s="149">
        <f>E50</f>
        <v>11.25</v>
      </c>
      <c r="F68" s="207" t="e">
        <f>E68/E$64</f>
        <v>#N/A</v>
      </c>
      <c r="G68" s="149">
        <f>G50</f>
        <v>22.5</v>
      </c>
      <c r="H68" s="207" t="e">
        <f>G68/G$64</f>
        <v>#N/A</v>
      </c>
      <c r="I68" s="149">
        <f>I50</f>
        <v>33.75</v>
      </c>
      <c r="J68" s="207" t="e">
        <f>I68/I$64</f>
        <v>#N/A</v>
      </c>
      <c r="K68" s="149">
        <f>K50</f>
        <v>45</v>
      </c>
      <c r="L68" s="207" t="e">
        <f>K68/K$64</f>
        <v>#N/A</v>
      </c>
      <c r="M68" s="149">
        <f>M50</f>
        <v>56.25</v>
      </c>
      <c r="N68" s="207" t="e">
        <f>M68/M$64</f>
        <v>#N/A</v>
      </c>
      <c r="O68" s="149">
        <f>O50</f>
        <v>67.5</v>
      </c>
      <c r="P68" s="207" t="e">
        <f>O68/O$64</f>
        <v>#N/A</v>
      </c>
      <c r="Q68" s="149">
        <f>Q50</f>
        <v>78.75</v>
      </c>
      <c r="R68" s="207" t="e">
        <f>Q68/Q$64</f>
        <v>#N/A</v>
      </c>
      <c r="S68" s="149">
        <f>S50</f>
        <v>90</v>
      </c>
      <c r="T68" s="207" t="e">
        <f>S68/S$64</f>
        <v>#N/A</v>
      </c>
      <c r="U68" s="149">
        <f>U50</f>
        <v>101.25</v>
      </c>
      <c r="V68" s="207" t="e">
        <f>U68/U$64</f>
        <v>#N/A</v>
      </c>
      <c r="W68" s="149">
        <f>W50</f>
        <v>112.5</v>
      </c>
      <c r="X68" s="207" t="e">
        <f>W68/W$64</f>
        <v>#N/A</v>
      </c>
      <c r="Y68" s="149">
        <f>Y50</f>
        <v>123.75</v>
      </c>
      <c r="Z68" s="207" t="e">
        <f>Y68/Y$64</f>
        <v>#N/A</v>
      </c>
      <c r="AA68" s="149">
        <f>AA50</f>
        <v>135</v>
      </c>
      <c r="AB68" s="207" t="e">
        <f>AA68/AA$64</f>
        <v>#N/A</v>
      </c>
      <c r="AC68" s="149">
        <f>AC50</f>
        <v>146.25</v>
      </c>
      <c r="AD68" s="207" t="e">
        <f>AC68/AC$64</f>
        <v>#N/A</v>
      </c>
      <c r="AE68" s="149">
        <f>AE50</f>
        <v>157.5</v>
      </c>
      <c r="AF68" s="207" t="e">
        <f>AE68/AE$64</f>
        <v>#N/A</v>
      </c>
      <c r="AG68" s="149">
        <f>AG50</f>
        <v>168.75</v>
      </c>
      <c r="AH68" s="207" t="e">
        <f>AG68/AG$64</f>
        <v>#N/A</v>
      </c>
      <c r="AI68" s="149">
        <f>AI50</f>
        <v>180</v>
      </c>
      <c r="AJ68" s="207" t="e">
        <f>AI68/AI$64</f>
        <v>#N/A</v>
      </c>
      <c r="AK68" s="149">
        <f>AK50</f>
        <v>191.25</v>
      </c>
      <c r="AL68" s="207" t="e">
        <f>AK68/AK$64</f>
        <v>#N/A</v>
      </c>
      <c r="AM68" s="149">
        <f>AM50</f>
        <v>202.5</v>
      </c>
      <c r="AN68" s="207" t="e">
        <f>AM68/AM$64</f>
        <v>#N/A</v>
      </c>
    </row>
    <row r="69" spans="1:42" ht="18" customHeight="1" x14ac:dyDescent="0.2">
      <c r="A69" s="154"/>
      <c r="B69" s="1563"/>
      <c r="C69" s="1565" t="s">
        <v>5</v>
      </c>
      <c r="D69" s="1565"/>
      <c r="E69" s="149">
        <f>E62</f>
        <v>4</v>
      </c>
      <c r="F69" s="207" t="e">
        <f>E69/E$64</f>
        <v>#N/A</v>
      </c>
      <c r="G69" s="149">
        <f>G62</f>
        <v>4</v>
      </c>
      <c r="H69" s="207" t="e">
        <f>G69/G$64</f>
        <v>#N/A</v>
      </c>
      <c r="I69" s="149">
        <f>I62</f>
        <v>4</v>
      </c>
      <c r="J69" s="207" t="e">
        <f>I69/I$64</f>
        <v>#N/A</v>
      </c>
      <c r="K69" s="149">
        <f>K62</f>
        <v>4</v>
      </c>
      <c r="L69" s="207" t="e">
        <f>K69/K$64</f>
        <v>#N/A</v>
      </c>
      <c r="M69" s="149">
        <f>M62</f>
        <v>4</v>
      </c>
      <c r="N69" s="207" t="e">
        <f>M69/M$64</f>
        <v>#N/A</v>
      </c>
      <c r="O69" s="149">
        <f>O62</f>
        <v>4</v>
      </c>
      <c r="P69" s="207" t="e">
        <f>O69/O$64</f>
        <v>#N/A</v>
      </c>
      <c r="Q69" s="149">
        <f>Q62</f>
        <v>4</v>
      </c>
      <c r="R69" s="207" t="e">
        <f>Q69/Q$64</f>
        <v>#N/A</v>
      </c>
      <c r="S69" s="149">
        <f>S62</f>
        <v>4</v>
      </c>
      <c r="T69" s="207" t="e">
        <f>S69/S$64</f>
        <v>#N/A</v>
      </c>
      <c r="U69" s="149">
        <f>U62</f>
        <v>4</v>
      </c>
      <c r="V69" s="207" t="e">
        <f>U69/U$64</f>
        <v>#N/A</v>
      </c>
      <c r="W69" s="149">
        <f>W62</f>
        <v>4</v>
      </c>
      <c r="X69" s="207" t="e">
        <f>W69/W$64</f>
        <v>#N/A</v>
      </c>
      <c r="Y69" s="149">
        <f>Y62</f>
        <v>4</v>
      </c>
      <c r="Z69" s="207" t="e">
        <f>Y69/Y$64</f>
        <v>#N/A</v>
      </c>
      <c r="AA69" s="149">
        <f>AA62</f>
        <v>4</v>
      </c>
      <c r="AB69" s="207" t="e">
        <f>AA69/AA$64</f>
        <v>#N/A</v>
      </c>
      <c r="AC69" s="149">
        <f>AC62</f>
        <v>4</v>
      </c>
      <c r="AD69" s="207" t="e">
        <f>AC69/AC$64</f>
        <v>#N/A</v>
      </c>
      <c r="AE69" s="149">
        <f>AE62</f>
        <v>4</v>
      </c>
      <c r="AF69" s="207" t="e">
        <f>AE69/AE$64</f>
        <v>#N/A</v>
      </c>
      <c r="AG69" s="149">
        <f>AG62</f>
        <v>4</v>
      </c>
      <c r="AH69" s="207" t="e">
        <f>AG69/AG$64</f>
        <v>#N/A</v>
      </c>
      <c r="AI69" s="149">
        <f>AI62</f>
        <v>4</v>
      </c>
      <c r="AJ69" s="207" t="e">
        <f>AI69/AI$64</f>
        <v>#N/A</v>
      </c>
      <c r="AK69" s="149">
        <f>AK62</f>
        <v>4</v>
      </c>
      <c r="AL69" s="207" t="e">
        <f>AK69/AK$64</f>
        <v>#N/A</v>
      </c>
      <c r="AM69" s="149">
        <f>AM62</f>
        <v>4</v>
      </c>
      <c r="AN69" s="207" t="e">
        <f>AM69/AM$64</f>
        <v>#N/A</v>
      </c>
    </row>
    <row r="70" spans="1:42" x14ac:dyDescent="0.2">
      <c r="A70" s="154"/>
      <c r="B70" s="172"/>
      <c r="C70" s="154"/>
      <c r="D70" s="227"/>
      <c r="E70" s="154"/>
      <c r="F70" s="154"/>
      <c r="G70" s="154"/>
      <c r="H70" s="154"/>
      <c r="I70" s="154"/>
      <c r="J70" s="154"/>
      <c r="K70" s="154"/>
      <c r="L70" s="154"/>
      <c r="M70" s="154"/>
      <c r="N70" s="154"/>
      <c r="O70" s="154"/>
      <c r="P70" s="154"/>
      <c r="Q70" s="228"/>
      <c r="R70" s="229"/>
      <c r="S70" s="154"/>
      <c r="T70" s="230"/>
      <c r="U70" s="154"/>
      <c r="V70" s="154"/>
      <c r="W70" s="154"/>
      <c r="X70" s="154"/>
      <c r="Y70" s="154"/>
      <c r="Z70" s="154"/>
      <c r="AA70" s="154"/>
      <c r="AB70" s="154"/>
      <c r="AC70" s="154"/>
      <c r="AD70" s="154"/>
      <c r="AE70" s="154"/>
      <c r="AF70" s="154"/>
      <c r="AG70" s="154"/>
      <c r="AH70" s="154"/>
      <c r="AI70" s="154"/>
      <c r="AJ70" s="154"/>
      <c r="AK70" s="154"/>
      <c r="AL70" s="154"/>
      <c r="AM70" s="154"/>
      <c r="AN70" s="154"/>
      <c r="AO70" s="154"/>
      <c r="AP70" s="154"/>
    </row>
    <row r="71" spans="1:42" x14ac:dyDescent="0.2">
      <c r="A71" s="154"/>
      <c r="B71" s="172"/>
      <c r="C71" s="154"/>
      <c r="D71" s="227"/>
      <c r="E71" s="154"/>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c r="AD71" s="154"/>
      <c r="AE71" s="154"/>
      <c r="AF71" s="154"/>
      <c r="AG71" s="154"/>
      <c r="AH71" s="154"/>
      <c r="AI71" s="154"/>
      <c r="AJ71" s="154"/>
      <c r="AK71" s="154"/>
      <c r="AL71" s="154"/>
      <c r="AM71" s="154"/>
      <c r="AN71" s="154"/>
      <c r="AO71" s="154"/>
      <c r="AP71" s="154"/>
    </row>
    <row r="72" spans="1:42" ht="36" x14ac:dyDescent="0.2">
      <c r="A72" s="154"/>
      <c r="B72" s="1375" t="s">
        <v>1462</v>
      </c>
      <c r="C72" s="1568" t="s">
        <v>1463</v>
      </c>
      <c r="D72" s="1569"/>
      <c r="E72" s="149" t="e">
        <f>(VLOOKUP("Prix HT",$C$1:$N$64,E$1,0))-(VLOOKUP("Non margé",$D$1:$N$64,E$1,0))</f>
        <v>#N/A</v>
      </c>
      <c r="F72" s="207" t="e">
        <f>E72/VLOOKUP("Prix HT",$C$1:$N$64,E$1,0)</f>
        <v>#N/A</v>
      </c>
      <c r="G72" s="149" t="e">
        <f>(VLOOKUP("Prix HT",$C$1:$N$64,G$1,0))-(VLOOKUP("Non margé",$D$1:$N$64,G$1,0))</f>
        <v>#N/A</v>
      </c>
      <c r="H72" s="207" t="e">
        <f>G72/VLOOKUP("Prix HT",$C$1:$N$64,G$1,0)</f>
        <v>#N/A</v>
      </c>
      <c r="I72" s="149" t="e">
        <f>(VLOOKUP("Prix HT",$C$1:$N$64,I$1,0))-(VLOOKUP("Non margé",$D$1:$N$64,I$1,0))</f>
        <v>#N/A</v>
      </c>
      <c r="J72" s="207" t="e">
        <f>I72/VLOOKUP("Prix HT",$C$1:$N$64,I$1,0)</f>
        <v>#N/A</v>
      </c>
      <c r="K72" s="149" t="e">
        <f>(VLOOKUP("Prix HT",$C$1:$N$64,K$1,0))-(VLOOKUP("Non margé",$D$1:$N$64,K$1,0))</f>
        <v>#N/A</v>
      </c>
      <c r="L72" s="207" t="e">
        <f>K72/VLOOKUP("Prix HT",$C$1:$N$64,K$1,0)</f>
        <v>#N/A</v>
      </c>
      <c r="M72" s="149" t="e">
        <f>(VLOOKUP("Prix HT",$C$1:$N$64,M$1,0))-(VLOOKUP("Non margé",$D$1:$N$64,M$1,0))</f>
        <v>#N/A</v>
      </c>
      <c r="N72" s="207" t="e">
        <f>M72/VLOOKUP("Prix HT",$C$1:$N$64,M$1,0)</f>
        <v>#N/A</v>
      </c>
      <c r="O72" s="149" t="e">
        <f>(VLOOKUP("Prix HT",$C$1:$AN$64,O$1,0))-(VLOOKUP("Non margé",$D$1:$AN$64,O$1,0))</f>
        <v>#N/A</v>
      </c>
      <c r="P72" s="207" t="e">
        <f>O72/VLOOKUP("Prix HT",$C$1:$AN$64,O$1,0)</f>
        <v>#N/A</v>
      </c>
      <c r="Q72" s="149" t="e">
        <f>(VLOOKUP("Prix HT",$C$1:$AN$64,Q$1,0))-(VLOOKUP("Non margé",$D$1:$AN$64,Q$1,0))</f>
        <v>#N/A</v>
      </c>
      <c r="R72" s="207" t="e">
        <f>Q72/VLOOKUP("Prix HT",$C$1:$AN$64,Q$1,0)</f>
        <v>#N/A</v>
      </c>
      <c r="S72" s="149" t="e">
        <f>(VLOOKUP("Prix HT",$C$1:$AN$64,S$1,0))-(VLOOKUP("Non margé",$D$1:$AN$64,S$1,0))</f>
        <v>#N/A</v>
      </c>
      <c r="T72" s="207" t="e">
        <f>S72/VLOOKUP("Prix HT",$C$1:$AN$64,S$1,0)</f>
        <v>#N/A</v>
      </c>
      <c r="U72" s="149" t="e">
        <f>(VLOOKUP("Prix HT",$C$1:$AN$64,U$1,0))-(VLOOKUP("Non margé",$D$1:$AN$64,U$1,0))</f>
        <v>#N/A</v>
      </c>
      <c r="V72" s="207" t="e">
        <f>U72/VLOOKUP("Prix HT",$C$1:$AN$64,U$1,0)</f>
        <v>#N/A</v>
      </c>
      <c r="W72" s="149" t="e">
        <f>(VLOOKUP("Prix HT",$C$1:$AN$64,W$1,0))-(VLOOKUP("Non margé",$D$1:$AN$64,W$1,0))</f>
        <v>#N/A</v>
      </c>
      <c r="X72" s="207" t="e">
        <f>W72/VLOOKUP("Prix HT",$C$1:$AN$64,W$1,0)</f>
        <v>#N/A</v>
      </c>
      <c r="Y72" s="149" t="e">
        <f>(VLOOKUP("Prix HT",$C$1:$AN$64,Y$1,0))-(VLOOKUP("Non margé",$D$1:$AN$64,Y$1,0))</f>
        <v>#N/A</v>
      </c>
      <c r="Z72" s="207" t="e">
        <f>Y72/VLOOKUP("Prix HT",$C$1:$AN$64,Y$1,0)</f>
        <v>#N/A</v>
      </c>
      <c r="AA72" s="149" t="e">
        <f>(VLOOKUP("Prix HT",$C$1:$AN$64,AA$1,0))-(VLOOKUP("Non margé",$D$1:$AN$64,AA$1,0))</f>
        <v>#N/A</v>
      </c>
      <c r="AB72" s="207" t="e">
        <f>AA72/VLOOKUP("Prix HT",$C$1:$AN$64,AA$1,0)</f>
        <v>#N/A</v>
      </c>
      <c r="AC72" s="149" t="e">
        <f>(VLOOKUP("Prix HT",$C$1:$AN$64,AC$1,0))-(VLOOKUP("Non margé",$D$1:$AN$64,AC$1,0))</f>
        <v>#N/A</v>
      </c>
      <c r="AD72" s="207" t="e">
        <f>AC72/VLOOKUP("Prix HT",$C$1:$AN$64,AC$1,0)</f>
        <v>#N/A</v>
      </c>
      <c r="AE72" s="149" t="e">
        <f>(VLOOKUP("Prix HT",$C$1:$AN$64,AE$1,0))-(VLOOKUP("Non margé",$D$1:$AN$64,AE$1,0))</f>
        <v>#N/A</v>
      </c>
      <c r="AF72" s="207" t="e">
        <f>AE72/VLOOKUP("Prix HT",$C$1:$AN$64,AE$1,0)</f>
        <v>#N/A</v>
      </c>
      <c r="AG72" s="149" t="e">
        <f>(VLOOKUP("Prix HT",$C$1:$AN$64,AG$1,0))-(VLOOKUP("Non margé",$D$1:$AN$64,AG$1,0))</f>
        <v>#N/A</v>
      </c>
      <c r="AH72" s="207" t="e">
        <f>AG72/VLOOKUP("Prix HT",$C$1:$AN$64,AG$1,0)</f>
        <v>#N/A</v>
      </c>
      <c r="AI72" s="149" t="e">
        <f>(VLOOKUP("Prix HT",$C$1:$AN$64,AI$1,0))-(VLOOKUP("Non margé",$D$1:$AN$64,AI$1,0))</f>
        <v>#N/A</v>
      </c>
      <c r="AJ72" s="207" t="e">
        <f>AI72/VLOOKUP("Prix HT",$C$1:$AN$64,AI$1,0)</f>
        <v>#N/A</v>
      </c>
      <c r="AK72" s="149" t="e">
        <f>(VLOOKUP("Prix HT",$C$1:$AN$64,AK$1,0))-(VLOOKUP("Non margé",$D$1:$AN$64,AK$1,0))</f>
        <v>#N/A</v>
      </c>
      <c r="AL72" s="207" t="e">
        <f>AK72/VLOOKUP("Prix HT",$C$1:$AN$64,AK$1,0)</f>
        <v>#N/A</v>
      </c>
      <c r="AM72" s="149" t="e">
        <f>(VLOOKUP("Prix HT",$C$1:$AN$64,AM$1,0))-(VLOOKUP("Non margé",$D$1:$AN$64,AM$1,0))</f>
        <v>#N/A</v>
      </c>
      <c r="AN72" s="207" t="e">
        <f>AM72/VLOOKUP("Prix HT",$C$1:$AN$64,AM$1,0)</f>
        <v>#N/A</v>
      </c>
      <c r="AO72" s="154"/>
      <c r="AP72" s="154"/>
    </row>
  </sheetData>
  <mergeCells count="42">
    <mergeCell ref="C72:D72"/>
    <mergeCell ref="AE2:AF2"/>
    <mergeCell ref="B2:B3"/>
    <mergeCell ref="C2:C3"/>
    <mergeCell ref="E2:F2"/>
    <mergeCell ref="G2:H2"/>
    <mergeCell ref="I2:J2"/>
    <mergeCell ref="K2:L2"/>
    <mergeCell ref="M2:N2"/>
    <mergeCell ref="O2:P2"/>
    <mergeCell ref="Q2:R2"/>
    <mergeCell ref="S2:T2"/>
    <mergeCell ref="U2:V2"/>
    <mergeCell ref="C69:D69"/>
    <mergeCell ref="E64:F64"/>
    <mergeCell ref="G64:H64"/>
    <mergeCell ref="A4:A25"/>
    <mergeCell ref="A27:A38"/>
    <mergeCell ref="A39:A50"/>
    <mergeCell ref="A51:A62"/>
    <mergeCell ref="B64:B69"/>
    <mergeCell ref="AM64:AN64"/>
    <mergeCell ref="Q64:R64"/>
    <mergeCell ref="S64:T64"/>
    <mergeCell ref="U64:V64"/>
    <mergeCell ref="W64:X64"/>
    <mergeCell ref="Y64:Z64"/>
    <mergeCell ref="AA64:AB64"/>
    <mergeCell ref="AC64:AD64"/>
    <mergeCell ref="AE64:AF64"/>
    <mergeCell ref="AG64:AH64"/>
    <mergeCell ref="AI64:AJ64"/>
    <mergeCell ref="K64:L64"/>
    <mergeCell ref="M64:N64"/>
    <mergeCell ref="O64:P64"/>
    <mergeCell ref="C64:D64"/>
    <mergeCell ref="AK64:AL64"/>
    <mergeCell ref="C65:D65"/>
    <mergeCell ref="C66:D66"/>
    <mergeCell ref="C67:D67"/>
    <mergeCell ref="C68:D68"/>
    <mergeCell ref="I64:J64"/>
  </mergeCells>
  <dataValidations count="8">
    <dataValidation type="list" allowBlank="1" showInputMessage="1" showErrorMessage="1" promptTitle="MINIPELLE" prompt="choisir catégorie" sqref="B51:B61" xr:uid="{00000000-0002-0000-1D00-000000000000}">
      <formula1>CATEGORIE_MP</formula1>
    </dataValidation>
    <dataValidation type="list" allowBlank="1" showInputMessage="1" promptTitle="MINIPELLE" prompt="choisir la prestation" sqref="C51:C61" xr:uid="{00000000-0002-0000-1D00-000001000000}">
      <formula1>INDIRECT(B51)</formula1>
    </dataValidation>
    <dataValidation type="list" allowBlank="1" showInputMessage="1" showErrorMessage="1" promptTitle="Catégorie MOC" prompt="choisir" sqref="B39:B48" xr:uid="{00000000-0002-0000-1D00-000002000000}">
      <formula1>CATEGORIE_MOC</formula1>
    </dataValidation>
    <dataValidation type="list" allowBlank="1" showInputMessage="1" promptTitle="Main d'oeuvre CHANTIER" prompt="choisir la prestation" sqref="C39:C49" xr:uid="{00000000-0002-0000-1D00-000003000000}">
      <formula1>INDIRECT(B39)</formula1>
    </dataValidation>
    <dataValidation type="list" allowBlank="1" showInputMessage="1" showErrorMessage="1" promptTitle="MO ATELIER" prompt="choisir catégorie" sqref="B27" xr:uid="{00000000-0002-0000-1D00-000004000000}">
      <formula1>CATEGORIE_MOA</formula1>
    </dataValidation>
    <dataValidation type="list" allowBlank="1" showInputMessage="1" showErrorMessage="1" promptTitle="Main d'oeuvre ATELIER" prompt="choisir la prestation" sqref="C27" xr:uid="{00000000-0002-0000-1D00-000005000000}">
      <formula1>INDIRECT(B27)</formula1>
    </dataValidation>
    <dataValidation type="list" allowBlank="1" showInputMessage="1" showErrorMessage="1" promptTitle="MATIERES" prompt="choisir catégorie" sqref="B4:B25" xr:uid="{00000000-0002-0000-1D00-000006000000}">
      <formula1>MOA_ALIM</formula1>
    </dataValidation>
    <dataValidation type="list" allowBlank="1" showInputMessage="1" showErrorMessage="1" promptTitle="MATIERES" prompt="choisir le produit" sqref="C4:C25" xr:uid="{00000000-0002-0000-1D00-000007000000}">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ErrorMessage="1" xr:uid="{00000000-0002-0000-1D00-000008000000}">
          <x14:formula1>
            <xm:f>ATELIER!$B$2:$B$109</xm:f>
          </x14:formula1>
          <xm:sqref>C28:C37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published="0" codeName="Feuil31"/>
  <dimension ref="A1:AP72"/>
  <sheetViews>
    <sheetView topLeftCell="A58" workbookViewId="0">
      <selection activeCell="C65" sqref="C65:D65"/>
    </sheetView>
  </sheetViews>
  <sheetFormatPr baseColWidth="10" defaultRowHeight="18" x14ac:dyDescent="0.2"/>
  <cols>
    <col min="1" max="1" width="18.125" style="210" customWidth="1"/>
    <col min="2" max="2" width="22.5" style="233"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40" width="10" style="135" customWidth="1"/>
    <col min="41" max="42" width="11.5" style="135" customWidth="1"/>
    <col min="43" max="810" width="11.5" customWidth="1"/>
  </cols>
  <sheetData>
    <row r="1" spans="1:42"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s="535" t="s">
        <v>467</v>
      </c>
      <c r="AO1" s="535"/>
      <c r="AP1" s="535"/>
    </row>
    <row r="2" spans="1:42" ht="35.1" customHeight="1" x14ac:dyDescent="0.2">
      <c r="A2" s="174"/>
      <c r="B2" s="1572" t="s">
        <v>971</v>
      </c>
      <c r="C2" s="1574" t="s">
        <v>468</v>
      </c>
      <c r="D2" s="115" t="s">
        <v>203</v>
      </c>
      <c r="E2" s="1571">
        <v>2</v>
      </c>
      <c r="F2" s="1571"/>
      <c r="G2" s="1571">
        <v>3</v>
      </c>
      <c r="H2" s="1571"/>
      <c r="I2" s="1571">
        <v>4</v>
      </c>
      <c r="J2" s="1571"/>
      <c r="K2" s="1571">
        <v>5</v>
      </c>
      <c r="L2" s="1571"/>
      <c r="M2" s="1571">
        <v>6</v>
      </c>
      <c r="N2" s="1571"/>
      <c r="O2" s="1571">
        <v>7</v>
      </c>
      <c r="P2" s="1571"/>
      <c r="Q2" s="1571">
        <v>8</v>
      </c>
      <c r="R2" s="1571"/>
      <c r="S2" s="1571">
        <v>9</v>
      </c>
      <c r="T2" s="1571"/>
      <c r="U2" s="1571">
        <v>10</v>
      </c>
      <c r="V2" s="1571"/>
      <c r="W2" s="218">
        <v>12</v>
      </c>
      <c r="X2" s="213" t="s">
        <v>469</v>
      </c>
      <c r="Y2" s="213">
        <v>12</v>
      </c>
      <c r="Z2" s="214" t="s">
        <v>470</v>
      </c>
      <c r="AA2" s="218">
        <v>14</v>
      </c>
      <c r="AB2" s="213" t="s">
        <v>471</v>
      </c>
      <c r="AC2" s="218">
        <v>14</v>
      </c>
      <c r="AD2" s="213" t="s">
        <v>472</v>
      </c>
      <c r="AE2" s="1571">
        <v>16</v>
      </c>
      <c r="AF2" s="1571"/>
      <c r="AG2" s="218">
        <v>18</v>
      </c>
      <c r="AH2" s="213" t="s">
        <v>473</v>
      </c>
      <c r="AI2" s="218">
        <v>18</v>
      </c>
      <c r="AJ2" s="213" t="s">
        <v>474</v>
      </c>
      <c r="AK2" s="218">
        <v>20</v>
      </c>
      <c r="AL2" s="213" t="s">
        <v>475</v>
      </c>
      <c r="AM2" s="218">
        <v>20</v>
      </c>
      <c r="AN2" s="213" t="s">
        <v>476</v>
      </c>
      <c r="AO2" s="178"/>
      <c r="AP2" s="178"/>
    </row>
    <row r="3" spans="1:42" ht="35.1" customHeight="1" x14ac:dyDescent="0.2">
      <c r="A3" s="174"/>
      <c r="B3" s="1573"/>
      <c r="C3" s="1574"/>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303" t="s">
        <v>477</v>
      </c>
      <c r="AO3" s="178"/>
      <c r="AP3" s="178"/>
    </row>
    <row r="4" spans="1:42" ht="15" customHeight="1" x14ac:dyDescent="0.2">
      <c r="A4" s="1549" t="s">
        <v>1078</v>
      </c>
      <c r="B4" s="361" t="s">
        <v>1065</v>
      </c>
      <c r="C4" s="362"/>
      <c r="D4" s="363" t="str">
        <f>IF($C4="","",VLOOKUP($C4,MATIERES!$A$2:$F$227,5,0))</f>
        <v/>
      </c>
      <c r="E4" s="364">
        <v>1</v>
      </c>
      <c r="F4" s="365" t="str">
        <f>IF($C4="","",E4*VLOOKUP($C4,MATIERES!$A$2:$F$349,4,0))</f>
        <v/>
      </c>
      <c r="G4" s="364">
        <v>2</v>
      </c>
      <c r="H4" s="365" t="str">
        <f>IF($C4="","",G4*VLOOKUP($C4,MATIERES!$A$2:$F$349,4,0))</f>
        <v/>
      </c>
      <c r="I4" s="364">
        <v>3</v>
      </c>
      <c r="J4" s="365" t="str">
        <f>IF($C4="","",I4*VLOOKUP($C4,MATIERES!$A$2:$F$349,4,0))</f>
        <v/>
      </c>
      <c r="K4" s="364">
        <v>4</v>
      </c>
      <c r="L4" s="365" t="str">
        <f>IF($C4="","",K4*VLOOKUP($C4,MATIERES!$A$2:$F$349,4,0))</f>
        <v/>
      </c>
      <c r="M4" s="364">
        <v>5</v>
      </c>
      <c r="N4" s="365" t="str">
        <f>IF($C4="","",M4*VLOOKUP($C4,MATIERES!$A$2:$F$349,4,0))</f>
        <v/>
      </c>
      <c r="O4" s="364">
        <v>6</v>
      </c>
      <c r="P4" s="365" t="str">
        <f>IF($C4="","",O4*VLOOKUP($C4,MATIERES!$A$2:$F$349,4,0))</f>
        <v/>
      </c>
      <c r="Q4" s="364">
        <v>7</v>
      </c>
      <c r="R4" s="365" t="str">
        <f>IF($C4="","",Q4*VLOOKUP($C4,MATIERES!$A$2:$F$349,4,0))</f>
        <v/>
      </c>
      <c r="S4" s="364">
        <v>8</v>
      </c>
      <c r="T4" s="365" t="str">
        <f>IF($C4="","",S4*VLOOKUP($C4,MATIERES!$A$2:$F$349,4,0))</f>
        <v/>
      </c>
      <c r="U4" s="364">
        <v>9</v>
      </c>
      <c r="V4" s="365" t="str">
        <f>IF($C4="","",U4*VLOOKUP($C4,MATIERES!$A$2:$F$349,4,0))</f>
        <v/>
      </c>
      <c r="W4" s="364">
        <v>10</v>
      </c>
      <c r="X4" s="365" t="str">
        <f>IF($C4="","",W4*VLOOKUP($C4,MATIERES!$A$2:$F$349,4,0))</f>
        <v/>
      </c>
      <c r="Y4" s="364">
        <v>11</v>
      </c>
      <c r="Z4" s="365" t="str">
        <f>IF($C4="","",Y4*VLOOKUP($C4,MATIERES!$A$2:$F$349,4,0))</f>
        <v/>
      </c>
      <c r="AA4" s="364">
        <v>12</v>
      </c>
      <c r="AB4" s="365" t="str">
        <f>IF($C4="","",AA4*VLOOKUP($C4,MATIERES!$A$2:$F$349,4,0))</f>
        <v/>
      </c>
      <c r="AC4" s="364">
        <v>13</v>
      </c>
      <c r="AD4" s="365" t="str">
        <f>IF($C4="","",AC4*VLOOKUP($C4,MATIERES!$A$2:$F$349,4,0))</f>
        <v/>
      </c>
      <c r="AE4" s="364">
        <v>14</v>
      </c>
      <c r="AF4" s="365" t="str">
        <f>IF($C4="","",AE4*VLOOKUP($C4,MATIERES!$A$2:$F$349,4,0))</f>
        <v/>
      </c>
      <c r="AG4" s="364">
        <v>15</v>
      </c>
      <c r="AH4" s="365" t="str">
        <f>IF($C4="","",AG4*VLOOKUP($C4,MATIERES!$A$2:$F$349,4,0))</f>
        <v/>
      </c>
      <c r="AI4" s="364">
        <v>16</v>
      </c>
      <c r="AJ4" s="365" t="str">
        <f>IF($C4="","",AI4*VLOOKUP($C4,MATIERES!$A$2:$F$349,4,0))</f>
        <v/>
      </c>
      <c r="AK4" s="364">
        <v>17</v>
      </c>
      <c r="AL4" s="365" t="str">
        <f>IF($C4="","",AK4*VLOOKUP($C4,MATIERES!$A$2:$F$349,4,0))</f>
        <v/>
      </c>
      <c r="AM4" s="364">
        <v>18</v>
      </c>
      <c r="AN4" s="365" t="str">
        <f>IF($C4="","",AM4*VLOOKUP($C4,MATIERES!$A$2:$F$349,4,0))</f>
        <v/>
      </c>
    </row>
    <row r="5" spans="1:42" ht="15" customHeight="1" x14ac:dyDescent="0.2">
      <c r="A5" s="1550"/>
      <c r="B5" s="361"/>
      <c r="C5" s="362"/>
      <c r="D5" s="363" t="str">
        <f>IF($C5="","",VLOOKUP($C5,MATIERES!$A$2:$F$227,5,0))</f>
        <v/>
      </c>
      <c r="E5" s="364">
        <v>2</v>
      </c>
      <c r="F5" s="365" t="str">
        <f>IF($C5="","",E5*VLOOKUP($C5,MATIERES!$A$2:$F$349,4,0))</f>
        <v/>
      </c>
      <c r="G5" s="364">
        <v>3</v>
      </c>
      <c r="H5" s="365" t="str">
        <f>IF($C5="","",G5*VLOOKUP($C5,MATIERES!$A$2:$F$349,4,0))</f>
        <v/>
      </c>
      <c r="I5" s="364">
        <v>4</v>
      </c>
      <c r="J5" s="365" t="str">
        <f>IF($C5="","",I5*VLOOKUP($C5,MATIERES!$A$2:$F$349,4,0))</f>
        <v/>
      </c>
      <c r="K5" s="364">
        <v>5</v>
      </c>
      <c r="L5" s="365" t="str">
        <f>IF($C5="","",K5*VLOOKUP($C5,MATIERES!$A$2:$F$349,4,0))</f>
        <v/>
      </c>
      <c r="M5" s="364">
        <v>6</v>
      </c>
      <c r="N5" s="365" t="str">
        <f>IF($C5="","",M5*VLOOKUP($C5,MATIERES!$A$2:$F$349,4,0))</f>
        <v/>
      </c>
      <c r="O5" s="364">
        <v>7</v>
      </c>
      <c r="P5" s="365" t="str">
        <f>IF($C5="","",O5*VLOOKUP($C5,MATIERES!$A$2:$F$349,4,0))</f>
        <v/>
      </c>
      <c r="Q5" s="364">
        <v>8</v>
      </c>
      <c r="R5" s="365" t="str">
        <f>IF($C5="","",Q5*VLOOKUP($C5,MATIERES!$A$2:$F$349,4,0))</f>
        <v/>
      </c>
      <c r="S5" s="364">
        <v>9</v>
      </c>
      <c r="T5" s="365" t="str">
        <f>IF($C5="","",S5*VLOOKUP($C5,MATIERES!$A$2:$F$349,4,0))</f>
        <v/>
      </c>
      <c r="U5" s="364">
        <v>10</v>
      </c>
      <c r="V5" s="365" t="str">
        <f>IF($C5="","",U5*VLOOKUP($C5,MATIERES!$A$2:$F$349,4,0))</f>
        <v/>
      </c>
      <c r="W5" s="364">
        <v>11</v>
      </c>
      <c r="X5" s="365" t="str">
        <f>IF($C5="","",W5*VLOOKUP($C5,MATIERES!$A$2:$F$349,4,0))</f>
        <v/>
      </c>
      <c r="Y5" s="364">
        <v>12</v>
      </c>
      <c r="Z5" s="365" t="str">
        <f>IF($C5="","",Y5*VLOOKUP($C5,MATIERES!$A$2:$F$349,4,0))</f>
        <v/>
      </c>
      <c r="AA5" s="364">
        <v>13</v>
      </c>
      <c r="AB5" s="365" t="str">
        <f>IF($C5="","",AA5*VLOOKUP($C5,MATIERES!$A$2:$F$349,4,0))</f>
        <v/>
      </c>
      <c r="AC5" s="364">
        <v>14</v>
      </c>
      <c r="AD5" s="365" t="str">
        <f>IF($C5="","",AC5*VLOOKUP($C5,MATIERES!$A$2:$F$349,4,0))</f>
        <v/>
      </c>
      <c r="AE5" s="364">
        <v>15</v>
      </c>
      <c r="AF5" s="365" t="str">
        <f>IF($C5="","",AE5*VLOOKUP($C5,MATIERES!$A$2:$F$349,4,0))</f>
        <v/>
      </c>
      <c r="AG5" s="364">
        <v>16</v>
      </c>
      <c r="AH5" s="365" t="str">
        <f>IF($C5="","",AG5*VLOOKUP($C5,MATIERES!$A$2:$F$349,4,0))</f>
        <v/>
      </c>
      <c r="AI5" s="364">
        <v>17</v>
      </c>
      <c r="AJ5" s="365" t="str">
        <f>IF($C5="","",AI5*VLOOKUP($C5,MATIERES!$A$2:$F$349,4,0))</f>
        <v/>
      </c>
      <c r="AK5" s="364">
        <v>18</v>
      </c>
      <c r="AL5" s="365" t="str">
        <f>IF($C5="","",AK5*VLOOKUP($C5,MATIERES!$A$2:$F$349,4,0))</f>
        <v/>
      </c>
      <c r="AM5" s="364">
        <v>19</v>
      </c>
      <c r="AN5" s="365" t="str">
        <f>IF($C5="","",AM5*VLOOKUP($C5,MATIERES!$A$2:$F$349,4,0))</f>
        <v/>
      </c>
    </row>
    <row r="6" spans="1:42" ht="15" customHeight="1" x14ac:dyDescent="0.2">
      <c r="A6" s="1550"/>
      <c r="B6" s="361"/>
      <c r="C6" s="362"/>
      <c r="D6" s="363" t="str">
        <f>IF($C6="","",VLOOKUP($C6,MATIERES!$A$2:$F$227,5,0))</f>
        <v/>
      </c>
      <c r="E6" s="364">
        <v>3</v>
      </c>
      <c r="F6" s="365" t="str">
        <f>IF($C6="","",E6*VLOOKUP($C6,MATIERES!$A$2:$F$349,4,0))</f>
        <v/>
      </c>
      <c r="G6" s="364">
        <v>4</v>
      </c>
      <c r="H6" s="365" t="str">
        <f>IF($C6="","",G6*VLOOKUP($C6,MATIERES!$A$2:$F$349,4,0))</f>
        <v/>
      </c>
      <c r="I6" s="364">
        <v>5</v>
      </c>
      <c r="J6" s="365" t="str">
        <f>IF($C6="","",I6*VLOOKUP($C6,MATIERES!$A$2:$F$349,4,0))</f>
        <v/>
      </c>
      <c r="K6" s="364">
        <v>6</v>
      </c>
      <c r="L6" s="365" t="str">
        <f>IF($C6="","",K6*VLOOKUP($C6,MATIERES!$A$2:$F$349,4,0))</f>
        <v/>
      </c>
      <c r="M6" s="364">
        <v>7</v>
      </c>
      <c r="N6" s="365" t="str">
        <f>IF($C6="","",M6*VLOOKUP($C6,MATIERES!$A$2:$F$349,4,0))</f>
        <v/>
      </c>
      <c r="O6" s="364">
        <v>8</v>
      </c>
      <c r="P6" s="365" t="str">
        <f>IF($C6="","",O6*VLOOKUP($C6,MATIERES!$A$2:$F$349,4,0))</f>
        <v/>
      </c>
      <c r="Q6" s="364">
        <v>9</v>
      </c>
      <c r="R6" s="365" t="str">
        <f>IF($C6="","",Q6*VLOOKUP($C6,MATIERES!$A$2:$F$349,4,0))</f>
        <v/>
      </c>
      <c r="S6" s="364">
        <v>10</v>
      </c>
      <c r="T6" s="365" t="str">
        <f>IF($C6="","",S6*VLOOKUP($C6,MATIERES!$A$2:$F$349,4,0))</f>
        <v/>
      </c>
      <c r="U6" s="364">
        <v>11</v>
      </c>
      <c r="V6" s="365" t="str">
        <f>IF($C6="","",U6*VLOOKUP($C6,MATIERES!$A$2:$F$349,4,0))</f>
        <v/>
      </c>
      <c r="W6" s="364">
        <v>12</v>
      </c>
      <c r="X6" s="365" t="str">
        <f>IF($C6="","",W6*VLOOKUP($C6,MATIERES!$A$2:$F$349,4,0))</f>
        <v/>
      </c>
      <c r="Y6" s="364">
        <v>13</v>
      </c>
      <c r="Z6" s="365" t="str">
        <f>IF($C6="","",Y6*VLOOKUP($C6,MATIERES!$A$2:$F$349,4,0))</f>
        <v/>
      </c>
      <c r="AA6" s="364">
        <v>14</v>
      </c>
      <c r="AB6" s="365" t="str">
        <f>IF($C6="","",AA6*VLOOKUP($C6,MATIERES!$A$2:$F$349,4,0))</f>
        <v/>
      </c>
      <c r="AC6" s="364">
        <v>15</v>
      </c>
      <c r="AD6" s="365" t="str">
        <f>IF($C6="","",AC6*VLOOKUP($C6,MATIERES!$A$2:$F$349,4,0))</f>
        <v/>
      </c>
      <c r="AE6" s="364">
        <v>16</v>
      </c>
      <c r="AF6" s="365" t="str">
        <f>IF($C6="","",AE6*VLOOKUP($C6,MATIERES!$A$2:$F$349,4,0))</f>
        <v/>
      </c>
      <c r="AG6" s="364">
        <v>17</v>
      </c>
      <c r="AH6" s="365" t="str">
        <f>IF($C6="","",AG6*VLOOKUP($C6,MATIERES!$A$2:$F$349,4,0))</f>
        <v/>
      </c>
      <c r="AI6" s="364">
        <v>18</v>
      </c>
      <c r="AJ6" s="365" t="str">
        <f>IF($C6="","",AI6*VLOOKUP($C6,MATIERES!$A$2:$F$349,4,0))</f>
        <v/>
      </c>
      <c r="AK6" s="364">
        <v>19</v>
      </c>
      <c r="AL6" s="365" t="str">
        <f>IF($C6="","",AK6*VLOOKUP($C6,MATIERES!$A$2:$F$349,4,0))</f>
        <v/>
      </c>
      <c r="AM6" s="364">
        <v>20</v>
      </c>
      <c r="AN6" s="365" t="str">
        <f>IF($C6="","",AM6*VLOOKUP($C6,MATIERES!$A$2:$F$349,4,0))</f>
        <v/>
      </c>
    </row>
    <row r="7" spans="1:42" ht="15" customHeight="1" x14ac:dyDescent="0.2">
      <c r="A7" s="1550"/>
      <c r="B7" s="361"/>
      <c r="C7" s="362"/>
      <c r="D7" s="363" t="str">
        <f>IF($C7="","",VLOOKUP($C7,MATIERES!$A$2:$F$227,5,0))</f>
        <v/>
      </c>
      <c r="E7" s="364">
        <v>4</v>
      </c>
      <c r="F7" s="365" t="str">
        <f>IF($C7="","",E7*VLOOKUP($C7,MATIERES!$A$2:$F$349,4,0))</f>
        <v/>
      </c>
      <c r="G7" s="364">
        <v>5</v>
      </c>
      <c r="H7" s="365" t="str">
        <f>IF($C7="","",G7*VLOOKUP($C7,MATIERES!$A$2:$F$349,4,0))</f>
        <v/>
      </c>
      <c r="I7" s="364">
        <v>6</v>
      </c>
      <c r="J7" s="365" t="str">
        <f>IF($C7="","",I7*VLOOKUP($C7,MATIERES!$A$2:$F$349,4,0))</f>
        <v/>
      </c>
      <c r="K7" s="364">
        <v>7</v>
      </c>
      <c r="L7" s="365" t="str">
        <f>IF($C7="","",K7*VLOOKUP($C7,MATIERES!$A$2:$F$349,4,0))</f>
        <v/>
      </c>
      <c r="M7" s="364">
        <v>8</v>
      </c>
      <c r="N7" s="365" t="str">
        <f>IF($C7="","",M7*VLOOKUP($C7,MATIERES!$A$2:$F$349,4,0))</f>
        <v/>
      </c>
      <c r="O7" s="364">
        <v>9</v>
      </c>
      <c r="P7" s="365" t="str">
        <f>IF($C7="","",O7*VLOOKUP($C7,MATIERES!$A$2:$F$349,4,0))</f>
        <v/>
      </c>
      <c r="Q7" s="364">
        <v>10</v>
      </c>
      <c r="R7" s="365" t="str">
        <f>IF($C7="","",Q7*VLOOKUP($C7,MATIERES!$A$2:$F$349,4,0))</f>
        <v/>
      </c>
      <c r="S7" s="364">
        <v>11</v>
      </c>
      <c r="T7" s="365" t="str">
        <f>IF($C7="","",S7*VLOOKUP($C7,MATIERES!$A$2:$F$349,4,0))</f>
        <v/>
      </c>
      <c r="U7" s="364">
        <v>12</v>
      </c>
      <c r="V7" s="365" t="str">
        <f>IF($C7="","",U7*VLOOKUP($C7,MATIERES!$A$2:$F$349,4,0))</f>
        <v/>
      </c>
      <c r="W7" s="364">
        <v>13</v>
      </c>
      <c r="X7" s="365" t="str">
        <f>IF($C7="","",W7*VLOOKUP($C7,MATIERES!$A$2:$F$349,4,0))</f>
        <v/>
      </c>
      <c r="Y7" s="364">
        <v>14</v>
      </c>
      <c r="Z7" s="365" t="str">
        <f>IF($C7="","",Y7*VLOOKUP($C7,MATIERES!$A$2:$F$349,4,0))</f>
        <v/>
      </c>
      <c r="AA7" s="364">
        <v>15</v>
      </c>
      <c r="AB7" s="365" t="str">
        <f>IF($C7="","",AA7*VLOOKUP($C7,MATIERES!$A$2:$F$349,4,0))</f>
        <v/>
      </c>
      <c r="AC7" s="364">
        <v>16</v>
      </c>
      <c r="AD7" s="365" t="str">
        <f>IF($C7="","",AC7*VLOOKUP($C7,MATIERES!$A$2:$F$349,4,0))</f>
        <v/>
      </c>
      <c r="AE7" s="364">
        <v>17</v>
      </c>
      <c r="AF7" s="365" t="str">
        <f>IF($C7="","",AE7*VLOOKUP($C7,MATIERES!$A$2:$F$349,4,0))</f>
        <v/>
      </c>
      <c r="AG7" s="364">
        <v>18</v>
      </c>
      <c r="AH7" s="365" t="str">
        <f>IF($C7="","",AG7*VLOOKUP($C7,MATIERES!$A$2:$F$349,4,0))</f>
        <v/>
      </c>
      <c r="AI7" s="364">
        <v>19</v>
      </c>
      <c r="AJ7" s="365" t="str">
        <f>IF($C7="","",AI7*VLOOKUP($C7,MATIERES!$A$2:$F$349,4,0))</f>
        <v/>
      </c>
      <c r="AK7" s="364">
        <v>20</v>
      </c>
      <c r="AL7" s="365" t="str">
        <f>IF($C7="","",AK7*VLOOKUP($C7,MATIERES!$A$2:$F$349,4,0))</f>
        <v/>
      </c>
      <c r="AM7" s="364">
        <v>21</v>
      </c>
      <c r="AN7" s="365" t="str">
        <f>IF($C7="","",AM7*VLOOKUP($C7,MATIERES!$A$2:$F$349,4,0))</f>
        <v/>
      </c>
    </row>
    <row r="8" spans="1:42" ht="15" customHeight="1" x14ac:dyDescent="0.2">
      <c r="A8" s="1550"/>
      <c r="B8" s="361"/>
      <c r="C8" s="362"/>
      <c r="D8" s="363" t="str">
        <f>IF($C8="","",VLOOKUP($C8,MATIERES!$A$2:$F$227,5,0))</f>
        <v/>
      </c>
      <c r="E8" s="364">
        <v>5</v>
      </c>
      <c r="F8" s="365" t="str">
        <f>IF($C8="","",E8*VLOOKUP($C8,MATIERES!$A$2:$F$349,4,0))</f>
        <v/>
      </c>
      <c r="G8" s="364">
        <v>6</v>
      </c>
      <c r="H8" s="365" t="str">
        <f>IF($C8="","",G8*VLOOKUP($C8,MATIERES!$A$2:$F$349,4,0))</f>
        <v/>
      </c>
      <c r="I8" s="364">
        <v>7</v>
      </c>
      <c r="J8" s="365" t="str">
        <f>IF($C8="","",I8*VLOOKUP($C8,MATIERES!$A$2:$F$349,4,0))</f>
        <v/>
      </c>
      <c r="K8" s="364">
        <v>8</v>
      </c>
      <c r="L8" s="365" t="str">
        <f>IF($C8="","",K8*VLOOKUP($C8,MATIERES!$A$2:$F$349,4,0))</f>
        <v/>
      </c>
      <c r="M8" s="364">
        <v>9</v>
      </c>
      <c r="N8" s="365" t="str">
        <f>IF($C8="","",M8*VLOOKUP($C8,MATIERES!$A$2:$F$349,4,0))</f>
        <v/>
      </c>
      <c r="O8" s="364">
        <v>10</v>
      </c>
      <c r="P8" s="365" t="str">
        <f>IF($C8="","",O8*VLOOKUP($C8,MATIERES!$A$2:$F$349,4,0))</f>
        <v/>
      </c>
      <c r="Q8" s="364">
        <v>11</v>
      </c>
      <c r="R8" s="365" t="str">
        <f>IF($C8="","",Q8*VLOOKUP($C8,MATIERES!$A$2:$F$349,4,0))</f>
        <v/>
      </c>
      <c r="S8" s="364">
        <v>12</v>
      </c>
      <c r="T8" s="365" t="str">
        <f>IF($C8="","",S8*VLOOKUP($C8,MATIERES!$A$2:$F$349,4,0))</f>
        <v/>
      </c>
      <c r="U8" s="364">
        <v>13</v>
      </c>
      <c r="V8" s="365" t="str">
        <f>IF($C8="","",U8*VLOOKUP($C8,MATIERES!$A$2:$F$349,4,0))</f>
        <v/>
      </c>
      <c r="W8" s="364">
        <v>14</v>
      </c>
      <c r="X8" s="365" t="str">
        <f>IF($C8="","",W8*VLOOKUP($C8,MATIERES!$A$2:$F$349,4,0))</f>
        <v/>
      </c>
      <c r="Y8" s="364">
        <v>15</v>
      </c>
      <c r="Z8" s="365" t="str">
        <f>IF($C8="","",Y8*VLOOKUP($C8,MATIERES!$A$2:$F$349,4,0))</f>
        <v/>
      </c>
      <c r="AA8" s="364">
        <v>16</v>
      </c>
      <c r="AB8" s="365" t="str">
        <f>IF($C8="","",AA8*VLOOKUP($C8,MATIERES!$A$2:$F$349,4,0))</f>
        <v/>
      </c>
      <c r="AC8" s="364">
        <v>17</v>
      </c>
      <c r="AD8" s="365" t="str">
        <f>IF($C8="","",AC8*VLOOKUP($C8,MATIERES!$A$2:$F$349,4,0))</f>
        <v/>
      </c>
      <c r="AE8" s="364">
        <v>18</v>
      </c>
      <c r="AF8" s="365" t="str">
        <f>IF($C8="","",AE8*VLOOKUP($C8,MATIERES!$A$2:$F$349,4,0))</f>
        <v/>
      </c>
      <c r="AG8" s="364">
        <v>19</v>
      </c>
      <c r="AH8" s="365" t="str">
        <f>IF($C8="","",AG8*VLOOKUP($C8,MATIERES!$A$2:$F$349,4,0))</f>
        <v/>
      </c>
      <c r="AI8" s="364">
        <v>20</v>
      </c>
      <c r="AJ8" s="365" t="str">
        <f>IF($C8="","",AI8*VLOOKUP($C8,MATIERES!$A$2:$F$349,4,0))</f>
        <v/>
      </c>
      <c r="AK8" s="364">
        <v>21</v>
      </c>
      <c r="AL8" s="365" t="str">
        <f>IF($C8="","",AK8*VLOOKUP($C8,MATIERES!$A$2:$F$349,4,0))</f>
        <v/>
      </c>
      <c r="AM8" s="364">
        <v>22</v>
      </c>
      <c r="AN8" s="365" t="str">
        <f>IF($C8="","",AM8*VLOOKUP($C8,MATIERES!$A$2:$F$349,4,0))</f>
        <v/>
      </c>
    </row>
    <row r="9" spans="1:42" ht="15" customHeight="1" x14ac:dyDescent="0.2">
      <c r="A9" s="1550"/>
      <c r="B9" s="361"/>
      <c r="C9" s="362"/>
      <c r="D9" s="363" t="str">
        <f>IF($C9="","",VLOOKUP($C9,MATIERES!$A$2:$F$227,5,0))</f>
        <v/>
      </c>
      <c r="E9" s="364">
        <v>6</v>
      </c>
      <c r="F9" s="365" t="str">
        <f>IF($C9="","",E9*VLOOKUP($C9,MATIERES!$A$2:$F$349,4,0))</f>
        <v/>
      </c>
      <c r="G9" s="364">
        <v>7</v>
      </c>
      <c r="H9" s="365" t="str">
        <f>IF($C9="","",G9*VLOOKUP($C9,MATIERES!$A$2:$F$349,4,0))</f>
        <v/>
      </c>
      <c r="I9" s="364">
        <v>8</v>
      </c>
      <c r="J9" s="365" t="str">
        <f>IF($C9="","",I9*VLOOKUP($C9,MATIERES!$A$2:$F$349,4,0))</f>
        <v/>
      </c>
      <c r="K9" s="364">
        <v>9</v>
      </c>
      <c r="L9" s="365" t="str">
        <f>IF($C9="","",K9*VLOOKUP($C9,MATIERES!$A$2:$F$349,4,0))</f>
        <v/>
      </c>
      <c r="M9" s="364">
        <v>10</v>
      </c>
      <c r="N9" s="365" t="str">
        <f>IF($C9="","",M9*VLOOKUP($C9,MATIERES!$A$2:$F$349,4,0))</f>
        <v/>
      </c>
      <c r="O9" s="364">
        <v>11</v>
      </c>
      <c r="P9" s="365" t="str">
        <f>IF($C9="","",O9*VLOOKUP($C9,MATIERES!$A$2:$F$349,4,0))</f>
        <v/>
      </c>
      <c r="Q9" s="364">
        <v>12</v>
      </c>
      <c r="R9" s="365" t="str">
        <f>IF($C9="","",Q9*VLOOKUP($C9,MATIERES!$A$2:$F$349,4,0))</f>
        <v/>
      </c>
      <c r="S9" s="364">
        <v>13</v>
      </c>
      <c r="T9" s="365" t="str">
        <f>IF($C9="","",S9*VLOOKUP($C9,MATIERES!$A$2:$F$349,4,0))</f>
        <v/>
      </c>
      <c r="U9" s="364">
        <v>14</v>
      </c>
      <c r="V9" s="365" t="str">
        <f>IF($C9="","",U9*VLOOKUP($C9,MATIERES!$A$2:$F$349,4,0))</f>
        <v/>
      </c>
      <c r="W9" s="364">
        <v>15</v>
      </c>
      <c r="X9" s="365" t="str">
        <f>IF($C9="","",W9*VLOOKUP($C9,MATIERES!$A$2:$F$349,4,0))</f>
        <v/>
      </c>
      <c r="Y9" s="364">
        <v>16</v>
      </c>
      <c r="Z9" s="365" t="str">
        <f>IF($C9="","",Y9*VLOOKUP($C9,MATIERES!$A$2:$F$349,4,0))</f>
        <v/>
      </c>
      <c r="AA9" s="364">
        <v>17</v>
      </c>
      <c r="AB9" s="365" t="str">
        <f>IF($C9="","",AA9*VLOOKUP($C9,MATIERES!$A$2:$F$349,4,0))</f>
        <v/>
      </c>
      <c r="AC9" s="364">
        <v>18</v>
      </c>
      <c r="AD9" s="365" t="str">
        <f>IF($C9="","",AC9*VLOOKUP($C9,MATIERES!$A$2:$F$349,4,0))</f>
        <v/>
      </c>
      <c r="AE9" s="364">
        <v>19</v>
      </c>
      <c r="AF9" s="365" t="str">
        <f>IF($C9="","",AE9*VLOOKUP($C9,MATIERES!$A$2:$F$349,4,0))</f>
        <v/>
      </c>
      <c r="AG9" s="364">
        <v>20</v>
      </c>
      <c r="AH9" s="365" t="str">
        <f>IF($C9="","",AG9*VLOOKUP($C9,MATIERES!$A$2:$F$349,4,0))</f>
        <v/>
      </c>
      <c r="AI9" s="364">
        <v>21</v>
      </c>
      <c r="AJ9" s="365" t="str">
        <f>IF($C9="","",AI9*VLOOKUP($C9,MATIERES!$A$2:$F$349,4,0))</f>
        <v/>
      </c>
      <c r="AK9" s="364">
        <v>22</v>
      </c>
      <c r="AL9" s="365" t="str">
        <f>IF($C9="","",AK9*VLOOKUP($C9,MATIERES!$A$2:$F$349,4,0))</f>
        <v/>
      </c>
      <c r="AM9" s="364">
        <v>23</v>
      </c>
      <c r="AN9" s="365" t="str">
        <f>IF($C9="","",AM9*VLOOKUP($C9,MATIERES!$A$2:$F$349,4,0))</f>
        <v/>
      </c>
    </row>
    <row r="10" spans="1:42" ht="15" customHeight="1" x14ac:dyDescent="0.2">
      <c r="A10" s="1550"/>
      <c r="B10" s="361"/>
      <c r="C10" s="362"/>
      <c r="D10" s="363" t="str">
        <f>IF($C10="","",VLOOKUP($C10,MATIERES!$A$2:$F$227,5,0))</f>
        <v/>
      </c>
      <c r="E10" s="364">
        <v>7</v>
      </c>
      <c r="F10" s="365" t="str">
        <f>IF($C10="","",E10*VLOOKUP($C10,MATIERES!$A$2:$F$349,4,0))</f>
        <v/>
      </c>
      <c r="G10" s="364">
        <v>8</v>
      </c>
      <c r="H10" s="365" t="str">
        <f>IF($C10="","",G10*VLOOKUP($C10,MATIERES!$A$2:$F$349,4,0))</f>
        <v/>
      </c>
      <c r="I10" s="364">
        <v>9</v>
      </c>
      <c r="J10" s="365" t="str">
        <f>IF($C10="","",I10*VLOOKUP($C10,MATIERES!$A$2:$F$349,4,0))</f>
        <v/>
      </c>
      <c r="K10" s="364">
        <v>10</v>
      </c>
      <c r="L10" s="365" t="str">
        <f>IF($C10="","",K10*VLOOKUP($C10,MATIERES!$A$2:$F$349,4,0))</f>
        <v/>
      </c>
      <c r="M10" s="364">
        <v>11</v>
      </c>
      <c r="N10" s="365" t="str">
        <f>IF($C10="","",M10*VLOOKUP($C10,MATIERES!$A$2:$F$349,4,0))</f>
        <v/>
      </c>
      <c r="O10" s="364">
        <v>12</v>
      </c>
      <c r="P10" s="365" t="str">
        <f>IF($C10="","",O10*VLOOKUP($C10,MATIERES!$A$2:$F$349,4,0))</f>
        <v/>
      </c>
      <c r="Q10" s="364">
        <v>13</v>
      </c>
      <c r="R10" s="365" t="str">
        <f>IF($C10="","",Q10*VLOOKUP($C10,MATIERES!$A$2:$F$349,4,0))</f>
        <v/>
      </c>
      <c r="S10" s="364">
        <v>14</v>
      </c>
      <c r="T10" s="365" t="str">
        <f>IF($C10="","",S10*VLOOKUP($C10,MATIERES!$A$2:$F$349,4,0))</f>
        <v/>
      </c>
      <c r="U10" s="364">
        <v>15</v>
      </c>
      <c r="V10" s="365" t="str">
        <f>IF($C10="","",U10*VLOOKUP($C10,MATIERES!$A$2:$F$349,4,0))</f>
        <v/>
      </c>
      <c r="W10" s="364">
        <v>16</v>
      </c>
      <c r="X10" s="365" t="str">
        <f>IF($C10="","",W10*VLOOKUP($C10,MATIERES!$A$2:$F$349,4,0))</f>
        <v/>
      </c>
      <c r="Y10" s="364">
        <v>17</v>
      </c>
      <c r="Z10" s="365" t="str">
        <f>IF($C10="","",Y10*VLOOKUP($C10,MATIERES!$A$2:$F$349,4,0))</f>
        <v/>
      </c>
      <c r="AA10" s="364">
        <v>18</v>
      </c>
      <c r="AB10" s="365" t="str">
        <f>IF($C10="","",AA10*VLOOKUP($C10,MATIERES!$A$2:$F$349,4,0))</f>
        <v/>
      </c>
      <c r="AC10" s="364">
        <v>19</v>
      </c>
      <c r="AD10" s="365" t="str">
        <f>IF($C10="","",AC10*VLOOKUP($C10,MATIERES!$A$2:$F$349,4,0))</f>
        <v/>
      </c>
      <c r="AE10" s="364">
        <v>20</v>
      </c>
      <c r="AF10" s="365" t="str">
        <f>IF($C10="","",AE10*VLOOKUP($C10,MATIERES!$A$2:$F$349,4,0))</f>
        <v/>
      </c>
      <c r="AG10" s="364">
        <v>21</v>
      </c>
      <c r="AH10" s="365" t="str">
        <f>IF($C10="","",AG10*VLOOKUP($C10,MATIERES!$A$2:$F$349,4,0))</f>
        <v/>
      </c>
      <c r="AI10" s="364">
        <v>22</v>
      </c>
      <c r="AJ10" s="365" t="str">
        <f>IF($C10="","",AI10*VLOOKUP($C10,MATIERES!$A$2:$F$349,4,0))</f>
        <v/>
      </c>
      <c r="AK10" s="364">
        <v>23</v>
      </c>
      <c r="AL10" s="365" t="str">
        <f>IF($C10="","",AK10*VLOOKUP($C10,MATIERES!$A$2:$F$349,4,0))</f>
        <v/>
      </c>
      <c r="AM10" s="364">
        <v>24</v>
      </c>
      <c r="AN10" s="365" t="str">
        <f>IF($C10="","",AM10*VLOOKUP($C10,MATIERES!$A$2:$F$349,4,0))</f>
        <v/>
      </c>
    </row>
    <row r="11" spans="1:42" ht="15" customHeight="1" x14ac:dyDescent="0.2">
      <c r="A11" s="1550"/>
      <c r="B11" s="361"/>
      <c r="C11" s="362"/>
      <c r="D11" s="363" t="str">
        <f>IF($C11="","",VLOOKUP($C11,MATIERES!$A$2:$F$227,5,0))</f>
        <v/>
      </c>
      <c r="E11" s="364">
        <v>8</v>
      </c>
      <c r="F11" s="365" t="str">
        <f>IF($C11="","",E11*VLOOKUP($C11,MATIERES!$A$2:$F$349,4,0))</f>
        <v/>
      </c>
      <c r="G11" s="364">
        <v>9</v>
      </c>
      <c r="H11" s="365" t="str">
        <f>IF($C11="","",G11*VLOOKUP($C11,MATIERES!$A$2:$F$349,4,0))</f>
        <v/>
      </c>
      <c r="I11" s="364">
        <v>10</v>
      </c>
      <c r="J11" s="365" t="str">
        <f>IF($C11="","",I11*VLOOKUP($C11,MATIERES!$A$2:$F$349,4,0))</f>
        <v/>
      </c>
      <c r="K11" s="364">
        <v>11</v>
      </c>
      <c r="L11" s="365" t="str">
        <f>IF($C11="","",K11*VLOOKUP($C11,MATIERES!$A$2:$F$349,4,0))</f>
        <v/>
      </c>
      <c r="M11" s="364">
        <v>12</v>
      </c>
      <c r="N11" s="365" t="str">
        <f>IF($C11="","",M11*VLOOKUP($C11,MATIERES!$A$2:$F$349,4,0))</f>
        <v/>
      </c>
      <c r="O11" s="364">
        <v>13</v>
      </c>
      <c r="P11" s="365" t="str">
        <f>IF($C11="","",O11*VLOOKUP($C11,MATIERES!$A$2:$F$349,4,0))</f>
        <v/>
      </c>
      <c r="Q11" s="364">
        <v>14</v>
      </c>
      <c r="R11" s="365" t="str">
        <f>IF($C11="","",Q11*VLOOKUP($C11,MATIERES!$A$2:$F$349,4,0))</f>
        <v/>
      </c>
      <c r="S11" s="364">
        <v>15</v>
      </c>
      <c r="T11" s="365" t="str">
        <f>IF($C11="","",S11*VLOOKUP($C11,MATIERES!$A$2:$F$349,4,0))</f>
        <v/>
      </c>
      <c r="U11" s="364">
        <v>16</v>
      </c>
      <c r="V11" s="365" t="str">
        <f>IF($C11="","",U11*VLOOKUP($C11,MATIERES!$A$2:$F$349,4,0))</f>
        <v/>
      </c>
      <c r="W11" s="364">
        <v>17</v>
      </c>
      <c r="X11" s="365" t="str">
        <f>IF($C11="","",W11*VLOOKUP($C11,MATIERES!$A$2:$F$349,4,0))</f>
        <v/>
      </c>
      <c r="Y11" s="364">
        <v>18</v>
      </c>
      <c r="Z11" s="365" t="str">
        <f>IF($C11="","",Y11*VLOOKUP($C11,MATIERES!$A$2:$F$349,4,0))</f>
        <v/>
      </c>
      <c r="AA11" s="364">
        <v>19</v>
      </c>
      <c r="AB11" s="365" t="str">
        <f>IF($C11="","",AA11*VLOOKUP($C11,MATIERES!$A$2:$F$349,4,0))</f>
        <v/>
      </c>
      <c r="AC11" s="364">
        <v>20</v>
      </c>
      <c r="AD11" s="365" t="str">
        <f>IF($C11="","",AC11*VLOOKUP($C11,MATIERES!$A$2:$F$349,4,0))</f>
        <v/>
      </c>
      <c r="AE11" s="364">
        <v>21</v>
      </c>
      <c r="AF11" s="365" t="str">
        <f>IF($C11="","",AE11*VLOOKUP($C11,MATIERES!$A$2:$F$349,4,0))</f>
        <v/>
      </c>
      <c r="AG11" s="364">
        <v>22</v>
      </c>
      <c r="AH11" s="365" t="str">
        <f>IF($C11="","",AG11*VLOOKUP($C11,MATIERES!$A$2:$F$349,4,0))</f>
        <v/>
      </c>
      <c r="AI11" s="364">
        <v>23</v>
      </c>
      <c r="AJ11" s="365" t="str">
        <f>IF($C11="","",AI11*VLOOKUP($C11,MATIERES!$A$2:$F$349,4,0))</f>
        <v/>
      </c>
      <c r="AK11" s="364">
        <v>24</v>
      </c>
      <c r="AL11" s="365" t="str">
        <f>IF($C11="","",AK11*VLOOKUP($C11,MATIERES!$A$2:$F$349,4,0))</f>
        <v/>
      </c>
      <c r="AM11" s="364">
        <v>25</v>
      </c>
      <c r="AN11" s="365" t="str">
        <f>IF($C11="","",AM11*VLOOKUP($C11,MATIERES!$A$2:$F$349,4,0))</f>
        <v/>
      </c>
    </row>
    <row r="12" spans="1:42" ht="15" customHeight="1" x14ac:dyDescent="0.2">
      <c r="A12" s="1550"/>
      <c r="B12" s="361"/>
      <c r="C12" s="362"/>
      <c r="D12" s="363" t="str">
        <f>IF($C12="","",VLOOKUP($C12,MATIERES!$A$2:$F$227,5,0))</f>
        <v/>
      </c>
      <c r="E12" s="364">
        <v>9</v>
      </c>
      <c r="F12" s="365" t="str">
        <f>IF($C12="","",E12*VLOOKUP($C12,MATIERES!$A$2:$F$349,4,0))</f>
        <v/>
      </c>
      <c r="G12" s="364">
        <v>10</v>
      </c>
      <c r="H12" s="365" t="str">
        <f>IF($C12="","",G12*VLOOKUP($C12,MATIERES!$A$2:$F$349,4,0))</f>
        <v/>
      </c>
      <c r="I12" s="364">
        <v>11</v>
      </c>
      <c r="J12" s="365" t="str">
        <f>IF($C12="","",I12*VLOOKUP($C12,MATIERES!$A$2:$F$349,4,0))</f>
        <v/>
      </c>
      <c r="K12" s="364">
        <v>12</v>
      </c>
      <c r="L12" s="365" t="str">
        <f>IF($C12="","",K12*VLOOKUP($C12,MATIERES!$A$2:$F$349,4,0))</f>
        <v/>
      </c>
      <c r="M12" s="364">
        <v>13</v>
      </c>
      <c r="N12" s="365" t="str">
        <f>IF($C12="","",M12*VLOOKUP($C12,MATIERES!$A$2:$F$349,4,0))</f>
        <v/>
      </c>
      <c r="O12" s="364">
        <v>14</v>
      </c>
      <c r="P12" s="365" t="str">
        <f>IF($C12="","",O12*VLOOKUP($C12,MATIERES!$A$2:$F$349,4,0))</f>
        <v/>
      </c>
      <c r="Q12" s="364">
        <v>15</v>
      </c>
      <c r="R12" s="365" t="str">
        <f>IF($C12="","",Q12*VLOOKUP($C12,MATIERES!$A$2:$F$349,4,0))</f>
        <v/>
      </c>
      <c r="S12" s="364">
        <v>16</v>
      </c>
      <c r="T12" s="365" t="str">
        <f>IF($C12="","",S12*VLOOKUP($C12,MATIERES!$A$2:$F$349,4,0))</f>
        <v/>
      </c>
      <c r="U12" s="364">
        <v>17</v>
      </c>
      <c r="V12" s="365" t="str">
        <f>IF($C12="","",U12*VLOOKUP($C12,MATIERES!$A$2:$F$349,4,0))</f>
        <v/>
      </c>
      <c r="W12" s="364">
        <v>18</v>
      </c>
      <c r="X12" s="365" t="str">
        <f>IF($C12="","",W12*VLOOKUP($C12,MATIERES!$A$2:$F$349,4,0))</f>
        <v/>
      </c>
      <c r="Y12" s="364">
        <v>19</v>
      </c>
      <c r="Z12" s="365" t="str">
        <f>IF($C12="","",Y12*VLOOKUP($C12,MATIERES!$A$2:$F$349,4,0))</f>
        <v/>
      </c>
      <c r="AA12" s="364">
        <v>20</v>
      </c>
      <c r="AB12" s="365" t="str">
        <f>IF($C12="","",AA12*VLOOKUP($C12,MATIERES!$A$2:$F$349,4,0))</f>
        <v/>
      </c>
      <c r="AC12" s="364">
        <v>21</v>
      </c>
      <c r="AD12" s="365" t="str">
        <f>IF($C12="","",AC12*VLOOKUP($C12,MATIERES!$A$2:$F$349,4,0))</f>
        <v/>
      </c>
      <c r="AE12" s="364">
        <v>22</v>
      </c>
      <c r="AF12" s="365" t="str">
        <f>IF($C12="","",AE12*VLOOKUP($C12,MATIERES!$A$2:$F$349,4,0))</f>
        <v/>
      </c>
      <c r="AG12" s="364">
        <v>23</v>
      </c>
      <c r="AH12" s="365" t="str">
        <f>IF($C12="","",AG12*VLOOKUP($C12,MATIERES!$A$2:$F$349,4,0))</f>
        <v/>
      </c>
      <c r="AI12" s="364">
        <v>24</v>
      </c>
      <c r="AJ12" s="365" t="str">
        <f>IF($C12="","",AI12*VLOOKUP($C12,MATIERES!$A$2:$F$349,4,0))</f>
        <v/>
      </c>
      <c r="AK12" s="364">
        <v>25</v>
      </c>
      <c r="AL12" s="365" t="str">
        <f>IF($C12="","",AK12*VLOOKUP($C12,MATIERES!$A$2:$F$349,4,0))</f>
        <v/>
      </c>
      <c r="AM12" s="364">
        <v>26</v>
      </c>
      <c r="AN12" s="365" t="str">
        <f>IF($C12="","",AM12*VLOOKUP($C12,MATIERES!$A$2:$F$349,4,0))</f>
        <v/>
      </c>
    </row>
    <row r="13" spans="1:42" ht="15" customHeight="1" x14ac:dyDescent="0.2">
      <c r="A13" s="1550"/>
      <c r="B13" s="361"/>
      <c r="C13" s="362"/>
      <c r="D13" s="363" t="str">
        <f>IF($C13="","",VLOOKUP($C13,MATIERES!$A$2:$F$227,5,0))</f>
        <v/>
      </c>
      <c r="E13" s="364">
        <v>10</v>
      </c>
      <c r="F13" s="365" t="str">
        <f>IF($C13="","",E13*VLOOKUP($C13,MATIERES!$A$2:$F$349,4,0))</f>
        <v/>
      </c>
      <c r="G13" s="364">
        <v>11</v>
      </c>
      <c r="H13" s="365" t="str">
        <f>IF($C13="","",G13*VLOOKUP($C13,MATIERES!$A$2:$F$349,4,0))</f>
        <v/>
      </c>
      <c r="I13" s="364">
        <v>12</v>
      </c>
      <c r="J13" s="365" t="str">
        <f>IF($C13="","",I13*VLOOKUP($C13,MATIERES!$A$2:$F$349,4,0))</f>
        <v/>
      </c>
      <c r="K13" s="364">
        <v>13</v>
      </c>
      <c r="L13" s="365" t="str">
        <f>IF($C13="","",K13*VLOOKUP($C13,MATIERES!$A$2:$F$349,4,0))</f>
        <v/>
      </c>
      <c r="M13" s="364">
        <v>14</v>
      </c>
      <c r="N13" s="365" t="str">
        <f>IF($C13="","",M13*VLOOKUP($C13,MATIERES!$A$2:$F$349,4,0))</f>
        <v/>
      </c>
      <c r="O13" s="364">
        <v>15</v>
      </c>
      <c r="P13" s="365" t="str">
        <f>IF($C13="","",O13*VLOOKUP($C13,MATIERES!$A$2:$F$349,4,0))</f>
        <v/>
      </c>
      <c r="Q13" s="364">
        <v>16</v>
      </c>
      <c r="R13" s="365" t="str">
        <f>IF($C13="","",Q13*VLOOKUP($C13,MATIERES!$A$2:$F$349,4,0))</f>
        <v/>
      </c>
      <c r="S13" s="364">
        <v>17</v>
      </c>
      <c r="T13" s="365" t="str">
        <f>IF($C13="","",S13*VLOOKUP($C13,MATIERES!$A$2:$F$349,4,0))</f>
        <v/>
      </c>
      <c r="U13" s="364">
        <v>18</v>
      </c>
      <c r="V13" s="365" t="str">
        <f>IF($C13="","",U13*VLOOKUP($C13,MATIERES!$A$2:$F$349,4,0))</f>
        <v/>
      </c>
      <c r="W13" s="364">
        <v>19</v>
      </c>
      <c r="X13" s="365" t="str">
        <f>IF($C13="","",W13*VLOOKUP($C13,MATIERES!$A$2:$F$349,4,0))</f>
        <v/>
      </c>
      <c r="Y13" s="364">
        <v>20</v>
      </c>
      <c r="Z13" s="365" t="str">
        <f>IF($C13="","",Y13*VLOOKUP($C13,MATIERES!$A$2:$F$349,4,0))</f>
        <v/>
      </c>
      <c r="AA13" s="364">
        <v>21</v>
      </c>
      <c r="AB13" s="365" t="str">
        <f>IF($C13="","",AA13*VLOOKUP($C13,MATIERES!$A$2:$F$349,4,0))</f>
        <v/>
      </c>
      <c r="AC13" s="364">
        <v>22</v>
      </c>
      <c r="AD13" s="365" t="str">
        <f>IF($C13="","",AC13*VLOOKUP($C13,MATIERES!$A$2:$F$349,4,0))</f>
        <v/>
      </c>
      <c r="AE13" s="364">
        <v>23</v>
      </c>
      <c r="AF13" s="365" t="str">
        <f>IF($C13="","",AE13*VLOOKUP($C13,MATIERES!$A$2:$F$349,4,0))</f>
        <v/>
      </c>
      <c r="AG13" s="364">
        <v>24</v>
      </c>
      <c r="AH13" s="365" t="str">
        <f>IF($C13="","",AG13*VLOOKUP($C13,MATIERES!$A$2:$F$349,4,0))</f>
        <v/>
      </c>
      <c r="AI13" s="364">
        <v>25</v>
      </c>
      <c r="AJ13" s="365" t="str">
        <f>IF($C13="","",AI13*VLOOKUP($C13,MATIERES!$A$2:$F$349,4,0))</f>
        <v/>
      </c>
      <c r="AK13" s="364">
        <v>26</v>
      </c>
      <c r="AL13" s="365" t="str">
        <f>IF($C13="","",AK13*VLOOKUP($C13,MATIERES!$A$2:$F$349,4,0))</f>
        <v/>
      </c>
      <c r="AM13" s="364">
        <v>27</v>
      </c>
      <c r="AN13" s="365" t="str">
        <f>IF($C13="","",AM13*VLOOKUP($C13,MATIERES!$A$2:$F$349,4,0))</f>
        <v/>
      </c>
      <c r="AO13" s="186"/>
    </row>
    <row r="14" spans="1:42" ht="15" customHeight="1" x14ac:dyDescent="0.2">
      <c r="A14" s="1550"/>
      <c r="B14" s="361"/>
      <c r="C14" s="362"/>
      <c r="D14" s="363" t="str">
        <f>IF($C14="","",VLOOKUP($C14,MATIERES!$A$2:$F$227,5,0))</f>
        <v/>
      </c>
      <c r="E14" s="364">
        <v>11</v>
      </c>
      <c r="F14" s="365" t="str">
        <f>IF($C14="","",E14*VLOOKUP($C14,MATIERES!$A$2:$F$349,4,0))</f>
        <v/>
      </c>
      <c r="G14" s="364">
        <v>12</v>
      </c>
      <c r="H14" s="365" t="str">
        <f>IF($C14="","",G14*VLOOKUP($C14,MATIERES!$A$2:$F$349,4,0))</f>
        <v/>
      </c>
      <c r="I14" s="364">
        <v>13</v>
      </c>
      <c r="J14" s="365" t="str">
        <f>IF($C14="","",I14*VLOOKUP($C14,MATIERES!$A$2:$F$349,4,0))</f>
        <v/>
      </c>
      <c r="K14" s="364">
        <v>14</v>
      </c>
      <c r="L14" s="365" t="str">
        <f>IF($C14="","",K14*VLOOKUP($C14,MATIERES!$A$2:$F$349,4,0))</f>
        <v/>
      </c>
      <c r="M14" s="364">
        <v>15</v>
      </c>
      <c r="N14" s="365" t="str">
        <f>IF($C14="","",M14*VLOOKUP($C14,MATIERES!$A$2:$F$349,4,0))</f>
        <v/>
      </c>
      <c r="O14" s="364">
        <v>16</v>
      </c>
      <c r="P14" s="365" t="str">
        <f>IF($C14="","",O14*VLOOKUP($C14,MATIERES!$A$2:$F$349,4,0))</f>
        <v/>
      </c>
      <c r="Q14" s="364">
        <v>17</v>
      </c>
      <c r="R14" s="365" t="str">
        <f>IF($C14="","",Q14*VLOOKUP($C14,MATIERES!$A$2:$F$349,4,0))</f>
        <v/>
      </c>
      <c r="S14" s="364">
        <v>18</v>
      </c>
      <c r="T14" s="365" t="str">
        <f>IF($C14="","",S14*VLOOKUP($C14,MATIERES!$A$2:$F$349,4,0))</f>
        <v/>
      </c>
      <c r="U14" s="364">
        <v>19</v>
      </c>
      <c r="V14" s="365" t="str">
        <f>IF($C14="","",U14*VLOOKUP($C14,MATIERES!$A$2:$F$349,4,0))</f>
        <v/>
      </c>
      <c r="W14" s="364">
        <v>20</v>
      </c>
      <c r="X14" s="365" t="str">
        <f>IF($C14="","",W14*VLOOKUP($C14,MATIERES!$A$2:$F$349,4,0))</f>
        <v/>
      </c>
      <c r="Y14" s="364">
        <v>21</v>
      </c>
      <c r="Z14" s="365" t="str">
        <f>IF($C14="","",Y14*VLOOKUP($C14,MATIERES!$A$2:$F$349,4,0))</f>
        <v/>
      </c>
      <c r="AA14" s="364">
        <v>22</v>
      </c>
      <c r="AB14" s="365" t="str">
        <f>IF($C14="","",AA14*VLOOKUP($C14,MATIERES!$A$2:$F$349,4,0))</f>
        <v/>
      </c>
      <c r="AC14" s="364">
        <v>23</v>
      </c>
      <c r="AD14" s="365" t="str">
        <f>IF($C14="","",AC14*VLOOKUP($C14,MATIERES!$A$2:$F$349,4,0))</f>
        <v/>
      </c>
      <c r="AE14" s="364">
        <v>24</v>
      </c>
      <c r="AF14" s="365" t="str">
        <f>IF($C14="","",AE14*VLOOKUP($C14,MATIERES!$A$2:$F$349,4,0))</f>
        <v/>
      </c>
      <c r="AG14" s="364">
        <v>25</v>
      </c>
      <c r="AH14" s="365" t="str">
        <f>IF($C14="","",AG14*VLOOKUP($C14,MATIERES!$A$2:$F$349,4,0))</f>
        <v/>
      </c>
      <c r="AI14" s="364">
        <v>26</v>
      </c>
      <c r="AJ14" s="365" t="str">
        <f>IF($C14="","",AI14*VLOOKUP($C14,MATIERES!$A$2:$F$349,4,0))</f>
        <v/>
      </c>
      <c r="AK14" s="364">
        <v>27</v>
      </c>
      <c r="AL14" s="365" t="str">
        <f>IF($C14="","",AK14*VLOOKUP($C14,MATIERES!$A$2:$F$349,4,0))</f>
        <v/>
      </c>
      <c r="AM14" s="364">
        <v>28</v>
      </c>
      <c r="AN14" s="365" t="str">
        <f>IF($C14="","",AM14*VLOOKUP($C14,MATIERES!$A$2:$F$349,4,0))</f>
        <v/>
      </c>
    </row>
    <row r="15" spans="1:42" ht="15" customHeight="1" x14ac:dyDescent="0.2">
      <c r="A15" s="1550"/>
      <c r="B15" s="361"/>
      <c r="C15" s="362"/>
      <c r="D15" s="363" t="str">
        <f>IF($C15="","",VLOOKUP($C15,MATIERES!$A$2:$F$227,5,0))</f>
        <v/>
      </c>
      <c r="E15" s="364">
        <v>12</v>
      </c>
      <c r="F15" s="365" t="str">
        <f>IF($C15="","",E15*VLOOKUP($C15,MATIERES!$A$2:$F$349,4,0))</f>
        <v/>
      </c>
      <c r="G15" s="364">
        <v>13</v>
      </c>
      <c r="H15" s="365" t="str">
        <f>IF($C15="","",G15*VLOOKUP($C15,MATIERES!$A$2:$F$349,4,0))</f>
        <v/>
      </c>
      <c r="I15" s="364">
        <v>14</v>
      </c>
      <c r="J15" s="365" t="str">
        <f>IF($C15="","",I15*VLOOKUP($C15,MATIERES!$A$2:$F$349,4,0))</f>
        <v/>
      </c>
      <c r="K15" s="364">
        <v>15</v>
      </c>
      <c r="L15" s="365" t="str">
        <f>IF($C15="","",K15*VLOOKUP($C15,MATIERES!$A$2:$F$349,4,0))</f>
        <v/>
      </c>
      <c r="M15" s="364">
        <v>16</v>
      </c>
      <c r="N15" s="365" t="str">
        <f>IF($C15="","",M15*VLOOKUP($C15,MATIERES!$A$2:$F$349,4,0))</f>
        <v/>
      </c>
      <c r="O15" s="364">
        <v>17</v>
      </c>
      <c r="P15" s="365" t="str">
        <f>IF($C15="","",O15*VLOOKUP($C15,MATIERES!$A$2:$F$349,4,0))</f>
        <v/>
      </c>
      <c r="Q15" s="364">
        <v>18</v>
      </c>
      <c r="R15" s="365" t="str">
        <f>IF($C15="","",Q15*VLOOKUP($C15,MATIERES!$A$2:$F$349,4,0))</f>
        <v/>
      </c>
      <c r="S15" s="364">
        <v>19</v>
      </c>
      <c r="T15" s="365" t="str">
        <f>IF($C15="","",S15*VLOOKUP($C15,MATIERES!$A$2:$F$349,4,0))</f>
        <v/>
      </c>
      <c r="U15" s="364">
        <v>20</v>
      </c>
      <c r="V15" s="365" t="str">
        <f>IF($C15="","",U15*VLOOKUP($C15,MATIERES!$A$2:$F$349,4,0))</f>
        <v/>
      </c>
      <c r="W15" s="364">
        <v>21</v>
      </c>
      <c r="X15" s="365" t="str">
        <f>IF($C15="","",W15*VLOOKUP($C15,MATIERES!$A$2:$F$349,4,0))</f>
        <v/>
      </c>
      <c r="Y15" s="364">
        <v>22</v>
      </c>
      <c r="Z15" s="365" t="str">
        <f>IF($C15="","",Y15*VLOOKUP($C15,MATIERES!$A$2:$F$349,4,0))</f>
        <v/>
      </c>
      <c r="AA15" s="364">
        <v>23</v>
      </c>
      <c r="AB15" s="365" t="str">
        <f>IF($C15="","",AA15*VLOOKUP($C15,MATIERES!$A$2:$F$349,4,0))</f>
        <v/>
      </c>
      <c r="AC15" s="364">
        <v>24</v>
      </c>
      <c r="AD15" s="365" t="str">
        <f>IF($C15="","",AC15*VLOOKUP($C15,MATIERES!$A$2:$F$349,4,0))</f>
        <v/>
      </c>
      <c r="AE15" s="364">
        <v>25</v>
      </c>
      <c r="AF15" s="365" t="str">
        <f>IF($C15="","",AE15*VLOOKUP($C15,MATIERES!$A$2:$F$349,4,0))</f>
        <v/>
      </c>
      <c r="AG15" s="364">
        <v>26</v>
      </c>
      <c r="AH15" s="365" t="str">
        <f>IF($C15="","",AG15*VLOOKUP($C15,MATIERES!$A$2:$F$349,4,0))</f>
        <v/>
      </c>
      <c r="AI15" s="364">
        <v>27</v>
      </c>
      <c r="AJ15" s="365" t="str">
        <f>IF($C15="","",AI15*VLOOKUP($C15,MATIERES!$A$2:$F$349,4,0))</f>
        <v/>
      </c>
      <c r="AK15" s="364">
        <v>28</v>
      </c>
      <c r="AL15" s="365" t="str">
        <f>IF($C15="","",AK15*VLOOKUP($C15,MATIERES!$A$2:$F$349,4,0))</f>
        <v/>
      </c>
      <c r="AM15" s="364">
        <v>29</v>
      </c>
      <c r="AN15" s="365" t="str">
        <f>IF($C15="","",AM15*VLOOKUP($C15,MATIERES!$A$2:$F$349,4,0))</f>
        <v/>
      </c>
    </row>
    <row r="16" spans="1:42" ht="15" customHeight="1" x14ac:dyDescent="0.2">
      <c r="A16" s="1550"/>
      <c r="B16" s="361"/>
      <c r="C16" s="362"/>
      <c r="D16" s="363" t="str">
        <f>IF($C16="","",VLOOKUP($C16,MATIERES!$A$2:$F$227,5,0))</f>
        <v/>
      </c>
      <c r="E16" s="364">
        <v>13</v>
      </c>
      <c r="F16" s="365" t="str">
        <f>IF($C16="","",E16*VLOOKUP($C16,MATIERES!$A$2:$F$349,4,0))</f>
        <v/>
      </c>
      <c r="G16" s="364">
        <v>14</v>
      </c>
      <c r="H16" s="365" t="str">
        <f>IF($C16="","",G16*VLOOKUP($C16,MATIERES!$A$2:$F$349,4,0))</f>
        <v/>
      </c>
      <c r="I16" s="364">
        <v>15</v>
      </c>
      <c r="J16" s="365" t="str">
        <f>IF($C16="","",I16*VLOOKUP($C16,MATIERES!$A$2:$F$349,4,0))</f>
        <v/>
      </c>
      <c r="K16" s="364">
        <v>16</v>
      </c>
      <c r="L16" s="365" t="str">
        <f>IF($C16="","",K16*VLOOKUP($C16,MATIERES!$A$2:$F$349,4,0))</f>
        <v/>
      </c>
      <c r="M16" s="364">
        <v>17</v>
      </c>
      <c r="N16" s="365" t="str">
        <f>IF($C16="","",M16*VLOOKUP($C16,MATIERES!$A$2:$F$349,4,0))</f>
        <v/>
      </c>
      <c r="O16" s="364">
        <v>18</v>
      </c>
      <c r="P16" s="365" t="str">
        <f>IF($C16="","",O16*VLOOKUP($C16,MATIERES!$A$2:$F$349,4,0))</f>
        <v/>
      </c>
      <c r="Q16" s="364">
        <v>19</v>
      </c>
      <c r="R16" s="365" t="str">
        <f>IF($C16="","",Q16*VLOOKUP($C16,MATIERES!$A$2:$F$349,4,0))</f>
        <v/>
      </c>
      <c r="S16" s="364">
        <v>20</v>
      </c>
      <c r="T16" s="365" t="str">
        <f>IF($C16="","",S16*VLOOKUP($C16,MATIERES!$A$2:$F$349,4,0))</f>
        <v/>
      </c>
      <c r="U16" s="364">
        <v>21</v>
      </c>
      <c r="V16" s="365" t="str">
        <f>IF($C16="","",U16*VLOOKUP($C16,MATIERES!$A$2:$F$349,4,0))</f>
        <v/>
      </c>
      <c r="W16" s="364">
        <v>22</v>
      </c>
      <c r="X16" s="365" t="str">
        <f>IF($C16="","",W16*VLOOKUP($C16,MATIERES!$A$2:$F$349,4,0))</f>
        <v/>
      </c>
      <c r="Y16" s="364">
        <v>23</v>
      </c>
      <c r="Z16" s="365" t="str">
        <f>IF($C16="","",Y16*VLOOKUP($C16,MATIERES!$A$2:$F$349,4,0))</f>
        <v/>
      </c>
      <c r="AA16" s="364">
        <v>24</v>
      </c>
      <c r="AB16" s="365" t="str">
        <f>IF($C16="","",AA16*VLOOKUP($C16,MATIERES!$A$2:$F$349,4,0))</f>
        <v/>
      </c>
      <c r="AC16" s="364">
        <v>25</v>
      </c>
      <c r="AD16" s="365" t="str">
        <f>IF($C16="","",AC16*VLOOKUP($C16,MATIERES!$A$2:$F$349,4,0))</f>
        <v/>
      </c>
      <c r="AE16" s="364">
        <v>26</v>
      </c>
      <c r="AF16" s="365" t="str">
        <f>IF($C16="","",AE16*VLOOKUP($C16,MATIERES!$A$2:$F$349,4,0))</f>
        <v/>
      </c>
      <c r="AG16" s="364">
        <v>27</v>
      </c>
      <c r="AH16" s="365" t="str">
        <f>IF($C16="","",AG16*VLOOKUP($C16,MATIERES!$A$2:$F$349,4,0))</f>
        <v/>
      </c>
      <c r="AI16" s="364">
        <v>28</v>
      </c>
      <c r="AJ16" s="365" t="str">
        <f>IF($C16="","",AI16*VLOOKUP($C16,MATIERES!$A$2:$F$349,4,0))</f>
        <v/>
      </c>
      <c r="AK16" s="364">
        <v>29</v>
      </c>
      <c r="AL16" s="365" t="str">
        <f>IF($C16="","",AK16*VLOOKUP($C16,MATIERES!$A$2:$F$349,4,0))</f>
        <v/>
      </c>
      <c r="AM16" s="364">
        <v>30</v>
      </c>
      <c r="AN16" s="365" t="str">
        <f>IF($C16="","",AM16*VLOOKUP($C16,MATIERES!$A$2:$F$349,4,0))</f>
        <v/>
      </c>
    </row>
    <row r="17" spans="1:40" ht="15" customHeight="1" x14ac:dyDescent="0.2">
      <c r="A17" s="1551"/>
      <c r="B17" s="361"/>
      <c r="C17" s="362"/>
      <c r="D17" s="363" t="str">
        <f>IF($C17="","",VLOOKUP($C17,MATIERES!$A$2:$F$227,5,0))</f>
        <v/>
      </c>
      <c r="E17" s="364">
        <v>14</v>
      </c>
      <c r="F17" s="365" t="str">
        <f>IF($C17="","",E17*VLOOKUP($C17,MATIERES!$A$2:$F$349,4,0))</f>
        <v/>
      </c>
      <c r="G17" s="364">
        <v>15</v>
      </c>
      <c r="H17" s="365" t="str">
        <f>IF($C17="","",G17*VLOOKUP($C17,MATIERES!$A$2:$F$349,4,0))</f>
        <v/>
      </c>
      <c r="I17" s="364">
        <v>16</v>
      </c>
      <c r="J17" s="365" t="str">
        <f>IF($C17="","",I17*VLOOKUP($C17,MATIERES!$A$2:$F$349,4,0))</f>
        <v/>
      </c>
      <c r="K17" s="364">
        <v>17</v>
      </c>
      <c r="L17" s="365" t="str">
        <f>IF($C17="","",K17*VLOOKUP($C17,MATIERES!$A$2:$F$349,4,0))</f>
        <v/>
      </c>
      <c r="M17" s="364">
        <v>18</v>
      </c>
      <c r="N17" s="365" t="str">
        <f>IF($C17="","",M17*VLOOKUP($C17,MATIERES!$A$2:$F$349,4,0))</f>
        <v/>
      </c>
      <c r="O17" s="364">
        <v>19</v>
      </c>
      <c r="P17" s="365" t="str">
        <f>IF($C17="","",O17*VLOOKUP($C17,MATIERES!$A$2:$F$349,4,0))</f>
        <v/>
      </c>
      <c r="Q17" s="364">
        <v>20</v>
      </c>
      <c r="R17" s="365" t="str">
        <f>IF($C17="","",Q17*VLOOKUP($C17,MATIERES!$A$2:$F$349,4,0))</f>
        <v/>
      </c>
      <c r="S17" s="364">
        <v>21</v>
      </c>
      <c r="T17" s="365" t="str">
        <f>IF($C17="","",S17*VLOOKUP($C17,MATIERES!$A$2:$F$349,4,0))</f>
        <v/>
      </c>
      <c r="U17" s="364">
        <v>22</v>
      </c>
      <c r="V17" s="365" t="str">
        <f>IF($C17="","",U17*VLOOKUP($C17,MATIERES!$A$2:$F$349,4,0))</f>
        <v/>
      </c>
      <c r="W17" s="364">
        <v>23</v>
      </c>
      <c r="X17" s="365" t="str">
        <f>IF($C17="","",W17*VLOOKUP($C17,MATIERES!$A$2:$F$349,4,0))</f>
        <v/>
      </c>
      <c r="Y17" s="364">
        <v>24</v>
      </c>
      <c r="Z17" s="365" t="str">
        <f>IF($C17="","",Y17*VLOOKUP($C17,MATIERES!$A$2:$F$349,4,0))</f>
        <v/>
      </c>
      <c r="AA17" s="364">
        <v>25</v>
      </c>
      <c r="AB17" s="365" t="str">
        <f>IF($C17="","",AA17*VLOOKUP($C17,MATIERES!$A$2:$F$349,4,0))</f>
        <v/>
      </c>
      <c r="AC17" s="364">
        <v>26</v>
      </c>
      <c r="AD17" s="365" t="str">
        <f>IF($C17="","",AC17*VLOOKUP($C17,MATIERES!$A$2:$F$349,4,0))</f>
        <v/>
      </c>
      <c r="AE17" s="364">
        <v>27</v>
      </c>
      <c r="AF17" s="365" t="str">
        <f>IF($C17="","",AE17*VLOOKUP($C17,MATIERES!$A$2:$F$349,4,0))</f>
        <v/>
      </c>
      <c r="AG17" s="364">
        <v>28</v>
      </c>
      <c r="AH17" s="365" t="str">
        <f>IF($C17="","",AG17*VLOOKUP($C17,MATIERES!$A$2:$F$349,4,0))</f>
        <v/>
      </c>
      <c r="AI17" s="364">
        <v>29</v>
      </c>
      <c r="AJ17" s="365" t="str">
        <f>IF($C17="","",AI17*VLOOKUP($C17,MATIERES!$A$2:$F$349,4,0))</f>
        <v/>
      </c>
      <c r="AK17" s="364">
        <v>30</v>
      </c>
      <c r="AL17" s="365" t="str">
        <f>IF($C17="","",AK17*VLOOKUP($C17,MATIERES!$A$2:$F$349,4,0))</f>
        <v/>
      </c>
      <c r="AM17" s="364">
        <v>31</v>
      </c>
      <c r="AN17" s="365" t="str">
        <f>IF($C17="","",AM17*VLOOKUP($C17,MATIERES!$A$2:$F$349,4,0))</f>
        <v/>
      </c>
    </row>
    <row r="18" spans="1:40" ht="15" customHeight="1" x14ac:dyDescent="0.2">
      <c r="A18" s="1550"/>
      <c r="B18" s="361"/>
      <c r="C18" s="362"/>
      <c r="D18" s="363" t="str">
        <f>IF($C18="","",VLOOKUP($C18,MATIERES!$A$2:$F$227,5,0))</f>
        <v/>
      </c>
      <c r="E18" s="364">
        <v>15</v>
      </c>
      <c r="F18" s="365" t="str">
        <f>IF($C18="","",E18*VLOOKUP($C18,MATIERES!$A$2:$F$349,4,0))</f>
        <v/>
      </c>
      <c r="G18" s="364">
        <v>16</v>
      </c>
      <c r="H18" s="365" t="str">
        <f>IF($C18="","",G18*VLOOKUP($C18,MATIERES!$A$2:$F$349,4,0))</f>
        <v/>
      </c>
      <c r="I18" s="364">
        <v>17</v>
      </c>
      <c r="J18" s="365" t="str">
        <f>IF($C18="","",I18*VLOOKUP($C18,MATIERES!$A$2:$F$349,4,0))</f>
        <v/>
      </c>
      <c r="K18" s="364">
        <v>18</v>
      </c>
      <c r="L18" s="365" t="str">
        <f>IF($C18="","",K18*VLOOKUP($C18,MATIERES!$A$2:$F$349,4,0))</f>
        <v/>
      </c>
      <c r="M18" s="364">
        <v>19</v>
      </c>
      <c r="N18" s="365" t="str">
        <f>IF($C18="","",M18*VLOOKUP($C18,MATIERES!$A$2:$F$349,4,0))</f>
        <v/>
      </c>
      <c r="O18" s="364">
        <v>20</v>
      </c>
      <c r="P18" s="365" t="str">
        <f>IF($C18="","",O18*VLOOKUP($C18,MATIERES!$A$2:$F$349,4,0))</f>
        <v/>
      </c>
      <c r="Q18" s="364">
        <v>21</v>
      </c>
      <c r="R18" s="365" t="str">
        <f>IF($C18="","",Q18*VLOOKUP($C18,MATIERES!$A$2:$F$349,4,0))</f>
        <v/>
      </c>
      <c r="S18" s="364">
        <v>22</v>
      </c>
      <c r="T18" s="365" t="str">
        <f>IF($C18="","",S18*VLOOKUP($C18,MATIERES!$A$2:$F$349,4,0))</f>
        <v/>
      </c>
      <c r="U18" s="364">
        <v>23</v>
      </c>
      <c r="V18" s="365" t="str">
        <f>IF($C18="","",U18*VLOOKUP($C18,MATIERES!$A$2:$F$349,4,0))</f>
        <v/>
      </c>
      <c r="W18" s="364">
        <v>24</v>
      </c>
      <c r="X18" s="365" t="str">
        <f>IF($C18="","",W18*VLOOKUP($C18,MATIERES!$A$2:$F$349,4,0))</f>
        <v/>
      </c>
      <c r="Y18" s="364">
        <v>25</v>
      </c>
      <c r="Z18" s="365" t="str">
        <f>IF($C18="","",Y18*VLOOKUP($C18,MATIERES!$A$2:$F$349,4,0))</f>
        <v/>
      </c>
      <c r="AA18" s="364">
        <v>26</v>
      </c>
      <c r="AB18" s="365" t="str">
        <f>IF($C18="","",AA18*VLOOKUP($C18,MATIERES!$A$2:$F$349,4,0))</f>
        <v/>
      </c>
      <c r="AC18" s="364">
        <v>27</v>
      </c>
      <c r="AD18" s="365" t="str">
        <f>IF($C18="","",AC18*VLOOKUP($C18,MATIERES!$A$2:$F$349,4,0))</f>
        <v/>
      </c>
      <c r="AE18" s="364">
        <v>28</v>
      </c>
      <c r="AF18" s="365" t="str">
        <f>IF($C18="","",AE18*VLOOKUP($C18,MATIERES!$A$2:$F$349,4,0))</f>
        <v/>
      </c>
      <c r="AG18" s="364">
        <v>29</v>
      </c>
      <c r="AH18" s="365" t="str">
        <f>IF($C18="","",AG18*VLOOKUP($C18,MATIERES!$A$2:$F$349,4,0))</f>
        <v/>
      </c>
      <c r="AI18" s="364">
        <v>30</v>
      </c>
      <c r="AJ18" s="365" t="str">
        <f>IF($C18="","",AI18*VLOOKUP($C18,MATIERES!$A$2:$F$349,4,0))</f>
        <v/>
      </c>
      <c r="AK18" s="364">
        <v>31</v>
      </c>
      <c r="AL18" s="365" t="str">
        <f>IF($C18="","",AK18*VLOOKUP($C18,MATIERES!$A$2:$F$349,4,0))</f>
        <v/>
      </c>
      <c r="AM18" s="364">
        <v>32</v>
      </c>
      <c r="AN18" s="365" t="str">
        <f>IF($C18="","",AM18*VLOOKUP($C18,MATIERES!$A$2:$F$349,4,0))</f>
        <v/>
      </c>
    </row>
    <row r="19" spans="1:40" ht="15" customHeight="1" x14ac:dyDescent="0.2">
      <c r="A19" s="1550"/>
      <c r="B19" s="361"/>
      <c r="C19" s="362"/>
      <c r="D19" s="363" t="str">
        <f>IF($C19="","",VLOOKUP($C19,MATIERES!$A$2:$F$227,5,0))</f>
        <v/>
      </c>
      <c r="E19" s="364">
        <v>16</v>
      </c>
      <c r="F19" s="365" t="str">
        <f>IF($C19="","",E19*VLOOKUP($C19,MATIERES!$A$2:$F$349,4,0))</f>
        <v/>
      </c>
      <c r="G19" s="364">
        <v>17</v>
      </c>
      <c r="H19" s="365" t="str">
        <f>IF($C19="","",G19*VLOOKUP($C19,MATIERES!$A$2:$F$349,4,0))</f>
        <v/>
      </c>
      <c r="I19" s="364">
        <v>18</v>
      </c>
      <c r="J19" s="365" t="str">
        <f>IF($C19="","",I19*VLOOKUP($C19,MATIERES!$A$2:$F$349,4,0))</f>
        <v/>
      </c>
      <c r="K19" s="364">
        <v>19</v>
      </c>
      <c r="L19" s="365" t="str">
        <f>IF($C19="","",K19*VLOOKUP($C19,MATIERES!$A$2:$F$349,4,0))</f>
        <v/>
      </c>
      <c r="M19" s="364">
        <v>20</v>
      </c>
      <c r="N19" s="365" t="str">
        <f>IF($C19="","",M19*VLOOKUP($C19,MATIERES!$A$2:$F$349,4,0))</f>
        <v/>
      </c>
      <c r="O19" s="364">
        <v>21</v>
      </c>
      <c r="P19" s="365" t="str">
        <f>IF($C19="","",O19*VLOOKUP($C19,MATIERES!$A$2:$F$349,4,0))</f>
        <v/>
      </c>
      <c r="Q19" s="364">
        <v>22</v>
      </c>
      <c r="R19" s="365" t="str">
        <f>IF($C19="","",Q19*VLOOKUP($C19,MATIERES!$A$2:$F$349,4,0))</f>
        <v/>
      </c>
      <c r="S19" s="364">
        <v>23</v>
      </c>
      <c r="T19" s="365" t="str">
        <f>IF($C19="","",S19*VLOOKUP($C19,MATIERES!$A$2:$F$349,4,0))</f>
        <v/>
      </c>
      <c r="U19" s="364">
        <v>24</v>
      </c>
      <c r="V19" s="365" t="str">
        <f>IF($C19="","",U19*VLOOKUP($C19,MATIERES!$A$2:$F$349,4,0))</f>
        <v/>
      </c>
      <c r="W19" s="364">
        <v>25</v>
      </c>
      <c r="X19" s="365" t="str">
        <f>IF($C19="","",W19*VLOOKUP($C19,MATIERES!$A$2:$F$349,4,0))</f>
        <v/>
      </c>
      <c r="Y19" s="364">
        <v>26</v>
      </c>
      <c r="Z19" s="365" t="str">
        <f>IF($C19="","",Y19*VLOOKUP($C19,MATIERES!$A$2:$F$349,4,0))</f>
        <v/>
      </c>
      <c r="AA19" s="364">
        <v>27</v>
      </c>
      <c r="AB19" s="365" t="str">
        <f>IF($C19="","",AA19*VLOOKUP($C19,MATIERES!$A$2:$F$349,4,0))</f>
        <v/>
      </c>
      <c r="AC19" s="364">
        <v>28</v>
      </c>
      <c r="AD19" s="365" t="str">
        <f>IF($C19="","",AC19*VLOOKUP($C19,MATIERES!$A$2:$F$349,4,0))</f>
        <v/>
      </c>
      <c r="AE19" s="364">
        <v>29</v>
      </c>
      <c r="AF19" s="365" t="str">
        <f>IF($C19="","",AE19*VLOOKUP($C19,MATIERES!$A$2:$F$349,4,0))</f>
        <v/>
      </c>
      <c r="AG19" s="364">
        <v>30</v>
      </c>
      <c r="AH19" s="365" t="str">
        <f>IF($C19="","",AG19*VLOOKUP($C19,MATIERES!$A$2:$F$349,4,0))</f>
        <v/>
      </c>
      <c r="AI19" s="364">
        <v>31</v>
      </c>
      <c r="AJ19" s="365" t="str">
        <f>IF($C19="","",AI19*VLOOKUP($C19,MATIERES!$A$2:$F$349,4,0))</f>
        <v/>
      </c>
      <c r="AK19" s="364">
        <v>32</v>
      </c>
      <c r="AL19" s="365" t="str">
        <f>IF($C19="","",AK19*VLOOKUP($C19,MATIERES!$A$2:$F$349,4,0))</f>
        <v/>
      </c>
      <c r="AM19" s="364">
        <v>33</v>
      </c>
      <c r="AN19" s="365" t="str">
        <f>IF($C19="","",AM19*VLOOKUP($C19,MATIERES!$A$2:$F$349,4,0))</f>
        <v/>
      </c>
    </row>
    <row r="20" spans="1:40" ht="15" customHeight="1" x14ac:dyDescent="0.2">
      <c r="A20" s="1550"/>
      <c r="B20" s="361"/>
      <c r="C20" s="362"/>
      <c r="D20" s="363" t="str">
        <f>IF($C20="","",VLOOKUP($C20,MATIERES!$A$2:$F$227,5,0))</f>
        <v/>
      </c>
      <c r="E20" s="364">
        <v>17</v>
      </c>
      <c r="F20" s="365" t="str">
        <f>IF($C20="","",E20*VLOOKUP($C20,MATIERES!$A$2:$F$349,4,0))</f>
        <v/>
      </c>
      <c r="G20" s="364">
        <v>18</v>
      </c>
      <c r="H20" s="365" t="str">
        <f>IF($C20="","",G20*VLOOKUP($C20,MATIERES!$A$2:$F$349,4,0))</f>
        <v/>
      </c>
      <c r="I20" s="364">
        <v>19</v>
      </c>
      <c r="J20" s="365" t="str">
        <f>IF($C20="","",I20*VLOOKUP($C20,MATIERES!$A$2:$F$349,4,0))</f>
        <v/>
      </c>
      <c r="K20" s="364">
        <v>20</v>
      </c>
      <c r="L20" s="365" t="str">
        <f>IF($C20="","",K20*VLOOKUP($C20,MATIERES!$A$2:$F$349,4,0))</f>
        <v/>
      </c>
      <c r="M20" s="364">
        <v>21</v>
      </c>
      <c r="N20" s="365" t="str">
        <f>IF($C20="","",M20*VLOOKUP($C20,MATIERES!$A$2:$F$349,4,0))</f>
        <v/>
      </c>
      <c r="O20" s="364">
        <v>22</v>
      </c>
      <c r="P20" s="365" t="str">
        <f>IF($C20="","",O20*VLOOKUP($C20,MATIERES!$A$2:$F$349,4,0))</f>
        <v/>
      </c>
      <c r="Q20" s="364">
        <v>23</v>
      </c>
      <c r="R20" s="365" t="str">
        <f>IF($C20="","",Q20*VLOOKUP($C20,MATIERES!$A$2:$F$349,4,0))</f>
        <v/>
      </c>
      <c r="S20" s="364">
        <v>24</v>
      </c>
      <c r="T20" s="365" t="str">
        <f>IF($C20="","",S20*VLOOKUP($C20,MATIERES!$A$2:$F$349,4,0))</f>
        <v/>
      </c>
      <c r="U20" s="364">
        <v>25</v>
      </c>
      <c r="V20" s="365" t="str">
        <f>IF($C20="","",U20*VLOOKUP($C20,MATIERES!$A$2:$F$349,4,0))</f>
        <v/>
      </c>
      <c r="W20" s="364">
        <v>26</v>
      </c>
      <c r="X20" s="365" t="str">
        <f>IF($C20="","",W20*VLOOKUP($C20,MATIERES!$A$2:$F$349,4,0))</f>
        <v/>
      </c>
      <c r="Y20" s="364">
        <v>27</v>
      </c>
      <c r="Z20" s="365" t="str">
        <f>IF($C20="","",Y20*VLOOKUP($C20,MATIERES!$A$2:$F$349,4,0))</f>
        <v/>
      </c>
      <c r="AA20" s="364">
        <v>28</v>
      </c>
      <c r="AB20" s="365" t="str">
        <f>IF($C20="","",AA20*VLOOKUP($C20,MATIERES!$A$2:$F$349,4,0))</f>
        <v/>
      </c>
      <c r="AC20" s="364">
        <v>29</v>
      </c>
      <c r="AD20" s="365" t="str">
        <f>IF($C20="","",AC20*VLOOKUP($C20,MATIERES!$A$2:$F$349,4,0))</f>
        <v/>
      </c>
      <c r="AE20" s="364">
        <v>30</v>
      </c>
      <c r="AF20" s="365" t="str">
        <f>IF($C20="","",AE20*VLOOKUP($C20,MATIERES!$A$2:$F$349,4,0))</f>
        <v/>
      </c>
      <c r="AG20" s="364">
        <v>31</v>
      </c>
      <c r="AH20" s="365" t="str">
        <f>IF($C20="","",AG20*VLOOKUP($C20,MATIERES!$A$2:$F$349,4,0))</f>
        <v/>
      </c>
      <c r="AI20" s="364">
        <v>32</v>
      </c>
      <c r="AJ20" s="365" t="str">
        <f>IF($C20="","",AI20*VLOOKUP($C20,MATIERES!$A$2:$F$349,4,0))</f>
        <v/>
      </c>
      <c r="AK20" s="364">
        <v>33</v>
      </c>
      <c r="AL20" s="365" t="str">
        <f>IF($C20="","",AK20*VLOOKUP($C20,MATIERES!$A$2:$F$349,4,0))</f>
        <v/>
      </c>
      <c r="AM20" s="364">
        <v>34</v>
      </c>
      <c r="AN20" s="365" t="str">
        <f>IF($C20="","",AM20*VLOOKUP($C20,MATIERES!$A$2:$F$349,4,0))</f>
        <v/>
      </c>
    </row>
    <row r="21" spans="1:40" ht="15" customHeight="1" x14ac:dyDescent="0.2">
      <c r="A21" s="1550"/>
      <c r="B21" s="361"/>
      <c r="C21" s="362"/>
      <c r="D21" s="363" t="str">
        <f>IF($C21="","",VLOOKUP($C21,MATIERES!$A$2:$F$227,5,0))</f>
        <v/>
      </c>
      <c r="E21" s="364">
        <v>18</v>
      </c>
      <c r="F21" s="365" t="str">
        <f>IF($C21="","",E21*VLOOKUP($C21,MATIERES!$A$2:$F$349,4,0))</f>
        <v/>
      </c>
      <c r="G21" s="364">
        <v>19</v>
      </c>
      <c r="H21" s="365" t="str">
        <f>IF($C21="","",G21*VLOOKUP($C21,MATIERES!$A$2:$F$349,4,0))</f>
        <v/>
      </c>
      <c r="I21" s="364">
        <v>20</v>
      </c>
      <c r="J21" s="365" t="str">
        <f>IF($C21="","",I21*VLOOKUP($C21,MATIERES!$A$2:$F$349,4,0))</f>
        <v/>
      </c>
      <c r="K21" s="364">
        <v>21</v>
      </c>
      <c r="L21" s="365" t="str">
        <f>IF($C21="","",K21*VLOOKUP($C21,MATIERES!$A$2:$F$349,4,0))</f>
        <v/>
      </c>
      <c r="M21" s="364">
        <v>22</v>
      </c>
      <c r="N21" s="365" t="str">
        <f>IF($C21="","",M21*VLOOKUP($C21,MATIERES!$A$2:$F$349,4,0))</f>
        <v/>
      </c>
      <c r="O21" s="364">
        <v>23</v>
      </c>
      <c r="P21" s="365" t="str">
        <f>IF($C21="","",O21*VLOOKUP($C21,MATIERES!$A$2:$F$349,4,0))</f>
        <v/>
      </c>
      <c r="Q21" s="364">
        <v>24</v>
      </c>
      <c r="R21" s="365" t="str">
        <f>IF($C21="","",Q21*VLOOKUP($C21,MATIERES!$A$2:$F$349,4,0))</f>
        <v/>
      </c>
      <c r="S21" s="364">
        <v>25</v>
      </c>
      <c r="T21" s="365" t="str">
        <f>IF($C21="","",S21*VLOOKUP($C21,MATIERES!$A$2:$F$349,4,0))</f>
        <v/>
      </c>
      <c r="U21" s="364">
        <v>26</v>
      </c>
      <c r="V21" s="365" t="str">
        <f>IF($C21="","",U21*VLOOKUP($C21,MATIERES!$A$2:$F$349,4,0))</f>
        <v/>
      </c>
      <c r="W21" s="364">
        <v>27</v>
      </c>
      <c r="X21" s="365" t="str">
        <f>IF($C21="","",W21*VLOOKUP($C21,MATIERES!$A$2:$F$349,4,0))</f>
        <v/>
      </c>
      <c r="Y21" s="364">
        <v>28</v>
      </c>
      <c r="Z21" s="365" t="str">
        <f>IF($C21="","",Y21*VLOOKUP($C21,MATIERES!$A$2:$F$349,4,0))</f>
        <v/>
      </c>
      <c r="AA21" s="364">
        <v>29</v>
      </c>
      <c r="AB21" s="365" t="str">
        <f>IF($C21="","",AA21*VLOOKUP($C21,MATIERES!$A$2:$F$349,4,0))</f>
        <v/>
      </c>
      <c r="AC21" s="364">
        <v>30</v>
      </c>
      <c r="AD21" s="365" t="str">
        <f>IF($C21="","",AC21*VLOOKUP($C21,MATIERES!$A$2:$F$349,4,0))</f>
        <v/>
      </c>
      <c r="AE21" s="364">
        <v>31</v>
      </c>
      <c r="AF21" s="365" t="str">
        <f>IF($C21="","",AE21*VLOOKUP($C21,MATIERES!$A$2:$F$349,4,0))</f>
        <v/>
      </c>
      <c r="AG21" s="364">
        <v>32</v>
      </c>
      <c r="AH21" s="365" t="str">
        <f>IF($C21="","",AG21*VLOOKUP($C21,MATIERES!$A$2:$F$349,4,0))</f>
        <v/>
      </c>
      <c r="AI21" s="364">
        <v>33</v>
      </c>
      <c r="AJ21" s="365" t="str">
        <f>IF($C21="","",AI21*VLOOKUP($C21,MATIERES!$A$2:$F$349,4,0))</f>
        <v/>
      </c>
      <c r="AK21" s="364">
        <v>34</v>
      </c>
      <c r="AL21" s="365" t="str">
        <f>IF($C21="","",AK21*VLOOKUP($C21,MATIERES!$A$2:$F$349,4,0))</f>
        <v/>
      </c>
      <c r="AM21" s="364">
        <v>35</v>
      </c>
      <c r="AN21" s="365" t="str">
        <f>IF($C21="","",AM21*VLOOKUP($C21,MATIERES!$A$2:$F$349,4,0))</f>
        <v/>
      </c>
    </row>
    <row r="22" spans="1:40" ht="15" customHeight="1" x14ac:dyDescent="0.2">
      <c r="A22" s="1550"/>
      <c r="B22" s="361"/>
      <c r="C22" s="362"/>
      <c r="D22" s="363" t="str">
        <f>IF($C22="","",VLOOKUP($C22,MATIERES!$A$2:$F$227,5,0))</f>
        <v/>
      </c>
      <c r="E22" s="364">
        <v>19</v>
      </c>
      <c r="F22" s="365" t="str">
        <f>IF($C22="","",E22*VLOOKUP($C22,MATIERES!$A$2:$F$349,4,0))</f>
        <v/>
      </c>
      <c r="G22" s="364">
        <v>20</v>
      </c>
      <c r="H22" s="365" t="str">
        <f>IF($C22="","",G22*VLOOKUP($C22,MATIERES!$A$2:$F$349,4,0))</f>
        <v/>
      </c>
      <c r="I22" s="364">
        <v>21</v>
      </c>
      <c r="J22" s="365" t="str">
        <f>IF($C22="","",I22*VLOOKUP($C22,MATIERES!$A$2:$F$349,4,0))</f>
        <v/>
      </c>
      <c r="K22" s="364">
        <v>22</v>
      </c>
      <c r="L22" s="365" t="str">
        <f>IF($C22="","",K22*VLOOKUP($C22,MATIERES!$A$2:$F$349,4,0))</f>
        <v/>
      </c>
      <c r="M22" s="364">
        <v>23</v>
      </c>
      <c r="N22" s="365" t="str">
        <f>IF($C22="","",M22*VLOOKUP($C22,MATIERES!$A$2:$F$349,4,0))</f>
        <v/>
      </c>
      <c r="O22" s="364">
        <v>24</v>
      </c>
      <c r="P22" s="365" t="str">
        <f>IF($C22="","",O22*VLOOKUP($C22,MATIERES!$A$2:$F$349,4,0))</f>
        <v/>
      </c>
      <c r="Q22" s="364">
        <v>25</v>
      </c>
      <c r="R22" s="365" t="str">
        <f>IF($C22="","",Q22*VLOOKUP($C22,MATIERES!$A$2:$F$349,4,0))</f>
        <v/>
      </c>
      <c r="S22" s="364">
        <v>26</v>
      </c>
      <c r="T22" s="365" t="str">
        <f>IF($C22="","",S22*VLOOKUP($C22,MATIERES!$A$2:$F$349,4,0))</f>
        <v/>
      </c>
      <c r="U22" s="364">
        <v>27</v>
      </c>
      <c r="V22" s="365" t="str">
        <f>IF($C22="","",U22*VLOOKUP($C22,MATIERES!$A$2:$F$349,4,0))</f>
        <v/>
      </c>
      <c r="W22" s="364">
        <v>28</v>
      </c>
      <c r="X22" s="365" t="str">
        <f>IF($C22="","",W22*VLOOKUP($C22,MATIERES!$A$2:$F$349,4,0))</f>
        <v/>
      </c>
      <c r="Y22" s="364">
        <v>29</v>
      </c>
      <c r="Z22" s="365" t="str">
        <f>IF($C22="","",Y22*VLOOKUP($C22,MATIERES!$A$2:$F$349,4,0))</f>
        <v/>
      </c>
      <c r="AA22" s="364">
        <v>30</v>
      </c>
      <c r="AB22" s="365" t="str">
        <f>IF($C22="","",AA22*VLOOKUP($C22,MATIERES!$A$2:$F$349,4,0))</f>
        <v/>
      </c>
      <c r="AC22" s="364">
        <v>31</v>
      </c>
      <c r="AD22" s="365" t="str">
        <f>IF($C22="","",AC22*VLOOKUP($C22,MATIERES!$A$2:$F$349,4,0))</f>
        <v/>
      </c>
      <c r="AE22" s="364">
        <v>32</v>
      </c>
      <c r="AF22" s="365" t="str">
        <f>IF($C22="","",AE22*VLOOKUP($C22,MATIERES!$A$2:$F$349,4,0))</f>
        <v/>
      </c>
      <c r="AG22" s="364">
        <v>33</v>
      </c>
      <c r="AH22" s="365" t="str">
        <f>IF($C22="","",AG22*VLOOKUP($C22,MATIERES!$A$2:$F$349,4,0))</f>
        <v/>
      </c>
      <c r="AI22" s="364">
        <v>34</v>
      </c>
      <c r="AJ22" s="365" t="str">
        <f>IF($C22="","",AI22*VLOOKUP($C22,MATIERES!$A$2:$F$349,4,0))</f>
        <v/>
      </c>
      <c r="AK22" s="364">
        <v>35</v>
      </c>
      <c r="AL22" s="365" t="str">
        <f>IF($C22="","",AK22*VLOOKUP($C22,MATIERES!$A$2:$F$349,4,0))</f>
        <v/>
      </c>
      <c r="AM22" s="364">
        <v>36</v>
      </c>
      <c r="AN22" s="365" t="str">
        <f>IF($C22="","",AM22*VLOOKUP($C22,MATIERES!$A$2:$F$349,4,0))</f>
        <v/>
      </c>
    </row>
    <row r="23" spans="1:40" ht="15" customHeight="1" x14ac:dyDescent="0.2">
      <c r="A23" s="1550"/>
      <c r="B23" s="361"/>
      <c r="C23" s="362"/>
      <c r="D23" s="363" t="str">
        <f>IF($C23="","",VLOOKUP($C23,MATIERES!$A$2:$F$227,5,0))</f>
        <v/>
      </c>
      <c r="E23" s="364">
        <v>20</v>
      </c>
      <c r="F23" s="365" t="str">
        <f>IF($C23="","",E23*VLOOKUP($C23,MATIERES!$A$2:$F$349,4,0))</f>
        <v/>
      </c>
      <c r="G23" s="364">
        <v>21</v>
      </c>
      <c r="H23" s="365" t="str">
        <f>IF($C23="","",G23*VLOOKUP($C23,MATIERES!$A$2:$F$349,4,0))</f>
        <v/>
      </c>
      <c r="I23" s="364">
        <v>22</v>
      </c>
      <c r="J23" s="365" t="str">
        <f>IF($C23="","",I23*VLOOKUP($C23,MATIERES!$A$2:$F$349,4,0))</f>
        <v/>
      </c>
      <c r="K23" s="364">
        <v>23</v>
      </c>
      <c r="L23" s="365" t="str">
        <f>IF($C23="","",K23*VLOOKUP($C23,MATIERES!$A$2:$F$349,4,0))</f>
        <v/>
      </c>
      <c r="M23" s="364">
        <v>24</v>
      </c>
      <c r="N23" s="365" t="str">
        <f>IF($C23="","",M23*VLOOKUP($C23,MATIERES!$A$2:$F$349,4,0))</f>
        <v/>
      </c>
      <c r="O23" s="364">
        <v>25</v>
      </c>
      <c r="P23" s="365" t="str">
        <f>IF($C23="","",O23*VLOOKUP($C23,MATIERES!$A$2:$F$349,4,0))</f>
        <v/>
      </c>
      <c r="Q23" s="364">
        <v>26</v>
      </c>
      <c r="R23" s="365" t="str">
        <f>IF($C23="","",Q23*VLOOKUP($C23,MATIERES!$A$2:$F$349,4,0))</f>
        <v/>
      </c>
      <c r="S23" s="364">
        <v>27</v>
      </c>
      <c r="T23" s="365" t="str">
        <f>IF($C23="","",S23*VLOOKUP($C23,MATIERES!$A$2:$F$349,4,0))</f>
        <v/>
      </c>
      <c r="U23" s="364">
        <v>28</v>
      </c>
      <c r="V23" s="365" t="str">
        <f>IF($C23="","",U23*VLOOKUP($C23,MATIERES!$A$2:$F$349,4,0))</f>
        <v/>
      </c>
      <c r="W23" s="364">
        <v>29</v>
      </c>
      <c r="X23" s="365" t="str">
        <f>IF($C23="","",W23*VLOOKUP($C23,MATIERES!$A$2:$F$349,4,0))</f>
        <v/>
      </c>
      <c r="Y23" s="364">
        <v>30</v>
      </c>
      <c r="Z23" s="365" t="str">
        <f>IF($C23="","",Y23*VLOOKUP($C23,MATIERES!$A$2:$F$349,4,0))</f>
        <v/>
      </c>
      <c r="AA23" s="364">
        <v>31</v>
      </c>
      <c r="AB23" s="365" t="str">
        <f>IF($C23="","",AA23*VLOOKUP($C23,MATIERES!$A$2:$F$349,4,0))</f>
        <v/>
      </c>
      <c r="AC23" s="364">
        <v>32</v>
      </c>
      <c r="AD23" s="365" t="str">
        <f>IF($C23="","",AC23*VLOOKUP($C23,MATIERES!$A$2:$F$349,4,0))</f>
        <v/>
      </c>
      <c r="AE23" s="364">
        <v>33</v>
      </c>
      <c r="AF23" s="365" t="str">
        <f>IF($C23="","",AE23*VLOOKUP($C23,MATIERES!$A$2:$F$349,4,0))</f>
        <v/>
      </c>
      <c r="AG23" s="364">
        <v>34</v>
      </c>
      <c r="AH23" s="365" t="str">
        <f>IF($C23="","",AG23*VLOOKUP($C23,MATIERES!$A$2:$F$349,4,0))</f>
        <v/>
      </c>
      <c r="AI23" s="364">
        <v>35</v>
      </c>
      <c r="AJ23" s="365" t="str">
        <f>IF($C23="","",AI23*VLOOKUP($C23,MATIERES!$A$2:$F$349,4,0))</f>
        <v/>
      </c>
      <c r="AK23" s="364">
        <v>36</v>
      </c>
      <c r="AL23" s="365" t="str">
        <f>IF($C23="","",AK23*VLOOKUP($C23,MATIERES!$A$2:$F$349,4,0))</f>
        <v/>
      </c>
      <c r="AM23" s="364">
        <v>37</v>
      </c>
      <c r="AN23" s="365" t="str">
        <f>IF($C23="","",AM23*VLOOKUP($C23,MATIERES!$A$2:$F$349,4,0))</f>
        <v/>
      </c>
    </row>
    <row r="24" spans="1:40" ht="15" customHeight="1" x14ac:dyDescent="0.2">
      <c r="A24" s="1550"/>
      <c r="B24" s="361"/>
      <c r="C24" s="362"/>
      <c r="D24" s="363" t="str">
        <f>IF($C24="","",VLOOKUP($C24,MATIERES!$A$2:$F$227,5,0))</f>
        <v/>
      </c>
      <c r="E24" s="364">
        <v>21</v>
      </c>
      <c r="F24" s="365" t="str">
        <f>IF($C24="","",E24*VLOOKUP($C24,MATIERES!$A$2:$F$349,4,0))</f>
        <v/>
      </c>
      <c r="G24" s="364">
        <v>22</v>
      </c>
      <c r="H24" s="365" t="str">
        <f>IF($C24="","",G24*VLOOKUP($C24,MATIERES!$A$2:$F$349,4,0))</f>
        <v/>
      </c>
      <c r="I24" s="364">
        <v>23</v>
      </c>
      <c r="J24" s="365" t="str">
        <f>IF($C24="","",I24*VLOOKUP($C24,MATIERES!$A$2:$F$349,4,0))</f>
        <v/>
      </c>
      <c r="K24" s="364">
        <v>24</v>
      </c>
      <c r="L24" s="365" t="str">
        <f>IF($C24="","",K24*VLOOKUP($C24,MATIERES!$A$2:$F$349,4,0))</f>
        <v/>
      </c>
      <c r="M24" s="364">
        <v>25</v>
      </c>
      <c r="N24" s="365" t="str">
        <f>IF($C24="","",M24*VLOOKUP($C24,MATIERES!$A$2:$F$349,4,0))</f>
        <v/>
      </c>
      <c r="O24" s="364">
        <v>26</v>
      </c>
      <c r="P24" s="365" t="str">
        <f>IF($C24="","",O24*VLOOKUP($C24,MATIERES!$A$2:$F$349,4,0))</f>
        <v/>
      </c>
      <c r="Q24" s="364">
        <v>27</v>
      </c>
      <c r="R24" s="365" t="str">
        <f>IF($C24="","",Q24*VLOOKUP($C24,MATIERES!$A$2:$F$349,4,0))</f>
        <v/>
      </c>
      <c r="S24" s="364">
        <v>28</v>
      </c>
      <c r="T24" s="365" t="str">
        <f>IF($C24="","",S24*VLOOKUP($C24,MATIERES!$A$2:$F$349,4,0))</f>
        <v/>
      </c>
      <c r="U24" s="364">
        <v>29</v>
      </c>
      <c r="V24" s="365" t="str">
        <f>IF($C24="","",U24*VLOOKUP($C24,MATIERES!$A$2:$F$349,4,0))</f>
        <v/>
      </c>
      <c r="W24" s="364">
        <v>30</v>
      </c>
      <c r="X24" s="365" t="str">
        <f>IF($C24="","",W24*VLOOKUP($C24,MATIERES!$A$2:$F$349,4,0))</f>
        <v/>
      </c>
      <c r="Y24" s="364">
        <v>31</v>
      </c>
      <c r="Z24" s="365" t="str">
        <f>IF($C24="","",Y24*VLOOKUP($C24,MATIERES!$A$2:$F$349,4,0))</f>
        <v/>
      </c>
      <c r="AA24" s="364">
        <v>32</v>
      </c>
      <c r="AB24" s="365" t="str">
        <f>IF($C24="","",AA24*VLOOKUP($C24,MATIERES!$A$2:$F$349,4,0))</f>
        <v/>
      </c>
      <c r="AC24" s="364">
        <v>33</v>
      </c>
      <c r="AD24" s="365" t="str">
        <f>IF($C24="","",AC24*VLOOKUP($C24,MATIERES!$A$2:$F$349,4,0))</f>
        <v/>
      </c>
      <c r="AE24" s="364">
        <v>34</v>
      </c>
      <c r="AF24" s="365" t="str">
        <f>IF($C24="","",AE24*VLOOKUP($C24,MATIERES!$A$2:$F$349,4,0))</f>
        <v/>
      </c>
      <c r="AG24" s="364">
        <v>35</v>
      </c>
      <c r="AH24" s="365" t="str">
        <f>IF($C24="","",AG24*VLOOKUP($C24,MATIERES!$A$2:$F$349,4,0))</f>
        <v/>
      </c>
      <c r="AI24" s="364">
        <v>36</v>
      </c>
      <c r="AJ24" s="365" t="str">
        <f>IF($C24="","",AI24*VLOOKUP($C24,MATIERES!$A$2:$F$349,4,0))</f>
        <v/>
      </c>
      <c r="AK24" s="364">
        <v>37</v>
      </c>
      <c r="AL24" s="365" t="str">
        <f>IF($C24="","",AK24*VLOOKUP($C24,MATIERES!$A$2:$F$349,4,0))</f>
        <v/>
      </c>
      <c r="AM24" s="364">
        <v>38</v>
      </c>
      <c r="AN24" s="365" t="str">
        <f>IF($C24="","",AM24*VLOOKUP($C24,MATIERES!$A$2:$F$349,4,0))</f>
        <v/>
      </c>
    </row>
    <row r="25" spans="1:40" ht="15" customHeight="1" x14ac:dyDescent="0.2">
      <c r="A25" s="1550"/>
      <c r="B25" s="361"/>
      <c r="C25" s="362"/>
      <c r="D25" s="363" t="str">
        <f>IF($C25="","",VLOOKUP($C25,MATIERES!$A$2:$F$227,5,0))</f>
        <v/>
      </c>
      <c r="E25" s="364">
        <v>22</v>
      </c>
      <c r="F25" s="365" t="str">
        <f>IF($C25="","",E25*VLOOKUP($C25,MATIERES!$A$2:$F$349,4,0))</f>
        <v/>
      </c>
      <c r="G25" s="364">
        <v>23</v>
      </c>
      <c r="H25" s="365" t="str">
        <f>IF($C25="","",G25*VLOOKUP($C25,MATIERES!$A$2:$F$349,4,0))</f>
        <v/>
      </c>
      <c r="I25" s="364">
        <v>24</v>
      </c>
      <c r="J25" s="365" t="str">
        <f>IF($C25="","",I25*VLOOKUP($C25,MATIERES!$A$2:$F$349,4,0))</f>
        <v/>
      </c>
      <c r="K25" s="364">
        <v>25</v>
      </c>
      <c r="L25" s="365" t="str">
        <f>IF($C25="","",K25*VLOOKUP($C25,MATIERES!$A$2:$F$349,4,0))</f>
        <v/>
      </c>
      <c r="M25" s="364">
        <v>26</v>
      </c>
      <c r="N25" s="365" t="str">
        <f>IF($C25="","",M25*VLOOKUP($C25,MATIERES!$A$2:$F$349,4,0))</f>
        <v/>
      </c>
      <c r="O25" s="364">
        <v>27</v>
      </c>
      <c r="P25" s="365" t="str">
        <f>IF($C25="","",O25*VLOOKUP($C25,MATIERES!$A$2:$F$349,4,0))</f>
        <v/>
      </c>
      <c r="Q25" s="364">
        <v>28</v>
      </c>
      <c r="R25" s="365" t="str">
        <f>IF($C25="","",Q25*VLOOKUP($C25,MATIERES!$A$2:$F$349,4,0))</f>
        <v/>
      </c>
      <c r="S25" s="364">
        <v>29</v>
      </c>
      <c r="T25" s="365" t="str">
        <f>IF($C25="","",S25*VLOOKUP($C25,MATIERES!$A$2:$F$349,4,0))</f>
        <v/>
      </c>
      <c r="U25" s="364">
        <v>30</v>
      </c>
      <c r="V25" s="365" t="str">
        <f>IF($C25="","",U25*VLOOKUP($C25,MATIERES!$A$2:$F$349,4,0))</f>
        <v/>
      </c>
      <c r="W25" s="364">
        <v>31</v>
      </c>
      <c r="X25" s="365" t="str">
        <f>IF($C25="","",W25*VLOOKUP($C25,MATIERES!$A$2:$F$349,4,0))</f>
        <v/>
      </c>
      <c r="Y25" s="364">
        <v>32</v>
      </c>
      <c r="Z25" s="365" t="str">
        <f>IF($C25="","",Y25*VLOOKUP($C25,MATIERES!$A$2:$F$349,4,0))</f>
        <v/>
      </c>
      <c r="AA25" s="364">
        <v>33</v>
      </c>
      <c r="AB25" s="365" t="str">
        <f>IF($C25="","",AA25*VLOOKUP($C25,MATIERES!$A$2:$F$349,4,0))</f>
        <v/>
      </c>
      <c r="AC25" s="364">
        <v>34</v>
      </c>
      <c r="AD25" s="365" t="str">
        <f>IF($C25="","",AC25*VLOOKUP($C25,MATIERES!$A$2:$F$349,4,0))</f>
        <v/>
      </c>
      <c r="AE25" s="364">
        <v>35</v>
      </c>
      <c r="AF25" s="365" t="str">
        <f>IF($C25="","",AE25*VLOOKUP($C25,MATIERES!$A$2:$F$349,4,0))</f>
        <v/>
      </c>
      <c r="AG25" s="364">
        <v>36</v>
      </c>
      <c r="AH25" s="365" t="str">
        <f>IF($C25="","",AG25*VLOOKUP($C25,MATIERES!$A$2:$F$349,4,0))</f>
        <v/>
      </c>
      <c r="AI25" s="364">
        <v>37</v>
      </c>
      <c r="AJ25" s="365" t="str">
        <f>IF($C25="","",AI25*VLOOKUP($C25,MATIERES!$A$2:$F$349,4,0))</f>
        <v/>
      </c>
      <c r="AK25" s="364">
        <v>38</v>
      </c>
      <c r="AL25" s="365" t="str">
        <f>IF($C25="","",AK25*VLOOKUP($C25,MATIERES!$A$2:$F$349,4,0))</f>
        <v/>
      </c>
      <c r="AM25" s="364">
        <v>39</v>
      </c>
      <c r="AN25" s="365" t="str">
        <f>IF($C25="","",AM25*VLOOKUP($C25,MATIERES!$A$2:$F$349,4,0))</f>
        <v/>
      </c>
    </row>
    <row r="26" spans="1:40" ht="30" customHeight="1" x14ac:dyDescent="0.2">
      <c r="A26" s="366"/>
      <c r="B26" s="367" t="s">
        <v>683</v>
      </c>
      <c r="C26" s="368" t="s">
        <v>446</v>
      </c>
      <c r="D26" s="369" t="s">
        <v>447</v>
      </c>
      <c r="E26" s="370">
        <f>F26*(1+Simulation!$P$11)</f>
        <v>0</v>
      </c>
      <c r="F26" s="371">
        <f>SUM(F4:F25)</f>
        <v>0</v>
      </c>
      <c r="G26" s="370">
        <f>H26*(1+Simulation!$P$11)</f>
        <v>0</v>
      </c>
      <c r="H26" s="371">
        <f>SUM(H4:H25)</f>
        <v>0</v>
      </c>
      <c r="I26" s="370">
        <f>J26*(1+Simulation!$P$11)</f>
        <v>0</v>
      </c>
      <c r="J26" s="371">
        <f>SUM(J4:J25)</f>
        <v>0</v>
      </c>
      <c r="K26" s="370">
        <f>L26*(1+Simulation!$P$11)</f>
        <v>0</v>
      </c>
      <c r="L26" s="371">
        <f>SUM(L4:L25)</f>
        <v>0</v>
      </c>
      <c r="M26" s="370">
        <f>N26*(1+Simulation!$P$11)</f>
        <v>0</v>
      </c>
      <c r="N26" s="371">
        <f>SUM(N4:N25)</f>
        <v>0</v>
      </c>
      <c r="O26" s="370">
        <f>P26*(1+Simulation!$P$11)</f>
        <v>0</v>
      </c>
      <c r="P26" s="371">
        <f>SUM(P4:P25)</f>
        <v>0</v>
      </c>
      <c r="Q26" s="370">
        <f>R26*(1+Simulation!$P$11)</f>
        <v>0</v>
      </c>
      <c r="R26" s="371">
        <f>SUM(R4:R25)</f>
        <v>0</v>
      </c>
      <c r="S26" s="370">
        <f>T26*(1+Simulation!$P$11)</f>
        <v>0</v>
      </c>
      <c r="T26" s="371">
        <f>SUM(T4:T25)</f>
        <v>0</v>
      </c>
      <c r="U26" s="370">
        <f>V26*(1+Simulation!$P$11)</f>
        <v>0</v>
      </c>
      <c r="V26" s="371">
        <f>SUM(V4:V25)</f>
        <v>0</v>
      </c>
      <c r="W26" s="370">
        <f>X26*(1+Simulation!$P$11)</f>
        <v>0</v>
      </c>
      <c r="X26" s="371">
        <f>SUM(X4:X25)</f>
        <v>0</v>
      </c>
      <c r="Y26" s="370">
        <f>Z26*(1+Simulation!$P$11)</f>
        <v>0</v>
      </c>
      <c r="Z26" s="371">
        <f>SUM(Z4:Z25)</f>
        <v>0</v>
      </c>
      <c r="AA26" s="370">
        <f>AB26*(1+Simulation!$P$11)</f>
        <v>0</v>
      </c>
      <c r="AB26" s="371">
        <f>SUM(AB4:AB25)</f>
        <v>0</v>
      </c>
      <c r="AC26" s="370">
        <f>AD26*(1+Simulation!$P$11)</f>
        <v>0</v>
      </c>
      <c r="AD26" s="371">
        <f>SUM(AD4:AD25)</f>
        <v>0</v>
      </c>
      <c r="AE26" s="370">
        <f>AF26*(1+Simulation!$P$11)</f>
        <v>0</v>
      </c>
      <c r="AF26" s="371">
        <f>SUM(AF4:AF25)</f>
        <v>0</v>
      </c>
      <c r="AG26" s="370">
        <f>AH26*(1+Simulation!$P$11)</f>
        <v>0</v>
      </c>
      <c r="AH26" s="371">
        <f>SUM(AH4:AH25)</f>
        <v>0</v>
      </c>
      <c r="AI26" s="370">
        <f>AJ26*(1+Simulation!$P$11)</f>
        <v>0</v>
      </c>
      <c r="AJ26" s="371">
        <f>SUM(AJ4:AJ25)</f>
        <v>0</v>
      </c>
      <c r="AK26" s="370">
        <f>AL26*(1+Simulation!$P$11)</f>
        <v>0</v>
      </c>
      <c r="AL26" s="371">
        <f>SUM(AL4:AL25)</f>
        <v>0</v>
      </c>
      <c r="AM26" s="370">
        <f>AN26*(1+Simulation!$P$11)</f>
        <v>0</v>
      </c>
      <c r="AN26" s="371">
        <f>SUM(AN4:AN25)</f>
        <v>0</v>
      </c>
    </row>
    <row r="27" spans="1:40" ht="15" customHeight="1" x14ac:dyDescent="0.2">
      <c r="A27" s="1553" t="s">
        <v>448</v>
      </c>
      <c r="B27" s="361" t="s">
        <v>1079</v>
      </c>
      <c r="C27" s="362" t="s">
        <v>419</v>
      </c>
      <c r="D27" s="363" t="e">
        <f>IF($C27="","",VLOOKUP($C27,ATELIER!$B$2:$E$109,3,0))</f>
        <v>#N/A</v>
      </c>
      <c r="E27" s="364">
        <v>1</v>
      </c>
      <c r="F27" s="372" t="e">
        <f>IF($C27="","",E27*VLOOKUP($C27,ATELIER!$B$2:$F$109,4,0))</f>
        <v>#N/A</v>
      </c>
      <c r="G27" s="364">
        <v>2</v>
      </c>
      <c r="H27" s="372" t="e">
        <f>IF($C27="","",G27*VLOOKUP($C27,ATELIER!$B$2:$F$109,4,0))</f>
        <v>#N/A</v>
      </c>
      <c r="I27" s="364">
        <v>3</v>
      </c>
      <c r="J27" s="372" t="e">
        <f>IF($C27="","",I27*VLOOKUP($C27,ATELIER!$B$2:$F$109,4,0))</f>
        <v>#N/A</v>
      </c>
      <c r="K27" s="364">
        <v>4</v>
      </c>
      <c r="L27" s="372" t="e">
        <f>IF($C27="","",K27*VLOOKUP($C27,ATELIER!$B$2:$F$109,4,0))</f>
        <v>#N/A</v>
      </c>
      <c r="M27" s="364">
        <v>5</v>
      </c>
      <c r="N27" s="372" t="e">
        <f>IF($C27="","",M27*VLOOKUP($C27,ATELIER!$B$2:$F$109,4,0))</f>
        <v>#N/A</v>
      </c>
      <c r="O27" s="364">
        <v>6</v>
      </c>
      <c r="P27" s="372" t="e">
        <f>IF($C27="","",O27*VLOOKUP($C27,ATELIER!$B$2:$F$109,4,0))</f>
        <v>#N/A</v>
      </c>
      <c r="Q27" s="364">
        <v>7</v>
      </c>
      <c r="R27" s="372" t="e">
        <f>IF($C27="","",Q27*VLOOKUP($C27,ATELIER!$B$2:$F$109,4,0))</f>
        <v>#N/A</v>
      </c>
      <c r="S27" s="364">
        <v>8</v>
      </c>
      <c r="T27" s="372" t="e">
        <f>IF($C27="","",S27*VLOOKUP($C27,ATELIER!$B$2:$F$109,4,0))</f>
        <v>#N/A</v>
      </c>
      <c r="U27" s="364">
        <v>9</v>
      </c>
      <c r="V27" s="372" t="e">
        <f>IF($C27="","",U27*VLOOKUP($C27,ATELIER!$B$2:$F$109,4,0))</f>
        <v>#N/A</v>
      </c>
      <c r="W27" s="364">
        <v>10</v>
      </c>
      <c r="X27" s="372" t="e">
        <f>IF($C27="","",W27*VLOOKUP($C27,ATELIER!$B$2:$F$109,4,0))</f>
        <v>#N/A</v>
      </c>
      <c r="Y27" s="364">
        <v>11</v>
      </c>
      <c r="Z27" s="372" t="e">
        <f>IF($C27="","",Y27*VLOOKUP($C27,ATELIER!$B$2:$F$109,4,0))</f>
        <v>#N/A</v>
      </c>
      <c r="AA27" s="364">
        <v>12</v>
      </c>
      <c r="AB27" s="372" t="e">
        <f>IF($C27="","",AA27*VLOOKUP($C27,ATELIER!$B$2:$F$109,4,0))</f>
        <v>#N/A</v>
      </c>
      <c r="AC27" s="364">
        <v>13</v>
      </c>
      <c r="AD27" s="372" t="e">
        <f>IF($C27="","",AC27*VLOOKUP($C27,ATELIER!$B$2:$F$109,4,0))</f>
        <v>#N/A</v>
      </c>
      <c r="AE27" s="364">
        <v>14</v>
      </c>
      <c r="AF27" s="372" t="e">
        <f>IF($C27="","",AE27*VLOOKUP($C27,ATELIER!$B$2:$F$109,4,0))</f>
        <v>#N/A</v>
      </c>
      <c r="AG27" s="364">
        <v>15</v>
      </c>
      <c r="AH27" s="372" t="e">
        <f>IF($C27="","",AG27*VLOOKUP($C27,ATELIER!$B$2:$F$109,4,0))</f>
        <v>#N/A</v>
      </c>
      <c r="AI27" s="364">
        <v>16</v>
      </c>
      <c r="AJ27" s="372" t="e">
        <f>IF($C27="","",AI27*VLOOKUP($C27,ATELIER!$B$2:$F$109,4,0))</f>
        <v>#N/A</v>
      </c>
      <c r="AK27" s="364">
        <v>17</v>
      </c>
      <c r="AL27" s="372" t="e">
        <f>IF($C27="","",AK27*VLOOKUP($C27,ATELIER!$B$2:$F$109,4,0))</f>
        <v>#N/A</v>
      </c>
      <c r="AM27" s="364">
        <v>18</v>
      </c>
      <c r="AN27" s="372" t="e">
        <f>IF($C27="","",AM27*VLOOKUP($C27,ATELIER!$B$2:$F$109,4,0))</f>
        <v>#N/A</v>
      </c>
    </row>
    <row r="28" spans="1:40" ht="15" customHeight="1" x14ac:dyDescent="0.2">
      <c r="A28" s="1553"/>
      <c r="B28" s="361" t="str">
        <f>IF($C28="","",VLOOKUP($C28,ATELIER!$B$2:$F$109,2,0))</f>
        <v/>
      </c>
      <c r="C28" s="362"/>
      <c r="D28" s="363" t="str">
        <f>IF($C28="","",VLOOKUP($C28,ATELIER!$B$2:$E$109,3,0))</f>
        <v/>
      </c>
      <c r="E28" s="364">
        <v>2</v>
      </c>
      <c r="F28" s="372" t="str">
        <f>IF($C28="","",E28*VLOOKUP($C28,ATELIER!$B$2:$F$109,4,0))</f>
        <v/>
      </c>
      <c r="G28" s="364">
        <v>3</v>
      </c>
      <c r="H28" s="372" t="str">
        <f>IF($C28="","",G28*VLOOKUP($C28,ATELIER!$B$2:$F$109,4,0))</f>
        <v/>
      </c>
      <c r="I28" s="364">
        <v>4</v>
      </c>
      <c r="J28" s="372" t="str">
        <f>IF($C28="","",I28*VLOOKUP($C28,ATELIER!$B$2:$F$109,4,0))</f>
        <v/>
      </c>
      <c r="K28" s="364">
        <v>5</v>
      </c>
      <c r="L28" s="372" t="str">
        <f>IF($C28="","",K28*VLOOKUP($C28,ATELIER!$B$2:$F$109,4,0))</f>
        <v/>
      </c>
      <c r="M28" s="364">
        <v>6</v>
      </c>
      <c r="N28" s="372" t="str">
        <f>IF($C28="","",M28*VLOOKUP($C28,ATELIER!$B$2:$F$109,4,0))</f>
        <v/>
      </c>
      <c r="O28" s="364">
        <v>7</v>
      </c>
      <c r="P28" s="372" t="str">
        <f>IF($C28="","",O28*VLOOKUP($C28,ATELIER!$B$2:$F$109,4,0))</f>
        <v/>
      </c>
      <c r="Q28" s="364">
        <v>8</v>
      </c>
      <c r="R28" s="372" t="str">
        <f>IF($C28="","",Q28*VLOOKUP($C28,ATELIER!$B$2:$F$109,4,0))</f>
        <v/>
      </c>
      <c r="S28" s="364">
        <v>9</v>
      </c>
      <c r="T28" s="372" t="str">
        <f>IF($C28="","",S28*VLOOKUP($C28,ATELIER!$B$2:$F$109,4,0))</f>
        <v/>
      </c>
      <c r="U28" s="364">
        <v>10</v>
      </c>
      <c r="V28" s="372" t="str">
        <f>IF($C28="","",U28*VLOOKUP($C28,ATELIER!$B$2:$F$109,4,0))</f>
        <v/>
      </c>
      <c r="W28" s="364">
        <v>11</v>
      </c>
      <c r="X28" s="372" t="str">
        <f>IF($C28="","",W28*VLOOKUP($C28,ATELIER!$B$2:$F$109,4,0))</f>
        <v/>
      </c>
      <c r="Y28" s="364">
        <v>12</v>
      </c>
      <c r="Z28" s="372" t="str">
        <f>IF($C28="","",Y28*VLOOKUP($C28,ATELIER!$B$2:$F$109,4,0))</f>
        <v/>
      </c>
      <c r="AA28" s="364">
        <v>13</v>
      </c>
      <c r="AB28" s="372" t="str">
        <f>IF($C28="","",AA28*VLOOKUP($C28,ATELIER!$B$2:$F$109,4,0))</f>
        <v/>
      </c>
      <c r="AC28" s="364">
        <v>14</v>
      </c>
      <c r="AD28" s="372" t="str">
        <f>IF($C28="","",AC28*VLOOKUP($C28,ATELIER!$B$2:$F$109,4,0))</f>
        <v/>
      </c>
      <c r="AE28" s="364">
        <v>15</v>
      </c>
      <c r="AF28" s="372" t="str">
        <f>IF($C28="","",AE28*VLOOKUP($C28,ATELIER!$B$2:$F$109,4,0))</f>
        <v/>
      </c>
      <c r="AG28" s="364">
        <v>16</v>
      </c>
      <c r="AH28" s="372" t="str">
        <f>IF($C28="","",AG28*VLOOKUP($C28,ATELIER!$B$2:$F$109,4,0))</f>
        <v/>
      </c>
      <c r="AI28" s="364">
        <v>17</v>
      </c>
      <c r="AJ28" s="372" t="str">
        <f>IF($C28="","",AI28*VLOOKUP($C28,ATELIER!$B$2:$F$109,4,0))</f>
        <v/>
      </c>
      <c r="AK28" s="364">
        <v>18</v>
      </c>
      <c r="AL28" s="372" t="str">
        <f>IF($C28="","",AK28*VLOOKUP($C28,ATELIER!$B$2:$F$109,4,0))</f>
        <v/>
      </c>
      <c r="AM28" s="364">
        <v>19</v>
      </c>
      <c r="AN28" s="372" t="str">
        <f>IF($C28="","",AM28*VLOOKUP($C28,ATELIER!$B$2:$F$109,4,0))</f>
        <v/>
      </c>
    </row>
    <row r="29" spans="1:40" ht="15" customHeight="1" x14ac:dyDescent="0.2">
      <c r="A29" s="1552"/>
      <c r="B29" s="373" t="str">
        <f>IF($C29="","",VLOOKUP($C29,ATELIER!$B$2:$F$109,2,0))</f>
        <v/>
      </c>
      <c r="C29" s="374"/>
      <c r="D29" s="363" t="str">
        <f>IF($C29="","",VLOOKUP($C29,ATELIER!$B$2:$E$109,3,0))</f>
        <v/>
      </c>
      <c r="E29" s="364">
        <v>3</v>
      </c>
      <c r="F29" s="372" t="str">
        <f>IF($C29="","",E29*VLOOKUP($C29,ATELIER!$B$2:$F$109,4,0))</f>
        <v/>
      </c>
      <c r="G29" s="364">
        <v>4</v>
      </c>
      <c r="H29" s="372" t="str">
        <f>IF($C29="","",G29*VLOOKUP($C29,ATELIER!$B$2:$F$109,4,0))</f>
        <v/>
      </c>
      <c r="I29" s="364">
        <v>5</v>
      </c>
      <c r="J29" s="372" t="str">
        <f>IF($C29="","",I29*VLOOKUP($C29,ATELIER!$B$2:$F$109,4,0))</f>
        <v/>
      </c>
      <c r="K29" s="364">
        <v>6</v>
      </c>
      <c r="L29" s="372" t="str">
        <f>IF($C29="","",K29*VLOOKUP($C29,ATELIER!$B$2:$F$109,4,0))</f>
        <v/>
      </c>
      <c r="M29" s="364">
        <v>7</v>
      </c>
      <c r="N29" s="372" t="str">
        <f>IF($C29="","",M29*VLOOKUP($C29,ATELIER!$B$2:$F$109,4,0))</f>
        <v/>
      </c>
      <c r="O29" s="364">
        <v>8</v>
      </c>
      <c r="P29" s="372" t="str">
        <f>IF($C29="","",O29*VLOOKUP($C29,ATELIER!$B$2:$F$109,4,0))</f>
        <v/>
      </c>
      <c r="Q29" s="364">
        <v>9</v>
      </c>
      <c r="R29" s="372" t="str">
        <f>IF($C29="","",Q29*VLOOKUP($C29,ATELIER!$B$2:$F$109,4,0))</f>
        <v/>
      </c>
      <c r="S29" s="364">
        <v>10</v>
      </c>
      <c r="T29" s="372" t="str">
        <f>IF($C29="","",S29*VLOOKUP($C29,ATELIER!$B$2:$F$109,4,0))</f>
        <v/>
      </c>
      <c r="U29" s="364">
        <v>11</v>
      </c>
      <c r="V29" s="372" t="str">
        <f>IF($C29="","",U29*VLOOKUP($C29,ATELIER!$B$2:$F$109,4,0))</f>
        <v/>
      </c>
      <c r="W29" s="364">
        <v>12</v>
      </c>
      <c r="X29" s="372" t="str">
        <f>IF($C29="","",W29*VLOOKUP($C29,ATELIER!$B$2:$F$109,4,0))</f>
        <v/>
      </c>
      <c r="Y29" s="364">
        <v>13</v>
      </c>
      <c r="Z29" s="372" t="str">
        <f>IF($C29="","",Y29*VLOOKUP($C29,ATELIER!$B$2:$F$109,4,0))</f>
        <v/>
      </c>
      <c r="AA29" s="364">
        <v>14</v>
      </c>
      <c r="AB29" s="372" t="str">
        <f>IF($C29="","",AA29*VLOOKUP($C29,ATELIER!$B$2:$F$109,4,0))</f>
        <v/>
      </c>
      <c r="AC29" s="364">
        <v>15</v>
      </c>
      <c r="AD29" s="372" t="str">
        <f>IF($C29="","",AC29*VLOOKUP($C29,ATELIER!$B$2:$F$109,4,0))</f>
        <v/>
      </c>
      <c r="AE29" s="364">
        <v>16</v>
      </c>
      <c r="AF29" s="372" t="str">
        <f>IF($C29="","",AE29*VLOOKUP($C29,ATELIER!$B$2:$F$109,4,0))</f>
        <v/>
      </c>
      <c r="AG29" s="364">
        <v>17</v>
      </c>
      <c r="AH29" s="372" t="str">
        <f>IF($C29="","",AG29*VLOOKUP($C29,ATELIER!$B$2:$F$109,4,0))</f>
        <v/>
      </c>
      <c r="AI29" s="364">
        <v>18</v>
      </c>
      <c r="AJ29" s="372" t="str">
        <f>IF($C29="","",AI29*VLOOKUP($C29,ATELIER!$B$2:$F$109,4,0))</f>
        <v/>
      </c>
      <c r="AK29" s="364">
        <v>19</v>
      </c>
      <c r="AL29" s="372" t="str">
        <f>IF($C29="","",AK29*VLOOKUP($C29,ATELIER!$B$2:$F$109,4,0))</f>
        <v/>
      </c>
      <c r="AM29" s="364">
        <v>20</v>
      </c>
      <c r="AN29" s="372" t="str">
        <f>IF($C29="","",AM29*VLOOKUP($C29,ATELIER!$B$2:$F$109,4,0))</f>
        <v/>
      </c>
    </row>
    <row r="30" spans="1:40" ht="15" customHeight="1" x14ac:dyDescent="0.2">
      <c r="A30" s="1553"/>
      <c r="B30" s="361" t="str">
        <f>IF($C30="","",VLOOKUP($C30,ATELIER!$B$2:$F$109,2,0))</f>
        <v/>
      </c>
      <c r="C30" s="362"/>
      <c r="D30" s="363" t="str">
        <f>IF($C30="","",VLOOKUP($C30,ATELIER!$B$2:$E$109,3,0))</f>
        <v/>
      </c>
      <c r="E30" s="364">
        <v>4</v>
      </c>
      <c r="F30" s="372" t="str">
        <f>IF($C30="","",E30*VLOOKUP($C30,ATELIER!$B$2:$F$109,4,0))</f>
        <v/>
      </c>
      <c r="G30" s="364">
        <v>5</v>
      </c>
      <c r="H30" s="372" t="str">
        <f>IF($C30="","",G30*VLOOKUP($C30,ATELIER!$B$2:$F$109,4,0))</f>
        <v/>
      </c>
      <c r="I30" s="364">
        <v>6</v>
      </c>
      <c r="J30" s="372" t="str">
        <f>IF($C30="","",I30*VLOOKUP($C30,ATELIER!$B$2:$F$109,4,0))</f>
        <v/>
      </c>
      <c r="K30" s="364">
        <v>7</v>
      </c>
      <c r="L30" s="372" t="str">
        <f>IF($C30="","",K30*VLOOKUP($C30,ATELIER!$B$2:$F$109,4,0))</f>
        <v/>
      </c>
      <c r="M30" s="364">
        <v>8</v>
      </c>
      <c r="N30" s="372" t="str">
        <f>IF($C30="","",M30*VLOOKUP($C30,ATELIER!$B$2:$F$109,4,0))</f>
        <v/>
      </c>
      <c r="O30" s="364">
        <v>9</v>
      </c>
      <c r="P30" s="372" t="str">
        <f>IF($C30="","",O30*VLOOKUP($C30,ATELIER!$B$2:$F$109,4,0))</f>
        <v/>
      </c>
      <c r="Q30" s="364">
        <v>10</v>
      </c>
      <c r="R30" s="372" t="str">
        <f>IF($C30="","",Q30*VLOOKUP($C30,ATELIER!$B$2:$F$109,4,0))</f>
        <v/>
      </c>
      <c r="S30" s="364">
        <v>11</v>
      </c>
      <c r="T30" s="372" t="str">
        <f>IF($C30="","",S30*VLOOKUP($C30,ATELIER!$B$2:$F$109,4,0))</f>
        <v/>
      </c>
      <c r="U30" s="364">
        <v>12</v>
      </c>
      <c r="V30" s="372" t="str">
        <f>IF($C30="","",U30*VLOOKUP($C30,ATELIER!$B$2:$F$109,4,0))</f>
        <v/>
      </c>
      <c r="W30" s="364">
        <v>13</v>
      </c>
      <c r="X30" s="372" t="str">
        <f>IF($C30="","",W30*VLOOKUP($C30,ATELIER!$B$2:$F$109,4,0))</f>
        <v/>
      </c>
      <c r="Y30" s="364">
        <v>14</v>
      </c>
      <c r="Z30" s="372" t="str">
        <f>IF($C30="","",Y30*VLOOKUP($C30,ATELIER!$B$2:$F$109,4,0))</f>
        <v/>
      </c>
      <c r="AA30" s="364">
        <v>15</v>
      </c>
      <c r="AB30" s="372" t="str">
        <f>IF($C30="","",AA30*VLOOKUP($C30,ATELIER!$B$2:$F$109,4,0))</f>
        <v/>
      </c>
      <c r="AC30" s="364">
        <v>16</v>
      </c>
      <c r="AD30" s="372" t="str">
        <f>IF($C30="","",AC30*VLOOKUP($C30,ATELIER!$B$2:$F$109,4,0))</f>
        <v/>
      </c>
      <c r="AE30" s="364">
        <v>17</v>
      </c>
      <c r="AF30" s="372" t="str">
        <f>IF($C30="","",AE30*VLOOKUP($C30,ATELIER!$B$2:$F$109,4,0))</f>
        <v/>
      </c>
      <c r="AG30" s="364">
        <v>18</v>
      </c>
      <c r="AH30" s="372" t="str">
        <f>IF($C30="","",AG30*VLOOKUP($C30,ATELIER!$B$2:$F$109,4,0))</f>
        <v/>
      </c>
      <c r="AI30" s="364">
        <v>19</v>
      </c>
      <c r="AJ30" s="372" t="str">
        <f>IF($C30="","",AI30*VLOOKUP($C30,ATELIER!$B$2:$F$109,4,0))</f>
        <v/>
      </c>
      <c r="AK30" s="364">
        <v>20</v>
      </c>
      <c r="AL30" s="372" t="str">
        <f>IF($C30="","",AK30*VLOOKUP($C30,ATELIER!$B$2:$F$109,4,0))</f>
        <v/>
      </c>
      <c r="AM30" s="364">
        <v>21</v>
      </c>
      <c r="AN30" s="372" t="str">
        <f>IF($C30="","",AM30*VLOOKUP($C30,ATELIER!$B$2:$F$109,4,0))</f>
        <v/>
      </c>
    </row>
    <row r="31" spans="1:40" ht="15" customHeight="1" x14ac:dyDescent="0.2">
      <c r="A31" s="1553"/>
      <c r="B31" s="361" t="str">
        <f>IF($C31="","",VLOOKUP($C31,ATELIER!$B$2:$F$109,2,0))</f>
        <v/>
      </c>
      <c r="C31" s="362"/>
      <c r="D31" s="363" t="str">
        <f>IF($C31="","",VLOOKUP($C31,ATELIER!$B$2:$E$109,3,0))</f>
        <v/>
      </c>
      <c r="E31" s="364">
        <v>5</v>
      </c>
      <c r="F31" s="372" t="str">
        <f>IF($C31="","",E31*VLOOKUP($C31,ATELIER!$B$2:$F$109,4,0))</f>
        <v/>
      </c>
      <c r="G31" s="364">
        <v>6</v>
      </c>
      <c r="H31" s="372" t="str">
        <f>IF($C31="","",G31*VLOOKUP($C31,ATELIER!$B$2:$F$109,4,0))</f>
        <v/>
      </c>
      <c r="I31" s="364">
        <v>7</v>
      </c>
      <c r="J31" s="372" t="str">
        <f>IF($C31="","",I31*VLOOKUP($C31,ATELIER!$B$2:$F$109,4,0))</f>
        <v/>
      </c>
      <c r="K31" s="364">
        <v>8</v>
      </c>
      <c r="L31" s="372" t="str">
        <f>IF($C31="","",K31*VLOOKUP($C31,ATELIER!$B$2:$F$109,4,0))</f>
        <v/>
      </c>
      <c r="M31" s="364">
        <v>9</v>
      </c>
      <c r="N31" s="372" t="str">
        <f>IF($C31="","",M31*VLOOKUP($C31,ATELIER!$B$2:$F$109,4,0))</f>
        <v/>
      </c>
      <c r="O31" s="364">
        <v>10</v>
      </c>
      <c r="P31" s="372" t="str">
        <f>IF($C31="","",O31*VLOOKUP($C31,ATELIER!$B$2:$F$109,4,0))</f>
        <v/>
      </c>
      <c r="Q31" s="364">
        <v>11</v>
      </c>
      <c r="R31" s="372" t="str">
        <f>IF($C31="","",Q31*VLOOKUP($C31,ATELIER!$B$2:$F$109,4,0))</f>
        <v/>
      </c>
      <c r="S31" s="364">
        <v>12</v>
      </c>
      <c r="T31" s="372" t="str">
        <f>IF($C31="","",S31*VLOOKUP($C31,ATELIER!$B$2:$F$109,4,0))</f>
        <v/>
      </c>
      <c r="U31" s="364">
        <v>13</v>
      </c>
      <c r="V31" s="372" t="str">
        <f>IF($C31="","",U31*VLOOKUP($C31,ATELIER!$B$2:$F$109,4,0))</f>
        <v/>
      </c>
      <c r="W31" s="364">
        <v>14</v>
      </c>
      <c r="X31" s="372" t="str">
        <f>IF($C31="","",W31*VLOOKUP($C31,ATELIER!$B$2:$F$109,4,0))</f>
        <v/>
      </c>
      <c r="Y31" s="364">
        <v>15</v>
      </c>
      <c r="Z31" s="372" t="str">
        <f>IF($C31="","",Y31*VLOOKUP($C31,ATELIER!$B$2:$F$109,4,0))</f>
        <v/>
      </c>
      <c r="AA31" s="364">
        <v>16</v>
      </c>
      <c r="AB31" s="372" t="str">
        <f>IF($C31="","",AA31*VLOOKUP($C31,ATELIER!$B$2:$F$109,4,0))</f>
        <v/>
      </c>
      <c r="AC31" s="364">
        <v>17</v>
      </c>
      <c r="AD31" s="372" t="str">
        <f>IF($C31="","",AC31*VLOOKUP($C31,ATELIER!$B$2:$F$109,4,0))</f>
        <v/>
      </c>
      <c r="AE31" s="364">
        <v>18</v>
      </c>
      <c r="AF31" s="372" t="str">
        <f>IF($C31="","",AE31*VLOOKUP($C31,ATELIER!$B$2:$F$109,4,0))</f>
        <v/>
      </c>
      <c r="AG31" s="364">
        <v>19</v>
      </c>
      <c r="AH31" s="372" t="str">
        <f>IF($C31="","",AG31*VLOOKUP($C31,ATELIER!$B$2:$F$109,4,0))</f>
        <v/>
      </c>
      <c r="AI31" s="364">
        <v>20</v>
      </c>
      <c r="AJ31" s="372" t="str">
        <f>IF($C31="","",AI31*VLOOKUP($C31,ATELIER!$B$2:$F$109,4,0))</f>
        <v/>
      </c>
      <c r="AK31" s="364">
        <v>21</v>
      </c>
      <c r="AL31" s="372" t="str">
        <f>IF($C31="","",AK31*VLOOKUP($C31,ATELIER!$B$2:$F$109,4,0))</f>
        <v/>
      </c>
      <c r="AM31" s="364">
        <v>22</v>
      </c>
      <c r="AN31" s="372" t="str">
        <f>IF($C31="","",AM31*VLOOKUP($C31,ATELIER!$B$2:$F$109,4,0))</f>
        <v/>
      </c>
    </row>
    <row r="32" spans="1:40" ht="15" customHeight="1" x14ac:dyDescent="0.2">
      <c r="A32" s="1553"/>
      <c r="B32" s="361" t="str">
        <f>IF($C32="","",VLOOKUP($C32,ATELIER!$B$2:$F$109,2,0))</f>
        <v/>
      </c>
      <c r="C32" s="362"/>
      <c r="D32" s="363" t="str">
        <f>IF($C32="","",VLOOKUP($C32,ATELIER!$B$2:$E$109,3,0))</f>
        <v/>
      </c>
      <c r="E32" s="364">
        <v>6</v>
      </c>
      <c r="F32" s="372" t="str">
        <f>IF($C32="","",E32*VLOOKUP($C32,ATELIER!$B$2:$F$109,4,0))</f>
        <v/>
      </c>
      <c r="G32" s="364">
        <v>7</v>
      </c>
      <c r="H32" s="372" t="str">
        <f>IF($C32="","",G32*VLOOKUP($C32,ATELIER!$B$2:$F$109,4,0))</f>
        <v/>
      </c>
      <c r="I32" s="364">
        <v>8</v>
      </c>
      <c r="J32" s="372" t="str">
        <f>IF($C32="","",I32*VLOOKUP($C32,ATELIER!$B$2:$F$109,4,0))</f>
        <v/>
      </c>
      <c r="K32" s="364">
        <v>9</v>
      </c>
      <c r="L32" s="372" t="str">
        <f>IF($C32="","",K32*VLOOKUP($C32,ATELIER!$B$2:$F$109,4,0))</f>
        <v/>
      </c>
      <c r="M32" s="364">
        <v>10</v>
      </c>
      <c r="N32" s="372" t="str">
        <f>IF($C32="","",M32*VLOOKUP($C32,ATELIER!$B$2:$F$109,4,0))</f>
        <v/>
      </c>
      <c r="O32" s="364">
        <v>11</v>
      </c>
      <c r="P32" s="372" t="str">
        <f>IF($C32="","",O32*VLOOKUP($C32,ATELIER!$B$2:$F$109,4,0))</f>
        <v/>
      </c>
      <c r="Q32" s="364">
        <v>12</v>
      </c>
      <c r="R32" s="372" t="str">
        <f>IF($C32="","",Q32*VLOOKUP($C32,ATELIER!$B$2:$F$109,4,0))</f>
        <v/>
      </c>
      <c r="S32" s="364">
        <v>13</v>
      </c>
      <c r="T32" s="372" t="str">
        <f>IF($C32="","",S32*VLOOKUP($C32,ATELIER!$B$2:$F$109,4,0))</f>
        <v/>
      </c>
      <c r="U32" s="364">
        <v>14</v>
      </c>
      <c r="V32" s="372" t="str">
        <f>IF($C32="","",U32*VLOOKUP($C32,ATELIER!$B$2:$F$109,4,0))</f>
        <v/>
      </c>
      <c r="W32" s="364">
        <v>15</v>
      </c>
      <c r="X32" s="372" t="str">
        <f>IF($C32="","",W32*VLOOKUP($C32,ATELIER!$B$2:$F$109,4,0))</f>
        <v/>
      </c>
      <c r="Y32" s="364">
        <v>16</v>
      </c>
      <c r="Z32" s="372" t="str">
        <f>IF($C32="","",Y32*VLOOKUP($C32,ATELIER!$B$2:$F$109,4,0))</f>
        <v/>
      </c>
      <c r="AA32" s="364">
        <v>17</v>
      </c>
      <c r="AB32" s="372" t="str">
        <f>IF($C32="","",AA32*VLOOKUP($C32,ATELIER!$B$2:$F$109,4,0))</f>
        <v/>
      </c>
      <c r="AC32" s="364">
        <v>18</v>
      </c>
      <c r="AD32" s="372" t="str">
        <f>IF($C32="","",AC32*VLOOKUP($C32,ATELIER!$B$2:$F$109,4,0))</f>
        <v/>
      </c>
      <c r="AE32" s="364">
        <v>19</v>
      </c>
      <c r="AF32" s="372" t="str">
        <f>IF($C32="","",AE32*VLOOKUP($C32,ATELIER!$B$2:$F$109,4,0))</f>
        <v/>
      </c>
      <c r="AG32" s="364">
        <v>20</v>
      </c>
      <c r="AH32" s="372" t="str">
        <f>IF($C32="","",AG32*VLOOKUP($C32,ATELIER!$B$2:$F$109,4,0))</f>
        <v/>
      </c>
      <c r="AI32" s="364">
        <v>21</v>
      </c>
      <c r="AJ32" s="372" t="str">
        <f>IF($C32="","",AI32*VLOOKUP($C32,ATELIER!$B$2:$F$109,4,0))</f>
        <v/>
      </c>
      <c r="AK32" s="364">
        <v>22</v>
      </c>
      <c r="AL32" s="372" t="str">
        <f>IF($C32="","",AK32*VLOOKUP($C32,ATELIER!$B$2:$F$109,4,0))</f>
        <v/>
      </c>
      <c r="AM32" s="364">
        <v>23</v>
      </c>
      <c r="AN32" s="372" t="str">
        <f>IF($C32="","",AM32*VLOOKUP($C32,ATELIER!$B$2:$F$109,4,0))</f>
        <v/>
      </c>
    </row>
    <row r="33" spans="1:42" ht="15" customHeight="1" x14ac:dyDescent="0.2">
      <c r="A33" s="1553"/>
      <c r="B33" s="361" t="str">
        <f>IF($C33="","",VLOOKUP($C33,ATELIER!$B$2:$F$109,2,0))</f>
        <v/>
      </c>
      <c r="C33" s="362"/>
      <c r="D33" s="363" t="str">
        <f>IF($C33="","",VLOOKUP($C33,ATELIER!$B$2:$E$109,3,0))</f>
        <v/>
      </c>
      <c r="E33" s="364">
        <v>7</v>
      </c>
      <c r="F33" s="372" t="str">
        <f>IF($C33="","",E33*VLOOKUP($C33,ATELIER!$B$2:$F$109,4,0))</f>
        <v/>
      </c>
      <c r="G33" s="364">
        <v>8</v>
      </c>
      <c r="H33" s="372" t="str">
        <f>IF($C33="","",G33*VLOOKUP($C33,ATELIER!$B$2:$F$109,4,0))</f>
        <v/>
      </c>
      <c r="I33" s="364">
        <v>9</v>
      </c>
      <c r="J33" s="372" t="str">
        <f>IF($C33="","",I33*VLOOKUP($C33,ATELIER!$B$2:$F$109,4,0))</f>
        <v/>
      </c>
      <c r="K33" s="364">
        <v>10</v>
      </c>
      <c r="L33" s="372" t="str">
        <f>IF($C33="","",K33*VLOOKUP($C33,ATELIER!$B$2:$F$109,4,0))</f>
        <v/>
      </c>
      <c r="M33" s="364">
        <v>11</v>
      </c>
      <c r="N33" s="372" t="str">
        <f>IF($C33="","",M33*VLOOKUP($C33,ATELIER!$B$2:$F$109,4,0))</f>
        <v/>
      </c>
      <c r="O33" s="364">
        <v>12</v>
      </c>
      <c r="P33" s="372" t="str">
        <f>IF($C33="","",O33*VLOOKUP($C33,ATELIER!$B$2:$F$109,4,0))</f>
        <v/>
      </c>
      <c r="Q33" s="364">
        <v>13</v>
      </c>
      <c r="R33" s="372" t="str">
        <f>IF($C33="","",Q33*VLOOKUP($C33,ATELIER!$B$2:$F$109,4,0))</f>
        <v/>
      </c>
      <c r="S33" s="364">
        <v>14</v>
      </c>
      <c r="T33" s="372" t="str">
        <f>IF($C33="","",S33*VLOOKUP($C33,ATELIER!$B$2:$F$109,4,0))</f>
        <v/>
      </c>
      <c r="U33" s="364">
        <v>15</v>
      </c>
      <c r="V33" s="372" t="str">
        <f>IF($C33="","",U33*VLOOKUP($C33,ATELIER!$B$2:$F$109,4,0))</f>
        <v/>
      </c>
      <c r="W33" s="364">
        <v>16</v>
      </c>
      <c r="X33" s="372" t="str">
        <f>IF($C33="","",W33*VLOOKUP($C33,ATELIER!$B$2:$F$109,4,0))</f>
        <v/>
      </c>
      <c r="Y33" s="364">
        <v>17</v>
      </c>
      <c r="Z33" s="372" t="str">
        <f>IF($C33="","",Y33*VLOOKUP($C33,ATELIER!$B$2:$F$109,4,0))</f>
        <v/>
      </c>
      <c r="AA33" s="364">
        <v>18</v>
      </c>
      <c r="AB33" s="372" t="str">
        <f>IF($C33="","",AA33*VLOOKUP($C33,ATELIER!$B$2:$F$109,4,0))</f>
        <v/>
      </c>
      <c r="AC33" s="364">
        <v>19</v>
      </c>
      <c r="AD33" s="372" t="str">
        <f>IF($C33="","",AC33*VLOOKUP($C33,ATELIER!$B$2:$F$109,4,0))</f>
        <v/>
      </c>
      <c r="AE33" s="364">
        <v>20</v>
      </c>
      <c r="AF33" s="372" t="str">
        <f>IF($C33="","",AE33*VLOOKUP($C33,ATELIER!$B$2:$F$109,4,0))</f>
        <v/>
      </c>
      <c r="AG33" s="364">
        <v>21</v>
      </c>
      <c r="AH33" s="372" t="str">
        <f>IF($C33="","",AG33*VLOOKUP($C33,ATELIER!$B$2:$F$109,4,0))</f>
        <v/>
      </c>
      <c r="AI33" s="364">
        <v>22</v>
      </c>
      <c r="AJ33" s="372" t="str">
        <f>IF($C33="","",AI33*VLOOKUP($C33,ATELIER!$B$2:$F$109,4,0))</f>
        <v/>
      </c>
      <c r="AK33" s="364">
        <v>23</v>
      </c>
      <c r="AL33" s="372" t="str">
        <f>IF($C33="","",AK33*VLOOKUP($C33,ATELIER!$B$2:$F$109,4,0))</f>
        <v/>
      </c>
      <c r="AM33" s="364">
        <v>24</v>
      </c>
      <c r="AN33" s="372" t="str">
        <f>IF($C33="","",AM33*VLOOKUP($C33,ATELIER!$B$2:$F$109,4,0))</f>
        <v/>
      </c>
    </row>
    <row r="34" spans="1:42" ht="15" customHeight="1" x14ac:dyDescent="0.2">
      <c r="A34" s="1553"/>
      <c r="B34" s="361" t="str">
        <f>IF($C34="","",VLOOKUP($C34,ATELIER!$B$2:$F$109,2,0))</f>
        <v/>
      </c>
      <c r="C34" s="362"/>
      <c r="D34" s="363" t="str">
        <f>IF($C34="","",VLOOKUP($C34,ATELIER!$B$2:$E$109,3,0))</f>
        <v/>
      </c>
      <c r="E34" s="364">
        <v>8</v>
      </c>
      <c r="F34" s="372" t="str">
        <f>IF($C34="","",E34*VLOOKUP($C34,ATELIER!$B$2:$F$109,4,0))</f>
        <v/>
      </c>
      <c r="G34" s="364">
        <v>9</v>
      </c>
      <c r="H34" s="372" t="str">
        <f>IF($C34="","",G34*VLOOKUP($C34,ATELIER!$B$2:$F$109,4,0))</f>
        <v/>
      </c>
      <c r="I34" s="364">
        <v>10</v>
      </c>
      <c r="J34" s="372" t="str">
        <f>IF($C34="","",I34*VLOOKUP($C34,ATELIER!$B$2:$F$109,4,0))</f>
        <v/>
      </c>
      <c r="K34" s="364">
        <v>11</v>
      </c>
      <c r="L34" s="372" t="str">
        <f>IF($C34="","",K34*VLOOKUP($C34,ATELIER!$B$2:$F$109,4,0))</f>
        <v/>
      </c>
      <c r="M34" s="364">
        <v>12</v>
      </c>
      <c r="N34" s="372" t="str">
        <f>IF($C34="","",M34*VLOOKUP($C34,ATELIER!$B$2:$F$109,4,0))</f>
        <v/>
      </c>
      <c r="O34" s="364">
        <v>13</v>
      </c>
      <c r="P34" s="372" t="str">
        <f>IF($C34="","",O34*VLOOKUP($C34,ATELIER!$B$2:$F$109,4,0))</f>
        <v/>
      </c>
      <c r="Q34" s="364">
        <v>14</v>
      </c>
      <c r="R34" s="372" t="str">
        <f>IF($C34="","",Q34*VLOOKUP($C34,ATELIER!$B$2:$F$109,4,0))</f>
        <v/>
      </c>
      <c r="S34" s="364">
        <v>15</v>
      </c>
      <c r="T34" s="372" t="str">
        <f>IF($C34="","",S34*VLOOKUP($C34,ATELIER!$B$2:$F$109,4,0))</f>
        <v/>
      </c>
      <c r="U34" s="364">
        <v>16</v>
      </c>
      <c r="V34" s="372" t="str">
        <f>IF($C34="","",U34*VLOOKUP($C34,ATELIER!$B$2:$F$109,4,0))</f>
        <v/>
      </c>
      <c r="W34" s="364">
        <v>17</v>
      </c>
      <c r="X34" s="372" t="str">
        <f>IF($C34="","",W34*VLOOKUP($C34,ATELIER!$B$2:$F$109,4,0))</f>
        <v/>
      </c>
      <c r="Y34" s="364">
        <v>18</v>
      </c>
      <c r="Z34" s="372" t="str">
        <f>IF($C34="","",Y34*VLOOKUP($C34,ATELIER!$B$2:$F$109,4,0))</f>
        <v/>
      </c>
      <c r="AA34" s="364">
        <v>19</v>
      </c>
      <c r="AB34" s="372" t="str">
        <f>IF($C34="","",AA34*VLOOKUP($C34,ATELIER!$B$2:$F$109,4,0))</f>
        <v/>
      </c>
      <c r="AC34" s="364">
        <v>20</v>
      </c>
      <c r="AD34" s="372" t="str">
        <f>IF($C34="","",AC34*VLOOKUP($C34,ATELIER!$B$2:$F$109,4,0))</f>
        <v/>
      </c>
      <c r="AE34" s="364">
        <v>21</v>
      </c>
      <c r="AF34" s="372" t="str">
        <f>IF($C34="","",AE34*VLOOKUP($C34,ATELIER!$B$2:$F$109,4,0))</f>
        <v/>
      </c>
      <c r="AG34" s="364">
        <v>22</v>
      </c>
      <c r="AH34" s="372" t="str">
        <f>IF($C34="","",AG34*VLOOKUP($C34,ATELIER!$B$2:$F$109,4,0))</f>
        <v/>
      </c>
      <c r="AI34" s="364">
        <v>23</v>
      </c>
      <c r="AJ34" s="372" t="str">
        <f>IF($C34="","",AI34*VLOOKUP($C34,ATELIER!$B$2:$F$109,4,0))</f>
        <v/>
      </c>
      <c r="AK34" s="364">
        <v>24</v>
      </c>
      <c r="AL34" s="372" t="str">
        <f>IF($C34="","",AK34*VLOOKUP($C34,ATELIER!$B$2:$F$109,4,0))</f>
        <v/>
      </c>
      <c r="AM34" s="364">
        <v>25</v>
      </c>
      <c r="AN34" s="372" t="str">
        <f>IF($C34="","",AM34*VLOOKUP($C34,ATELIER!$B$2:$F$109,4,0))</f>
        <v/>
      </c>
      <c r="AO34" s="222"/>
      <c r="AP34" s="223"/>
    </row>
    <row r="35" spans="1:42" ht="15" customHeight="1" x14ac:dyDescent="0.2">
      <c r="A35" s="1553"/>
      <c r="B35" s="361" t="str">
        <f>IF($C35="","",VLOOKUP($C35,ATELIER!$B$2:$F$109,2,0))</f>
        <v/>
      </c>
      <c r="C35" s="362"/>
      <c r="D35" s="363" t="str">
        <f>IF($C35="","",VLOOKUP($C35,ATELIER!$B$2:$E$109,3,0))</f>
        <v/>
      </c>
      <c r="E35" s="364">
        <v>9</v>
      </c>
      <c r="F35" s="372" t="str">
        <f>IF($C35="","",E35*VLOOKUP($C35,ATELIER!$B$2:$F$109,4,0))</f>
        <v/>
      </c>
      <c r="G35" s="364">
        <v>10</v>
      </c>
      <c r="H35" s="372" t="str">
        <f>IF($C35="","",G35*VLOOKUP($C35,ATELIER!$B$2:$F$109,4,0))</f>
        <v/>
      </c>
      <c r="I35" s="364">
        <v>11</v>
      </c>
      <c r="J35" s="372" t="str">
        <f>IF($C35="","",I35*VLOOKUP($C35,ATELIER!$B$2:$F$109,4,0))</f>
        <v/>
      </c>
      <c r="K35" s="364">
        <v>12</v>
      </c>
      <c r="L35" s="372" t="str">
        <f>IF($C35="","",K35*VLOOKUP($C35,ATELIER!$B$2:$F$109,4,0))</f>
        <v/>
      </c>
      <c r="M35" s="364">
        <v>13</v>
      </c>
      <c r="N35" s="372" t="str">
        <f>IF($C35="","",M35*VLOOKUP($C35,ATELIER!$B$2:$F$109,4,0))</f>
        <v/>
      </c>
      <c r="O35" s="364">
        <v>14</v>
      </c>
      <c r="P35" s="372" t="str">
        <f>IF($C35="","",O35*VLOOKUP($C35,ATELIER!$B$2:$F$109,4,0))</f>
        <v/>
      </c>
      <c r="Q35" s="364">
        <v>15</v>
      </c>
      <c r="R35" s="372" t="str">
        <f>IF($C35="","",Q35*VLOOKUP($C35,ATELIER!$B$2:$F$109,4,0))</f>
        <v/>
      </c>
      <c r="S35" s="364">
        <v>16</v>
      </c>
      <c r="T35" s="372" t="str">
        <f>IF($C35="","",S35*VLOOKUP($C35,ATELIER!$B$2:$F$109,4,0))</f>
        <v/>
      </c>
      <c r="U35" s="364">
        <v>17</v>
      </c>
      <c r="V35" s="372" t="str">
        <f>IF($C35="","",U35*VLOOKUP($C35,ATELIER!$B$2:$F$109,4,0))</f>
        <v/>
      </c>
      <c r="W35" s="364">
        <v>18</v>
      </c>
      <c r="X35" s="372" t="str">
        <f>IF($C35="","",W35*VLOOKUP($C35,ATELIER!$B$2:$F$109,4,0))</f>
        <v/>
      </c>
      <c r="Y35" s="364">
        <v>19</v>
      </c>
      <c r="Z35" s="372" t="str">
        <f>IF($C35="","",Y35*VLOOKUP($C35,ATELIER!$B$2:$F$109,4,0))</f>
        <v/>
      </c>
      <c r="AA35" s="364">
        <v>20</v>
      </c>
      <c r="AB35" s="372" t="str">
        <f>IF($C35="","",AA35*VLOOKUP($C35,ATELIER!$B$2:$F$109,4,0))</f>
        <v/>
      </c>
      <c r="AC35" s="364">
        <v>21</v>
      </c>
      <c r="AD35" s="372" t="str">
        <f>IF($C35="","",AC35*VLOOKUP($C35,ATELIER!$B$2:$F$109,4,0))</f>
        <v/>
      </c>
      <c r="AE35" s="364">
        <v>22</v>
      </c>
      <c r="AF35" s="372" t="str">
        <f>IF($C35="","",AE35*VLOOKUP($C35,ATELIER!$B$2:$F$109,4,0))</f>
        <v/>
      </c>
      <c r="AG35" s="364">
        <v>23</v>
      </c>
      <c r="AH35" s="372" t="str">
        <f>IF($C35="","",AG35*VLOOKUP($C35,ATELIER!$B$2:$F$109,4,0))</f>
        <v/>
      </c>
      <c r="AI35" s="364">
        <v>24</v>
      </c>
      <c r="AJ35" s="372" t="str">
        <f>IF($C35="","",AI35*VLOOKUP($C35,ATELIER!$B$2:$F$109,4,0))</f>
        <v/>
      </c>
      <c r="AK35" s="364">
        <v>25</v>
      </c>
      <c r="AL35" s="372" t="str">
        <f>IF($C35="","",AK35*VLOOKUP($C35,ATELIER!$B$2:$F$109,4,0))</f>
        <v/>
      </c>
      <c r="AM35" s="364">
        <v>26</v>
      </c>
      <c r="AN35" s="372" t="str">
        <f>IF($C35="","",AM35*VLOOKUP($C35,ATELIER!$B$2:$F$109,4,0))</f>
        <v/>
      </c>
      <c r="AO35" s="203"/>
      <c r="AP35" s="158"/>
    </row>
    <row r="36" spans="1:42" ht="15" customHeight="1" x14ac:dyDescent="0.2">
      <c r="A36" s="1553"/>
      <c r="B36" s="361" t="str">
        <f>IF($C36="","",VLOOKUP($C36,ATELIER!$B$2:$F$109,2,0))</f>
        <v/>
      </c>
      <c r="C36" s="362"/>
      <c r="D36" s="363" t="str">
        <f>IF($C36="","",VLOOKUP($C36,ATELIER!$B$2:$E$109,3,0))</f>
        <v/>
      </c>
      <c r="E36" s="364">
        <v>10</v>
      </c>
      <c r="F36" s="372" t="str">
        <f>IF($C36="","",E36*VLOOKUP($C36,ATELIER!$B$2:$F$109,4,0))</f>
        <v/>
      </c>
      <c r="G36" s="364">
        <v>11</v>
      </c>
      <c r="H36" s="372" t="str">
        <f>IF($C36="","",G36*VLOOKUP($C36,ATELIER!$B$2:$F$109,4,0))</f>
        <v/>
      </c>
      <c r="I36" s="364">
        <v>12</v>
      </c>
      <c r="J36" s="372" t="str">
        <f>IF($C36="","",I36*VLOOKUP($C36,ATELIER!$B$2:$F$109,4,0))</f>
        <v/>
      </c>
      <c r="K36" s="364">
        <v>13</v>
      </c>
      <c r="L36" s="372" t="str">
        <f>IF($C36="","",K36*VLOOKUP($C36,ATELIER!$B$2:$F$109,4,0))</f>
        <v/>
      </c>
      <c r="M36" s="364">
        <v>14</v>
      </c>
      <c r="N36" s="372" t="str">
        <f>IF($C36="","",M36*VLOOKUP($C36,ATELIER!$B$2:$F$109,4,0))</f>
        <v/>
      </c>
      <c r="O36" s="364">
        <v>15</v>
      </c>
      <c r="P36" s="372" t="str">
        <f>IF($C36="","",O36*VLOOKUP($C36,ATELIER!$B$2:$F$109,4,0))</f>
        <v/>
      </c>
      <c r="Q36" s="364">
        <v>16</v>
      </c>
      <c r="R36" s="372" t="str">
        <f>IF($C36="","",Q36*VLOOKUP($C36,ATELIER!$B$2:$F$109,4,0))</f>
        <v/>
      </c>
      <c r="S36" s="364">
        <v>17</v>
      </c>
      <c r="T36" s="372" t="str">
        <f>IF($C36="","",S36*VLOOKUP($C36,ATELIER!$B$2:$F$109,4,0))</f>
        <v/>
      </c>
      <c r="U36" s="364">
        <v>18</v>
      </c>
      <c r="V36" s="372" t="str">
        <f>IF($C36="","",U36*VLOOKUP($C36,ATELIER!$B$2:$F$109,4,0))</f>
        <v/>
      </c>
      <c r="W36" s="364">
        <v>19</v>
      </c>
      <c r="X36" s="372" t="str">
        <f>IF($C36="","",W36*VLOOKUP($C36,ATELIER!$B$2:$F$109,4,0))</f>
        <v/>
      </c>
      <c r="Y36" s="364">
        <v>20</v>
      </c>
      <c r="Z36" s="372" t="str">
        <f>IF($C36="","",Y36*VLOOKUP($C36,ATELIER!$B$2:$F$109,4,0))</f>
        <v/>
      </c>
      <c r="AA36" s="364">
        <v>21</v>
      </c>
      <c r="AB36" s="372" t="str">
        <f>IF($C36="","",AA36*VLOOKUP($C36,ATELIER!$B$2:$F$109,4,0))</f>
        <v/>
      </c>
      <c r="AC36" s="364">
        <v>22</v>
      </c>
      <c r="AD36" s="372" t="str">
        <f>IF($C36="","",AC36*VLOOKUP($C36,ATELIER!$B$2:$F$109,4,0))</f>
        <v/>
      </c>
      <c r="AE36" s="364">
        <v>23</v>
      </c>
      <c r="AF36" s="372" t="str">
        <f>IF($C36="","",AE36*VLOOKUP($C36,ATELIER!$B$2:$F$109,4,0))</f>
        <v/>
      </c>
      <c r="AG36" s="364">
        <v>24</v>
      </c>
      <c r="AH36" s="372" t="str">
        <f>IF($C36="","",AG36*VLOOKUP($C36,ATELIER!$B$2:$F$109,4,0))</f>
        <v/>
      </c>
      <c r="AI36" s="364">
        <v>25</v>
      </c>
      <c r="AJ36" s="372" t="str">
        <f>IF($C36="","",AI36*VLOOKUP($C36,ATELIER!$B$2:$F$109,4,0))</f>
        <v/>
      </c>
      <c r="AK36" s="364">
        <v>26</v>
      </c>
      <c r="AL36" s="372" t="str">
        <f>IF($C36="","",AK36*VLOOKUP($C36,ATELIER!$B$2:$F$109,4,0))</f>
        <v/>
      </c>
      <c r="AM36" s="364">
        <v>27</v>
      </c>
      <c r="AN36" s="372" t="str">
        <f>IF($C36="","",AM36*VLOOKUP($C36,ATELIER!$B$2:$F$109,4,0))</f>
        <v/>
      </c>
      <c r="AO36" s="203"/>
      <c r="AP36" s="158"/>
    </row>
    <row r="37" spans="1:42" ht="15" customHeight="1" x14ac:dyDescent="0.2">
      <c r="A37" s="1553"/>
      <c r="B37" s="361" t="str">
        <f>IF($C37="","",VLOOKUP($C37,ATELIER!$B$2:$F$109,2,0))</f>
        <v/>
      </c>
      <c r="C37" s="362"/>
      <c r="D37" s="363" t="str">
        <f>IF($C37="","",VLOOKUP($C37,ATELIER!$B$2:$E$109,3,0))</f>
        <v/>
      </c>
      <c r="E37" s="364">
        <v>11</v>
      </c>
      <c r="F37" s="372" t="str">
        <f>IF($C37="","",E37*VLOOKUP($C37,ATELIER!$B$2:$F$109,4,0))</f>
        <v/>
      </c>
      <c r="G37" s="364">
        <v>12</v>
      </c>
      <c r="H37" s="372" t="str">
        <f>IF($C37="","",G37*VLOOKUP($C37,ATELIER!$B$2:$F$109,4,0))</f>
        <v/>
      </c>
      <c r="I37" s="364">
        <v>13</v>
      </c>
      <c r="J37" s="372" t="str">
        <f>IF($C37="","",I37*VLOOKUP($C37,ATELIER!$B$2:$F$109,4,0))</f>
        <v/>
      </c>
      <c r="K37" s="364">
        <v>14</v>
      </c>
      <c r="L37" s="372" t="str">
        <f>IF($C37="","",K37*VLOOKUP($C37,ATELIER!$B$2:$F$109,4,0))</f>
        <v/>
      </c>
      <c r="M37" s="364">
        <v>15</v>
      </c>
      <c r="N37" s="372" t="str">
        <f>IF($C37="","",M37*VLOOKUP($C37,ATELIER!$B$2:$F$109,4,0))</f>
        <v/>
      </c>
      <c r="O37" s="364">
        <v>16</v>
      </c>
      <c r="P37" s="372" t="str">
        <f>IF($C37="","",O37*VLOOKUP($C37,ATELIER!$B$2:$F$109,4,0))</f>
        <v/>
      </c>
      <c r="Q37" s="364">
        <v>17</v>
      </c>
      <c r="R37" s="372" t="str">
        <f>IF($C37="","",Q37*VLOOKUP($C37,ATELIER!$B$2:$F$109,4,0))</f>
        <v/>
      </c>
      <c r="S37" s="364">
        <v>18</v>
      </c>
      <c r="T37" s="372" t="str">
        <f>IF($C37="","",S37*VLOOKUP($C37,ATELIER!$B$2:$F$109,4,0))</f>
        <v/>
      </c>
      <c r="U37" s="364">
        <v>19</v>
      </c>
      <c r="V37" s="372" t="str">
        <f>IF($C37="","",U37*VLOOKUP($C37,ATELIER!$B$2:$F$109,4,0))</f>
        <v/>
      </c>
      <c r="W37" s="364">
        <v>20</v>
      </c>
      <c r="X37" s="372" t="str">
        <f>IF($C37="","",W37*VLOOKUP($C37,ATELIER!$B$2:$F$109,4,0))</f>
        <v/>
      </c>
      <c r="Y37" s="364">
        <v>21</v>
      </c>
      <c r="Z37" s="372" t="str">
        <f>IF($C37="","",Y37*VLOOKUP($C37,ATELIER!$B$2:$F$109,4,0))</f>
        <v/>
      </c>
      <c r="AA37" s="364">
        <v>22</v>
      </c>
      <c r="AB37" s="372" t="str">
        <f>IF($C37="","",AA37*VLOOKUP($C37,ATELIER!$B$2:$F$109,4,0))</f>
        <v/>
      </c>
      <c r="AC37" s="364">
        <v>23</v>
      </c>
      <c r="AD37" s="372" t="str">
        <f>IF($C37="","",AC37*VLOOKUP($C37,ATELIER!$B$2:$F$109,4,0))</f>
        <v/>
      </c>
      <c r="AE37" s="364">
        <v>24</v>
      </c>
      <c r="AF37" s="372" t="str">
        <f>IF($C37="","",AE37*VLOOKUP($C37,ATELIER!$B$2:$F$109,4,0))</f>
        <v/>
      </c>
      <c r="AG37" s="364">
        <v>25</v>
      </c>
      <c r="AH37" s="372" t="str">
        <f>IF($C37="","",AG37*VLOOKUP($C37,ATELIER!$B$2:$F$109,4,0))</f>
        <v/>
      </c>
      <c r="AI37" s="364">
        <v>26</v>
      </c>
      <c r="AJ37" s="372" t="str">
        <f>IF($C37="","",AI37*VLOOKUP($C37,ATELIER!$B$2:$F$109,4,0))</f>
        <v/>
      </c>
      <c r="AK37" s="364">
        <v>27</v>
      </c>
      <c r="AL37" s="372" t="str">
        <f>IF($C37="","",AK37*VLOOKUP($C37,ATELIER!$B$2:$F$109,4,0))</f>
        <v/>
      </c>
      <c r="AM37" s="364">
        <v>28</v>
      </c>
      <c r="AN37" s="372" t="str">
        <f>IF($C37="","",AM37*VLOOKUP($C37,ATELIER!$B$2:$F$109,4,0))</f>
        <v/>
      </c>
      <c r="AO37" s="155"/>
      <c r="AP37" s="155"/>
    </row>
    <row r="38" spans="1:42" ht="35.25" customHeight="1" x14ac:dyDescent="0.2">
      <c r="A38" s="1553"/>
      <c r="B38" s="375" t="s">
        <v>449</v>
      </c>
      <c r="C38" s="376" t="s">
        <v>450</v>
      </c>
      <c r="D38" s="377" t="s">
        <v>451</v>
      </c>
      <c r="E38" s="376" t="e">
        <f>F38*Simulation!$P$8</f>
        <v>#N/A</v>
      </c>
      <c r="F38" s="377" t="e">
        <f>SUM(F27:F37)</f>
        <v>#N/A</v>
      </c>
      <c r="G38" s="376" t="e">
        <f>H38*Simulation!$P$8</f>
        <v>#N/A</v>
      </c>
      <c r="H38" s="377" t="e">
        <f>SUM(H27:H37)</f>
        <v>#N/A</v>
      </c>
      <c r="I38" s="376" t="e">
        <f>J38*Simulation!$P$8</f>
        <v>#N/A</v>
      </c>
      <c r="J38" s="377" t="e">
        <f>SUM(J27:J37)</f>
        <v>#N/A</v>
      </c>
      <c r="K38" s="376" t="e">
        <f>L38*Simulation!$P$8</f>
        <v>#N/A</v>
      </c>
      <c r="L38" s="377" t="e">
        <f>SUM(L27:L37)</f>
        <v>#N/A</v>
      </c>
      <c r="M38" s="376" t="e">
        <f>N38*Simulation!$P$8</f>
        <v>#N/A</v>
      </c>
      <c r="N38" s="377" t="e">
        <f>SUM(N27:N37)</f>
        <v>#N/A</v>
      </c>
      <c r="O38" s="376" t="e">
        <f>P38*Simulation!$P$8</f>
        <v>#N/A</v>
      </c>
      <c r="P38" s="377" t="e">
        <f>SUM(P27:P37)</f>
        <v>#N/A</v>
      </c>
      <c r="Q38" s="376" t="e">
        <f>R38*Simulation!$P$8</f>
        <v>#N/A</v>
      </c>
      <c r="R38" s="377" t="e">
        <f>SUM(R27:R37)</f>
        <v>#N/A</v>
      </c>
      <c r="S38" s="376" t="e">
        <f>T38*Simulation!$P$8</f>
        <v>#N/A</v>
      </c>
      <c r="T38" s="377" t="e">
        <f>SUM(T27:T37)</f>
        <v>#N/A</v>
      </c>
      <c r="U38" s="376" t="e">
        <f>V38*Simulation!$P$8</f>
        <v>#N/A</v>
      </c>
      <c r="V38" s="377" t="e">
        <f>SUM(V27:V37)</f>
        <v>#N/A</v>
      </c>
      <c r="W38" s="376" t="e">
        <f>X38*Simulation!$P$8</f>
        <v>#N/A</v>
      </c>
      <c r="X38" s="377" t="e">
        <f>SUM(X27:X37)</f>
        <v>#N/A</v>
      </c>
      <c r="Y38" s="376" t="e">
        <f>Z38*Simulation!$P$8</f>
        <v>#N/A</v>
      </c>
      <c r="Z38" s="377" t="e">
        <f>SUM(Z27:Z37)</f>
        <v>#N/A</v>
      </c>
      <c r="AA38" s="376" t="e">
        <f>AB38*Simulation!$P$8</f>
        <v>#N/A</v>
      </c>
      <c r="AB38" s="377" t="e">
        <f>SUM(AB27:AB37)</f>
        <v>#N/A</v>
      </c>
      <c r="AC38" s="376" t="e">
        <f>AD38*Simulation!$P$8</f>
        <v>#N/A</v>
      </c>
      <c r="AD38" s="377" t="e">
        <f>SUM(AD27:AD37)</f>
        <v>#N/A</v>
      </c>
      <c r="AE38" s="376" t="e">
        <f>AF38*Simulation!$P$8</f>
        <v>#N/A</v>
      </c>
      <c r="AF38" s="377" t="e">
        <f>SUM(AF27:AF37)</f>
        <v>#N/A</v>
      </c>
      <c r="AG38" s="376" t="e">
        <f>AH38*Simulation!$P$8</f>
        <v>#N/A</v>
      </c>
      <c r="AH38" s="377" t="e">
        <f>SUM(AH27:AH37)</f>
        <v>#N/A</v>
      </c>
      <c r="AI38" s="376" t="e">
        <f>AJ38*Simulation!$P$8</f>
        <v>#N/A</v>
      </c>
      <c r="AJ38" s="377" t="e">
        <f>SUM(AJ27:AJ37)</f>
        <v>#N/A</v>
      </c>
      <c r="AK38" s="376" t="e">
        <f>AL38*Simulation!$P$8</f>
        <v>#N/A</v>
      </c>
      <c r="AL38" s="377" t="e">
        <f>SUM(AL27:AL37)</f>
        <v>#N/A</v>
      </c>
      <c r="AM38" s="376" t="e">
        <f>AN38*Simulation!$P$8</f>
        <v>#N/A</v>
      </c>
      <c r="AN38" s="377" t="e">
        <f>SUM(AN27:AN37)</f>
        <v>#N/A</v>
      </c>
      <c r="AO38" s="224"/>
      <c r="AP38" s="224"/>
    </row>
    <row r="39" spans="1:42" ht="15" customHeight="1" x14ac:dyDescent="0.2">
      <c r="A39" s="1554" t="s">
        <v>452</v>
      </c>
      <c r="B39" s="361" t="s">
        <v>1082</v>
      </c>
      <c r="C39" s="378" t="s">
        <v>378</v>
      </c>
      <c r="D39" s="363" t="str">
        <f>IF(C39="","",VLOOKUP($C39,CHANTIER!$A$2:$C$83,3,0))</f>
        <v>forfait</v>
      </c>
      <c r="E39" s="364">
        <v>1</v>
      </c>
      <c r="F39" s="372">
        <f>IF($C39="","",E39*VLOOKUP($C39,CHANTIER!$A$2:$D$83,4,0))</f>
        <v>0.25</v>
      </c>
      <c r="G39" s="364">
        <v>2</v>
      </c>
      <c r="H39" s="372">
        <f>IF($C39="","",G39*VLOOKUP($C39,CHANTIER!$A$2:$D$83,4,0))</f>
        <v>0.5</v>
      </c>
      <c r="I39" s="364">
        <v>3</v>
      </c>
      <c r="J39" s="372">
        <f>IF($C39="","",I39*VLOOKUP($C39,CHANTIER!$A$2:$D$83,4,0))</f>
        <v>0.75</v>
      </c>
      <c r="K39" s="364">
        <v>4</v>
      </c>
      <c r="L39" s="372">
        <f>IF($C39="","",K39*VLOOKUP($C39,CHANTIER!$A$2:$D$83,4,0))</f>
        <v>1</v>
      </c>
      <c r="M39" s="364">
        <v>5</v>
      </c>
      <c r="N39" s="372">
        <f>IF($C39="","",M39*VLOOKUP($C39,CHANTIER!$A$2:$D$83,4,0))</f>
        <v>1.25</v>
      </c>
      <c r="O39" s="364">
        <v>6</v>
      </c>
      <c r="P39" s="372">
        <f>IF($C39="","",O39*VLOOKUP($C39,CHANTIER!$A$2:$D$83,4,0))</f>
        <v>1.5</v>
      </c>
      <c r="Q39" s="364">
        <v>7</v>
      </c>
      <c r="R39" s="372">
        <f>IF($C39="","",Q39*VLOOKUP($C39,CHANTIER!$A$2:$D$83,4,0))</f>
        <v>1.75</v>
      </c>
      <c r="S39" s="364">
        <v>8</v>
      </c>
      <c r="T39" s="372">
        <f>IF($C39="","",S39*VLOOKUP($C39,CHANTIER!$A$2:$D$83,4,0))</f>
        <v>2</v>
      </c>
      <c r="U39" s="364">
        <v>9</v>
      </c>
      <c r="V39" s="372">
        <f>IF($C39="","",U39*VLOOKUP($C39,CHANTIER!$A$2:$D$83,4,0))</f>
        <v>2.25</v>
      </c>
      <c r="W39" s="364">
        <v>10</v>
      </c>
      <c r="X39" s="372">
        <f>IF($C39="","",W39*VLOOKUP($C39,CHANTIER!$A$2:$D$83,4,0))</f>
        <v>2.5</v>
      </c>
      <c r="Y39" s="364">
        <v>11</v>
      </c>
      <c r="Z39" s="372">
        <f>IF($C39="","",Y39*VLOOKUP($C39,CHANTIER!$A$2:$D$83,4,0))</f>
        <v>2.75</v>
      </c>
      <c r="AA39" s="364">
        <v>12</v>
      </c>
      <c r="AB39" s="372">
        <f>IF($C39="","",AA39*VLOOKUP($C39,CHANTIER!$A$2:$D$83,4,0))</f>
        <v>3</v>
      </c>
      <c r="AC39" s="364">
        <v>13</v>
      </c>
      <c r="AD39" s="372">
        <f>IF($C39="","",AC39*VLOOKUP($C39,CHANTIER!$A$2:$D$83,4,0))</f>
        <v>3.25</v>
      </c>
      <c r="AE39" s="364">
        <v>14</v>
      </c>
      <c r="AF39" s="372">
        <f>IF($C39="","",AE39*VLOOKUP($C39,CHANTIER!$A$2:$D$83,4,0))</f>
        <v>3.5</v>
      </c>
      <c r="AG39" s="364">
        <v>15</v>
      </c>
      <c r="AH39" s="372">
        <f>IF($C39="","",AG39*VLOOKUP($C39,CHANTIER!$A$2:$D$83,4,0))</f>
        <v>3.75</v>
      </c>
      <c r="AI39" s="364">
        <v>16</v>
      </c>
      <c r="AJ39" s="372">
        <f>IF($C39="","",AI39*VLOOKUP($C39,CHANTIER!$A$2:$D$83,4,0))</f>
        <v>4</v>
      </c>
      <c r="AK39" s="364">
        <v>17</v>
      </c>
      <c r="AL39" s="372">
        <f>IF($C39="","",AK39*VLOOKUP($C39,CHANTIER!$A$2:$D$83,4,0))</f>
        <v>4.25</v>
      </c>
      <c r="AM39" s="364">
        <v>18</v>
      </c>
      <c r="AN39" s="372">
        <f>IF($C39="","",AM39*VLOOKUP($C39,CHANTIER!$A$2:$D$83,4,0))</f>
        <v>4.5</v>
      </c>
      <c r="AO39" s="224"/>
      <c r="AP39" s="224"/>
    </row>
    <row r="40" spans="1:42" ht="15" customHeight="1" x14ac:dyDescent="0.2">
      <c r="A40" s="1554"/>
      <c r="B40" s="361"/>
      <c r="C40" s="378"/>
      <c r="D40" s="363" t="str">
        <f>IF(C40="","",VLOOKUP($C40,CHANTIER!$A$2:$C$83,3,0))</f>
        <v/>
      </c>
      <c r="E40" s="364">
        <v>2</v>
      </c>
      <c r="F40" s="372" t="str">
        <f>IF($C40="","",E40*VLOOKUP($C40,CHANTIER!$A$2:$D$83,4,0))</f>
        <v/>
      </c>
      <c r="G40" s="364">
        <v>3</v>
      </c>
      <c r="H40" s="372" t="str">
        <f>IF($C40="","",G40*VLOOKUP($C40,CHANTIER!$A$2:$D$83,4,0))</f>
        <v/>
      </c>
      <c r="I40" s="364">
        <v>4</v>
      </c>
      <c r="J40" s="372" t="str">
        <f>IF($C40="","",I40*VLOOKUP($C40,CHANTIER!$A$2:$D$83,4,0))</f>
        <v/>
      </c>
      <c r="K40" s="364">
        <v>5</v>
      </c>
      <c r="L40" s="372" t="str">
        <f>IF($C40="","",K40*VLOOKUP($C40,CHANTIER!$A$2:$D$83,4,0))</f>
        <v/>
      </c>
      <c r="M40" s="364">
        <v>6</v>
      </c>
      <c r="N40" s="372" t="str">
        <f>IF($C40="","",M40*VLOOKUP($C40,CHANTIER!$A$2:$D$83,4,0))</f>
        <v/>
      </c>
      <c r="O40" s="364">
        <v>7</v>
      </c>
      <c r="P40" s="372" t="str">
        <f>IF($C40="","",O40*VLOOKUP($C40,CHANTIER!$A$2:$D$83,4,0))</f>
        <v/>
      </c>
      <c r="Q40" s="364">
        <v>8</v>
      </c>
      <c r="R40" s="372" t="str">
        <f>IF($C40="","",Q40*VLOOKUP($C40,CHANTIER!$A$2:$D$83,4,0))</f>
        <v/>
      </c>
      <c r="S40" s="364">
        <v>9</v>
      </c>
      <c r="T40" s="372" t="str">
        <f>IF($C40="","",S40*VLOOKUP($C40,CHANTIER!$A$2:$D$83,4,0))</f>
        <v/>
      </c>
      <c r="U40" s="364">
        <v>10</v>
      </c>
      <c r="V40" s="372" t="str">
        <f>IF($C40="","",U40*VLOOKUP($C40,CHANTIER!$A$2:$D$83,4,0))</f>
        <v/>
      </c>
      <c r="W40" s="364">
        <v>11</v>
      </c>
      <c r="X40" s="372" t="str">
        <f>IF($C40="","",W40*VLOOKUP($C40,CHANTIER!$A$2:$D$83,4,0))</f>
        <v/>
      </c>
      <c r="Y40" s="364">
        <v>12</v>
      </c>
      <c r="Z40" s="372" t="str">
        <f>IF($C40="","",Y40*VLOOKUP($C40,CHANTIER!$A$2:$D$83,4,0))</f>
        <v/>
      </c>
      <c r="AA40" s="364">
        <v>13</v>
      </c>
      <c r="AB40" s="372" t="str">
        <f>IF($C40="","",AA40*VLOOKUP($C40,CHANTIER!$A$2:$D$83,4,0))</f>
        <v/>
      </c>
      <c r="AC40" s="364">
        <v>14</v>
      </c>
      <c r="AD40" s="372" t="str">
        <f>IF($C40="","",AC40*VLOOKUP($C40,CHANTIER!$A$2:$D$83,4,0))</f>
        <v/>
      </c>
      <c r="AE40" s="364">
        <v>15</v>
      </c>
      <c r="AF40" s="372" t="str">
        <f>IF($C40="","",AE40*VLOOKUP($C40,CHANTIER!$A$2:$D$83,4,0))</f>
        <v/>
      </c>
      <c r="AG40" s="364">
        <v>16</v>
      </c>
      <c r="AH40" s="372" t="str">
        <f>IF($C40="","",AG40*VLOOKUP($C40,CHANTIER!$A$2:$D$83,4,0))</f>
        <v/>
      </c>
      <c r="AI40" s="364">
        <v>17</v>
      </c>
      <c r="AJ40" s="372" t="str">
        <f>IF($C40="","",AI40*VLOOKUP($C40,CHANTIER!$A$2:$D$83,4,0))</f>
        <v/>
      </c>
      <c r="AK40" s="364">
        <v>18</v>
      </c>
      <c r="AL40" s="372" t="str">
        <f>IF($C40="","",AK40*VLOOKUP($C40,CHANTIER!$A$2:$D$83,4,0))</f>
        <v/>
      </c>
      <c r="AM40" s="364">
        <v>19</v>
      </c>
      <c r="AN40" s="372" t="str">
        <f>IF($C40="","",AM40*VLOOKUP($C40,CHANTIER!$A$2:$D$83,4,0))</f>
        <v/>
      </c>
      <c r="AO40" s="224"/>
      <c r="AP40" s="224"/>
    </row>
    <row r="41" spans="1:42" ht="15" customHeight="1" x14ac:dyDescent="0.2">
      <c r="A41" s="1555"/>
      <c r="B41" s="361"/>
      <c r="C41" s="378"/>
      <c r="D41" s="363" t="str">
        <f>IF(C41="","",VLOOKUP($C41,CHANTIER!$A$2:$C$83,3,0))</f>
        <v/>
      </c>
      <c r="E41" s="364">
        <v>3</v>
      </c>
      <c r="F41" s="372" t="str">
        <f>IF($C41="","",E41*VLOOKUP($C41,CHANTIER!$A$2:$D$83,4,0))</f>
        <v/>
      </c>
      <c r="G41" s="364">
        <v>4</v>
      </c>
      <c r="H41" s="372" t="str">
        <f>IF($C41="","",G41*VLOOKUP($C41,CHANTIER!$A$2:$D$83,4,0))</f>
        <v/>
      </c>
      <c r="I41" s="364">
        <v>5</v>
      </c>
      <c r="J41" s="372" t="str">
        <f>IF($C41="","",I41*VLOOKUP($C41,CHANTIER!$A$2:$D$83,4,0))</f>
        <v/>
      </c>
      <c r="K41" s="364">
        <v>6</v>
      </c>
      <c r="L41" s="372" t="str">
        <f>IF($C41="","",K41*VLOOKUP($C41,CHANTIER!$A$2:$D$83,4,0))</f>
        <v/>
      </c>
      <c r="M41" s="364">
        <v>7</v>
      </c>
      <c r="N41" s="372" t="str">
        <f>IF($C41="","",M41*VLOOKUP($C41,CHANTIER!$A$2:$D$83,4,0))</f>
        <v/>
      </c>
      <c r="O41" s="364">
        <v>8</v>
      </c>
      <c r="P41" s="372" t="str">
        <f>IF($C41="","",O41*VLOOKUP($C41,CHANTIER!$A$2:$D$83,4,0))</f>
        <v/>
      </c>
      <c r="Q41" s="364">
        <v>9</v>
      </c>
      <c r="R41" s="372" t="str">
        <f>IF($C41="","",Q41*VLOOKUP($C41,CHANTIER!$A$2:$D$83,4,0))</f>
        <v/>
      </c>
      <c r="S41" s="364">
        <v>10</v>
      </c>
      <c r="T41" s="372" t="str">
        <f>IF($C41="","",S41*VLOOKUP($C41,CHANTIER!$A$2:$D$83,4,0))</f>
        <v/>
      </c>
      <c r="U41" s="364">
        <v>11</v>
      </c>
      <c r="V41" s="372" t="str">
        <f>IF($C41="","",U41*VLOOKUP($C41,CHANTIER!$A$2:$D$83,4,0))</f>
        <v/>
      </c>
      <c r="W41" s="364">
        <v>12</v>
      </c>
      <c r="X41" s="372" t="str">
        <f>IF($C41="","",W41*VLOOKUP($C41,CHANTIER!$A$2:$D$83,4,0))</f>
        <v/>
      </c>
      <c r="Y41" s="364">
        <v>13</v>
      </c>
      <c r="Z41" s="372" t="str">
        <f>IF($C41="","",Y41*VLOOKUP($C41,CHANTIER!$A$2:$D$83,4,0))</f>
        <v/>
      </c>
      <c r="AA41" s="364">
        <v>14</v>
      </c>
      <c r="AB41" s="372" t="str">
        <f>IF($C41="","",AA41*VLOOKUP($C41,CHANTIER!$A$2:$D$83,4,0))</f>
        <v/>
      </c>
      <c r="AC41" s="364">
        <v>15</v>
      </c>
      <c r="AD41" s="372" t="str">
        <f>IF($C41="","",AC41*VLOOKUP($C41,CHANTIER!$A$2:$D$83,4,0))</f>
        <v/>
      </c>
      <c r="AE41" s="364">
        <v>16</v>
      </c>
      <c r="AF41" s="372" t="str">
        <f>IF($C41="","",AE41*VLOOKUP($C41,CHANTIER!$A$2:$D$83,4,0))</f>
        <v/>
      </c>
      <c r="AG41" s="364">
        <v>17</v>
      </c>
      <c r="AH41" s="372" t="str">
        <f>IF($C41="","",AG41*VLOOKUP($C41,CHANTIER!$A$2:$D$83,4,0))</f>
        <v/>
      </c>
      <c r="AI41" s="364">
        <v>18</v>
      </c>
      <c r="AJ41" s="372" t="str">
        <f>IF($C41="","",AI41*VLOOKUP($C41,CHANTIER!$A$2:$D$83,4,0))</f>
        <v/>
      </c>
      <c r="AK41" s="364">
        <v>19</v>
      </c>
      <c r="AL41" s="372" t="str">
        <f>IF($C41="","",AK41*VLOOKUP($C41,CHANTIER!$A$2:$D$83,4,0))</f>
        <v/>
      </c>
      <c r="AM41" s="364">
        <v>20</v>
      </c>
      <c r="AN41" s="372" t="str">
        <f>IF($C41="","",AM41*VLOOKUP($C41,CHANTIER!$A$2:$D$83,4,0))</f>
        <v/>
      </c>
      <c r="AO41" s="224"/>
      <c r="AP41" s="224"/>
    </row>
    <row r="42" spans="1:42" ht="15" customHeight="1" x14ac:dyDescent="0.2">
      <c r="A42" s="1554"/>
      <c r="B42" s="361"/>
      <c r="C42" s="378"/>
      <c r="D42" s="363" t="str">
        <f>IF(C42="","",VLOOKUP($C42,CHANTIER!$A$2:$C$83,3,0))</f>
        <v/>
      </c>
      <c r="E42" s="364">
        <v>4</v>
      </c>
      <c r="F42" s="372" t="str">
        <f>IF($C42="","",E42*VLOOKUP($C42,CHANTIER!$A$2:$D$83,4,0))</f>
        <v/>
      </c>
      <c r="G42" s="364">
        <v>5</v>
      </c>
      <c r="H42" s="372" t="str">
        <f>IF($C42="","",G42*VLOOKUP($C42,CHANTIER!$A$2:$D$83,4,0))</f>
        <v/>
      </c>
      <c r="I42" s="364">
        <v>6</v>
      </c>
      <c r="J42" s="372" t="str">
        <f>IF($C42="","",I42*VLOOKUP($C42,CHANTIER!$A$2:$D$83,4,0))</f>
        <v/>
      </c>
      <c r="K42" s="364">
        <v>7</v>
      </c>
      <c r="L42" s="372" t="str">
        <f>IF($C42="","",K42*VLOOKUP($C42,CHANTIER!$A$2:$D$83,4,0))</f>
        <v/>
      </c>
      <c r="M42" s="364">
        <v>8</v>
      </c>
      <c r="N42" s="372" t="str">
        <f>IF($C42="","",M42*VLOOKUP($C42,CHANTIER!$A$2:$D$83,4,0))</f>
        <v/>
      </c>
      <c r="O42" s="364">
        <v>9</v>
      </c>
      <c r="P42" s="372" t="str">
        <f>IF($C42="","",O42*VLOOKUP($C42,CHANTIER!$A$2:$D$83,4,0))</f>
        <v/>
      </c>
      <c r="Q42" s="364">
        <v>10</v>
      </c>
      <c r="R42" s="372" t="str">
        <f>IF($C42="","",Q42*VLOOKUP($C42,CHANTIER!$A$2:$D$83,4,0))</f>
        <v/>
      </c>
      <c r="S42" s="364">
        <v>11</v>
      </c>
      <c r="T42" s="372" t="str">
        <f>IF($C42="","",S42*VLOOKUP($C42,CHANTIER!$A$2:$D$83,4,0))</f>
        <v/>
      </c>
      <c r="U42" s="364">
        <v>12</v>
      </c>
      <c r="V42" s="372" t="str">
        <f>IF($C42="","",U42*VLOOKUP($C42,CHANTIER!$A$2:$D$83,4,0))</f>
        <v/>
      </c>
      <c r="W42" s="364">
        <v>13</v>
      </c>
      <c r="X42" s="372" t="str">
        <f>IF($C42="","",W42*VLOOKUP($C42,CHANTIER!$A$2:$D$83,4,0))</f>
        <v/>
      </c>
      <c r="Y42" s="364">
        <v>14</v>
      </c>
      <c r="Z42" s="372" t="str">
        <f>IF($C42="","",Y42*VLOOKUP($C42,CHANTIER!$A$2:$D$83,4,0))</f>
        <v/>
      </c>
      <c r="AA42" s="364">
        <v>15</v>
      </c>
      <c r="AB42" s="372" t="str">
        <f>IF($C42="","",AA42*VLOOKUP($C42,CHANTIER!$A$2:$D$83,4,0))</f>
        <v/>
      </c>
      <c r="AC42" s="364">
        <v>16</v>
      </c>
      <c r="AD42" s="372" t="str">
        <f>IF($C42="","",AC42*VLOOKUP($C42,CHANTIER!$A$2:$D$83,4,0))</f>
        <v/>
      </c>
      <c r="AE42" s="364">
        <v>17</v>
      </c>
      <c r="AF42" s="372" t="str">
        <f>IF($C42="","",AE42*VLOOKUP($C42,CHANTIER!$A$2:$D$83,4,0))</f>
        <v/>
      </c>
      <c r="AG42" s="364">
        <v>18</v>
      </c>
      <c r="AH42" s="372" t="str">
        <f>IF($C42="","",AG42*VLOOKUP($C42,CHANTIER!$A$2:$D$83,4,0))</f>
        <v/>
      </c>
      <c r="AI42" s="364">
        <v>19</v>
      </c>
      <c r="AJ42" s="372" t="str">
        <f>IF($C42="","",AI42*VLOOKUP($C42,CHANTIER!$A$2:$D$83,4,0))</f>
        <v/>
      </c>
      <c r="AK42" s="364">
        <v>20</v>
      </c>
      <c r="AL42" s="372" t="str">
        <f>IF($C42="","",AK42*VLOOKUP($C42,CHANTIER!$A$2:$D$83,4,0))</f>
        <v/>
      </c>
      <c r="AM42" s="364">
        <v>21</v>
      </c>
      <c r="AN42" s="372" t="str">
        <f>IF($C42="","",AM42*VLOOKUP($C42,CHANTIER!$A$2:$D$83,4,0))</f>
        <v/>
      </c>
      <c r="AO42" s="224"/>
      <c r="AP42" s="224"/>
    </row>
    <row r="43" spans="1:42" ht="15" customHeight="1" x14ac:dyDescent="0.2">
      <c r="A43" s="1554"/>
      <c r="B43" s="361"/>
      <c r="C43" s="378"/>
      <c r="D43" s="363" t="str">
        <f>IF(C43="","",VLOOKUP($C43,CHANTIER!$A$2:$C$83,3,0))</f>
        <v/>
      </c>
      <c r="E43" s="364">
        <v>5</v>
      </c>
      <c r="F43" s="372" t="str">
        <f>IF($C43="","",E43*VLOOKUP($C43,CHANTIER!$A$2:$D$83,4,0))</f>
        <v/>
      </c>
      <c r="G43" s="364">
        <v>6</v>
      </c>
      <c r="H43" s="372" t="str">
        <f>IF($C43="","",G43*VLOOKUP($C43,CHANTIER!$A$2:$D$83,4,0))</f>
        <v/>
      </c>
      <c r="I43" s="364">
        <v>7</v>
      </c>
      <c r="J43" s="372" t="str">
        <f>IF($C43="","",I43*VLOOKUP($C43,CHANTIER!$A$2:$D$83,4,0))</f>
        <v/>
      </c>
      <c r="K43" s="364">
        <v>8</v>
      </c>
      <c r="L43" s="372" t="str">
        <f>IF($C43="","",K43*VLOOKUP($C43,CHANTIER!$A$2:$D$83,4,0))</f>
        <v/>
      </c>
      <c r="M43" s="364">
        <v>9</v>
      </c>
      <c r="N43" s="372" t="str">
        <f>IF($C43="","",M43*VLOOKUP($C43,CHANTIER!$A$2:$D$83,4,0))</f>
        <v/>
      </c>
      <c r="O43" s="364">
        <v>10</v>
      </c>
      <c r="P43" s="372" t="str">
        <f>IF($C43="","",O43*VLOOKUP($C43,CHANTIER!$A$2:$D$83,4,0))</f>
        <v/>
      </c>
      <c r="Q43" s="364">
        <v>11</v>
      </c>
      <c r="R43" s="372" t="str">
        <f>IF($C43="","",Q43*VLOOKUP($C43,CHANTIER!$A$2:$D$83,4,0))</f>
        <v/>
      </c>
      <c r="S43" s="364">
        <v>12</v>
      </c>
      <c r="T43" s="372" t="str">
        <f>IF($C43="","",S43*VLOOKUP($C43,CHANTIER!$A$2:$D$83,4,0))</f>
        <v/>
      </c>
      <c r="U43" s="364">
        <v>13</v>
      </c>
      <c r="V43" s="372" t="str">
        <f>IF($C43="","",U43*VLOOKUP($C43,CHANTIER!$A$2:$D$83,4,0))</f>
        <v/>
      </c>
      <c r="W43" s="364">
        <v>14</v>
      </c>
      <c r="X43" s="372" t="str">
        <f>IF($C43="","",W43*VLOOKUP($C43,CHANTIER!$A$2:$D$83,4,0))</f>
        <v/>
      </c>
      <c r="Y43" s="364">
        <v>15</v>
      </c>
      <c r="Z43" s="372" t="str">
        <f>IF($C43="","",Y43*VLOOKUP($C43,CHANTIER!$A$2:$D$83,4,0))</f>
        <v/>
      </c>
      <c r="AA43" s="364">
        <v>16</v>
      </c>
      <c r="AB43" s="372" t="str">
        <f>IF($C43="","",AA43*VLOOKUP($C43,CHANTIER!$A$2:$D$83,4,0))</f>
        <v/>
      </c>
      <c r="AC43" s="364">
        <v>17</v>
      </c>
      <c r="AD43" s="372" t="str">
        <f>IF($C43="","",AC43*VLOOKUP($C43,CHANTIER!$A$2:$D$83,4,0))</f>
        <v/>
      </c>
      <c r="AE43" s="364">
        <v>18</v>
      </c>
      <c r="AF43" s="372" t="str">
        <f>IF($C43="","",AE43*VLOOKUP($C43,CHANTIER!$A$2:$D$83,4,0))</f>
        <v/>
      </c>
      <c r="AG43" s="364">
        <v>19</v>
      </c>
      <c r="AH43" s="372" t="str">
        <f>IF($C43="","",AG43*VLOOKUP($C43,CHANTIER!$A$2:$D$83,4,0))</f>
        <v/>
      </c>
      <c r="AI43" s="364">
        <v>20</v>
      </c>
      <c r="AJ43" s="372" t="str">
        <f>IF($C43="","",AI43*VLOOKUP($C43,CHANTIER!$A$2:$D$83,4,0))</f>
        <v/>
      </c>
      <c r="AK43" s="364">
        <v>21</v>
      </c>
      <c r="AL43" s="372" t="str">
        <f>IF($C43="","",AK43*VLOOKUP($C43,CHANTIER!$A$2:$D$83,4,0))</f>
        <v/>
      </c>
      <c r="AM43" s="364">
        <v>22</v>
      </c>
      <c r="AN43" s="372" t="str">
        <f>IF($C43="","",AM43*VLOOKUP($C43,CHANTIER!$A$2:$D$83,4,0))</f>
        <v/>
      </c>
      <c r="AO43" s="224"/>
      <c r="AP43" s="224"/>
    </row>
    <row r="44" spans="1:42" ht="15" customHeight="1" x14ac:dyDescent="0.2">
      <c r="A44" s="1554"/>
      <c r="B44" s="361"/>
      <c r="C44" s="378"/>
      <c r="D44" s="363" t="str">
        <f>IF(C44="","",VLOOKUP($C44,CHANTIER!$A$2:$C$83,3,0))</f>
        <v/>
      </c>
      <c r="E44" s="364">
        <v>6</v>
      </c>
      <c r="F44" s="372" t="str">
        <f>IF($C44="","",E44*VLOOKUP($C44,CHANTIER!$A$2:$D$83,4,0))</f>
        <v/>
      </c>
      <c r="G44" s="364">
        <v>7</v>
      </c>
      <c r="H44" s="372" t="str">
        <f>IF($C44="","",G44*VLOOKUP($C44,CHANTIER!$A$2:$D$83,4,0))</f>
        <v/>
      </c>
      <c r="I44" s="364">
        <v>8</v>
      </c>
      <c r="J44" s="372" t="str">
        <f>IF($C44="","",I44*VLOOKUP($C44,CHANTIER!$A$2:$D$83,4,0))</f>
        <v/>
      </c>
      <c r="K44" s="364">
        <v>9</v>
      </c>
      <c r="L44" s="372" t="str">
        <f>IF($C44="","",K44*VLOOKUP($C44,CHANTIER!$A$2:$D$83,4,0))</f>
        <v/>
      </c>
      <c r="M44" s="364">
        <v>10</v>
      </c>
      <c r="N44" s="372" t="str">
        <f>IF($C44="","",M44*VLOOKUP($C44,CHANTIER!$A$2:$D$83,4,0))</f>
        <v/>
      </c>
      <c r="O44" s="364">
        <v>11</v>
      </c>
      <c r="P44" s="372" t="str">
        <f>IF($C44="","",O44*VLOOKUP($C44,CHANTIER!$A$2:$D$83,4,0))</f>
        <v/>
      </c>
      <c r="Q44" s="364">
        <v>12</v>
      </c>
      <c r="R44" s="372" t="str">
        <f>IF($C44="","",Q44*VLOOKUP($C44,CHANTIER!$A$2:$D$83,4,0))</f>
        <v/>
      </c>
      <c r="S44" s="364">
        <v>13</v>
      </c>
      <c r="T44" s="372" t="str">
        <f>IF($C44="","",S44*VLOOKUP($C44,CHANTIER!$A$2:$D$83,4,0))</f>
        <v/>
      </c>
      <c r="U44" s="364">
        <v>14</v>
      </c>
      <c r="V44" s="372" t="str">
        <f>IF($C44="","",U44*VLOOKUP($C44,CHANTIER!$A$2:$D$83,4,0))</f>
        <v/>
      </c>
      <c r="W44" s="364">
        <v>15</v>
      </c>
      <c r="X44" s="372" t="str">
        <f>IF($C44="","",W44*VLOOKUP($C44,CHANTIER!$A$2:$D$83,4,0))</f>
        <v/>
      </c>
      <c r="Y44" s="364">
        <v>16</v>
      </c>
      <c r="Z44" s="372" t="str">
        <f>IF($C44="","",Y44*VLOOKUP($C44,CHANTIER!$A$2:$D$83,4,0))</f>
        <v/>
      </c>
      <c r="AA44" s="364">
        <v>17</v>
      </c>
      <c r="AB44" s="372" t="str">
        <f>IF($C44="","",AA44*VLOOKUP($C44,CHANTIER!$A$2:$D$83,4,0))</f>
        <v/>
      </c>
      <c r="AC44" s="364">
        <v>18</v>
      </c>
      <c r="AD44" s="372" t="str">
        <f>IF($C44="","",AC44*VLOOKUP($C44,CHANTIER!$A$2:$D$83,4,0))</f>
        <v/>
      </c>
      <c r="AE44" s="364">
        <v>19</v>
      </c>
      <c r="AF44" s="372" t="str">
        <f>IF($C44="","",AE44*VLOOKUP($C44,CHANTIER!$A$2:$D$83,4,0))</f>
        <v/>
      </c>
      <c r="AG44" s="364">
        <v>20</v>
      </c>
      <c r="AH44" s="372" t="str">
        <f>IF($C44="","",AG44*VLOOKUP($C44,CHANTIER!$A$2:$D$83,4,0))</f>
        <v/>
      </c>
      <c r="AI44" s="364">
        <v>21</v>
      </c>
      <c r="AJ44" s="372" t="str">
        <f>IF($C44="","",AI44*VLOOKUP($C44,CHANTIER!$A$2:$D$83,4,0))</f>
        <v/>
      </c>
      <c r="AK44" s="364">
        <v>22</v>
      </c>
      <c r="AL44" s="372" t="str">
        <f>IF($C44="","",AK44*VLOOKUP($C44,CHANTIER!$A$2:$D$83,4,0))</f>
        <v/>
      </c>
      <c r="AM44" s="364">
        <v>23</v>
      </c>
      <c r="AN44" s="372" t="str">
        <f>IF($C44="","",AM44*VLOOKUP($C44,CHANTIER!$A$2:$D$83,4,0))</f>
        <v/>
      </c>
      <c r="AO44" s="224"/>
      <c r="AP44" s="224"/>
    </row>
    <row r="45" spans="1:42" ht="15" customHeight="1" x14ac:dyDescent="0.2">
      <c r="A45" s="1554"/>
      <c r="B45" s="361"/>
      <c r="C45" s="378"/>
      <c r="D45" s="363" t="str">
        <f>IF(C45="","",VLOOKUP($C45,CHANTIER!$A$2:$C$83,3,0))</f>
        <v/>
      </c>
      <c r="E45" s="364">
        <v>7</v>
      </c>
      <c r="F45" s="372" t="str">
        <f>IF($C45="","",E45*VLOOKUP($C45,CHANTIER!$A$2:$D$83,4,0))</f>
        <v/>
      </c>
      <c r="G45" s="364">
        <v>8</v>
      </c>
      <c r="H45" s="372" t="str">
        <f>IF($C45="","",G45*VLOOKUP($C45,CHANTIER!$A$2:$D$83,4,0))</f>
        <v/>
      </c>
      <c r="I45" s="364">
        <v>9</v>
      </c>
      <c r="J45" s="372" t="str">
        <f>IF($C45="","",I45*VLOOKUP($C45,CHANTIER!$A$2:$D$83,4,0))</f>
        <v/>
      </c>
      <c r="K45" s="364">
        <v>10</v>
      </c>
      <c r="L45" s="372" t="str">
        <f>IF($C45="","",K45*VLOOKUP($C45,CHANTIER!$A$2:$D$83,4,0))</f>
        <v/>
      </c>
      <c r="M45" s="364">
        <v>11</v>
      </c>
      <c r="N45" s="372" t="str">
        <f>IF($C45="","",M45*VLOOKUP($C45,CHANTIER!$A$2:$D$83,4,0))</f>
        <v/>
      </c>
      <c r="O45" s="364">
        <v>12</v>
      </c>
      <c r="P45" s="372" t="str">
        <f>IF($C45="","",O45*VLOOKUP($C45,CHANTIER!$A$2:$D$83,4,0))</f>
        <v/>
      </c>
      <c r="Q45" s="364">
        <v>13</v>
      </c>
      <c r="R45" s="372" t="str">
        <f>IF($C45="","",Q45*VLOOKUP($C45,CHANTIER!$A$2:$D$83,4,0))</f>
        <v/>
      </c>
      <c r="S45" s="364">
        <v>14</v>
      </c>
      <c r="T45" s="372" t="str">
        <f>IF($C45="","",S45*VLOOKUP($C45,CHANTIER!$A$2:$D$83,4,0))</f>
        <v/>
      </c>
      <c r="U45" s="364">
        <v>15</v>
      </c>
      <c r="V45" s="372" t="str">
        <f>IF($C45="","",U45*VLOOKUP($C45,CHANTIER!$A$2:$D$83,4,0))</f>
        <v/>
      </c>
      <c r="W45" s="364">
        <v>16</v>
      </c>
      <c r="X45" s="372" t="str">
        <f>IF($C45="","",W45*VLOOKUP($C45,CHANTIER!$A$2:$D$83,4,0))</f>
        <v/>
      </c>
      <c r="Y45" s="364">
        <v>17</v>
      </c>
      <c r="Z45" s="372" t="str">
        <f>IF($C45="","",Y45*VLOOKUP($C45,CHANTIER!$A$2:$D$83,4,0))</f>
        <v/>
      </c>
      <c r="AA45" s="364">
        <v>18</v>
      </c>
      <c r="AB45" s="372" t="str">
        <f>IF($C45="","",AA45*VLOOKUP($C45,CHANTIER!$A$2:$D$83,4,0))</f>
        <v/>
      </c>
      <c r="AC45" s="364">
        <v>19</v>
      </c>
      <c r="AD45" s="372" t="str">
        <f>IF($C45="","",AC45*VLOOKUP($C45,CHANTIER!$A$2:$D$83,4,0))</f>
        <v/>
      </c>
      <c r="AE45" s="364">
        <v>20</v>
      </c>
      <c r="AF45" s="372" t="str">
        <f>IF($C45="","",AE45*VLOOKUP($C45,CHANTIER!$A$2:$D$83,4,0))</f>
        <v/>
      </c>
      <c r="AG45" s="364">
        <v>21</v>
      </c>
      <c r="AH45" s="372" t="str">
        <f>IF($C45="","",AG45*VLOOKUP($C45,CHANTIER!$A$2:$D$83,4,0))</f>
        <v/>
      </c>
      <c r="AI45" s="364">
        <v>22</v>
      </c>
      <c r="AJ45" s="372" t="str">
        <f>IF($C45="","",AI45*VLOOKUP($C45,CHANTIER!$A$2:$D$83,4,0))</f>
        <v/>
      </c>
      <c r="AK45" s="364">
        <v>23</v>
      </c>
      <c r="AL45" s="372" t="str">
        <f>IF($C45="","",AK45*VLOOKUP($C45,CHANTIER!$A$2:$D$83,4,0))</f>
        <v/>
      </c>
      <c r="AM45" s="364">
        <v>24</v>
      </c>
      <c r="AN45" s="372" t="str">
        <f>IF($C45="","",AM45*VLOOKUP($C45,CHANTIER!$A$2:$D$83,4,0))</f>
        <v/>
      </c>
      <c r="AO45" s="224"/>
      <c r="AP45" s="224"/>
    </row>
    <row r="46" spans="1:42" ht="15" customHeight="1" x14ac:dyDescent="0.2">
      <c r="A46" s="1554"/>
      <c r="B46" s="361"/>
      <c r="C46" s="378"/>
      <c r="D46" s="363" t="str">
        <f>IF(C46="","",VLOOKUP($C46,CHANTIER!$A$2:$C$83,3,0))</f>
        <v/>
      </c>
      <c r="E46" s="364">
        <v>8</v>
      </c>
      <c r="F46" s="372" t="str">
        <f>IF($C46="","",E46*VLOOKUP($C46,CHANTIER!$A$2:$D$83,4,0))</f>
        <v/>
      </c>
      <c r="G46" s="364">
        <v>9</v>
      </c>
      <c r="H46" s="372" t="str">
        <f>IF($C46="","",G46*VLOOKUP($C46,CHANTIER!$A$2:$D$83,4,0))</f>
        <v/>
      </c>
      <c r="I46" s="364">
        <v>10</v>
      </c>
      <c r="J46" s="372" t="str">
        <f>IF($C46="","",I46*VLOOKUP($C46,CHANTIER!$A$2:$D$83,4,0))</f>
        <v/>
      </c>
      <c r="K46" s="364">
        <v>11</v>
      </c>
      <c r="L46" s="372" t="str">
        <f>IF($C46="","",K46*VLOOKUP($C46,CHANTIER!$A$2:$D$83,4,0))</f>
        <v/>
      </c>
      <c r="M46" s="364">
        <v>12</v>
      </c>
      <c r="N46" s="372" t="str">
        <f>IF($C46="","",M46*VLOOKUP($C46,CHANTIER!$A$2:$D$83,4,0))</f>
        <v/>
      </c>
      <c r="O46" s="364">
        <v>13</v>
      </c>
      <c r="P46" s="372" t="str">
        <f>IF($C46="","",O46*VLOOKUP($C46,CHANTIER!$A$2:$D$83,4,0))</f>
        <v/>
      </c>
      <c r="Q46" s="364">
        <v>14</v>
      </c>
      <c r="R46" s="372" t="str">
        <f>IF($C46="","",Q46*VLOOKUP($C46,CHANTIER!$A$2:$D$83,4,0))</f>
        <v/>
      </c>
      <c r="S46" s="364">
        <v>15</v>
      </c>
      <c r="T46" s="372" t="str">
        <f>IF($C46="","",S46*VLOOKUP($C46,CHANTIER!$A$2:$D$83,4,0))</f>
        <v/>
      </c>
      <c r="U46" s="364">
        <v>16</v>
      </c>
      <c r="V46" s="372" t="str">
        <f>IF($C46="","",U46*VLOOKUP($C46,CHANTIER!$A$2:$D$83,4,0))</f>
        <v/>
      </c>
      <c r="W46" s="364">
        <v>17</v>
      </c>
      <c r="X46" s="372" t="str">
        <f>IF($C46="","",W46*VLOOKUP($C46,CHANTIER!$A$2:$D$83,4,0))</f>
        <v/>
      </c>
      <c r="Y46" s="364">
        <v>18</v>
      </c>
      <c r="Z46" s="372" t="str">
        <f>IF($C46="","",Y46*VLOOKUP($C46,CHANTIER!$A$2:$D$83,4,0))</f>
        <v/>
      </c>
      <c r="AA46" s="364">
        <v>19</v>
      </c>
      <c r="AB46" s="372" t="str">
        <f>IF($C46="","",AA46*VLOOKUP($C46,CHANTIER!$A$2:$D$83,4,0))</f>
        <v/>
      </c>
      <c r="AC46" s="364">
        <v>20</v>
      </c>
      <c r="AD46" s="372" t="str">
        <f>IF($C46="","",AC46*VLOOKUP($C46,CHANTIER!$A$2:$D$83,4,0))</f>
        <v/>
      </c>
      <c r="AE46" s="364">
        <v>21</v>
      </c>
      <c r="AF46" s="372" t="str">
        <f>IF($C46="","",AE46*VLOOKUP($C46,CHANTIER!$A$2:$D$83,4,0))</f>
        <v/>
      </c>
      <c r="AG46" s="364">
        <v>22</v>
      </c>
      <c r="AH46" s="372" t="str">
        <f>IF($C46="","",AG46*VLOOKUP($C46,CHANTIER!$A$2:$D$83,4,0))</f>
        <v/>
      </c>
      <c r="AI46" s="364">
        <v>23</v>
      </c>
      <c r="AJ46" s="372" t="str">
        <f>IF($C46="","",AI46*VLOOKUP($C46,CHANTIER!$A$2:$D$83,4,0))</f>
        <v/>
      </c>
      <c r="AK46" s="364">
        <v>24</v>
      </c>
      <c r="AL46" s="372" t="str">
        <f>IF($C46="","",AK46*VLOOKUP($C46,CHANTIER!$A$2:$D$83,4,0))</f>
        <v/>
      </c>
      <c r="AM46" s="364">
        <v>25</v>
      </c>
      <c r="AN46" s="372" t="str">
        <f>IF($C46="","",AM46*VLOOKUP($C46,CHANTIER!$A$2:$D$83,4,0))</f>
        <v/>
      </c>
      <c r="AO46" s="225"/>
      <c r="AP46" s="226"/>
    </row>
    <row r="47" spans="1:42" ht="15" customHeight="1" x14ac:dyDescent="0.2">
      <c r="A47" s="1554"/>
      <c r="B47" s="361"/>
      <c r="C47" s="378"/>
      <c r="D47" s="363" t="str">
        <f>IF(C47="","",VLOOKUP($C47,CHANTIER!$A$2:$C$83,3,0))</f>
        <v/>
      </c>
      <c r="E47" s="364">
        <v>9</v>
      </c>
      <c r="F47" s="372" t="str">
        <f>IF($C47="","",E47*VLOOKUP($C47,CHANTIER!$A$2:$D$83,4,0))</f>
        <v/>
      </c>
      <c r="G47" s="364">
        <v>10</v>
      </c>
      <c r="H47" s="372" t="str">
        <f>IF($C47="","",G47*VLOOKUP($C47,CHANTIER!$A$2:$D$83,4,0))</f>
        <v/>
      </c>
      <c r="I47" s="364">
        <v>11</v>
      </c>
      <c r="J47" s="372" t="str">
        <f>IF($C47="","",I47*VLOOKUP($C47,CHANTIER!$A$2:$D$83,4,0))</f>
        <v/>
      </c>
      <c r="K47" s="364">
        <v>12</v>
      </c>
      <c r="L47" s="372" t="str">
        <f>IF($C47="","",K47*VLOOKUP($C47,CHANTIER!$A$2:$D$83,4,0))</f>
        <v/>
      </c>
      <c r="M47" s="364">
        <v>13</v>
      </c>
      <c r="N47" s="372" t="str">
        <f>IF($C47="","",M47*VLOOKUP($C47,CHANTIER!$A$2:$D$83,4,0))</f>
        <v/>
      </c>
      <c r="O47" s="364">
        <v>14</v>
      </c>
      <c r="P47" s="372" t="str">
        <f>IF($C47="","",O47*VLOOKUP($C47,CHANTIER!$A$2:$D$83,4,0))</f>
        <v/>
      </c>
      <c r="Q47" s="364">
        <v>15</v>
      </c>
      <c r="R47" s="372" t="str">
        <f>IF($C47="","",Q47*VLOOKUP($C47,CHANTIER!$A$2:$D$83,4,0))</f>
        <v/>
      </c>
      <c r="S47" s="364">
        <v>16</v>
      </c>
      <c r="T47" s="372" t="str">
        <f>IF($C47="","",S47*VLOOKUP($C47,CHANTIER!$A$2:$D$83,4,0))</f>
        <v/>
      </c>
      <c r="U47" s="364">
        <v>17</v>
      </c>
      <c r="V47" s="372" t="str">
        <f>IF($C47="","",U47*VLOOKUP($C47,CHANTIER!$A$2:$D$83,4,0))</f>
        <v/>
      </c>
      <c r="W47" s="364">
        <v>18</v>
      </c>
      <c r="X47" s="372" t="str">
        <f>IF($C47="","",W47*VLOOKUP($C47,CHANTIER!$A$2:$D$83,4,0))</f>
        <v/>
      </c>
      <c r="Y47" s="364">
        <v>19</v>
      </c>
      <c r="Z47" s="372" t="str">
        <f>IF($C47="","",Y47*VLOOKUP($C47,CHANTIER!$A$2:$D$83,4,0))</f>
        <v/>
      </c>
      <c r="AA47" s="364">
        <v>20</v>
      </c>
      <c r="AB47" s="372" t="str">
        <f>IF($C47="","",AA47*VLOOKUP($C47,CHANTIER!$A$2:$D$83,4,0))</f>
        <v/>
      </c>
      <c r="AC47" s="364">
        <v>21</v>
      </c>
      <c r="AD47" s="372" t="str">
        <f>IF($C47="","",AC47*VLOOKUP($C47,CHANTIER!$A$2:$D$83,4,0))</f>
        <v/>
      </c>
      <c r="AE47" s="364">
        <v>22</v>
      </c>
      <c r="AF47" s="372" t="str">
        <f>IF($C47="","",AE47*VLOOKUP($C47,CHANTIER!$A$2:$D$83,4,0))</f>
        <v/>
      </c>
      <c r="AG47" s="364">
        <v>23</v>
      </c>
      <c r="AH47" s="372" t="str">
        <f>IF($C47="","",AG47*VLOOKUP($C47,CHANTIER!$A$2:$D$83,4,0))</f>
        <v/>
      </c>
      <c r="AI47" s="364">
        <v>24</v>
      </c>
      <c r="AJ47" s="372" t="str">
        <f>IF($C47="","",AI47*VLOOKUP($C47,CHANTIER!$A$2:$D$83,4,0))</f>
        <v/>
      </c>
      <c r="AK47" s="364">
        <v>25</v>
      </c>
      <c r="AL47" s="372" t="str">
        <f>IF($C47="","",AK47*VLOOKUP($C47,CHANTIER!$A$2:$D$83,4,0))</f>
        <v/>
      </c>
      <c r="AM47" s="364">
        <v>26</v>
      </c>
      <c r="AN47" s="372" t="str">
        <f>IF($C47="","",AM47*VLOOKUP($C47,CHANTIER!$A$2:$D$83,4,0))</f>
        <v/>
      </c>
    </row>
    <row r="48" spans="1:42" ht="15" customHeight="1" x14ac:dyDescent="0.2">
      <c r="A48" s="1554"/>
      <c r="B48" s="361"/>
      <c r="C48" s="378"/>
      <c r="D48" s="363" t="str">
        <f>IF(C48="","",VLOOKUP($C48,CHANTIER!$A$2:$C$83,3,0))</f>
        <v/>
      </c>
      <c r="E48" s="364">
        <v>10</v>
      </c>
      <c r="F48" s="372" t="str">
        <f>IF($C48="","",E48*VLOOKUP($C48,CHANTIER!$A$2:$D$83,4,0))</f>
        <v/>
      </c>
      <c r="G48" s="364">
        <v>11</v>
      </c>
      <c r="H48" s="372" t="str">
        <f>IF($C48="","",G48*VLOOKUP($C48,CHANTIER!$A$2:$D$83,4,0))</f>
        <v/>
      </c>
      <c r="I48" s="364">
        <v>12</v>
      </c>
      <c r="J48" s="372" t="str">
        <f>IF($C48="","",I48*VLOOKUP($C48,CHANTIER!$A$2:$D$83,4,0))</f>
        <v/>
      </c>
      <c r="K48" s="364">
        <v>13</v>
      </c>
      <c r="L48" s="372" t="str">
        <f>IF($C48="","",K48*VLOOKUP($C48,CHANTIER!$A$2:$D$83,4,0))</f>
        <v/>
      </c>
      <c r="M48" s="364">
        <v>14</v>
      </c>
      <c r="N48" s="372" t="str">
        <f>IF($C48="","",M48*VLOOKUP($C48,CHANTIER!$A$2:$D$83,4,0))</f>
        <v/>
      </c>
      <c r="O48" s="364">
        <v>15</v>
      </c>
      <c r="P48" s="372" t="str">
        <f>IF($C48="","",O48*VLOOKUP($C48,CHANTIER!$A$2:$D$83,4,0))</f>
        <v/>
      </c>
      <c r="Q48" s="364">
        <v>16</v>
      </c>
      <c r="R48" s="372" t="str">
        <f>IF($C48="","",Q48*VLOOKUP($C48,CHANTIER!$A$2:$D$83,4,0))</f>
        <v/>
      </c>
      <c r="S48" s="364">
        <v>17</v>
      </c>
      <c r="T48" s="372" t="str">
        <f>IF($C48="","",S48*VLOOKUP($C48,CHANTIER!$A$2:$D$83,4,0))</f>
        <v/>
      </c>
      <c r="U48" s="364">
        <v>18</v>
      </c>
      <c r="V48" s="372" t="str">
        <f>IF($C48="","",U48*VLOOKUP($C48,CHANTIER!$A$2:$D$83,4,0))</f>
        <v/>
      </c>
      <c r="W48" s="364">
        <v>19</v>
      </c>
      <c r="X48" s="372" t="str">
        <f>IF($C48="","",W48*VLOOKUP($C48,CHANTIER!$A$2:$D$83,4,0))</f>
        <v/>
      </c>
      <c r="Y48" s="364">
        <v>20</v>
      </c>
      <c r="Z48" s="372" t="str">
        <f>IF($C48="","",Y48*VLOOKUP($C48,CHANTIER!$A$2:$D$83,4,0))</f>
        <v/>
      </c>
      <c r="AA48" s="364">
        <v>21</v>
      </c>
      <c r="AB48" s="372" t="str">
        <f>IF($C48="","",AA48*VLOOKUP($C48,CHANTIER!$A$2:$D$83,4,0))</f>
        <v/>
      </c>
      <c r="AC48" s="364">
        <v>22</v>
      </c>
      <c r="AD48" s="372" t="str">
        <f>IF($C48="","",AC48*VLOOKUP($C48,CHANTIER!$A$2:$D$83,4,0))</f>
        <v/>
      </c>
      <c r="AE48" s="364">
        <v>23</v>
      </c>
      <c r="AF48" s="372" t="str">
        <f>IF($C48="","",AE48*VLOOKUP($C48,CHANTIER!$A$2:$D$83,4,0))</f>
        <v/>
      </c>
      <c r="AG48" s="364">
        <v>24</v>
      </c>
      <c r="AH48" s="372" t="str">
        <f>IF($C48="","",AG48*VLOOKUP($C48,CHANTIER!$A$2:$D$83,4,0))</f>
        <v/>
      </c>
      <c r="AI48" s="364">
        <v>25</v>
      </c>
      <c r="AJ48" s="372" t="str">
        <f>IF($C48="","",AI48*VLOOKUP($C48,CHANTIER!$A$2:$D$83,4,0))</f>
        <v/>
      </c>
      <c r="AK48" s="364">
        <v>26</v>
      </c>
      <c r="AL48" s="372" t="str">
        <f>IF($C48="","",AK48*VLOOKUP($C48,CHANTIER!$A$2:$D$83,4,0))</f>
        <v/>
      </c>
      <c r="AM48" s="364">
        <v>27</v>
      </c>
      <c r="AN48" s="372" t="str">
        <f>IF($C48="","",AM48*VLOOKUP($C48,CHANTIER!$A$2:$D$83,4,0))</f>
        <v/>
      </c>
    </row>
    <row r="49" spans="1:42" ht="15" customHeight="1" x14ac:dyDescent="0.2">
      <c r="A49" s="1554"/>
      <c r="B49" s="361"/>
      <c r="C49" s="378"/>
      <c r="D49" s="363" t="str">
        <f>IF(C49="","",VLOOKUP($C49,CHANTIER!$A$2:$C$83,3,0))</f>
        <v/>
      </c>
      <c r="E49" s="364">
        <v>11</v>
      </c>
      <c r="F49" s="372" t="str">
        <f>IF($C49="","",E49*VLOOKUP($C49,CHANTIER!$A$2:$D$83,4,0))</f>
        <v/>
      </c>
      <c r="G49" s="364">
        <v>12</v>
      </c>
      <c r="H49" s="372" t="str">
        <f>IF($C49="","",G49*VLOOKUP($C49,CHANTIER!$A$2:$D$83,4,0))</f>
        <v/>
      </c>
      <c r="I49" s="364">
        <v>13</v>
      </c>
      <c r="J49" s="372" t="str">
        <f>IF($C49="","",I49*VLOOKUP($C49,CHANTIER!$A$2:$D$83,4,0))</f>
        <v/>
      </c>
      <c r="K49" s="364">
        <v>14</v>
      </c>
      <c r="L49" s="372" t="str">
        <f>IF($C49="","",K49*VLOOKUP($C49,CHANTIER!$A$2:$D$83,4,0))</f>
        <v/>
      </c>
      <c r="M49" s="364">
        <v>15</v>
      </c>
      <c r="N49" s="372" t="str">
        <f>IF($C49="","",M49*VLOOKUP($C49,CHANTIER!$A$2:$D$83,4,0))</f>
        <v/>
      </c>
      <c r="O49" s="364">
        <v>16</v>
      </c>
      <c r="P49" s="372" t="str">
        <f>IF($C49="","",O49*VLOOKUP($C49,CHANTIER!$A$2:$D$83,4,0))</f>
        <v/>
      </c>
      <c r="Q49" s="364">
        <v>17</v>
      </c>
      <c r="R49" s="372" t="str">
        <f>IF($C49="","",Q49*VLOOKUP($C49,CHANTIER!$A$2:$D$83,4,0))</f>
        <v/>
      </c>
      <c r="S49" s="364">
        <v>18</v>
      </c>
      <c r="T49" s="372" t="str">
        <f>IF($C49="","",S49*VLOOKUP($C49,CHANTIER!$A$2:$D$83,4,0))</f>
        <v/>
      </c>
      <c r="U49" s="364">
        <v>19</v>
      </c>
      <c r="V49" s="372" t="str">
        <f>IF($C49="","",U49*VLOOKUP($C49,CHANTIER!$A$2:$D$83,4,0))</f>
        <v/>
      </c>
      <c r="W49" s="364">
        <v>20</v>
      </c>
      <c r="X49" s="372" t="str">
        <f>IF($C49="","",W49*VLOOKUP($C49,CHANTIER!$A$2:$D$83,4,0))</f>
        <v/>
      </c>
      <c r="Y49" s="364">
        <v>21</v>
      </c>
      <c r="Z49" s="372" t="str">
        <f>IF($C49="","",Y49*VLOOKUP($C49,CHANTIER!$A$2:$D$83,4,0))</f>
        <v/>
      </c>
      <c r="AA49" s="364">
        <v>22</v>
      </c>
      <c r="AB49" s="372" t="str">
        <f>IF($C49="","",AA49*VLOOKUP($C49,CHANTIER!$A$2:$D$83,4,0))</f>
        <v/>
      </c>
      <c r="AC49" s="364">
        <v>23</v>
      </c>
      <c r="AD49" s="372" t="str">
        <f>IF($C49="","",AC49*VLOOKUP($C49,CHANTIER!$A$2:$D$83,4,0))</f>
        <v/>
      </c>
      <c r="AE49" s="364">
        <v>24</v>
      </c>
      <c r="AF49" s="372" t="str">
        <f>IF($C49="","",AE49*VLOOKUP($C49,CHANTIER!$A$2:$D$83,4,0))</f>
        <v/>
      </c>
      <c r="AG49" s="364">
        <v>25</v>
      </c>
      <c r="AH49" s="372" t="str">
        <f>IF($C49="","",AG49*VLOOKUP($C49,CHANTIER!$A$2:$D$83,4,0))</f>
        <v/>
      </c>
      <c r="AI49" s="364">
        <v>26</v>
      </c>
      <c r="AJ49" s="372" t="str">
        <f>IF($C49="","",AI49*VLOOKUP($C49,CHANTIER!$A$2:$D$83,4,0))</f>
        <v/>
      </c>
      <c r="AK49" s="364">
        <v>27</v>
      </c>
      <c r="AL49" s="372" t="str">
        <f>IF($C49="","",AK49*VLOOKUP($C49,CHANTIER!$A$2:$D$83,4,0))</f>
        <v/>
      </c>
      <c r="AM49" s="364">
        <v>28</v>
      </c>
      <c r="AN49" s="372" t="str">
        <f>IF($C49="","",AM49*VLOOKUP($C49,CHANTIER!$A$2:$D$83,4,0))</f>
        <v/>
      </c>
    </row>
    <row r="50" spans="1:42" ht="30.75" customHeight="1" x14ac:dyDescent="0.2">
      <c r="A50" s="1554"/>
      <c r="B50" s="379" t="s">
        <v>453</v>
      </c>
      <c r="C50" s="380" t="s">
        <v>450</v>
      </c>
      <c r="D50" s="381" t="s">
        <v>451</v>
      </c>
      <c r="E50" s="382">
        <f>F50*Simulation!$P$9</f>
        <v>11.25</v>
      </c>
      <c r="F50" s="383">
        <f>SUM(F39:F49)</f>
        <v>0.25</v>
      </c>
      <c r="G50" s="382">
        <f>H50*Simulation!$P$9</f>
        <v>22.5</v>
      </c>
      <c r="H50" s="383">
        <f>SUM(H39:H49)</f>
        <v>0.5</v>
      </c>
      <c r="I50" s="382">
        <f>J50*Simulation!$P$9</f>
        <v>33.75</v>
      </c>
      <c r="J50" s="383">
        <f>SUM(J39:J49)</f>
        <v>0.75</v>
      </c>
      <c r="K50" s="382">
        <f>L50*Simulation!$P$9</f>
        <v>45</v>
      </c>
      <c r="L50" s="383">
        <f>SUM(L39:L49)</f>
        <v>1</v>
      </c>
      <c r="M50" s="382">
        <f>N50*Simulation!$P$9</f>
        <v>56.25</v>
      </c>
      <c r="N50" s="383">
        <f>SUM(N39:N49)</f>
        <v>1.25</v>
      </c>
      <c r="O50" s="382">
        <f>P50*Simulation!$P$9</f>
        <v>67.5</v>
      </c>
      <c r="P50" s="383">
        <f>SUM(P39:P49)</f>
        <v>1.5</v>
      </c>
      <c r="Q50" s="382">
        <f>R50*Simulation!$P$9</f>
        <v>78.75</v>
      </c>
      <c r="R50" s="383">
        <f>SUM(R39:R49)</f>
        <v>1.75</v>
      </c>
      <c r="S50" s="382">
        <f>T50*Simulation!$P$9</f>
        <v>90</v>
      </c>
      <c r="T50" s="383">
        <f>SUM(T39:T49)</f>
        <v>2</v>
      </c>
      <c r="U50" s="382">
        <f>V50*Simulation!$P$9</f>
        <v>101.25</v>
      </c>
      <c r="V50" s="383">
        <f>SUM(V39:V49)</f>
        <v>2.25</v>
      </c>
      <c r="W50" s="382">
        <f>X50*Simulation!$P$9</f>
        <v>112.5</v>
      </c>
      <c r="X50" s="383">
        <f>SUM(X39:X49)</f>
        <v>2.5</v>
      </c>
      <c r="Y50" s="382">
        <f>Z50*Simulation!$P$9</f>
        <v>123.75</v>
      </c>
      <c r="Z50" s="383">
        <f>SUM(Z39:Z49)</f>
        <v>2.75</v>
      </c>
      <c r="AA50" s="382">
        <f>AB50*Simulation!$P$9</f>
        <v>135</v>
      </c>
      <c r="AB50" s="383">
        <f>SUM(AB39:AB49)</f>
        <v>3</v>
      </c>
      <c r="AC50" s="382">
        <f>AD50*Simulation!$P$9</f>
        <v>146.25</v>
      </c>
      <c r="AD50" s="383">
        <f>SUM(AD39:AD49)</f>
        <v>3.25</v>
      </c>
      <c r="AE50" s="382">
        <f>AF50*Simulation!$P$9</f>
        <v>157.5</v>
      </c>
      <c r="AF50" s="383">
        <f>SUM(AF39:AF49)</f>
        <v>3.5</v>
      </c>
      <c r="AG50" s="382">
        <f>AH50*Simulation!$P$9</f>
        <v>168.75</v>
      </c>
      <c r="AH50" s="383">
        <f>SUM(AH39:AH49)</f>
        <v>3.75</v>
      </c>
      <c r="AI50" s="382">
        <f>AJ50*Simulation!$P$9</f>
        <v>180</v>
      </c>
      <c r="AJ50" s="383">
        <f>SUM(AJ39:AJ49)</f>
        <v>4</v>
      </c>
      <c r="AK50" s="382">
        <f>AL50*Simulation!$P$9</f>
        <v>191.25</v>
      </c>
      <c r="AL50" s="383">
        <f>SUM(AL39:AL49)</f>
        <v>4.25</v>
      </c>
      <c r="AM50" s="382">
        <f>AN50*Simulation!$P$9</f>
        <v>202.5</v>
      </c>
      <c r="AN50" s="383">
        <f>SUM(AN39:AN49)</f>
        <v>4.5</v>
      </c>
    </row>
    <row r="51" spans="1:42" ht="15" customHeight="1" x14ac:dyDescent="0.2">
      <c r="A51" s="1559" t="s">
        <v>4</v>
      </c>
      <c r="B51" s="361" t="s">
        <v>371</v>
      </c>
      <c r="C51" s="378" t="s">
        <v>400</v>
      </c>
      <c r="D51" s="363" t="str">
        <f>IF(C51="","",VLOOKUP($C51,MINIPELLE!$A$2:$C$28,3,0))</f>
        <v>cm</v>
      </c>
      <c r="E51" s="364">
        <v>2</v>
      </c>
      <c r="F51" s="372">
        <f>IF($C51="","",E51*VLOOKUP($C51,MINIPELLE!$A$2:$D$28,4,0))</f>
        <v>0.05</v>
      </c>
      <c r="G51" s="364">
        <v>2</v>
      </c>
      <c r="H51" s="372">
        <f>IF($C51="","",G51*VLOOKUP($C51,MINIPELLE!$A$2:$D$28,4,0))</f>
        <v>0.05</v>
      </c>
      <c r="I51" s="364">
        <v>2</v>
      </c>
      <c r="J51" s="372">
        <f>IF($C51="","",I51*VLOOKUP($C51,MINIPELLE!$A$2:$D$28,4,0))</f>
        <v>0.05</v>
      </c>
      <c r="K51" s="364">
        <v>2</v>
      </c>
      <c r="L51" s="372">
        <f>IF($C51="","",K51*VLOOKUP($C51,MINIPELLE!$A$2:$D$28,4,0))</f>
        <v>0.05</v>
      </c>
      <c r="M51" s="364">
        <v>2</v>
      </c>
      <c r="N51" s="372">
        <f>IF($C51="","",M51*VLOOKUP($C51,MINIPELLE!$A$2:$D$28,4,0))</f>
        <v>0.05</v>
      </c>
      <c r="O51" s="364">
        <v>2</v>
      </c>
      <c r="P51" s="372">
        <f>IF($C51="","",O51*VLOOKUP($C51,MINIPELLE!$A$2:$D$28,4,0))</f>
        <v>0.05</v>
      </c>
      <c r="Q51" s="364">
        <v>2</v>
      </c>
      <c r="R51" s="372">
        <f>IF($C51="","",Q51*VLOOKUP($C51,MINIPELLE!$A$2:$D$28,4,0))</f>
        <v>0.05</v>
      </c>
      <c r="S51" s="364">
        <v>2</v>
      </c>
      <c r="T51" s="372">
        <f>IF($C51="","",S51*VLOOKUP($C51,MINIPELLE!$A$2:$D$28,4,0))</f>
        <v>0.05</v>
      </c>
      <c r="U51" s="364">
        <v>2</v>
      </c>
      <c r="V51" s="372">
        <f>IF($C51="","",U51*VLOOKUP($C51,MINIPELLE!$A$2:$D$28,4,0))</f>
        <v>0.05</v>
      </c>
      <c r="W51" s="364">
        <v>2</v>
      </c>
      <c r="X51" s="372">
        <f>IF($C51="","",W51*VLOOKUP($C51,MINIPELLE!$A$2:$D$28,4,0))</f>
        <v>0.05</v>
      </c>
      <c r="Y51" s="364">
        <v>2</v>
      </c>
      <c r="Z51" s="372">
        <f>IF($C51="","",Y51*VLOOKUP($C51,MINIPELLE!$A$2:$D$28,4,0))</f>
        <v>0.05</v>
      </c>
      <c r="AA51" s="364">
        <v>2</v>
      </c>
      <c r="AB51" s="372">
        <f>IF($C51="","",AA51*VLOOKUP($C51,MINIPELLE!$A$2:$D$28,4,0))</f>
        <v>0.05</v>
      </c>
      <c r="AC51" s="364">
        <v>2</v>
      </c>
      <c r="AD51" s="372">
        <f>IF($C51="","",AC51*VLOOKUP($C51,MINIPELLE!$A$2:$D$28,4,0))</f>
        <v>0.05</v>
      </c>
      <c r="AE51" s="364">
        <v>2</v>
      </c>
      <c r="AF51" s="372">
        <f>IF($C51="","",AE51*VLOOKUP($C51,MINIPELLE!$A$2:$D$28,4,0))</f>
        <v>0.05</v>
      </c>
      <c r="AG51" s="364">
        <v>2</v>
      </c>
      <c r="AH51" s="372">
        <f>IF($C51="","",AG51*VLOOKUP($C51,MINIPELLE!$A$2:$D$28,4,0))</f>
        <v>0.05</v>
      </c>
      <c r="AI51" s="364">
        <v>2</v>
      </c>
      <c r="AJ51" s="372">
        <f>IF($C51="","",AI51*VLOOKUP($C51,MINIPELLE!$A$2:$D$28,4,0))</f>
        <v>0.05</v>
      </c>
      <c r="AK51" s="364">
        <v>2</v>
      </c>
      <c r="AL51" s="372">
        <f>IF($C51="","",AK51*VLOOKUP($C51,MINIPELLE!$A$2:$D$28,4,0))</f>
        <v>0.05</v>
      </c>
      <c r="AM51" s="364">
        <v>2</v>
      </c>
      <c r="AN51" s="372">
        <f>IF($C51="","",AM51*VLOOKUP($C51,MINIPELLE!$A$2:$D$28,4,0))</f>
        <v>0.05</v>
      </c>
    </row>
    <row r="52" spans="1:42" ht="15" customHeight="1" x14ac:dyDescent="0.2">
      <c r="A52" s="1560"/>
      <c r="B52" s="361"/>
      <c r="C52" s="378"/>
      <c r="D52" s="363" t="str">
        <f>IF(C52="","",VLOOKUP($C52,MINIPELLE!$A$2:$C$28,3,0))</f>
        <v/>
      </c>
      <c r="E52" s="364">
        <v>3</v>
      </c>
      <c r="F52" s="389" t="str">
        <f>IF($C52="","",E52*VLOOKUP($C52,MINIPELLE!$A$2:$D$28,4,0))</f>
        <v/>
      </c>
      <c r="G52" s="364">
        <v>3</v>
      </c>
      <c r="H52" s="389" t="str">
        <f>IF($C52="","",G52*VLOOKUP($C52,MINIPELLE!$A$2:$D$28,4,0))</f>
        <v/>
      </c>
      <c r="I52" s="364">
        <v>3</v>
      </c>
      <c r="J52" s="389" t="str">
        <f>IF($C52="","",I52*VLOOKUP($C52,MINIPELLE!$A$2:$D$28,4,0))</f>
        <v/>
      </c>
      <c r="K52" s="364">
        <v>3</v>
      </c>
      <c r="L52" s="389" t="str">
        <f>IF($C52="","",K52*VLOOKUP($C52,MINIPELLE!$A$2:$D$28,4,0))</f>
        <v/>
      </c>
      <c r="M52" s="364">
        <v>3</v>
      </c>
      <c r="N52" s="389" t="str">
        <f>IF($C52="","",M52*VLOOKUP($C52,MINIPELLE!$A$2:$D$28,4,0))</f>
        <v/>
      </c>
      <c r="O52" s="364">
        <v>3</v>
      </c>
      <c r="P52" s="389" t="str">
        <f>IF($C52="","",O52*VLOOKUP($C52,MINIPELLE!$A$2:$D$28,4,0))</f>
        <v/>
      </c>
      <c r="Q52" s="364">
        <v>3</v>
      </c>
      <c r="R52" s="389" t="str">
        <f>IF($C52="","",Q52*VLOOKUP($C52,MINIPELLE!$A$2:$D$28,4,0))</f>
        <v/>
      </c>
      <c r="S52" s="364">
        <v>3</v>
      </c>
      <c r="T52" s="389" t="str">
        <f>IF($C52="","",S52*VLOOKUP($C52,MINIPELLE!$A$2:$D$28,4,0))</f>
        <v/>
      </c>
      <c r="U52" s="364">
        <v>3</v>
      </c>
      <c r="V52" s="389" t="str">
        <f>IF($C52="","",U52*VLOOKUP($C52,MINIPELLE!$A$2:$D$28,4,0))</f>
        <v/>
      </c>
      <c r="W52" s="364">
        <v>3</v>
      </c>
      <c r="X52" s="389" t="str">
        <f>IF($C52="","",W52*VLOOKUP($C52,MINIPELLE!$A$2:$D$28,4,0))</f>
        <v/>
      </c>
      <c r="Y52" s="364">
        <v>3</v>
      </c>
      <c r="Z52" s="389" t="str">
        <f>IF($C52="","",Y52*VLOOKUP($C52,MINIPELLE!$A$2:$D$28,4,0))</f>
        <v/>
      </c>
      <c r="AA52" s="364">
        <v>3</v>
      </c>
      <c r="AB52" s="389" t="str">
        <f>IF($C52="","",AA52*VLOOKUP($C52,MINIPELLE!$A$2:$D$28,4,0))</f>
        <v/>
      </c>
      <c r="AC52" s="364">
        <v>3</v>
      </c>
      <c r="AD52" s="389" t="str">
        <f>IF($C52="","",AC52*VLOOKUP($C52,MINIPELLE!$A$2:$D$28,4,0))</f>
        <v/>
      </c>
      <c r="AE52" s="364">
        <v>3</v>
      </c>
      <c r="AF52" s="389" t="str">
        <f>IF($C52="","",AE52*VLOOKUP($C52,MINIPELLE!$A$2:$D$28,4,0))</f>
        <v/>
      </c>
      <c r="AG52" s="364">
        <v>3</v>
      </c>
      <c r="AH52" s="389" t="str">
        <f>IF($C52="","",AG52*VLOOKUP($C52,MINIPELLE!$A$2:$D$28,4,0))</f>
        <v/>
      </c>
      <c r="AI52" s="364">
        <v>3</v>
      </c>
      <c r="AJ52" s="389" t="str">
        <f>IF($C52="","",AI52*VLOOKUP($C52,MINIPELLE!$A$2:$D$28,4,0))</f>
        <v/>
      </c>
      <c r="AK52" s="364">
        <v>3</v>
      </c>
      <c r="AL52" s="389" t="str">
        <f>IF($C52="","",AK52*VLOOKUP($C52,MINIPELLE!$A$2:$D$28,4,0))</f>
        <v/>
      </c>
      <c r="AM52" s="364">
        <v>3</v>
      </c>
      <c r="AN52" s="389" t="str">
        <f>IF($C52="","",AM52*VLOOKUP($C52,MINIPELLE!$A$2:$D$28,4,0))</f>
        <v/>
      </c>
    </row>
    <row r="53" spans="1:42" ht="15" customHeight="1" x14ac:dyDescent="0.2">
      <c r="A53" s="1560"/>
      <c r="B53" s="361"/>
      <c r="C53" s="378"/>
      <c r="D53" s="363" t="str">
        <f>IF(C53="","",VLOOKUP($C53,MINIPELLE!$A$2:$C$28,3,0))</f>
        <v/>
      </c>
      <c r="E53" s="364">
        <v>4</v>
      </c>
      <c r="F53" s="389" t="str">
        <f>IF($C53="","",E53*VLOOKUP($C53,MINIPELLE!$A$2:$D$28,4,0))</f>
        <v/>
      </c>
      <c r="G53" s="364">
        <v>4</v>
      </c>
      <c r="H53" s="389" t="str">
        <f>IF($C53="","",G53*VLOOKUP($C53,MINIPELLE!$A$2:$D$28,4,0))</f>
        <v/>
      </c>
      <c r="I53" s="364">
        <v>4</v>
      </c>
      <c r="J53" s="389" t="str">
        <f>IF($C53="","",I53*VLOOKUP($C53,MINIPELLE!$A$2:$D$28,4,0))</f>
        <v/>
      </c>
      <c r="K53" s="364">
        <v>4</v>
      </c>
      <c r="L53" s="389" t="str">
        <f>IF($C53="","",K53*VLOOKUP($C53,MINIPELLE!$A$2:$D$28,4,0))</f>
        <v/>
      </c>
      <c r="M53" s="364">
        <v>4</v>
      </c>
      <c r="N53" s="389" t="str">
        <f>IF($C53="","",M53*VLOOKUP($C53,MINIPELLE!$A$2:$D$28,4,0))</f>
        <v/>
      </c>
      <c r="O53" s="364">
        <v>4</v>
      </c>
      <c r="P53" s="389" t="str">
        <f>IF($C53="","",O53*VLOOKUP($C53,MINIPELLE!$A$2:$D$28,4,0))</f>
        <v/>
      </c>
      <c r="Q53" s="364">
        <v>4</v>
      </c>
      <c r="R53" s="389" t="str">
        <f>IF($C53="","",Q53*VLOOKUP($C53,MINIPELLE!$A$2:$D$28,4,0))</f>
        <v/>
      </c>
      <c r="S53" s="364">
        <v>4</v>
      </c>
      <c r="T53" s="389" t="str">
        <f>IF($C53="","",S53*VLOOKUP($C53,MINIPELLE!$A$2:$D$28,4,0))</f>
        <v/>
      </c>
      <c r="U53" s="364">
        <v>4</v>
      </c>
      <c r="V53" s="389" t="str">
        <f>IF($C53="","",U53*VLOOKUP($C53,MINIPELLE!$A$2:$D$28,4,0))</f>
        <v/>
      </c>
      <c r="W53" s="364">
        <v>4</v>
      </c>
      <c r="X53" s="389" t="str">
        <f>IF($C53="","",W53*VLOOKUP($C53,MINIPELLE!$A$2:$D$28,4,0))</f>
        <v/>
      </c>
      <c r="Y53" s="364">
        <v>4</v>
      </c>
      <c r="Z53" s="389" t="str">
        <f>IF($C53="","",Y53*VLOOKUP($C53,MINIPELLE!$A$2:$D$28,4,0))</f>
        <v/>
      </c>
      <c r="AA53" s="364">
        <v>4</v>
      </c>
      <c r="AB53" s="389" t="str">
        <f>IF($C53="","",AA53*VLOOKUP($C53,MINIPELLE!$A$2:$D$28,4,0))</f>
        <v/>
      </c>
      <c r="AC53" s="364">
        <v>4</v>
      </c>
      <c r="AD53" s="389" t="str">
        <f>IF($C53="","",AC53*VLOOKUP($C53,MINIPELLE!$A$2:$D$28,4,0))</f>
        <v/>
      </c>
      <c r="AE53" s="364">
        <v>4</v>
      </c>
      <c r="AF53" s="389" t="str">
        <f>IF($C53="","",AE53*VLOOKUP($C53,MINIPELLE!$A$2:$D$28,4,0))</f>
        <v/>
      </c>
      <c r="AG53" s="364">
        <v>4</v>
      </c>
      <c r="AH53" s="389" t="str">
        <f>IF($C53="","",AG53*VLOOKUP($C53,MINIPELLE!$A$2:$D$28,4,0))</f>
        <v/>
      </c>
      <c r="AI53" s="364">
        <v>4</v>
      </c>
      <c r="AJ53" s="389" t="str">
        <f>IF($C53="","",AI53*VLOOKUP($C53,MINIPELLE!$A$2:$D$28,4,0))</f>
        <v/>
      </c>
      <c r="AK53" s="364">
        <v>4</v>
      </c>
      <c r="AL53" s="389" t="str">
        <f>IF($C53="","",AK53*VLOOKUP($C53,MINIPELLE!$A$2:$D$28,4,0))</f>
        <v/>
      </c>
      <c r="AM53" s="364">
        <v>4</v>
      </c>
      <c r="AN53" s="389" t="str">
        <f>IF($C53="","",AM53*VLOOKUP($C53,MINIPELLE!$A$2:$D$28,4,0))</f>
        <v/>
      </c>
    </row>
    <row r="54" spans="1:42" ht="15" customHeight="1" x14ac:dyDescent="0.2">
      <c r="A54" s="1560"/>
      <c r="B54" s="361"/>
      <c r="C54" s="378"/>
      <c r="D54" s="363" t="str">
        <f>IF(C54="","",VLOOKUP($C54,MINIPELLE!$A$2:$C$28,3,0))</f>
        <v/>
      </c>
      <c r="E54" s="364">
        <v>5</v>
      </c>
      <c r="F54" s="389" t="str">
        <f>IF($C54="","",E54*VLOOKUP($C54,MINIPELLE!$A$2:$D$28,4,0))</f>
        <v/>
      </c>
      <c r="G54" s="364">
        <v>5</v>
      </c>
      <c r="H54" s="389" t="str">
        <f>IF($C54="","",G54*VLOOKUP($C54,MINIPELLE!$A$2:$D$28,4,0))</f>
        <v/>
      </c>
      <c r="I54" s="364">
        <v>5</v>
      </c>
      <c r="J54" s="389" t="str">
        <f>IF($C54="","",I54*VLOOKUP($C54,MINIPELLE!$A$2:$D$28,4,0))</f>
        <v/>
      </c>
      <c r="K54" s="364">
        <v>5</v>
      </c>
      <c r="L54" s="389" t="str">
        <f>IF($C54="","",K54*VLOOKUP($C54,MINIPELLE!$A$2:$D$28,4,0))</f>
        <v/>
      </c>
      <c r="M54" s="364">
        <v>5</v>
      </c>
      <c r="N54" s="389" t="str">
        <f>IF($C54="","",M54*VLOOKUP($C54,MINIPELLE!$A$2:$D$28,4,0))</f>
        <v/>
      </c>
      <c r="O54" s="364">
        <v>5</v>
      </c>
      <c r="P54" s="389" t="str">
        <f>IF($C54="","",O54*VLOOKUP($C54,MINIPELLE!$A$2:$D$28,4,0))</f>
        <v/>
      </c>
      <c r="Q54" s="364">
        <v>5</v>
      </c>
      <c r="R54" s="389" t="str">
        <f>IF($C54="","",Q54*VLOOKUP($C54,MINIPELLE!$A$2:$D$28,4,0))</f>
        <v/>
      </c>
      <c r="S54" s="364">
        <v>5</v>
      </c>
      <c r="T54" s="389" t="str">
        <f>IF($C54="","",S54*VLOOKUP($C54,MINIPELLE!$A$2:$D$28,4,0))</f>
        <v/>
      </c>
      <c r="U54" s="364">
        <v>5</v>
      </c>
      <c r="V54" s="389" t="str">
        <f>IF($C54="","",U54*VLOOKUP($C54,MINIPELLE!$A$2:$D$28,4,0))</f>
        <v/>
      </c>
      <c r="W54" s="364">
        <v>5</v>
      </c>
      <c r="X54" s="389" t="str">
        <f>IF($C54="","",W54*VLOOKUP($C54,MINIPELLE!$A$2:$D$28,4,0))</f>
        <v/>
      </c>
      <c r="Y54" s="364">
        <v>5</v>
      </c>
      <c r="Z54" s="389" t="str">
        <f>IF($C54="","",Y54*VLOOKUP($C54,MINIPELLE!$A$2:$D$28,4,0))</f>
        <v/>
      </c>
      <c r="AA54" s="364">
        <v>5</v>
      </c>
      <c r="AB54" s="389" t="str">
        <f>IF($C54="","",AA54*VLOOKUP($C54,MINIPELLE!$A$2:$D$28,4,0))</f>
        <v/>
      </c>
      <c r="AC54" s="364">
        <v>5</v>
      </c>
      <c r="AD54" s="389" t="str">
        <f>IF($C54="","",AC54*VLOOKUP($C54,MINIPELLE!$A$2:$D$28,4,0))</f>
        <v/>
      </c>
      <c r="AE54" s="364">
        <v>5</v>
      </c>
      <c r="AF54" s="389" t="str">
        <f>IF($C54="","",AE54*VLOOKUP($C54,MINIPELLE!$A$2:$D$28,4,0))</f>
        <v/>
      </c>
      <c r="AG54" s="364">
        <v>5</v>
      </c>
      <c r="AH54" s="389" t="str">
        <f>IF($C54="","",AG54*VLOOKUP($C54,MINIPELLE!$A$2:$D$28,4,0))</f>
        <v/>
      </c>
      <c r="AI54" s="364">
        <v>5</v>
      </c>
      <c r="AJ54" s="389" t="str">
        <f>IF($C54="","",AI54*VLOOKUP($C54,MINIPELLE!$A$2:$D$28,4,0))</f>
        <v/>
      </c>
      <c r="AK54" s="364">
        <v>5</v>
      </c>
      <c r="AL54" s="389" t="str">
        <f>IF($C54="","",AK54*VLOOKUP($C54,MINIPELLE!$A$2:$D$28,4,0))</f>
        <v/>
      </c>
      <c r="AM54" s="364">
        <v>5</v>
      </c>
      <c r="AN54" s="389" t="str">
        <f>IF($C54="","",AM54*VLOOKUP($C54,MINIPELLE!$A$2:$D$28,4,0))</f>
        <v/>
      </c>
    </row>
    <row r="55" spans="1:42" ht="15" customHeight="1" x14ac:dyDescent="0.2">
      <c r="A55" s="1560"/>
      <c r="B55" s="361"/>
      <c r="C55" s="378"/>
      <c r="D55" s="363" t="str">
        <f>IF(C55="","",VLOOKUP($C55,MINIPELLE!$A$2:$C$28,3,0))</f>
        <v/>
      </c>
      <c r="E55" s="364">
        <v>6</v>
      </c>
      <c r="F55" s="389" t="str">
        <f>IF($C55="","",E55*VLOOKUP($C55,MINIPELLE!$A$2:$D$28,4,0))</f>
        <v/>
      </c>
      <c r="G55" s="364">
        <v>6</v>
      </c>
      <c r="H55" s="389" t="str">
        <f>IF($C55="","",G55*VLOOKUP($C55,MINIPELLE!$A$2:$D$28,4,0))</f>
        <v/>
      </c>
      <c r="I55" s="364">
        <v>6</v>
      </c>
      <c r="J55" s="389" t="str">
        <f>IF($C55="","",I55*VLOOKUP($C55,MINIPELLE!$A$2:$D$28,4,0))</f>
        <v/>
      </c>
      <c r="K55" s="364">
        <v>6</v>
      </c>
      <c r="L55" s="389" t="str">
        <f>IF($C55="","",K55*VLOOKUP($C55,MINIPELLE!$A$2:$D$28,4,0))</f>
        <v/>
      </c>
      <c r="M55" s="364">
        <v>6</v>
      </c>
      <c r="N55" s="389" t="str">
        <f>IF($C55="","",M55*VLOOKUP($C55,MINIPELLE!$A$2:$D$28,4,0))</f>
        <v/>
      </c>
      <c r="O55" s="364">
        <v>6</v>
      </c>
      <c r="P55" s="389" t="str">
        <f>IF($C55="","",O55*VLOOKUP($C55,MINIPELLE!$A$2:$D$28,4,0))</f>
        <v/>
      </c>
      <c r="Q55" s="364">
        <v>6</v>
      </c>
      <c r="R55" s="389" t="str">
        <f>IF($C55="","",Q55*VLOOKUP($C55,MINIPELLE!$A$2:$D$28,4,0))</f>
        <v/>
      </c>
      <c r="S55" s="364">
        <v>6</v>
      </c>
      <c r="T55" s="389" t="str">
        <f>IF($C55="","",S55*VLOOKUP($C55,MINIPELLE!$A$2:$D$28,4,0))</f>
        <v/>
      </c>
      <c r="U55" s="364">
        <v>6</v>
      </c>
      <c r="V55" s="389" t="str">
        <f>IF($C55="","",U55*VLOOKUP($C55,MINIPELLE!$A$2:$D$28,4,0))</f>
        <v/>
      </c>
      <c r="W55" s="364">
        <v>6</v>
      </c>
      <c r="X55" s="389" t="str">
        <f>IF($C55="","",W55*VLOOKUP($C55,MINIPELLE!$A$2:$D$28,4,0))</f>
        <v/>
      </c>
      <c r="Y55" s="364">
        <v>6</v>
      </c>
      <c r="Z55" s="389" t="str">
        <f>IF($C55="","",Y55*VLOOKUP($C55,MINIPELLE!$A$2:$D$28,4,0))</f>
        <v/>
      </c>
      <c r="AA55" s="364">
        <v>6</v>
      </c>
      <c r="AB55" s="389" t="str">
        <f>IF($C55="","",AA55*VLOOKUP($C55,MINIPELLE!$A$2:$D$28,4,0))</f>
        <v/>
      </c>
      <c r="AC55" s="364">
        <v>6</v>
      </c>
      <c r="AD55" s="389" t="str">
        <f>IF($C55="","",AC55*VLOOKUP($C55,MINIPELLE!$A$2:$D$28,4,0))</f>
        <v/>
      </c>
      <c r="AE55" s="364">
        <v>6</v>
      </c>
      <c r="AF55" s="389" t="str">
        <f>IF($C55="","",AE55*VLOOKUP($C55,MINIPELLE!$A$2:$D$28,4,0))</f>
        <v/>
      </c>
      <c r="AG55" s="364">
        <v>6</v>
      </c>
      <c r="AH55" s="389" t="str">
        <f>IF($C55="","",AG55*VLOOKUP($C55,MINIPELLE!$A$2:$D$28,4,0))</f>
        <v/>
      </c>
      <c r="AI55" s="364">
        <v>6</v>
      </c>
      <c r="AJ55" s="389" t="str">
        <f>IF($C55="","",AI55*VLOOKUP($C55,MINIPELLE!$A$2:$D$28,4,0))</f>
        <v/>
      </c>
      <c r="AK55" s="364">
        <v>6</v>
      </c>
      <c r="AL55" s="389" t="str">
        <f>IF($C55="","",AK55*VLOOKUP($C55,MINIPELLE!$A$2:$D$28,4,0))</f>
        <v/>
      </c>
      <c r="AM55" s="364">
        <v>6</v>
      </c>
      <c r="AN55" s="389" t="str">
        <f>IF($C55="","",AM55*VLOOKUP($C55,MINIPELLE!$A$2:$D$28,4,0))</f>
        <v/>
      </c>
    </row>
    <row r="56" spans="1:42" ht="15" customHeight="1" x14ac:dyDescent="0.2">
      <c r="A56" s="1560"/>
      <c r="B56" s="361"/>
      <c r="C56" s="378"/>
      <c r="D56" s="363" t="str">
        <f>IF(C56="","",VLOOKUP($C56,MINIPELLE!$A$2:$C$28,3,0))</f>
        <v/>
      </c>
      <c r="E56" s="364">
        <v>7</v>
      </c>
      <c r="F56" s="389" t="str">
        <f>IF($C56="","",E56*VLOOKUP($C56,MINIPELLE!$A$2:$D$28,4,0))</f>
        <v/>
      </c>
      <c r="G56" s="364">
        <v>7</v>
      </c>
      <c r="H56" s="389" t="str">
        <f>IF($C56="","",G56*VLOOKUP($C56,MINIPELLE!$A$2:$D$28,4,0))</f>
        <v/>
      </c>
      <c r="I56" s="364">
        <v>7</v>
      </c>
      <c r="J56" s="389" t="str">
        <f>IF($C56="","",I56*VLOOKUP($C56,MINIPELLE!$A$2:$D$28,4,0))</f>
        <v/>
      </c>
      <c r="K56" s="364">
        <v>7</v>
      </c>
      <c r="L56" s="389" t="str">
        <f>IF($C56="","",K56*VLOOKUP($C56,MINIPELLE!$A$2:$D$28,4,0))</f>
        <v/>
      </c>
      <c r="M56" s="364">
        <v>7</v>
      </c>
      <c r="N56" s="389" t="str">
        <f>IF($C56="","",M56*VLOOKUP($C56,MINIPELLE!$A$2:$D$28,4,0))</f>
        <v/>
      </c>
      <c r="O56" s="364">
        <v>7</v>
      </c>
      <c r="P56" s="389" t="str">
        <f>IF($C56="","",O56*VLOOKUP($C56,MINIPELLE!$A$2:$D$28,4,0))</f>
        <v/>
      </c>
      <c r="Q56" s="364">
        <v>7</v>
      </c>
      <c r="R56" s="389" t="str">
        <f>IF($C56="","",Q56*VLOOKUP($C56,MINIPELLE!$A$2:$D$28,4,0))</f>
        <v/>
      </c>
      <c r="S56" s="364">
        <v>7</v>
      </c>
      <c r="T56" s="389" t="str">
        <f>IF($C56="","",S56*VLOOKUP($C56,MINIPELLE!$A$2:$D$28,4,0))</f>
        <v/>
      </c>
      <c r="U56" s="364">
        <v>7</v>
      </c>
      <c r="V56" s="389" t="str">
        <f>IF($C56="","",U56*VLOOKUP($C56,MINIPELLE!$A$2:$D$28,4,0))</f>
        <v/>
      </c>
      <c r="W56" s="364">
        <v>7</v>
      </c>
      <c r="X56" s="389" t="str">
        <f>IF($C56="","",W56*VLOOKUP($C56,MINIPELLE!$A$2:$D$28,4,0))</f>
        <v/>
      </c>
      <c r="Y56" s="364">
        <v>7</v>
      </c>
      <c r="Z56" s="389" t="str">
        <f>IF($C56="","",Y56*VLOOKUP($C56,MINIPELLE!$A$2:$D$28,4,0))</f>
        <v/>
      </c>
      <c r="AA56" s="364">
        <v>7</v>
      </c>
      <c r="AB56" s="389" t="str">
        <f>IF($C56="","",AA56*VLOOKUP($C56,MINIPELLE!$A$2:$D$28,4,0))</f>
        <v/>
      </c>
      <c r="AC56" s="364">
        <v>7</v>
      </c>
      <c r="AD56" s="389" t="str">
        <f>IF($C56="","",AC56*VLOOKUP($C56,MINIPELLE!$A$2:$D$28,4,0))</f>
        <v/>
      </c>
      <c r="AE56" s="364">
        <v>7</v>
      </c>
      <c r="AF56" s="389" t="str">
        <f>IF($C56="","",AE56*VLOOKUP($C56,MINIPELLE!$A$2:$D$28,4,0))</f>
        <v/>
      </c>
      <c r="AG56" s="364">
        <v>7</v>
      </c>
      <c r="AH56" s="389" t="str">
        <f>IF($C56="","",AG56*VLOOKUP($C56,MINIPELLE!$A$2:$D$28,4,0))</f>
        <v/>
      </c>
      <c r="AI56" s="364">
        <v>7</v>
      </c>
      <c r="AJ56" s="389" t="str">
        <f>IF($C56="","",AI56*VLOOKUP($C56,MINIPELLE!$A$2:$D$28,4,0))</f>
        <v/>
      </c>
      <c r="AK56" s="364">
        <v>7</v>
      </c>
      <c r="AL56" s="389" t="str">
        <f>IF($C56="","",AK56*VLOOKUP($C56,MINIPELLE!$A$2:$D$28,4,0))</f>
        <v/>
      </c>
      <c r="AM56" s="364">
        <v>7</v>
      </c>
      <c r="AN56" s="389" t="str">
        <f>IF($C56="","",AM56*VLOOKUP($C56,MINIPELLE!$A$2:$D$28,4,0))</f>
        <v/>
      </c>
    </row>
    <row r="57" spans="1:42" ht="15" customHeight="1" x14ac:dyDescent="0.2">
      <c r="A57" s="1560"/>
      <c r="B57" s="361"/>
      <c r="C57" s="378"/>
      <c r="D57" s="363" t="str">
        <f>IF(C57="","",VLOOKUP($C57,MINIPELLE!$A$2:$C$28,3,0))</f>
        <v/>
      </c>
      <c r="E57" s="364">
        <v>8</v>
      </c>
      <c r="F57" s="389" t="str">
        <f>IF($C57="","",E57*VLOOKUP($C57,MINIPELLE!$A$2:$D$28,4,0))</f>
        <v/>
      </c>
      <c r="G57" s="364">
        <v>8</v>
      </c>
      <c r="H57" s="389" t="str">
        <f>IF($C57="","",G57*VLOOKUP($C57,MINIPELLE!$A$2:$D$28,4,0))</f>
        <v/>
      </c>
      <c r="I57" s="364">
        <v>8</v>
      </c>
      <c r="J57" s="389" t="str">
        <f>IF($C57="","",I57*VLOOKUP($C57,MINIPELLE!$A$2:$D$28,4,0))</f>
        <v/>
      </c>
      <c r="K57" s="364">
        <v>8</v>
      </c>
      <c r="L57" s="389" t="str">
        <f>IF($C57="","",K57*VLOOKUP($C57,MINIPELLE!$A$2:$D$28,4,0))</f>
        <v/>
      </c>
      <c r="M57" s="364">
        <v>8</v>
      </c>
      <c r="N57" s="389" t="str">
        <f>IF($C57="","",M57*VLOOKUP($C57,MINIPELLE!$A$2:$D$28,4,0))</f>
        <v/>
      </c>
      <c r="O57" s="364">
        <v>8</v>
      </c>
      <c r="P57" s="389" t="str">
        <f>IF($C57="","",O57*VLOOKUP($C57,MINIPELLE!$A$2:$D$28,4,0))</f>
        <v/>
      </c>
      <c r="Q57" s="364">
        <v>8</v>
      </c>
      <c r="R57" s="389" t="str">
        <f>IF($C57="","",Q57*VLOOKUP($C57,MINIPELLE!$A$2:$D$28,4,0))</f>
        <v/>
      </c>
      <c r="S57" s="364">
        <v>8</v>
      </c>
      <c r="T57" s="389" t="str">
        <f>IF($C57="","",S57*VLOOKUP($C57,MINIPELLE!$A$2:$D$28,4,0))</f>
        <v/>
      </c>
      <c r="U57" s="364">
        <v>8</v>
      </c>
      <c r="V57" s="389" t="str">
        <f>IF($C57="","",U57*VLOOKUP($C57,MINIPELLE!$A$2:$D$28,4,0))</f>
        <v/>
      </c>
      <c r="W57" s="364">
        <v>8</v>
      </c>
      <c r="X57" s="389" t="str">
        <f>IF($C57="","",W57*VLOOKUP($C57,MINIPELLE!$A$2:$D$28,4,0))</f>
        <v/>
      </c>
      <c r="Y57" s="364">
        <v>8</v>
      </c>
      <c r="Z57" s="389" t="str">
        <f>IF($C57="","",Y57*VLOOKUP($C57,MINIPELLE!$A$2:$D$28,4,0))</f>
        <v/>
      </c>
      <c r="AA57" s="364">
        <v>8</v>
      </c>
      <c r="AB57" s="389" t="str">
        <f>IF($C57="","",AA57*VLOOKUP($C57,MINIPELLE!$A$2:$D$28,4,0))</f>
        <v/>
      </c>
      <c r="AC57" s="364">
        <v>8</v>
      </c>
      <c r="AD57" s="389" t="str">
        <f>IF($C57="","",AC57*VLOOKUP($C57,MINIPELLE!$A$2:$D$28,4,0))</f>
        <v/>
      </c>
      <c r="AE57" s="364">
        <v>8</v>
      </c>
      <c r="AF57" s="389" t="str">
        <f>IF($C57="","",AE57*VLOOKUP($C57,MINIPELLE!$A$2:$D$28,4,0))</f>
        <v/>
      </c>
      <c r="AG57" s="364">
        <v>8</v>
      </c>
      <c r="AH57" s="389" t="str">
        <f>IF($C57="","",AG57*VLOOKUP($C57,MINIPELLE!$A$2:$D$28,4,0))</f>
        <v/>
      </c>
      <c r="AI57" s="364">
        <v>8</v>
      </c>
      <c r="AJ57" s="389" t="str">
        <f>IF($C57="","",AI57*VLOOKUP($C57,MINIPELLE!$A$2:$D$28,4,0))</f>
        <v/>
      </c>
      <c r="AK57" s="364">
        <v>8</v>
      </c>
      <c r="AL57" s="389" t="str">
        <f>IF($C57="","",AK57*VLOOKUP($C57,MINIPELLE!$A$2:$D$28,4,0))</f>
        <v/>
      </c>
      <c r="AM57" s="364">
        <v>8</v>
      </c>
      <c r="AN57" s="389" t="str">
        <f>IF($C57="","",AM57*VLOOKUP($C57,MINIPELLE!$A$2:$D$28,4,0))</f>
        <v/>
      </c>
    </row>
    <row r="58" spans="1:42" ht="15" customHeight="1" x14ac:dyDescent="0.2">
      <c r="A58" s="1560"/>
      <c r="B58" s="361"/>
      <c r="C58" s="378"/>
      <c r="D58" s="363" t="str">
        <f>IF(C58="","",VLOOKUP($C58,MINIPELLE!$A$2:$C$28,3,0))</f>
        <v/>
      </c>
      <c r="E58" s="364">
        <v>9</v>
      </c>
      <c r="F58" s="389" t="str">
        <f>IF($C58="","",E58*VLOOKUP($C58,MINIPELLE!$A$2:$D$28,4,0))</f>
        <v/>
      </c>
      <c r="G58" s="364">
        <v>9</v>
      </c>
      <c r="H58" s="389" t="str">
        <f>IF($C58="","",G58*VLOOKUP($C58,MINIPELLE!$A$2:$D$28,4,0))</f>
        <v/>
      </c>
      <c r="I58" s="364">
        <v>9</v>
      </c>
      <c r="J58" s="389" t="str">
        <f>IF($C58="","",I58*VLOOKUP($C58,MINIPELLE!$A$2:$D$28,4,0))</f>
        <v/>
      </c>
      <c r="K58" s="364">
        <v>9</v>
      </c>
      <c r="L58" s="389" t="str">
        <f>IF($C58="","",K58*VLOOKUP($C58,MINIPELLE!$A$2:$D$28,4,0))</f>
        <v/>
      </c>
      <c r="M58" s="364">
        <v>9</v>
      </c>
      <c r="N58" s="389" t="str">
        <f>IF($C58="","",M58*VLOOKUP($C58,MINIPELLE!$A$2:$D$28,4,0))</f>
        <v/>
      </c>
      <c r="O58" s="364">
        <v>9</v>
      </c>
      <c r="P58" s="389" t="str">
        <f>IF($C58="","",O58*VLOOKUP($C58,MINIPELLE!$A$2:$D$28,4,0))</f>
        <v/>
      </c>
      <c r="Q58" s="364">
        <v>9</v>
      </c>
      <c r="R58" s="389" t="str">
        <f>IF($C58="","",Q58*VLOOKUP($C58,MINIPELLE!$A$2:$D$28,4,0))</f>
        <v/>
      </c>
      <c r="S58" s="364">
        <v>9</v>
      </c>
      <c r="T58" s="389" t="str">
        <f>IF($C58="","",S58*VLOOKUP($C58,MINIPELLE!$A$2:$D$28,4,0))</f>
        <v/>
      </c>
      <c r="U58" s="364">
        <v>9</v>
      </c>
      <c r="V58" s="389" t="str">
        <f>IF($C58="","",U58*VLOOKUP($C58,MINIPELLE!$A$2:$D$28,4,0))</f>
        <v/>
      </c>
      <c r="W58" s="364">
        <v>9</v>
      </c>
      <c r="X58" s="389" t="str">
        <f>IF($C58="","",W58*VLOOKUP($C58,MINIPELLE!$A$2:$D$28,4,0))</f>
        <v/>
      </c>
      <c r="Y58" s="364">
        <v>9</v>
      </c>
      <c r="Z58" s="389" t="str">
        <f>IF($C58="","",Y58*VLOOKUP($C58,MINIPELLE!$A$2:$D$28,4,0))</f>
        <v/>
      </c>
      <c r="AA58" s="364">
        <v>9</v>
      </c>
      <c r="AB58" s="389" t="str">
        <f>IF($C58="","",AA58*VLOOKUP($C58,MINIPELLE!$A$2:$D$28,4,0))</f>
        <v/>
      </c>
      <c r="AC58" s="364">
        <v>9</v>
      </c>
      <c r="AD58" s="389" t="str">
        <f>IF($C58="","",AC58*VLOOKUP($C58,MINIPELLE!$A$2:$D$28,4,0))</f>
        <v/>
      </c>
      <c r="AE58" s="364">
        <v>9</v>
      </c>
      <c r="AF58" s="389" t="str">
        <f>IF($C58="","",AE58*VLOOKUP($C58,MINIPELLE!$A$2:$D$28,4,0))</f>
        <v/>
      </c>
      <c r="AG58" s="364">
        <v>9</v>
      </c>
      <c r="AH58" s="389" t="str">
        <f>IF($C58="","",AG58*VLOOKUP($C58,MINIPELLE!$A$2:$D$28,4,0))</f>
        <v/>
      </c>
      <c r="AI58" s="364">
        <v>9</v>
      </c>
      <c r="AJ58" s="389" t="str">
        <f>IF($C58="","",AI58*VLOOKUP($C58,MINIPELLE!$A$2:$D$28,4,0))</f>
        <v/>
      </c>
      <c r="AK58" s="364">
        <v>9</v>
      </c>
      <c r="AL58" s="389" t="str">
        <f>IF($C58="","",AK58*VLOOKUP($C58,MINIPELLE!$A$2:$D$28,4,0))</f>
        <v/>
      </c>
      <c r="AM58" s="364">
        <v>9</v>
      </c>
      <c r="AN58" s="389" t="str">
        <f>IF($C58="","",AM58*VLOOKUP($C58,MINIPELLE!$A$2:$D$28,4,0))</f>
        <v/>
      </c>
      <c r="AO58" s="223"/>
      <c r="AP58" s="223"/>
    </row>
    <row r="59" spans="1:42" ht="15" customHeight="1" x14ac:dyDescent="0.2">
      <c r="A59" s="1560"/>
      <c r="B59" s="361"/>
      <c r="C59" s="378"/>
      <c r="D59" s="363" t="str">
        <f>IF(C59="","",VLOOKUP($C59,MINIPELLE!$A$2:$C$28,3,0))</f>
        <v/>
      </c>
      <c r="E59" s="364">
        <v>10</v>
      </c>
      <c r="F59" s="389" t="str">
        <f>IF($C59="","",E59*VLOOKUP($C59,MINIPELLE!$A$2:$D$28,4,0))</f>
        <v/>
      </c>
      <c r="G59" s="364">
        <v>10</v>
      </c>
      <c r="H59" s="389" t="str">
        <f>IF($C59="","",G59*VLOOKUP($C59,MINIPELLE!$A$2:$D$28,4,0))</f>
        <v/>
      </c>
      <c r="I59" s="364">
        <v>10</v>
      </c>
      <c r="J59" s="389" t="str">
        <f>IF($C59="","",I59*VLOOKUP($C59,MINIPELLE!$A$2:$D$28,4,0))</f>
        <v/>
      </c>
      <c r="K59" s="364">
        <v>10</v>
      </c>
      <c r="L59" s="389" t="str">
        <f>IF($C59="","",K59*VLOOKUP($C59,MINIPELLE!$A$2:$D$28,4,0))</f>
        <v/>
      </c>
      <c r="M59" s="364">
        <v>10</v>
      </c>
      <c r="N59" s="389" t="str">
        <f>IF($C59="","",M59*VLOOKUP($C59,MINIPELLE!$A$2:$D$28,4,0))</f>
        <v/>
      </c>
      <c r="O59" s="364">
        <v>10</v>
      </c>
      <c r="P59" s="389" t="str">
        <f>IF($C59="","",O59*VLOOKUP($C59,MINIPELLE!$A$2:$D$28,4,0))</f>
        <v/>
      </c>
      <c r="Q59" s="364">
        <v>10</v>
      </c>
      <c r="R59" s="389" t="str">
        <f>IF($C59="","",Q59*VLOOKUP($C59,MINIPELLE!$A$2:$D$28,4,0))</f>
        <v/>
      </c>
      <c r="S59" s="364">
        <v>10</v>
      </c>
      <c r="T59" s="389" t="str">
        <f>IF($C59="","",S59*VLOOKUP($C59,MINIPELLE!$A$2:$D$28,4,0))</f>
        <v/>
      </c>
      <c r="U59" s="364">
        <v>10</v>
      </c>
      <c r="V59" s="389" t="str">
        <f>IF($C59="","",U59*VLOOKUP($C59,MINIPELLE!$A$2:$D$28,4,0))</f>
        <v/>
      </c>
      <c r="W59" s="364">
        <v>10</v>
      </c>
      <c r="X59" s="389" t="str">
        <f>IF($C59="","",W59*VLOOKUP($C59,MINIPELLE!$A$2:$D$28,4,0))</f>
        <v/>
      </c>
      <c r="Y59" s="364">
        <v>10</v>
      </c>
      <c r="Z59" s="389" t="str">
        <f>IF($C59="","",Y59*VLOOKUP($C59,MINIPELLE!$A$2:$D$28,4,0))</f>
        <v/>
      </c>
      <c r="AA59" s="364">
        <v>10</v>
      </c>
      <c r="AB59" s="389" t="str">
        <f>IF($C59="","",AA59*VLOOKUP($C59,MINIPELLE!$A$2:$D$28,4,0))</f>
        <v/>
      </c>
      <c r="AC59" s="364">
        <v>10</v>
      </c>
      <c r="AD59" s="389" t="str">
        <f>IF($C59="","",AC59*VLOOKUP($C59,MINIPELLE!$A$2:$D$28,4,0))</f>
        <v/>
      </c>
      <c r="AE59" s="364">
        <v>10</v>
      </c>
      <c r="AF59" s="389" t="str">
        <f>IF($C59="","",AE59*VLOOKUP($C59,MINIPELLE!$A$2:$D$28,4,0))</f>
        <v/>
      </c>
      <c r="AG59" s="364">
        <v>10</v>
      </c>
      <c r="AH59" s="389" t="str">
        <f>IF($C59="","",AG59*VLOOKUP($C59,MINIPELLE!$A$2:$D$28,4,0))</f>
        <v/>
      </c>
      <c r="AI59" s="364">
        <v>10</v>
      </c>
      <c r="AJ59" s="389" t="str">
        <f>IF($C59="","",AI59*VLOOKUP($C59,MINIPELLE!$A$2:$D$28,4,0))</f>
        <v/>
      </c>
      <c r="AK59" s="364">
        <v>10</v>
      </c>
      <c r="AL59" s="389" t="str">
        <f>IF($C59="","",AK59*VLOOKUP($C59,MINIPELLE!$A$2:$D$28,4,0))</f>
        <v/>
      </c>
      <c r="AM59" s="364">
        <v>10</v>
      </c>
      <c r="AN59" s="389" t="str">
        <f>IF($C59="","",AM59*VLOOKUP($C59,MINIPELLE!$A$2:$D$28,4,0))</f>
        <v/>
      </c>
    </row>
    <row r="60" spans="1:42" ht="15" customHeight="1" x14ac:dyDescent="0.2">
      <c r="A60" s="1560"/>
      <c r="B60" s="361"/>
      <c r="C60" s="378"/>
      <c r="D60" s="363" t="str">
        <f>IF(C60="","",VLOOKUP($C60,MINIPELLE!$A$2:$C$28,3,0))</f>
        <v/>
      </c>
      <c r="E60" s="364">
        <v>11</v>
      </c>
      <c r="F60" s="389" t="str">
        <f>IF($C60="","",E60*VLOOKUP($C60,MINIPELLE!$A$2:$D$28,4,0))</f>
        <v/>
      </c>
      <c r="G60" s="364">
        <v>11</v>
      </c>
      <c r="H60" s="389" t="str">
        <f>IF($C60="","",G60*VLOOKUP($C60,MINIPELLE!$A$2:$D$28,4,0))</f>
        <v/>
      </c>
      <c r="I60" s="364">
        <v>11</v>
      </c>
      <c r="J60" s="389" t="str">
        <f>IF($C60="","",I60*VLOOKUP($C60,MINIPELLE!$A$2:$D$28,4,0))</f>
        <v/>
      </c>
      <c r="K60" s="364">
        <v>11</v>
      </c>
      <c r="L60" s="389" t="str">
        <f>IF($C60="","",K60*VLOOKUP($C60,MINIPELLE!$A$2:$D$28,4,0))</f>
        <v/>
      </c>
      <c r="M60" s="364">
        <v>11</v>
      </c>
      <c r="N60" s="389" t="str">
        <f>IF($C60="","",M60*VLOOKUP($C60,MINIPELLE!$A$2:$D$28,4,0))</f>
        <v/>
      </c>
      <c r="O60" s="364">
        <v>11</v>
      </c>
      <c r="P60" s="389" t="str">
        <f>IF($C60="","",O60*VLOOKUP($C60,MINIPELLE!$A$2:$D$28,4,0))</f>
        <v/>
      </c>
      <c r="Q60" s="364">
        <v>11</v>
      </c>
      <c r="R60" s="389" t="str">
        <f>IF($C60="","",Q60*VLOOKUP($C60,MINIPELLE!$A$2:$D$28,4,0))</f>
        <v/>
      </c>
      <c r="S60" s="364">
        <v>11</v>
      </c>
      <c r="T60" s="389" t="str">
        <f>IF($C60="","",S60*VLOOKUP($C60,MINIPELLE!$A$2:$D$28,4,0))</f>
        <v/>
      </c>
      <c r="U60" s="364">
        <v>11</v>
      </c>
      <c r="V60" s="389" t="str">
        <f>IF($C60="","",U60*VLOOKUP($C60,MINIPELLE!$A$2:$D$28,4,0))</f>
        <v/>
      </c>
      <c r="W60" s="364">
        <v>11</v>
      </c>
      <c r="X60" s="389" t="str">
        <f>IF($C60="","",W60*VLOOKUP($C60,MINIPELLE!$A$2:$D$28,4,0))</f>
        <v/>
      </c>
      <c r="Y60" s="364">
        <v>11</v>
      </c>
      <c r="Z60" s="389" t="str">
        <f>IF($C60="","",Y60*VLOOKUP($C60,MINIPELLE!$A$2:$D$28,4,0))</f>
        <v/>
      </c>
      <c r="AA60" s="364">
        <v>11</v>
      </c>
      <c r="AB60" s="389" t="str">
        <f>IF($C60="","",AA60*VLOOKUP($C60,MINIPELLE!$A$2:$D$28,4,0))</f>
        <v/>
      </c>
      <c r="AC60" s="364">
        <v>11</v>
      </c>
      <c r="AD60" s="389" t="str">
        <f>IF($C60="","",AC60*VLOOKUP($C60,MINIPELLE!$A$2:$D$28,4,0))</f>
        <v/>
      </c>
      <c r="AE60" s="364">
        <v>11</v>
      </c>
      <c r="AF60" s="389" t="str">
        <f>IF($C60="","",AE60*VLOOKUP($C60,MINIPELLE!$A$2:$D$28,4,0))</f>
        <v/>
      </c>
      <c r="AG60" s="364">
        <v>11</v>
      </c>
      <c r="AH60" s="389" t="str">
        <f>IF($C60="","",AG60*VLOOKUP($C60,MINIPELLE!$A$2:$D$28,4,0))</f>
        <v/>
      </c>
      <c r="AI60" s="364">
        <v>11</v>
      </c>
      <c r="AJ60" s="389" t="str">
        <f>IF($C60="","",AI60*VLOOKUP($C60,MINIPELLE!$A$2:$D$28,4,0))</f>
        <v/>
      </c>
      <c r="AK60" s="364">
        <v>11</v>
      </c>
      <c r="AL60" s="389" t="str">
        <f>IF($C60="","",AK60*VLOOKUP($C60,MINIPELLE!$A$2:$D$28,4,0))</f>
        <v/>
      </c>
      <c r="AM60" s="364">
        <v>11</v>
      </c>
      <c r="AN60" s="389" t="str">
        <f>IF($C60="","",AM60*VLOOKUP($C60,MINIPELLE!$A$2:$D$28,4,0))</f>
        <v/>
      </c>
    </row>
    <row r="61" spans="1:42" ht="15" customHeight="1" x14ac:dyDescent="0.2">
      <c r="A61" s="1560"/>
      <c r="B61" s="361"/>
      <c r="C61" s="378"/>
      <c r="D61" s="363" t="str">
        <f>IF(C61="","",VLOOKUP($C61,MINIPELLE!$A$2:$C$28,3,0))</f>
        <v/>
      </c>
      <c r="E61" s="364">
        <v>12</v>
      </c>
      <c r="F61" s="389" t="str">
        <f>IF($C61="","",E61*VLOOKUP($C61,MINIPELLE!$A$2:$D$28,4,0))</f>
        <v/>
      </c>
      <c r="G61" s="364">
        <v>12</v>
      </c>
      <c r="H61" s="389" t="str">
        <f>IF($C61="","",G61*VLOOKUP($C61,MINIPELLE!$A$2:$D$28,4,0))</f>
        <v/>
      </c>
      <c r="I61" s="364">
        <v>12</v>
      </c>
      <c r="J61" s="389" t="str">
        <f>IF($C61="","",I61*VLOOKUP($C61,MINIPELLE!$A$2:$D$28,4,0))</f>
        <v/>
      </c>
      <c r="K61" s="364">
        <v>12</v>
      </c>
      <c r="L61" s="389" t="str">
        <f>IF($C61="","",K61*VLOOKUP($C61,MINIPELLE!$A$2:$D$28,4,0))</f>
        <v/>
      </c>
      <c r="M61" s="364">
        <v>12</v>
      </c>
      <c r="N61" s="389" t="str">
        <f>IF($C61="","",M61*VLOOKUP($C61,MINIPELLE!$A$2:$D$28,4,0))</f>
        <v/>
      </c>
      <c r="O61" s="364">
        <v>12</v>
      </c>
      <c r="P61" s="389" t="str">
        <f>IF($C61="","",O61*VLOOKUP($C61,MINIPELLE!$A$2:$D$28,4,0))</f>
        <v/>
      </c>
      <c r="Q61" s="364">
        <v>12</v>
      </c>
      <c r="R61" s="389" t="str">
        <f>IF($C61="","",Q61*VLOOKUP($C61,MINIPELLE!$A$2:$D$28,4,0))</f>
        <v/>
      </c>
      <c r="S61" s="364">
        <v>12</v>
      </c>
      <c r="T61" s="389" t="str">
        <f>IF($C61="","",S61*VLOOKUP($C61,MINIPELLE!$A$2:$D$28,4,0))</f>
        <v/>
      </c>
      <c r="U61" s="364">
        <v>12</v>
      </c>
      <c r="V61" s="389" t="str">
        <f>IF($C61="","",U61*VLOOKUP($C61,MINIPELLE!$A$2:$D$28,4,0))</f>
        <v/>
      </c>
      <c r="W61" s="364">
        <v>12</v>
      </c>
      <c r="X61" s="389" t="str">
        <f>IF($C61="","",W61*VLOOKUP($C61,MINIPELLE!$A$2:$D$28,4,0))</f>
        <v/>
      </c>
      <c r="Y61" s="364">
        <v>12</v>
      </c>
      <c r="Z61" s="389" t="str">
        <f>IF($C61="","",Y61*VLOOKUP($C61,MINIPELLE!$A$2:$D$28,4,0))</f>
        <v/>
      </c>
      <c r="AA61" s="364">
        <v>12</v>
      </c>
      <c r="AB61" s="389" t="str">
        <f>IF($C61="","",AA61*VLOOKUP($C61,MINIPELLE!$A$2:$D$28,4,0))</f>
        <v/>
      </c>
      <c r="AC61" s="364">
        <v>12</v>
      </c>
      <c r="AD61" s="389" t="str">
        <f>IF($C61="","",AC61*VLOOKUP($C61,MINIPELLE!$A$2:$D$28,4,0))</f>
        <v/>
      </c>
      <c r="AE61" s="364">
        <v>12</v>
      </c>
      <c r="AF61" s="389" t="str">
        <f>IF($C61="","",AE61*VLOOKUP($C61,MINIPELLE!$A$2:$D$28,4,0))</f>
        <v/>
      </c>
      <c r="AG61" s="364">
        <v>12</v>
      </c>
      <c r="AH61" s="389" t="str">
        <f>IF($C61="","",AG61*VLOOKUP($C61,MINIPELLE!$A$2:$D$28,4,0))</f>
        <v/>
      </c>
      <c r="AI61" s="364">
        <v>12</v>
      </c>
      <c r="AJ61" s="389" t="str">
        <f>IF($C61="","",AI61*VLOOKUP($C61,MINIPELLE!$A$2:$D$28,4,0))</f>
        <v/>
      </c>
      <c r="AK61" s="364">
        <v>12</v>
      </c>
      <c r="AL61" s="389" t="str">
        <f>IF($C61="","",AK61*VLOOKUP($C61,MINIPELLE!$A$2:$D$28,4,0))</f>
        <v/>
      </c>
      <c r="AM61" s="364">
        <v>12</v>
      </c>
      <c r="AN61" s="389" t="str">
        <f>IF($C61="","",AM61*VLOOKUP($C61,MINIPELLE!$A$2:$D$28,4,0))</f>
        <v/>
      </c>
    </row>
    <row r="62" spans="1:42" ht="29.25" customHeight="1" x14ac:dyDescent="0.2">
      <c r="A62" s="1560"/>
      <c r="B62" s="384" t="s">
        <v>454</v>
      </c>
      <c r="C62" s="385" t="s">
        <v>455</v>
      </c>
      <c r="D62" s="386" t="s">
        <v>451</v>
      </c>
      <c r="E62" s="387">
        <f>F62*Simulation!$P$10</f>
        <v>4</v>
      </c>
      <c r="F62" s="388">
        <f>SUM(F51:F61)</f>
        <v>0.05</v>
      </c>
      <c r="G62" s="387">
        <f>H62*Simulation!$P$10</f>
        <v>4</v>
      </c>
      <c r="H62" s="388">
        <f>SUM(H51:H61)</f>
        <v>0.05</v>
      </c>
      <c r="I62" s="387">
        <f>J62*Simulation!$P$10</f>
        <v>4</v>
      </c>
      <c r="J62" s="388">
        <f>SUM(J51:J61)</f>
        <v>0.05</v>
      </c>
      <c r="K62" s="387">
        <f>L62*Simulation!$P$10</f>
        <v>4</v>
      </c>
      <c r="L62" s="388">
        <f>SUM(L51:L61)</f>
        <v>0.05</v>
      </c>
      <c r="M62" s="387">
        <f>N62*Simulation!$P$10</f>
        <v>4</v>
      </c>
      <c r="N62" s="388">
        <f>SUM(N51:N61)</f>
        <v>0.05</v>
      </c>
      <c r="O62" s="387">
        <f>P62*Simulation!$P$10</f>
        <v>4</v>
      </c>
      <c r="P62" s="388">
        <f>SUM(P51:P61)</f>
        <v>0.05</v>
      </c>
      <c r="Q62" s="387">
        <f>R62*Simulation!$P$10</f>
        <v>4</v>
      </c>
      <c r="R62" s="388">
        <f>SUM(R51:R61)</f>
        <v>0.05</v>
      </c>
      <c r="S62" s="387">
        <f>T62*Simulation!$P$10</f>
        <v>4</v>
      </c>
      <c r="T62" s="388">
        <f>SUM(T51:T61)</f>
        <v>0.05</v>
      </c>
      <c r="U62" s="387">
        <f>V62*Simulation!$P$10</f>
        <v>4</v>
      </c>
      <c r="V62" s="388">
        <f>SUM(V51:V61)</f>
        <v>0.05</v>
      </c>
      <c r="W62" s="387">
        <f>X62*Simulation!$P$10</f>
        <v>4</v>
      </c>
      <c r="X62" s="388">
        <f>SUM(X51:X61)</f>
        <v>0.05</v>
      </c>
      <c r="Y62" s="387">
        <f>Z62*Simulation!$P$10</f>
        <v>4</v>
      </c>
      <c r="Z62" s="388">
        <f>SUM(Z51:Z61)</f>
        <v>0.05</v>
      </c>
      <c r="AA62" s="387">
        <f>AB62*Simulation!$P$10</f>
        <v>4</v>
      </c>
      <c r="AB62" s="388">
        <f>SUM(AB51:AB61)</f>
        <v>0.05</v>
      </c>
      <c r="AC62" s="387">
        <f>AD62*Simulation!$P$10</f>
        <v>4</v>
      </c>
      <c r="AD62" s="388">
        <f>SUM(AD51:AD61)</f>
        <v>0.05</v>
      </c>
      <c r="AE62" s="387">
        <f>AF62*Simulation!$P$10</f>
        <v>4</v>
      </c>
      <c r="AF62" s="388">
        <f>SUM(AF51:AF61)</f>
        <v>0.05</v>
      </c>
      <c r="AG62" s="387">
        <f>AH62*Simulation!$P$10</f>
        <v>4</v>
      </c>
      <c r="AH62" s="388">
        <f>SUM(AH51:AH61)</f>
        <v>0.05</v>
      </c>
      <c r="AI62" s="387">
        <f>AJ62*Simulation!$P$10</f>
        <v>4</v>
      </c>
      <c r="AJ62" s="388">
        <f>SUM(AJ51:AJ61)</f>
        <v>0.05</v>
      </c>
      <c r="AK62" s="387">
        <f>AL62*Simulation!$P$10</f>
        <v>4</v>
      </c>
      <c r="AL62" s="388">
        <f>SUM(AL51:AL61)</f>
        <v>0.05</v>
      </c>
      <c r="AM62" s="387">
        <f>AN62*Simulation!$P$10</f>
        <v>4</v>
      </c>
      <c r="AN62" s="388">
        <f>SUM(AN51:AN61)</f>
        <v>0.05</v>
      </c>
    </row>
    <row r="63" spans="1:42" x14ac:dyDescent="0.2">
      <c r="A63" s="199"/>
      <c r="B63" s="172"/>
      <c r="C63" s="200"/>
      <c r="D63" s="201"/>
      <c r="E63" s="202"/>
      <c r="F63" s="203"/>
      <c r="G63" s="202"/>
      <c r="H63" s="203"/>
      <c r="I63" s="202"/>
      <c r="J63" s="203"/>
      <c r="K63" s="202"/>
      <c r="L63" s="203"/>
      <c r="M63" s="202"/>
      <c r="N63" s="203"/>
      <c r="O63" s="202"/>
      <c r="P63" s="203"/>
      <c r="Q63" s="202"/>
      <c r="R63" s="203"/>
      <c r="S63" s="202"/>
      <c r="T63" s="203"/>
      <c r="U63" s="202"/>
      <c r="V63" s="203"/>
      <c r="W63" s="202"/>
      <c r="X63" s="203"/>
      <c r="Y63" s="202"/>
      <c r="Z63" s="203"/>
      <c r="AA63" s="202"/>
      <c r="AB63" s="203"/>
      <c r="AC63" s="202"/>
      <c r="AD63" s="203"/>
      <c r="AE63" s="202"/>
      <c r="AF63" s="203"/>
      <c r="AG63" s="202"/>
      <c r="AH63" s="203"/>
      <c r="AI63" s="202"/>
      <c r="AJ63" s="203"/>
      <c r="AK63" s="202"/>
      <c r="AL63" s="203"/>
      <c r="AM63" s="202"/>
      <c r="AN63" s="203"/>
    </row>
    <row r="64" spans="1:42" ht="36" customHeight="1" x14ac:dyDescent="0.2">
      <c r="A64" s="204"/>
      <c r="B64" s="1561" t="s">
        <v>456</v>
      </c>
      <c r="C64" s="1564" t="s">
        <v>445</v>
      </c>
      <c r="D64" s="1564"/>
      <c r="E64" s="1547" t="e">
        <f>E62+E50+E38+E26</f>
        <v>#N/A</v>
      </c>
      <c r="F64" s="1547"/>
      <c r="G64" s="1547" t="e">
        <f>G62+G50+G38+G26</f>
        <v>#N/A</v>
      </c>
      <c r="H64" s="1547"/>
      <c r="I64" s="1547" t="e">
        <f>I62+I50+I38+I26</f>
        <v>#N/A</v>
      </c>
      <c r="J64" s="1547"/>
      <c r="K64" s="1547" t="e">
        <f>K62+K50+K38+K26</f>
        <v>#N/A</v>
      </c>
      <c r="L64" s="1547"/>
      <c r="M64" s="1547" t="e">
        <f>M62+M50+M38+M26</f>
        <v>#N/A</v>
      </c>
      <c r="N64" s="1547"/>
      <c r="O64" s="1547" t="e">
        <f>O62+O50+O38+O26</f>
        <v>#N/A</v>
      </c>
      <c r="P64" s="1547"/>
      <c r="Q64" s="1547" t="e">
        <f>Q62+Q50+Q38+Q26</f>
        <v>#N/A</v>
      </c>
      <c r="R64" s="1547"/>
      <c r="S64" s="1547" t="e">
        <f>S62+S50+S38+S26</f>
        <v>#N/A</v>
      </c>
      <c r="T64" s="1547"/>
      <c r="U64" s="1547" t="e">
        <f>U62+U50+U38+U26</f>
        <v>#N/A</v>
      </c>
      <c r="V64" s="1547"/>
      <c r="W64" s="1547" t="e">
        <f>W62+W50+W38+W26</f>
        <v>#N/A</v>
      </c>
      <c r="X64" s="1547"/>
      <c r="Y64" s="1547" t="e">
        <f>Y62+Y50+Y38+Y26</f>
        <v>#N/A</v>
      </c>
      <c r="Z64" s="1547"/>
      <c r="AA64" s="1547" t="e">
        <f>AA62+AA50+AA38+AA26</f>
        <v>#N/A</v>
      </c>
      <c r="AB64" s="1547"/>
      <c r="AC64" s="1547" t="e">
        <f>AC62+AC50+AC38+AC26</f>
        <v>#N/A</v>
      </c>
      <c r="AD64" s="1547"/>
      <c r="AE64" s="1547" t="e">
        <f>AE62+AE50+AE38+AE26</f>
        <v>#N/A</v>
      </c>
      <c r="AF64" s="1547"/>
      <c r="AG64" s="1547" t="e">
        <f>AG62+AG50+AG38+AG26</f>
        <v>#N/A</v>
      </c>
      <c r="AH64" s="1547"/>
      <c r="AI64" s="1547" t="e">
        <f>AI62+AI50+AI38+AI26</f>
        <v>#N/A</v>
      </c>
      <c r="AJ64" s="1547"/>
      <c r="AK64" s="1547" t="e">
        <f>AK62+AK50+AK38+AK26</f>
        <v>#N/A</v>
      </c>
      <c r="AL64" s="1547"/>
      <c r="AM64" s="1547" t="e">
        <f>AM62+AM50+AM38+AM26</f>
        <v>#N/A</v>
      </c>
      <c r="AN64" s="1547"/>
    </row>
    <row r="65" spans="1:42" ht="18" customHeight="1" x14ac:dyDescent="0.2">
      <c r="A65" s="154"/>
      <c r="B65" s="1562"/>
      <c r="C65" s="1565" t="s">
        <v>457</v>
      </c>
      <c r="D65" s="1565"/>
      <c r="E65" s="149">
        <f>E26-F26</f>
        <v>0</v>
      </c>
      <c r="F65" s="207" t="e">
        <f>E65/E$64</f>
        <v>#N/A</v>
      </c>
      <c r="G65" s="149">
        <f>G26-H26</f>
        <v>0</v>
      </c>
      <c r="H65" s="207" t="e">
        <f>G65/G$64</f>
        <v>#N/A</v>
      </c>
      <c r="I65" s="149">
        <f>I26-J26</f>
        <v>0</v>
      </c>
      <c r="J65" s="207" t="e">
        <f>I65/I$64</f>
        <v>#N/A</v>
      </c>
      <c r="K65" s="149">
        <f>K26-L26</f>
        <v>0</v>
      </c>
      <c r="L65" s="207" t="e">
        <f>K65/K$64</f>
        <v>#N/A</v>
      </c>
      <c r="M65" s="149">
        <f>M26-N26</f>
        <v>0</v>
      </c>
      <c r="N65" s="207" t="e">
        <f>M65/M$64</f>
        <v>#N/A</v>
      </c>
      <c r="O65" s="149">
        <f>O26-P26</f>
        <v>0</v>
      </c>
      <c r="P65" s="207" t="e">
        <f>O65/O$64</f>
        <v>#N/A</v>
      </c>
      <c r="Q65" s="149">
        <f>Q26-R26</f>
        <v>0</v>
      </c>
      <c r="R65" s="207" t="e">
        <f>Q65/Q$64</f>
        <v>#N/A</v>
      </c>
      <c r="S65" s="149">
        <f>S26-T26</f>
        <v>0</v>
      </c>
      <c r="T65" s="207" t="e">
        <f>S65/S$64</f>
        <v>#N/A</v>
      </c>
      <c r="U65" s="149">
        <f>U26-V26</f>
        <v>0</v>
      </c>
      <c r="V65" s="207" t="e">
        <f>U65/U$64</f>
        <v>#N/A</v>
      </c>
      <c r="W65" s="149">
        <f>W26-X26</f>
        <v>0</v>
      </c>
      <c r="X65" s="207" t="e">
        <f>W65/W$64</f>
        <v>#N/A</v>
      </c>
      <c r="Y65" s="149">
        <f>Y26-Z26</f>
        <v>0</v>
      </c>
      <c r="Z65" s="207" t="e">
        <f>Y65/Y$64</f>
        <v>#N/A</v>
      </c>
      <c r="AA65" s="149">
        <f>AA26-AB26</f>
        <v>0</v>
      </c>
      <c r="AB65" s="207" t="e">
        <f>AA65/AA$64</f>
        <v>#N/A</v>
      </c>
      <c r="AC65" s="149">
        <f>AC26-AD26</f>
        <v>0</v>
      </c>
      <c r="AD65" s="207" t="e">
        <f>AC65/AC$64</f>
        <v>#N/A</v>
      </c>
      <c r="AE65" s="149">
        <f>AE26-AF26</f>
        <v>0</v>
      </c>
      <c r="AF65" s="207" t="e">
        <f>AE65/AE$64</f>
        <v>#N/A</v>
      </c>
      <c r="AG65" s="149">
        <f>AG26-AH26</f>
        <v>0</v>
      </c>
      <c r="AH65" s="207" t="e">
        <f>AG65/AG$64</f>
        <v>#N/A</v>
      </c>
      <c r="AI65" s="149">
        <f>AI26-AJ26</f>
        <v>0</v>
      </c>
      <c r="AJ65" s="207" t="e">
        <f>AI65/AI$64</f>
        <v>#N/A</v>
      </c>
      <c r="AK65" s="149">
        <f>AK26-AL26</f>
        <v>0</v>
      </c>
      <c r="AL65" s="207" t="e">
        <f>AK65/AK$64</f>
        <v>#N/A</v>
      </c>
      <c r="AM65" s="149">
        <f>AM26-AN26</f>
        <v>0</v>
      </c>
      <c r="AN65" s="207" t="e">
        <f>AM65/AM$64</f>
        <v>#N/A</v>
      </c>
    </row>
    <row r="66" spans="1:42" ht="18" customHeight="1" x14ac:dyDescent="0.2">
      <c r="A66" s="154"/>
      <c r="B66" s="1562"/>
      <c r="C66" s="1565" t="s">
        <v>9</v>
      </c>
      <c r="D66" s="1565"/>
      <c r="E66" s="149">
        <f>E26</f>
        <v>0</v>
      </c>
      <c r="F66" s="207" t="e">
        <f>E66/E$64</f>
        <v>#N/A</v>
      </c>
      <c r="G66" s="149">
        <f>G26</f>
        <v>0</v>
      </c>
      <c r="H66" s="207" t="e">
        <f>G66/G$64</f>
        <v>#N/A</v>
      </c>
      <c r="I66" s="149">
        <f>I26</f>
        <v>0</v>
      </c>
      <c r="J66" s="207" t="e">
        <f>I66/I$64</f>
        <v>#N/A</v>
      </c>
      <c r="K66" s="149">
        <f>K26</f>
        <v>0</v>
      </c>
      <c r="L66" s="207" t="e">
        <f>K66/K$64</f>
        <v>#N/A</v>
      </c>
      <c r="M66" s="149">
        <f>M26</f>
        <v>0</v>
      </c>
      <c r="N66" s="207" t="e">
        <f>M66/M$64</f>
        <v>#N/A</v>
      </c>
      <c r="O66" s="149">
        <f>O26</f>
        <v>0</v>
      </c>
      <c r="P66" s="207" t="e">
        <f>O66/O$64</f>
        <v>#N/A</v>
      </c>
      <c r="Q66" s="149">
        <f>Q26</f>
        <v>0</v>
      </c>
      <c r="R66" s="207" t="e">
        <f>Q66/Q$64</f>
        <v>#N/A</v>
      </c>
      <c r="S66" s="149">
        <f>S26</f>
        <v>0</v>
      </c>
      <c r="T66" s="207" t="e">
        <f>S66/S$64</f>
        <v>#N/A</v>
      </c>
      <c r="U66" s="149">
        <f>U26</f>
        <v>0</v>
      </c>
      <c r="V66" s="207" t="e">
        <f>U66/U$64</f>
        <v>#N/A</v>
      </c>
      <c r="W66" s="149">
        <f>W26</f>
        <v>0</v>
      </c>
      <c r="X66" s="207" t="e">
        <f>W66/W$64</f>
        <v>#N/A</v>
      </c>
      <c r="Y66" s="149">
        <f>Y26</f>
        <v>0</v>
      </c>
      <c r="Z66" s="207" t="e">
        <f>Y66/Y$64</f>
        <v>#N/A</v>
      </c>
      <c r="AA66" s="149">
        <f>AA26</f>
        <v>0</v>
      </c>
      <c r="AB66" s="207" t="e">
        <f>AA66/AA$64</f>
        <v>#N/A</v>
      </c>
      <c r="AC66" s="149">
        <f>AC26</f>
        <v>0</v>
      </c>
      <c r="AD66" s="207" t="e">
        <f>AC66/AC$64</f>
        <v>#N/A</v>
      </c>
      <c r="AE66" s="149">
        <f>AE26</f>
        <v>0</v>
      </c>
      <c r="AF66" s="207" t="e">
        <f>AE66/AE$64</f>
        <v>#N/A</v>
      </c>
      <c r="AG66" s="149">
        <f>AG26</f>
        <v>0</v>
      </c>
      <c r="AH66" s="207" t="e">
        <f>AG66/AG$64</f>
        <v>#N/A</v>
      </c>
      <c r="AI66" s="149">
        <f>AI26</f>
        <v>0</v>
      </c>
      <c r="AJ66" s="207" t="e">
        <f>AI66/AI$64</f>
        <v>#N/A</v>
      </c>
      <c r="AK66" s="149">
        <f>AK26</f>
        <v>0</v>
      </c>
      <c r="AL66" s="207" t="e">
        <f>AK66/AK$64</f>
        <v>#N/A</v>
      </c>
      <c r="AM66" s="149">
        <f>AM26</f>
        <v>0</v>
      </c>
      <c r="AN66" s="207" t="e">
        <f>AM66/AM$64</f>
        <v>#N/A</v>
      </c>
    </row>
    <row r="67" spans="1:42" ht="18" customHeight="1" x14ac:dyDescent="0.2">
      <c r="A67" s="154"/>
      <c r="B67" s="1562"/>
      <c r="C67" s="1565" t="s">
        <v>458</v>
      </c>
      <c r="D67" s="1565"/>
      <c r="E67" s="149" t="e">
        <f>E38</f>
        <v>#N/A</v>
      </c>
      <c r="F67" s="207" t="e">
        <f>E67/E$64</f>
        <v>#N/A</v>
      </c>
      <c r="G67" s="149" t="e">
        <f>G38</f>
        <v>#N/A</v>
      </c>
      <c r="H67" s="207" t="e">
        <f>G67/G$64</f>
        <v>#N/A</v>
      </c>
      <c r="I67" s="149" t="e">
        <f>I38</f>
        <v>#N/A</v>
      </c>
      <c r="J67" s="207" t="e">
        <f>I67/I$64</f>
        <v>#N/A</v>
      </c>
      <c r="K67" s="149" t="e">
        <f>K38</f>
        <v>#N/A</v>
      </c>
      <c r="L67" s="207" t="e">
        <f>K67/K$64</f>
        <v>#N/A</v>
      </c>
      <c r="M67" s="149" t="e">
        <f>M38</f>
        <v>#N/A</v>
      </c>
      <c r="N67" s="207" t="e">
        <f>M67/M$64</f>
        <v>#N/A</v>
      </c>
      <c r="O67" s="149" t="e">
        <f>O38</f>
        <v>#N/A</v>
      </c>
      <c r="P67" s="207" t="e">
        <f>O67/O$64</f>
        <v>#N/A</v>
      </c>
      <c r="Q67" s="149" t="e">
        <f>Q38</f>
        <v>#N/A</v>
      </c>
      <c r="R67" s="207" t="e">
        <f>Q67/Q$64</f>
        <v>#N/A</v>
      </c>
      <c r="S67" s="149" t="e">
        <f>S38</f>
        <v>#N/A</v>
      </c>
      <c r="T67" s="207" t="e">
        <f>S67/S$64</f>
        <v>#N/A</v>
      </c>
      <c r="U67" s="149" t="e">
        <f>U38</f>
        <v>#N/A</v>
      </c>
      <c r="V67" s="207" t="e">
        <f>U67/U$64</f>
        <v>#N/A</v>
      </c>
      <c r="W67" s="149" t="e">
        <f>W38</f>
        <v>#N/A</v>
      </c>
      <c r="X67" s="207" t="e">
        <f>W67/W$64</f>
        <v>#N/A</v>
      </c>
      <c r="Y67" s="149" t="e">
        <f>Y38</f>
        <v>#N/A</v>
      </c>
      <c r="Z67" s="207" t="e">
        <f>Y67/Y$64</f>
        <v>#N/A</v>
      </c>
      <c r="AA67" s="149" t="e">
        <f>AA38</f>
        <v>#N/A</v>
      </c>
      <c r="AB67" s="207" t="e">
        <f>AA67/AA$64</f>
        <v>#N/A</v>
      </c>
      <c r="AC67" s="149" t="e">
        <f>AC38</f>
        <v>#N/A</v>
      </c>
      <c r="AD67" s="207" t="e">
        <f>AC67/AC$64</f>
        <v>#N/A</v>
      </c>
      <c r="AE67" s="149" t="e">
        <f>AE38</f>
        <v>#N/A</v>
      </c>
      <c r="AF67" s="207" t="e">
        <f>AE67/AE$64</f>
        <v>#N/A</v>
      </c>
      <c r="AG67" s="149" t="e">
        <f>AG38</f>
        <v>#N/A</v>
      </c>
      <c r="AH67" s="207" t="e">
        <f>AG67/AG$64</f>
        <v>#N/A</v>
      </c>
      <c r="AI67" s="149" t="e">
        <f>AI38</f>
        <v>#N/A</v>
      </c>
      <c r="AJ67" s="207" t="e">
        <f>AI67/AI$64</f>
        <v>#N/A</v>
      </c>
      <c r="AK67" s="149" t="e">
        <f>AK38</f>
        <v>#N/A</v>
      </c>
      <c r="AL67" s="207" t="e">
        <f>AK67/AK$64</f>
        <v>#N/A</v>
      </c>
      <c r="AM67" s="149" t="e">
        <f>AM38</f>
        <v>#N/A</v>
      </c>
      <c r="AN67" s="207" t="e">
        <f>AM67/AM$64</f>
        <v>#N/A</v>
      </c>
    </row>
    <row r="68" spans="1:42" ht="18" customHeight="1" x14ac:dyDescent="0.2">
      <c r="A68" s="154"/>
      <c r="B68" s="1562"/>
      <c r="C68" s="1565" t="s">
        <v>459</v>
      </c>
      <c r="D68" s="1565"/>
      <c r="E68" s="149">
        <f>E50</f>
        <v>11.25</v>
      </c>
      <c r="F68" s="207" t="e">
        <f>E68/E$64</f>
        <v>#N/A</v>
      </c>
      <c r="G68" s="149">
        <f>G50</f>
        <v>22.5</v>
      </c>
      <c r="H68" s="207" t="e">
        <f>G68/G$64</f>
        <v>#N/A</v>
      </c>
      <c r="I68" s="149">
        <f>I50</f>
        <v>33.75</v>
      </c>
      <c r="J68" s="207" t="e">
        <f>I68/I$64</f>
        <v>#N/A</v>
      </c>
      <c r="K68" s="149">
        <f>K50</f>
        <v>45</v>
      </c>
      <c r="L68" s="207" t="e">
        <f>K68/K$64</f>
        <v>#N/A</v>
      </c>
      <c r="M68" s="149">
        <f>M50</f>
        <v>56.25</v>
      </c>
      <c r="N68" s="207" t="e">
        <f>M68/M$64</f>
        <v>#N/A</v>
      </c>
      <c r="O68" s="149">
        <f>O50</f>
        <v>67.5</v>
      </c>
      <c r="P68" s="207" t="e">
        <f>O68/O$64</f>
        <v>#N/A</v>
      </c>
      <c r="Q68" s="149">
        <f>Q50</f>
        <v>78.75</v>
      </c>
      <c r="R68" s="207" t="e">
        <f>Q68/Q$64</f>
        <v>#N/A</v>
      </c>
      <c r="S68" s="149">
        <f>S50</f>
        <v>90</v>
      </c>
      <c r="T68" s="207" t="e">
        <f>S68/S$64</f>
        <v>#N/A</v>
      </c>
      <c r="U68" s="149">
        <f>U50</f>
        <v>101.25</v>
      </c>
      <c r="V68" s="207" t="e">
        <f>U68/U$64</f>
        <v>#N/A</v>
      </c>
      <c r="W68" s="149">
        <f>W50</f>
        <v>112.5</v>
      </c>
      <c r="X68" s="207" t="e">
        <f>W68/W$64</f>
        <v>#N/A</v>
      </c>
      <c r="Y68" s="149">
        <f>Y50</f>
        <v>123.75</v>
      </c>
      <c r="Z68" s="207" t="e">
        <f>Y68/Y$64</f>
        <v>#N/A</v>
      </c>
      <c r="AA68" s="149">
        <f>AA50</f>
        <v>135</v>
      </c>
      <c r="AB68" s="207" t="e">
        <f>AA68/AA$64</f>
        <v>#N/A</v>
      </c>
      <c r="AC68" s="149">
        <f>AC50</f>
        <v>146.25</v>
      </c>
      <c r="AD68" s="207" t="e">
        <f>AC68/AC$64</f>
        <v>#N/A</v>
      </c>
      <c r="AE68" s="149">
        <f>AE50</f>
        <v>157.5</v>
      </c>
      <c r="AF68" s="207" t="e">
        <f>AE68/AE$64</f>
        <v>#N/A</v>
      </c>
      <c r="AG68" s="149">
        <f>AG50</f>
        <v>168.75</v>
      </c>
      <c r="AH68" s="207" t="e">
        <f>AG68/AG$64</f>
        <v>#N/A</v>
      </c>
      <c r="AI68" s="149">
        <f>AI50</f>
        <v>180</v>
      </c>
      <c r="AJ68" s="207" t="e">
        <f>AI68/AI$64</f>
        <v>#N/A</v>
      </c>
      <c r="AK68" s="149">
        <f>AK50</f>
        <v>191.25</v>
      </c>
      <c r="AL68" s="207" t="e">
        <f>AK68/AK$64</f>
        <v>#N/A</v>
      </c>
      <c r="AM68" s="149">
        <f>AM50</f>
        <v>202.5</v>
      </c>
      <c r="AN68" s="207" t="e">
        <f>AM68/AM$64</f>
        <v>#N/A</v>
      </c>
    </row>
    <row r="69" spans="1:42" ht="18" customHeight="1" x14ac:dyDescent="0.2">
      <c r="A69" s="154"/>
      <c r="B69" s="1563"/>
      <c r="C69" s="1565" t="s">
        <v>5</v>
      </c>
      <c r="D69" s="1565"/>
      <c r="E69" s="149">
        <f>E62</f>
        <v>4</v>
      </c>
      <c r="F69" s="207" t="e">
        <f>E69/E$64</f>
        <v>#N/A</v>
      </c>
      <c r="G69" s="149">
        <f>G62</f>
        <v>4</v>
      </c>
      <c r="H69" s="207" t="e">
        <f>G69/G$64</f>
        <v>#N/A</v>
      </c>
      <c r="I69" s="149">
        <f>I62</f>
        <v>4</v>
      </c>
      <c r="J69" s="207" t="e">
        <f>I69/I$64</f>
        <v>#N/A</v>
      </c>
      <c r="K69" s="149">
        <f>K62</f>
        <v>4</v>
      </c>
      <c r="L69" s="207" t="e">
        <f>K69/K$64</f>
        <v>#N/A</v>
      </c>
      <c r="M69" s="149">
        <f>M62</f>
        <v>4</v>
      </c>
      <c r="N69" s="207" t="e">
        <f>M69/M$64</f>
        <v>#N/A</v>
      </c>
      <c r="O69" s="149">
        <f>O62</f>
        <v>4</v>
      </c>
      <c r="P69" s="207" t="e">
        <f>O69/O$64</f>
        <v>#N/A</v>
      </c>
      <c r="Q69" s="149">
        <f>Q62</f>
        <v>4</v>
      </c>
      <c r="R69" s="207" t="e">
        <f>Q69/Q$64</f>
        <v>#N/A</v>
      </c>
      <c r="S69" s="149">
        <f>S62</f>
        <v>4</v>
      </c>
      <c r="T69" s="207" t="e">
        <f>S69/S$64</f>
        <v>#N/A</v>
      </c>
      <c r="U69" s="149">
        <f>U62</f>
        <v>4</v>
      </c>
      <c r="V69" s="207" t="e">
        <f>U69/U$64</f>
        <v>#N/A</v>
      </c>
      <c r="W69" s="149">
        <f>W62</f>
        <v>4</v>
      </c>
      <c r="X69" s="207" t="e">
        <f>W69/W$64</f>
        <v>#N/A</v>
      </c>
      <c r="Y69" s="149">
        <f>Y62</f>
        <v>4</v>
      </c>
      <c r="Z69" s="207" t="e">
        <f>Y69/Y$64</f>
        <v>#N/A</v>
      </c>
      <c r="AA69" s="149">
        <f>AA62</f>
        <v>4</v>
      </c>
      <c r="AB69" s="207" t="e">
        <f>AA69/AA$64</f>
        <v>#N/A</v>
      </c>
      <c r="AC69" s="149">
        <f>AC62</f>
        <v>4</v>
      </c>
      <c r="AD69" s="207" t="e">
        <f>AC69/AC$64</f>
        <v>#N/A</v>
      </c>
      <c r="AE69" s="149">
        <f>AE62</f>
        <v>4</v>
      </c>
      <c r="AF69" s="207" t="e">
        <f>AE69/AE$64</f>
        <v>#N/A</v>
      </c>
      <c r="AG69" s="149">
        <f>AG62</f>
        <v>4</v>
      </c>
      <c r="AH69" s="207" t="e">
        <f>AG69/AG$64</f>
        <v>#N/A</v>
      </c>
      <c r="AI69" s="149">
        <f>AI62</f>
        <v>4</v>
      </c>
      <c r="AJ69" s="207" t="e">
        <f>AI69/AI$64</f>
        <v>#N/A</v>
      </c>
      <c r="AK69" s="149">
        <f>AK62</f>
        <v>4</v>
      </c>
      <c r="AL69" s="207" t="e">
        <f>AK69/AK$64</f>
        <v>#N/A</v>
      </c>
      <c r="AM69" s="149">
        <f>AM62</f>
        <v>4</v>
      </c>
      <c r="AN69" s="207" t="e">
        <f>AM69/AM$64</f>
        <v>#N/A</v>
      </c>
    </row>
    <row r="70" spans="1:42" x14ac:dyDescent="0.2">
      <c r="A70" s="154"/>
      <c r="B70" s="172"/>
      <c r="C70" s="154"/>
      <c r="D70" s="227"/>
      <c r="E70" s="154"/>
      <c r="F70" s="154"/>
      <c r="G70" s="154"/>
      <c r="H70" s="154"/>
      <c r="I70" s="154"/>
      <c r="J70" s="154"/>
      <c r="K70" s="154"/>
      <c r="L70" s="154"/>
      <c r="M70" s="154"/>
      <c r="N70" s="154"/>
      <c r="O70" s="154"/>
      <c r="P70" s="154"/>
      <c r="Q70" s="228"/>
      <c r="R70" s="229"/>
      <c r="S70" s="154"/>
      <c r="T70" s="230"/>
      <c r="U70" s="154"/>
      <c r="V70" s="154"/>
      <c r="W70" s="154"/>
      <c r="X70" s="154"/>
      <c r="Y70" s="154"/>
      <c r="Z70" s="154"/>
      <c r="AA70" s="154"/>
      <c r="AB70" s="154"/>
      <c r="AC70" s="154"/>
      <c r="AD70" s="154"/>
      <c r="AE70" s="154"/>
      <c r="AF70" s="154"/>
      <c r="AG70" s="154"/>
      <c r="AH70" s="154"/>
      <c r="AI70" s="154"/>
      <c r="AJ70" s="154"/>
      <c r="AK70" s="154"/>
      <c r="AL70" s="154"/>
      <c r="AM70" s="154"/>
      <c r="AN70" s="154"/>
      <c r="AO70" s="154"/>
      <c r="AP70" s="154"/>
    </row>
    <row r="71" spans="1:42" x14ac:dyDescent="0.2">
      <c r="A71" s="154"/>
      <c r="B71" s="172"/>
      <c r="C71" s="154"/>
      <c r="D71" s="227"/>
      <c r="E71" s="154"/>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c r="AD71" s="154"/>
      <c r="AE71" s="154"/>
      <c r="AF71" s="154"/>
      <c r="AG71" s="154"/>
      <c r="AH71" s="154"/>
      <c r="AI71" s="154"/>
      <c r="AJ71" s="154"/>
      <c r="AK71" s="154"/>
      <c r="AL71" s="154"/>
      <c r="AM71" s="154"/>
      <c r="AN71" s="154"/>
      <c r="AO71" s="154"/>
      <c r="AP71" s="154"/>
    </row>
    <row r="72" spans="1:42" ht="36" x14ac:dyDescent="0.2">
      <c r="A72" s="154"/>
      <c r="B72" s="1375" t="s">
        <v>1462</v>
      </c>
      <c r="C72" s="1568" t="s">
        <v>1463</v>
      </c>
      <c r="D72" s="1569"/>
      <c r="E72" s="149" t="e">
        <f>(VLOOKUP("Prix HT",$C$1:$N$64,E$1,0))-(VLOOKUP("Non margé",$D$1:$N$64,E$1,0))</f>
        <v>#N/A</v>
      </c>
      <c r="F72" s="207" t="e">
        <f>E72/VLOOKUP("Prix HT",$C$1:$N$64,E$1,0)</f>
        <v>#N/A</v>
      </c>
      <c r="G72" s="149" t="e">
        <f>(VLOOKUP("Prix HT",$C$1:$N$64,G$1,0))-(VLOOKUP("Non margé",$D$1:$N$64,G$1,0))</f>
        <v>#N/A</v>
      </c>
      <c r="H72" s="207" t="e">
        <f>G72/VLOOKUP("Prix HT",$C$1:$N$64,G$1,0)</f>
        <v>#N/A</v>
      </c>
      <c r="I72" s="149" t="e">
        <f>(VLOOKUP("Prix HT",$C$1:$N$64,I$1,0))-(VLOOKUP("Non margé",$D$1:$N$64,I$1,0))</f>
        <v>#N/A</v>
      </c>
      <c r="J72" s="207" t="e">
        <f>I72/VLOOKUP("Prix HT",$C$1:$N$64,I$1,0)</f>
        <v>#N/A</v>
      </c>
      <c r="K72" s="149" t="e">
        <f>(VLOOKUP("Prix HT",$C$1:$N$64,K$1,0))-(VLOOKUP("Non margé",$D$1:$N$64,K$1,0))</f>
        <v>#N/A</v>
      </c>
      <c r="L72" s="207" t="e">
        <f>K72/VLOOKUP("Prix HT",$C$1:$N$64,K$1,0)</f>
        <v>#N/A</v>
      </c>
      <c r="M72" s="149" t="e">
        <f>(VLOOKUP("Prix HT",$C$1:$N$64,M$1,0))-(VLOOKUP("Non margé",$D$1:$N$64,M$1,0))</f>
        <v>#N/A</v>
      </c>
      <c r="N72" s="207" t="e">
        <f>M72/VLOOKUP("Prix HT",$C$1:$N$64,M$1,0)</f>
        <v>#N/A</v>
      </c>
      <c r="O72" s="149" t="e">
        <f>(VLOOKUP("Prix HT",$C$1:$AN$64,O$1,0))-(VLOOKUP("Non margé",$D$1:$AN$64,O$1,0))</f>
        <v>#N/A</v>
      </c>
      <c r="P72" s="207" t="e">
        <f>O72/VLOOKUP("Prix HT",$C$1:$AN$64,O$1,0)</f>
        <v>#N/A</v>
      </c>
      <c r="Q72" s="149" t="e">
        <f>(VLOOKUP("Prix HT",$C$1:$AN$64,Q$1,0))-(VLOOKUP("Non margé",$D$1:$AN$64,Q$1,0))</f>
        <v>#N/A</v>
      </c>
      <c r="R72" s="207" t="e">
        <f>Q72/VLOOKUP("Prix HT",$C$1:$AN$64,Q$1,0)</f>
        <v>#N/A</v>
      </c>
      <c r="S72" s="149" t="e">
        <f>(VLOOKUP("Prix HT",$C$1:$AN$64,S$1,0))-(VLOOKUP("Non margé",$D$1:$AN$64,S$1,0))</f>
        <v>#N/A</v>
      </c>
      <c r="T72" s="207" t="e">
        <f>S72/VLOOKUP("Prix HT",$C$1:$AN$64,S$1,0)</f>
        <v>#N/A</v>
      </c>
      <c r="U72" s="149" t="e">
        <f>(VLOOKUP("Prix HT",$C$1:$AN$64,U$1,0))-(VLOOKUP("Non margé",$D$1:$AN$64,U$1,0))</f>
        <v>#N/A</v>
      </c>
      <c r="V72" s="207" t="e">
        <f>U72/VLOOKUP("Prix HT",$C$1:$AN$64,U$1,0)</f>
        <v>#N/A</v>
      </c>
      <c r="W72" s="149" t="e">
        <f>(VLOOKUP("Prix HT",$C$1:$AN$64,W$1,0))-(VLOOKUP("Non margé",$D$1:$AN$64,W$1,0))</f>
        <v>#N/A</v>
      </c>
      <c r="X72" s="207" t="e">
        <f>W72/VLOOKUP("Prix HT",$C$1:$AN$64,W$1,0)</f>
        <v>#N/A</v>
      </c>
      <c r="Y72" s="149" t="e">
        <f>(VLOOKUP("Prix HT",$C$1:$AN$64,Y$1,0))-(VLOOKUP("Non margé",$D$1:$AN$64,Y$1,0))</f>
        <v>#N/A</v>
      </c>
      <c r="Z72" s="207" t="e">
        <f>Y72/VLOOKUP("Prix HT",$C$1:$AN$64,Y$1,0)</f>
        <v>#N/A</v>
      </c>
      <c r="AA72" s="149" t="e">
        <f>(VLOOKUP("Prix HT",$C$1:$AN$64,AA$1,0))-(VLOOKUP("Non margé",$D$1:$AN$64,AA$1,0))</f>
        <v>#N/A</v>
      </c>
      <c r="AB72" s="207" t="e">
        <f>AA72/VLOOKUP("Prix HT",$C$1:$AN$64,AA$1,0)</f>
        <v>#N/A</v>
      </c>
      <c r="AC72" s="149" t="e">
        <f>(VLOOKUP("Prix HT",$C$1:$AN$64,AC$1,0))-(VLOOKUP("Non margé",$D$1:$AN$64,AC$1,0))</f>
        <v>#N/A</v>
      </c>
      <c r="AD72" s="207" t="e">
        <f>AC72/VLOOKUP("Prix HT",$C$1:$AN$64,AC$1,0)</f>
        <v>#N/A</v>
      </c>
      <c r="AE72" s="149" t="e">
        <f>(VLOOKUP("Prix HT",$C$1:$AN$64,AE$1,0))-(VLOOKUP("Non margé",$D$1:$AN$64,AE$1,0))</f>
        <v>#N/A</v>
      </c>
      <c r="AF72" s="207" t="e">
        <f>AE72/VLOOKUP("Prix HT",$C$1:$AN$64,AE$1,0)</f>
        <v>#N/A</v>
      </c>
      <c r="AG72" s="149" t="e">
        <f>(VLOOKUP("Prix HT",$C$1:$AN$64,AG$1,0))-(VLOOKUP("Non margé",$D$1:$AN$64,AG$1,0))</f>
        <v>#N/A</v>
      </c>
      <c r="AH72" s="207" t="e">
        <f>AG72/VLOOKUP("Prix HT",$C$1:$AN$64,AG$1,0)</f>
        <v>#N/A</v>
      </c>
      <c r="AI72" s="149" t="e">
        <f>(VLOOKUP("Prix HT",$C$1:$AN$64,AI$1,0))-(VLOOKUP("Non margé",$D$1:$AN$64,AI$1,0))</f>
        <v>#N/A</v>
      </c>
      <c r="AJ72" s="207" t="e">
        <f>AI72/VLOOKUP("Prix HT",$C$1:$AN$64,AI$1,0)</f>
        <v>#N/A</v>
      </c>
      <c r="AK72" s="149" t="e">
        <f>(VLOOKUP("Prix HT",$C$1:$AN$64,AK$1,0))-(VLOOKUP("Non margé",$D$1:$AN$64,AK$1,0))</f>
        <v>#N/A</v>
      </c>
      <c r="AL72" s="207" t="e">
        <f>AK72/VLOOKUP("Prix HT",$C$1:$AN$64,AK$1,0)</f>
        <v>#N/A</v>
      </c>
      <c r="AM72" s="149" t="e">
        <f>(VLOOKUP("Prix HT",$C$1:$AN$64,AM$1,0))-(VLOOKUP("Non margé",$D$1:$AN$64,AM$1,0))</f>
        <v>#N/A</v>
      </c>
      <c r="AN72" s="207" t="e">
        <f>AM72/VLOOKUP("Prix HT",$C$1:$AN$64,AM$1,0)</f>
        <v>#N/A</v>
      </c>
      <c r="AO72" s="154"/>
      <c r="AP72" s="154"/>
    </row>
  </sheetData>
  <mergeCells count="42">
    <mergeCell ref="C72:D72"/>
    <mergeCell ref="AE2:AF2"/>
    <mergeCell ref="B2:B3"/>
    <mergeCell ref="C2:C3"/>
    <mergeCell ref="E2:F2"/>
    <mergeCell ref="G2:H2"/>
    <mergeCell ref="I2:J2"/>
    <mergeCell ref="K2:L2"/>
    <mergeCell ref="M2:N2"/>
    <mergeCell ref="O2:P2"/>
    <mergeCell ref="Q2:R2"/>
    <mergeCell ref="S2:T2"/>
    <mergeCell ref="U2:V2"/>
    <mergeCell ref="C69:D69"/>
    <mergeCell ref="E64:F64"/>
    <mergeCell ref="G64:H64"/>
    <mergeCell ref="A4:A25"/>
    <mergeCell ref="A27:A38"/>
    <mergeCell ref="A39:A50"/>
    <mergeCell ref="A51:A62"/>
    <mergeCell ref="B64:B69"/>
    <mergeCell ref="AM64:AN64"/>
    <mergeCell ref="Q64:R64"/>
    <mergeCell ref="S64:T64"/>
    <mergeCell ref="U64:V64"/>
    <mergeCell ref="W64:X64"/>
    <mergeCell ref="Y64:Z64"/>
    <mergeCell ref="AA64:AB64"/>
    <mergeCell ref="AC64:AD64"/>
    <mergeCell ref="AE64:AF64"/>
    <mergeCell ref="AG64:AH64"/>
    <mergeCell ref="AI64:AJ64"/>
    <mergeCell ref="K64:L64"/>
    <mergeCell ref="M64:N64"/>
    <mergeCell ref="O64:P64"/>
    <mergeCell ref="C64:D64"/>
    <mergeCell ref="AK64:AL64"/>
    <mergeCell ref="C65:D65"/>
    <mergeCell ref="C66:D66"/>
    <mergeCell ref="C67:D67"/>
    <mergeCell ref="C68:D68"/>
    <mergeCell ref="I64:J64"/>
  </mergeCells>
  <dataValidations count="8">
    <dataValidation type="list" allowBlank="1" showInputMessage="1" showErrorMessage="1" promptTitle="MINIPELLE" prompt="choisir catégorie" sqref="B51:B61" xr:uid="{00000000-0002-0000-1E00-000000000000}">
      <formula1>CATEGORIE_MP</formula1>
    </dataValidation>
    <dataValidation type="list" allowBlank="1" showInputMessage="1" promptTitle="MINIPELLE" prompt="choisir la prestation" sqref="C51:C61" xr:uid="{00000000-0002-0000-1E00-000001000000}">
      <formula1>INDIRECT(B51)</formula1>
    </dataValidation>
    <dataValidation type="list" allowBlank="1" showInputMessage="1" showErrorMessage="1" promptTitle="Catégorie MOC" prompt="choisir" sqref="B39:B48" xr:uid="{00000000-0002-0000-1E00-000002000000}">
      <formula1>CATEGORIE_MOC</formula1>
    </dataValidation>
    <dataValidation type="list" allowBlank="1" showInputMessage="1" promptTitle="Main d'oeuvre CHANTIER" prompt="choisir la prestation" sqref="C39:C49" xr:uid="{00000000-0002-0000-1E00-000003000000}">
      <formula1>INDIRECT(B39)</formula1>
    </dataValidation>
    <dataValidation type="list" allowBlank="1" showInputMessage="1" showErrorMessage="1" promptTitle="MO ATELIER" prompt="choisir catégorie" sqref="B27" xr:uid="{00000000-0002-0000-1E00-000004000000}">
      <formula1>CATEGORIE_MOA</formula1>
    </dataValidation>
    <dataValidation type="list" allowBlank="1" showInputMessage="1" showErrorMessage="1" promptTitle="Main d'oeuvre ATELIER" prompt="choisir la prestation" sqref="C27" xr:uid="{00000000-0002-0000-1E00-000005000000}">
      <formula1>INDIRECT(B27)</formula1>
    </dataValidation>
    <dataValidation type="list" allowBlank="1" showInputMessage="1" showErrorMessage="1" promptTitle="MATIERES" prompt="choisir catégorie" sqref="B4:B25" xr:uid="{00000000-0002-0000-1E00-000006000000}">
      <formula1>MOA_ALIM</formula1>
    </dataValidation>
    <dataValidation type="list" allowBlank="1" showInputMessage="1" showErrorMessage="1" promptTitle="MATIERES" prompt="choisir le produit" sqref="C4:C25" xr:uid="{00000000-0002-0000-1E00-000007000000}">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ErrorMessage="1" xr:uid="{00000000-0002-0000-1E00-000008000000}">
          <x14:formula1>
            <xm:f>ATELIER!$B$2:$B$109</xm:f>
          </x14:formula1>
          <xm:sqref>C28:C37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published="0" codeName="Feuil32"/>
  <dimension ref="A1:AP72"/>
  <sheetViews>
    <sheetView workbookViewId="0">
      <selection activeCell="A72" sqref="A72:XFD76"/>
    </sheetView>
  </sheetViews>
  <sheetFormatPr baseColWidth="10" defaultRowHeight="18" x14ac:dyDescent="0.2"/>
  <cols>
    <col min="1" max="1" width="18.125" style="210" customWidth="1"/>
    <col min="2" max="2" width="22.5" style="233"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40" width="10" style="135" customWidth="1"/>
    <col min="41" max="42" width="11.5" style="135" customWidth="1"/>
    <col min="43" max="810" width="11.5" customWidth="1"/>
  </cols>
  <sheetData>
    <row r="1" spans="1:42"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s="535" t="s">
        <v>467</v>
      </c>
      <c r="AO1" s="535"/>
      <c r="AP1" s="535"/>
    </row>
    <row r="2" spans="1:42" ht="35.1" customHeight="1" x14ac:dyDescent="0.2">
      <c r="A2" s="174"/>
      <c r="B2" s="1572" t="s">
        <v>970</v>
      </c>
      <c r="C2" s="1574" t="s">
        <v>468</v>
      </c>
      <c r="D2" s="115" t="s">
        <v>203</v>
      </c>
      <c r="E2" s="1571">
        <v>2</v>
      </c>
      <c r="F2" s="1571"/>
      <c r="G2" s="1571">
        <v>3</v>
      </c>
      <c r="H2" s="1571"/>
      <c r="I2" s="1571">
        <v>4</v>
      </c>
      <c r="J2" s="1571"/>
      <c r="K2" s="1571">
        <v>5</v>
      </c>
      <c r="L2" s="1571"/>
      <c r="M2" s="1571">
        <v>6</v>
      </c>
      <c r="N2" s="1571"/>
      <c r="O2" s="1571">
        <v>7</v>
      </c>
      <c r="P2" s="1571"/>
      <c r="Q2" s="1571">
        <v>8</v>
      </c>
      <c r="R2" s="1571"/>
      <c r="S2" s="1571">
        <v>9</v>
      </c>
      <c r="T2" s="1571"/>
      <c r="U2" s="1571">
        <v>10</v>
      </c>
      <c r="V2" s="1571"/>
      <c r="W2" s="218">
        <v>12</v>
      </c>
      <c r="X2" s="213" t="s">
        <v>469</v>
      </c>
      <c r="Y2" s="213">
        <v>12</v>
      </c>
      <c r="Z2" s="214" t="s">
        <v>470</v>
      </c>
      <c r="AA2" s="218">
        <v>14</v>
      </c>
      <c r="AB2" s="213" t="s">
        <v>471</v>
      </c>
      <c r="AC2" s="218">
        <v>14</v>
      </c>
      <c r="AD2" s="213" t="s">
        <v>472</v>
      </c>
      <c r="AE2" s="1571">
        <v>16</v>
      </c>
      <c r="AF2" s="1571"/>
      <c r="AG2" s="218">
        <v>18</v>
      </c>
      <c r="AH2" s="213" t="s">
        <v>473</v>
      </c>
      <c r="AI2" s="218">
        <v>18</v>
      </c>
      <c r="AJ2" s="213" t="s">
        <v>474</v>
      </c>
      <c r="AK2" s="218">
        <v>20</v>
      </c>
      <c r="AL2" s="213" t="s">
        <v>475</v>
      </c>
      <c r="AM2" s="218">
        <v>20</v>
      </c>
      <c r="AN2" s="213" t="s">
        <v>476</v>
      </c>
      <c r="AO2" s="178"/>
      <c r="AP2" s="178"/>
    </row>
    <row r="3" spans="1:42" ht="35.1" customHeight="1" x14ac:dyDescent="0.2">
      <c r="A3" s="174"/>
      <c r="B3" s="1573"/>
      <c r="C3" s="1574"/>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303" t="s">
        <v>477</v>
      </c>
      <c r="AO3" s="178"/>
      <c r="AP3" s="178"/>
    </row>
    <row r="4" spans="1:42" ht="15" customHeight="1" x14ac:dyDescent="0.2">
      <c r="A4" s="1549" t="s">
        <v>1078</v>
      </c>
      <c r="B4" s="361" t="s">
        <v>1065</v>
      </c>
      <c r="C4" s="362"/>
      <c r="D4" s="363" t="str">
        <f>IF($C4="","",VLOOKUP($C4,MATIERES!$A$2:$F$227,5,0))</f>
        <v/>
      </c>
      <c r="E4" s="364">
        <v>1</v>
      </c>
      <c r="F4" s="365" t="str">
        <f>IF($C4="","",E4*VLOOKUP($C4,MATIERES!$A$2:$F$349,4,0))</f>
        <v/>
      </c>
      <c r="G4" s="364">
        <v>2</v>
      </c>
      <c r="H4" s="365" t="str">
        <f>IF($C4="","",G4*VLOOKUP($C4,MATIERES!$A$2:$F$349,4,0))</f>
        <v/>
      </c>
      <c r="I4" s="364">
        <v>3</v>
      </c>
      <c r="J4" s="365" t="str">
        <f>IF($C4="","",I4*VLOOKUP($C4,MATIERES!$A$2:$F$349,4,0))</f>
        <v/>
      </c>
      <c r="K4" s="364">
        <v>4</v>
      </c>
      <c r="L4" s="365" t="str">
        <f>IF($C4="","",K4*VLOOKUP($C4,MATIERES!$A$2:$F$349,4,0))</f>
        <v/>
      </c>
      <c r="M4" s="364">
        <v>5</v>
      </c>
      <c r="N4" s="365" t="str">
        <f>IF($C4="","",M4*VLOOKUP($C4,MATIERES!$A$2:$F$349,4,0))</f>
        <v/>
      </c>
      <c r="O4" s="364">
        <v>6</v>
      </c>
      <c r="P4" s="365" t="str">
        <f>IF($C4="","",O4*VLOOKUP($C4,MATIERES!$A$2:$F$349,4,0))</f>
        <v/>
      </c>
      <c r="Q4" s="364">
        <v>7</v>
      </c>
      <c r="R4" s="365" t="str">
        <f>IF($C4="","",Q4*VLOOKUP($C4,MATIERES!$A$2:$F$349,4,0))</f>
        <v/>
      </c>
      <c r="S4" s="364">
        <v>8</v>
      </c>
      <c r="T4" s="365" t="str">
        <f>IF($C4="","",S4*VLOOKUP($C4,MATIERES!$A$2:$F$349,4,0))</f>
        <v/>
      </c>
      <c r="U4" s="364">
        <v>9</v>
      </c>
      <c r="V4" s="365" t="str">
        <f>IF($C4="","",U4*VLOOKUP($C4,MATIERES!$A$2:$F$349,4,0))</f>
        <v/>
      </c>
      <c r="W4" s="364">
        <v>10</v>
      </c>
      <c r="X4" s="365" t="str">
        <f>IF($C4="","",W4*VLOOKUP($C4,MATIERES!$A$2:$F$349,4,0))</f>
        <v/>
      </c>
      <c r="Y4" s="364">
        <v>11</v>
      </c>
      <c r="Z4" s="365" t="str">
        <f>IF($C4="","",Y4*VLOOKUP($C4,MATIERES!$A$2:$F$349,4,0))</f>
        <v/>
      </c>
      <c r="AA4" s="364">
        <v>12</v>
      </c>
      <c r="AB4" s="365" t="str">
        <f>IF($C4="","",AA4*VLOOKUP($C4,MATIERES!$A$2:$F$349,4,0))</f>
        <v/>
      </c>
      <c r="AC4" s="364">
        <v>13</v>
      </c>
      <c r="AD4" s="365" t="str">
        <f>IF($C4="","",AC4*VLOOKUP($C4,MATIERES!$A$2:$F$349,4,0))</f>
        <v/>
      </c>
      <c r="AE4" s="364">
        <v>14</v>
      </c>
      <c r="AF4" s="365" t="str">
        <f>IF($C4="","",AE4*VLOOKUP($C4,MATIERES!$A$2:$F$349,4,0))</f>
        <v/>
      </c>
      <c r="AG4" s="364">
        <v>15</v>
      </c>
      <c r="AH4" s="365" t="str">
        <f>IF($C4="","",AG4*VLOOKUP($C4,MATIERES!$A$2:$F$349,4,0))</f>
        <v/>
      </c>
      <c r="AI4" s="364">
        <v>16</v>
      </c>
      <c r="AJ4" s="365" t="str">
        <f>IF($C4="","",AI4*VLOOKUP($C4,MATIERES!$A$2:$F$349,4,0))</f>
        <v/>
      </c>
      <c r="AK4" s="364">
        <v>17</v>
      </c>
      <c r="AL4" s="365" t="str">
        <f>IF($C4="","",AK4*VLOOKUP($C4,MATIERES!$A$2:$F$349,4,0))</f>
        <v/>
      </c>
      <c r="AM4" s="364">
        <v>18</v>
      </c>
      <c r="AN4" s="365" t="str">
        <f>IF($C4="","",AM4*VLOOKUP($C4,MATIERES!$A$2:$F$349,4,0))</f>
        <v/>
      </c>
    </row>
    <row r="5" spans="1:42" ht="15" customHeight="1" x14ac:dyDescent="0.2">
      <c r="A5" s="1550"/>
      <c r="B5" s="361"/>
      <c r="C5" s="362"/>
      <c r="D5" s="363" t="str">
        <f>IF($C5="","",VLOOKUP($C5,MATIERES!$A$2:$F$227,5,0))</f>
        <v/>
      </c>
      <c r="E5" s="364">
        <v>2</v>
      </c>
      <c r="F5" s="365" t="str">
        <f>IF($C5="","",E5*VLOOKUP($C5,MATIERES!$A$2:$F$349,4,0))</f>
        <v/>
      </c>
      <c r="G5" s="364">
        <v>3</v>
      </c>
      <c r="H5" s="365" t="str">
        <f>IF($C5="","",G5*VLOOKUP($C5,MATIERES!$A$2:$F$349,4,0))</f>
        <v/>
      </c>
      <c r="I5" s="364">
        <v>4</v>
      </c>
      <c r="J5" s="365" t="str">
        <f>IF($C5="","",I5*VLOOKUP($C5,MATIERES!$A$2:$F$349,4,0))</f>
        <v/>
      </c>
      <c r="K5" s="364">
        <v>5</v>
      </c>
      <c r="L5" s="365" t="str">
        <f>IF($C5="","",K5*VLOOKUP($C5,MATIERES!$A$2:$F$349,4,0))</f>
        <v/>
      </c>
      <c r="M5" s="364">
        <v>6</v>
      </c>
      <c r="N5" s="365" t="str">
        <f>IF($C5="","",M5*VLOOKUP($C5,MATIERES!$A$2:$F$349,4,0))</f>
        <v/>
      </c>
      <c r="O5" s="364">
        <v>7</v>
      </c>
      <c r="P5" s="365" t="str">
        <f>IF($C5="","",O5*VLOOKUP($C5,MATIERES!$A$2:$F$349,4,0))</f>
        <v/>
      </c>
      <c r="Q5" s="364">
        <v>8</v>
      </c>
      <c r="R5" s="365" t="str">
        <f>IF($C5="","",Q5*VLOOKUP($C5,MATIERES!$A$2:$F$349,4,0))</f>
        <v/>
      </c>
      <c r="S5" s="364">
        <v>9</v>
      </c>
      <c r="T5" s="365" t="str">
        <f>IF($C5="","",S5*VLOOKUP($C5,MATIERES!$A$2:$F$349,4,0))</f>
        <v/>
      </c>
      <c r="U5" s="364">
        <v>10</v>
      </c>
      <c r="V5" s="365" t="str">
        <f>IF($C5="","",U5*VLOOKUP($C5,MATIERES!$A$2:$F$349,4,0))</f>
        <v/>
      </c>
      <c r="W5" s="364">
        <v>11</v>
      </c>
      <c r="X5" s="365" t="str">
        <f>IF($C5="","",W5*VLOOKUP($C5,MATIERES!$A$2:$F$349,4,0))</f>
        <v/>
      </c>
      <c r="Y5" s="364">
        <v>12</v>
      </c>
      <c r="Z5" s="365" t="str">
        <f>IF($C5="","",Y5*VLOOKUP($C5,MATIERES!$A$2:$F$349,4,0))</f>
        <v/>
      </c>
      <c r="AA5" s="364">
        <v>13</v>
      </c>
      <c r="AB5" s="365" t="str">
        <f>IF($C5="","",AA5*VLOOKUP($C5,MATIERES!$A$2:$F$349,4,0))</f>
        <v/>
      </c>
      <c r="AC5" s="364">
        <v>14</v>
      </c>
      <c r="AD5" s="365" t="str">
        <f>IF($C5="","",AC5*VLOOKUP($C5,MATIERES!$A$2:$F$349,4,0))</f>
        <v/>
      </c>
      <c r="AE5" s="364">
        <v>15</v>
      </c>
      <c r="AF5" s="365" t="str">
        <f>IF($C5="","",AE5*VLOOKUP($C5,MATIERES!$A$2:$F$349,4,0))</f>
        <v/>
      </c>
      <c r="AG5" s="364">
        <v>16</v>
      </c>
      <c r="AH5" s="365" t="str">
        <f>IF($C5="","",AG5*VLOOKUP($C5,MATIERES!$A$2:$F$349,4,0))</f>
        <v/>
      </c>
      <c r="AI5" s="364">
        <v>17</v>
      </c>
      <c r="AJ5" s="365" t="str">
        <f>IF($C5="","",AI5*VLOOKUP($C5,MATIERES!$A$2:$F$349,4,0))</f>
        <v/>
      </c>
      <c r="AK5" s="364">
        <v>18</v>
      </c>
      <c r="AL5" s="365" t="str">
        <f>IF($C5="","",AK5*VLOOKUP($C5,MATIERES!$A$2:$F$349,4,0))</f>
        <v/>
      </c>
      <c r="AM5" s="364">
        <v>19</v>
      </c>
      <c r="AN5" s="365" t="str">
        <f>IF($C5="","",AM5*VLOOKUP($C5,MATIERES!$A$2:$F$349,4,0))</f>
        <v/>
      </c>
    </row>
    <row r="6" spans="1:42" ht="15" customHeight="1" x14ac:dyDescent="0.2">
      <c r="A6" s="1550"/>
      <c r="B6" s="361"/>
      <c r="C6" s="362"/>
      <c r="D6" s="363" t="str">
        <f>IF($C6="","",VLOOKUP($C6,MATIERES!$A$2:$F$227,5,0))</f>
        <v/>
      </c>
      <c r="E6" s="364">
        <v>3</v>
      </c>
      <c r="F6" s="365" t="str">
        <f>IF($C6="","",E6*VLOOKUP($C6,MATIERES!$A$2:$F$349,4,0))</f>
        <v/>
      </c>
      <c r="G6" s="364">
        <v>4</v>
      </c>
      <c r="H6" s="365" t="str">
        <f>IF($C6="","",G6*VLOOKUP($C6,MATIERES!$A$2:$F$349,4,0))</f>
        <v/>
      </c>
      <c r="I6" s="364">
        <v>5</v>
      </c>
      <c r="J6" s="365" t="str">
        <f>IF($C6="","",I6*VLOOKUP($C6,MATIERES!$A$2:$F$349,4,0))</f>
        <v/>
      </c>
      <c r="K6" s="364">
        <v>6</v>
      </c>
      <c r="L6" s="365" t="str">
        <f>IF($C6="","",K6*VLOOKUP($C6,MATIERES!$A$2:$F$349,4,0))</f>
        <v/>
      </c>
      <c r="M6" s="364">
        <v>7</v>
      </c>
      <c r="N6" s="365" t="str">
        <f>IF($C6="","",M6*VLOOKUP($C6,MATIERES!$A$2:$F$349,4,0))</f>
        <v/>
      </c>
      <c r="O6" s="364">
        <v>8</v>
      </c>
      <c r="P6" s="365" t="str">
        <f>IF($C6="","",O6*VLOOKUP($C6,MATIERES!$A$2:$F$349,4,0))</f>
        <v/>
      </c>
      <c r="Q6" s="364">
        <v>9</v>
      </c>
      <c r="R6" s="365" t="str">
        <f>IF($C6="","",Q6*VLOOKUP($C6,MATIERES!$A$2:$F$349,4,0))</f>
        <v/>
      </c>
      <c r="S6" s="364">
        <v>10</v>
      </c>
      <c r="T6" s="365" t="str">
        <f>IF($C6="","",S6*VLOOKUP($C6,MATIERES!$A$2:$F$349,4,0))</f>
        <v/>
      </c>
      <c r="U6" s="364">
        <v>11</v>
      </c>
      <c r="V6" s="365" t="str">
        <f>IF($C6="","",U6*VLOOKUP($C6,MATIERES!$A$2:$F$349,4,0))</f>
        <v/>
      </c>
      <c r="W6" s="364">
        <v>12</v>
      </c>
      <c r="X6" s="365" t="str">
        <f>IF($C6="","",W6*VLOOKUP($C6,MATIERES!$A$2:$F$349,4,0))</f>
        <v/>
      </c>
      <c r="Y6" s="364">
        <v>13</v>
      </c>
      <c r="Z6" s="365" t="str">
        <f>IF($C6="","",Y6*VLOOKUP($C6,MATIERES!$A$2:$F$349,4,0))</f>
        <v/>
      </c>
      <c r="AA6" s="364">
        <v>14</v>
      </c>
      <c r="AB6" s="365" t="str">
        <f>IF($C6="","",AA6*VLOOKUP($C6,MATIERES!$A$2:$F$349,4,0))</f>
        <v/>
      </c>
      <c r="AC6" s="364">
        <v>15</v>
      </c>
      <c r="AD6" s="365" t="str">
        <f>IF($C6="","",AC6*VLOOKUP($C6,MATIERES!$A$2:$F$349,4,0))</f>
        <v/>
      </c>
      <c r="AE6" s="364">
        <v>16</v>
      </c>
      <c r="AF6" s="365" t="str">
        <f>IF($C6="","",AE6*VLOOKUP($C6,MATIERES!$A$2:$F$349,4,0))</f>
        <v/>
      </c>
      <c r="AG6" s="364">
        <v>17</v>
      </c>
      <c r="AH6" s="365" t="str">
        <f>IF($C6="","",AG6*VLOOKUP($C6,MATIERES!$A$2:$F$349,4,0))</f>
        <v/>
      </c>
      <c r="AI6" s="364">
        <v>18</v>
      </c>
      <c r="AJ6" s="365" t="str">
        <f>IF($C6="","",AI6*VLOOKUP($C6,MATIERES!$A$2:$F$349,4,0))</f>
        <v/>
      </c>
      <c r="AK6" s="364">
        <v>19</v>
      </c>
      <c r="AL6" s="365" t="str">
        <f>IF($C6="","",AK6*VLOOKUP($C6,MATIERES!$A$2:$F$349,4,0))</f>
        <v/>
      </c>
      <c r="AM6" s="364">
        <v>20</v>
      </c>
      <c r="AN6" s="365" t="str">
        <f>IF($C6="","",AM6*VLOOKUP($C6,MATIERES!$A$2:$F$349,4,0))</f>
        <v/>
      </c>
    </row>
    <row r="7" spans="1:42" ht="15" customHeight="1" x14ac:dyDescent="0.2">
      <c r="A7" s="1550"/>
      <c r="B7" s="361"/>
      <c r="C7" s="362"/>
      <c r="D7" s="363" t="str">
        <f>IF($C7="","",VLOOKUP($C7,MATIERES!$A$2:$F$227,5,0))</f>
        <v/>
      </c>
      <c r="E7" s="364">
        <v>4</v>
      </c>
      <c r="F7" s="365" t="str">
        <f>IF($C7="","",E7*VLOOKUP($C7,MATIERES!$A$2:$F$349,4,0))</f>
        <v/>
      </c>
      <c r="G7" s="364">
        <v>5</v>
      </c>
      <c r="H7" s="365" t="str">
        <f>IF($C7="","",G7*VLOOKUP($C7,MATIERES!$A$2:$F$349,4,0))</f>
        <v/>
      </c>
      <c r="I7" s="364">
        <v>6</v>
      </c>
      <c r="J7" s="365" t="str">
        <f>IF($C7="","",I7*VLOOKUP($C7,MATIERES!$A$2:$F$349,4,0))</f>
        <v/>
      </c>
      <c r="K7" s="364">
        <v>7</v>
      </c>
      <c r="L7" s="365" t="str">
        <f>IF($C7="","",K7*VLOOKUP($C7,MATIERES!$A$2:$F$349,4,0))</f>
        <v/>
      </c>
      <c r="M7" s="364">
        <v>8</v>
      </c>
      <c r="N7" s="365" t="str">
        <f>IF($C7="","",M7*VLOOKUP($C7,MATIERES!$A$2:$F$349,4,0))</f>
        <v/>
      </c>
      <c r="O7" s="364">
        <v>9</v>
      </c>
      <c r="P7" s="365" t="str">
        <f>IF($C7="","",O7*VLOOKUP($C7,MATIERES!$A$2:$F$349,4,0))</f>
        <v/>
      </c>
      <c r="Q7" s="364">
        <v>10</v>
      </c>
      <c r="R7" s="365" t="str">
        <f>IF($C7="","",Q7*VLOOKUP($C7,MATIERES!$A$2:$F$349,4,0))</f>
        <v/>
      </c>
      <c r="S7" s="364">
        <v>11</v>
      </c>
      <c r="T7" s="365" t="str">
        <f>IF($C7="","",S7*VLOOKUP($C7,MATIERES!$A$2:$F$349,4,0))</f>
        <v/>
      </c>
      <c r="U7" s="364">
        <v>12</v>
      </c>
      <c r="V7" s="365" t="str">
        <f>IF($C7="","",U7*VLOOKUP($C7,MATIERES!$A$2:$F$349,4,0))</f>
        <v/>
      </c>
      <c r="W7" s="364">
        <v>13</v>
      </c>
      <c r="X7" s="365" t="str">
        <f>IF($C7="","",W7*VLOOKUP($C7,MATIERES!$A$2:$F$349,4,0))</f>
        <v/>
      </c>
      <c r="Y7" s="364">
        <v>14</v>
      </c>
      <c r="Z7" s="365" t="str">
        <f>IF($C7="","",Y7*VLOOKUP($C7,MATIERES!$A$2:$F$349,4,0))</f>
        <v/>
      </c>
      <c r="AA7" s="364">
        <v>15</v>
      </c>
      <c r="AB7" s="365" t="str">
        <f>IF($C7="","",AA7*VLOOKUP($C7,MATIERES!$A$2:$F$349,4,0))</f>
        <v/>
      </c>
      <c r="AC7" s="364">
        <v>16</v>
      </c>
      <c r="AD7" s="365" t="str">
        <f>IF($C7="","",AC7*VLOOKUP($C7,MATIERES!$A$2:$F$349,4,0))</f>
        <v/>
      </c>
      <c r="AE7" s="364">
        <v>17</v>
      </c>
      <c r="AF7" s="365" t="str">
        <f>IF($C7="","",AE7*VLOOKUP($C7,MATIERES!$A$2:$F$349,4,0))</f>
        <v/>
      </c>
      <c r="AG7" s="364">
        <v>18</v>
      </c>
      <c r="AH7" s="365" t="str">
        <f>IF($C7="","",AG7*VLOOKUP($C7,MATIERES!$A$2:$F$349,4,0))</f>
        <v/>
      </c>
      <c r="AI7" s="364">
        <v>19</v>
      </c>
      <c r="AJ7" s="365" t="str">
        <f>IF($C7="","",AI7*VLOOKUP($C7,MATIERES!$A$2:$F$349,4,0))</f>
        <v/>
      </c>
      <c r="AK7" s="364">
        <v>20</v>
      </c>
      <c r="AL7" s="365" t="str">
        <f>IF($C7="","",AK7*VLOOKUP($C7,MATIERES!$A$2:$F$349,4,0))</f>
        <v/>
      </c>
      <c r="AM7" s="364">
        <v>21</v>
      </c>
      <c r="AN7" s="365" t="str">
        <f>IF($C7="","",AM7*VLOOKUP($C7,MATIERES!$A$2:$F$349,4,0))</f>
        <v/>
      </c>
    </row>
    <row r="8" spans="1:42" ht="15" customHeight="1" x14ac:dyDescent="0.2">
      <c r="A8" s="1550"/>
      <c r="B8" s="361"/>
      <c r="C8" s="362"/>
      <c r="D8" s="363" t="str">
        <f>IF($C8="","",VLOOKUP($C8,MATIERES!$A$2:$F$227,5,0))</f>
        <v/>
      </c>
      <c r="E8" s="364">
        <v>5</v>
      </c>
      <c r="F8" s="365" t="str">
        <f>IF($C8="","",E8*VLOOKUP($C8,MATIERES!$A$2:$F$349,4,0))</f>
        <v/>
      </c>
      <c r="G8" s="364">
        <v>6</v>
      </c>
      <c r="H8" s="365" t="str">
        <f>IF($C8="","",G8*VLOOKUP($C8,MATIERES!$A$2:$F$349,4,0))</f>
        <v/>
      </c>
      <c r="I8" s="364">
        <v>7</v>
      </c>
      <c r="J8" s="365" t="str">
        <f>IF($C8="","",I8*VLOOKUP($C8,MATIERES!$A$2:$F$349,4,0))</f>
        <v/>
      </c>
      <c r="K8" s="364">
        <v>8</v>
      </c>
      <c r="L8" s="365" t="str">
        <f>IF($C8="","",K8*VLOOKUP($C8,MATIERES!$A$2:$F$349,4,0))</f>
        <v/>
      </c>
      <c r="M8" s="364">
        <v>9</v>
      </c>
      <c r="N8" s="365" t="str">
        <f>IF($C8="","",M8*VLOOKUP($C8,MATIERES!$A$2:$F$349,4,0))</f>
        <v/>
      </c>
      <c r="O8" s="364">
        <v>10</v>
      </c>
      <c r="P8" s="365" t="str">
        <f>IF($C8="","",O8*VLOOKUP($C8,MATIERES!$A$2:$F$349,4,0))</f>
        <v/>
      </c>
      <c r="Q8" s="364">
        <v>11</v>
      </c>
      <c r="R8" s="365" t="str">
        <f>IF($C8="","",Q8*VLOOKUP($C8,MATIERES!$A$2:$F$349,4,0))</f>
        <v/>
      </c>
      <c r="S8" s="364">
        <v>12</v>
      </c>
      <c r="T8" s="365" t="str">
        <f>IF($C8="","",S8*VLOOKUP($C8,MATIERES!$A$2:$F$349,4,0))</f>
        <v/>
      </c>
      <c r="U8" s="364">
        <v>13</v>
      </c>
      <c r="V8" s="365" t="str">
        <f>IF($C8="","",U8*VLOOKUP($C8,MATIERES!$A$2:$F$349,4,0))</f>
        <v/>
      </c>
      <c r="W8" s="364">
        <v>14</v>
      </c>
      <c r="X8" s="365" t="str">
        <f>IF($C8="","",W8*VLOOKUP($C8,MATIERES!$A$2:$F$349,4,0))</f>
        <v/>
      </c>
      <c r="Y8" s="364">
        <v>15</v>
      </c>
      <c r="Z8" s="365" t="str">
        <f>IF($C8="","",Y8*VLOOKUP($C8,MATIERES!$A$2:$F$349,4,0))</f>
        <v/>
      </c>
      <c r="AA8" s="364">
        <v>16</v>
      </c>
      <c r="AB8" s="365" t="str">
        <f>IF($C8="","",AA8*VLOOKUP($C8,MATIERES!$A$2:$F$349,4,0))</f>
        <v/>
      </c>
      <c r="AC8" s="364">
        <v>17</v>
      </c>
      <c r="AD8" s="365" t="str">
        <f>IF($C8="","",AC8*VLOOKUP($C8,MATIERES!$A$2:$F$349,4,0))</f>
        <v/>
      </c>
      <c r="AE8" s="364">
        <v>18</v>
      </c>
      <c r="AF8" s="365" t="str">
        <f>IF($C8="","",AE8*VLOOKUP($C8,MATIERES!$A$2:$F$349,4,0))</f>
        <v/>
      </c>
      <c r="AG8" s="364">
        <v>19</v>
      </c>
      <c r="AH8" s="365" t="str">
        <f>IF($C8="","",AG8*VLOOKUP($C8,MATIERES!$A$2:$F$349,4,0))</f>
        <v/>
      </c>
      <c r="AI8" s="364">
        <v>20</v>
      </c>
      <c r="AJ8" s="365" t="str">
        <f>IF($C8="","",AI8*VLOOKUP($C8,MATIERES!$A$2:$F$349,4,0))</f>
        <v/>
      </c>
      <c r="AK8" s="364">
        <v>21</v>
      </c>
      <c r="AL8" s="365" t="str">
        <f>IF($C8="","",AK8*VLOOKUP($C8,MATIERES!$A$2:$F$349,4,0))</f>
        <v/>
      </c>
      <c r="AM8" s="364">
        <v>22</v>
      </c>
      <c r="AN8" s="365" t="str">
        <f>IF($C8="","",AM8*VLOOKUP($C8,MATIERES!$A$2:$F$349,4,0))</f>
        <v/>
      </c>
    </row>
    <row r="9" spans="1:42" ht="15" customHeight="1" x14ac:dyDescent="0.2">
      <c r="A9" s="1550"/>
      <c r="B9" s="361"/>
      <c r="C9" s="362"/>
      <c r="D9" s="363" t="str">
        <f>IF($C9="","",VLOOKUP($C9,MATIERES!$A$2:$F$227,5,0))</f>
        <v/>
      </c>
      <c r="E9" s="364">
        <v>6</v>
      </c>
      <c r="F9" s="365" t="str">
        <f>IF($C9="","",E9*VLOOKUP($C9,MATIERES!$A$2:$F$349,4,0))</f>
        <v/>
      </c>
      <c r="G9" s="364">
        <v>7</v>
      </c>
      <c r="H9" s="365" t="str">
        <f>IF($C9="","",G9*VLOOKUP($C9,MATIERES!$A$2:$F$349,4,0))</f>
        <v/>
      </c>
      <c r="I9" s="364">
        <v>8</v>
      </c>
      <c r="J9" s="365" t="str">
        <f>IF($C9="","",I9*VLOOKUP($C9,MATIERES!$A$2:$F$349,4,0))</f>
        <v/>
      </c>
      <c r="K9" s="364">
        <v>9</v>
      </c>
      <c r="L9" s="365" t="str">
        <f>IF($C9="","",K9*VLOOKUP($C9,MATIERES!$A$2:$F$349,4,0))</f>
        <v/>
      </c>
      <c r="M9" s="364">
        <v>10</v>
      </c>
      <c r="N9" s="365" t="str">
        <f>IF($C9="","",M9*VLOOKUP($C9,MATIERES!$A$2:$F$349,4,0))</f>
        <v/>
      </c>
      <c r="O9" s="364">
        <v>11</v>
      </c>
      <c r="P9" s="365" t="str">
        <f>IF($C9="","",O9*VLOOKUP($C9,MATIERES!$A$2:$F$349,4,0))</f>
        <v/>
      </c>
      <c r="Q9" s="364">
        <v>12</v>
      </c>
      <c r="R9" s="365" t="str">
        <f>IF($C9="","",Q9*VLOOKUP($C9,MATIERES!$A$2:$F$349,4,0))</f>
        <v/>
      </c>
      <c r="S9" s="364">
        <v>13</v>
      </c>
      <c r="T9" s="365" t="str">
        <f>IF($C9="","",S9*VLOOKUP($C9,MATIERES!$A$2:$F$349,4,0))</f>
        <v/>
      </c>
      <c r="U9" s="364">
        <v>14</v>
      </c>
      <c r="V9" s="365" t="str">
        <f>IF($C9="","",U9*VLOOKUP($C9,MATIERES!$A$2:$F$349,4,0))</f>
        <v/>
      </c>
      <c r="W9" s="364">
        <v>15</v>
      </c>
      <c r="X9" s="365" t="str">
        <f>IF($C9="","",W9*VLOOKUP($C9,MATIERES!$A$2:$F$349,4,0))</f>
        <v/>
      </c>
      <c r="Y9" s="364">
        <v>16</v>
      </c>
      <c r="Z9" s="365" t="str">
        <f>IF($C9="","",Y9*VLOOKUP($C9,MATIERES!$A$2:$F$349,4,0))</f>
        <v/>
      </c>
      <c r="AA9" s="364">
        <v>17</v>
      </c>
      <c r="AB9" s="365" t="str">
        <f>IF($C9="","",AA9*VLOOKUP($C9,MATIERES!$A$2:$F$349,4,0))</f>
        <v/>
      </c>
      <c r="AC9" s="364">
        <v>18</v>
      </c>
      <c r="AD9" s="365" t="str">
        <f>IF($C9="","",AC9*VLOOKUP($C9,MATIERES!$A$2:$F$349,4,0))</f>
        <v/>
      </c>
      <c r="AE9" s="364">
        <v>19</v>
      </c>
      <c r="AF9" s="365" t="str">
        <f>IF($C9="","",AE9*VLOOKUP($C9,MATIERES!$A$2:$F$349,4,0))</f>
        <v/>
      </c>
      <c r="AG9" s="364">
        <v>20</v>
      </c>
      <c r="AH9" s="365" t="str">
        <f>IF($C9="","",AG9*VLOOKUP($C9,MATIERES!$A$2:$F$349,4,0))</f>
        <v/>
      </c>
      <c r="AI9" s="364">
        <v>21</v>
      </c>
      <c r="AJ9" s="365" t="str">
        <f>IF($C9="","",AI9*VLOOKUP($C9,MATIERES!$A$2:$F$349,4,0))</f>
        <v/>
      </c>
      <c r="AK9" s="364">
        <v>22</v>
      </c>
      <c r="AL9" s="365" t="str">
        <f>IF($C9="","",AK9*VLOOKUP($C9,MATIERES!$A$2:$F$349,4,0))</f>
        <v/>
      </c>
      <c r="AM9" s="364">
        <v>23</v>
      </c>
      <c r="AN9" s="365" t="str">
        <f>IF($C9="","",AM9*VLOOKUP($C9,MATIERES!$A$2:$F$349,4,0))</f>
        <v/>
      </c>
    </row>
    <row r="10" spans="1:42" ht="15" customHeight="1" x14ac:dyDescent="0.2">
      <c r="A10" s="1550"/>
      <c r="B10" s="361"/>
      <c r="C10" s="362"/>
      <c r="D10" s="363" t="str">
        <f>IF($C10="","",VLOOKUP($C10,MATIERES!$A$2:$F$227,5,0))</f>
        <v/>
      </c>
      <c r="E10" s="364">
        <v>7</v>
      </c>
      <c r="F10" s="365" t="str">
        <f>IF($C10="","",E10*VLOOKUP($C10,MATIERES!$A$2:$F$349,4,0))</f>
        <v/>
      </c>
      <c r="G10" s="364">
        <v>8</v>
      </c>
      <c r="H10" s="365" t="str">
        <f>IF($C10="","",G10*VLOOKUP($C10,MATIERES!$A$2:$F$349,4,0))</f>
        <v/>
      </c>
      <c r="I10" s="364">
        <v>9</v>
      </c>
      <c r="J10" s="365" t="str">
        <f>IF($C10="","",I10*VLOOKUP($C10,MATIERES!$A$2:$F$349,4,0))</f>
        <v/>
      </c>
      <c r="K10" s="364">
        <v>10</v>
      </c>
      <c r="L10" s="365" t="str">
        <f>IF($C10="","",K10*VLOOKUP($C10,MATIERES!$A$2:$F$349,4,0))</f>
        <v/>
      </c>
      <c r="M10" s="364">
        <v>11</v>
      </c>
      <c r="N10" s="365" t="str">
        <f>IF($C10="","",M10*VLOOKUP($C10,MATIERES!$A$2:$F$349,4,0))</f>
        <v/>
      </c>
      <c r="O10" s="364">
        <v>12</v>
      </c>
      <c r="P10" s="365" t="str">
        <f>IF($C10="","",O10*VLOOKUP($C10,MATIERES!$A$2:$F$349,4,0))</f>
        <v/>
      </c>
      <c r="Q10" s="364">
        <v>13</v>
      </c>
      <c r="R10" s="365" t="str">
        <f>IF($C10="","",Q10*VLOOKUP($C10,MATIERES!$A$2:$F$349,4,0))</f>
        <v/>
      </c>
      <c r="S10" s="364">
        <v>14</v>
      </c>
      <c r="T10" s="365" t="str">
        <f>IF($C10="","",S10*VLOOKUP($C10,MATIERES!$A$2:$F$349,4,0))</f>
        <v/>
      </c>
      <c r="U10" s="364">
        <v>15</v>
      </c>
      <c r="V10" s="365" t="str">
        <f>IF($C10="","",U10*VLOOKUP($C10,MATIERES!$A$2:$F$349,4,0))</f>
        <v/>
      </c>
      <c r="W10" s="364">
        <v>16</v>
      </c>
      <c r="X10" s="365" t="str">
        <f>IF($C10="","",W10*VLOOKUP($C10,MATIERES!$A$2:$F$349,4,0))</f>
        <v/>
      </c>
      <c r="Y10" s="364">
        <v>17</v>
      </c>
      <c r="Z10" s="365" t="str">
        <f>IF($C10="","",Y10*VLOOKUP($C10,MATIERES!$A$2:$F$349,4,0))</f>
        <v/>
      </c>
      <c r="AA10" s="364">
        <v>18</v>
      </c>
      <c r="AB10" s="365" t="str">
        <f>IF($C10="","",AA10*VLOOKUP($C10,MATIERES!$A$2:$F$349,4,0))</f>
        <v/>
      </c>
      <c r="AC10" s="364">
        <v>19</v>
      </c>
      <c r="AD10" s="365" t="str">
        <f>IF($C10="","",AC10*VLOOKUP($C10,MATIERES!$A$2:$F$349,4,0))</f>
        <v/>
      </c>
      <c r="AE10" s="364">
        <v>20</v>
      </c>
      <c r="AF10" s="365" t="str">
        <f>IF($C10="","",AE10*VLOOKUP($C10,MATIERES!$A$2:$F$349,4,0))</f>
        <v/>
      </c>
      <c r="AG10" s="364">
        <v>21</v>
      </c>
      <c r="AH10" s="365" t="str">
        <f>IF($C10="","",AG10*VLOOKUP($C10,MATIERES!$A$2:$F$349,4,0))</f>
        <v/>
      </c>
      <c r="AI10" s="364">
        <v>22</v>
      </c>
      <c r="AJ10" s="365" t="str">
        <f>IF($C10="","",AI10*VLOOKUP($C10,MATIERES!$A$2:$F$349,4,0))</f>
        <v/>
      </c>
      <c r="AK10" s="364">
        <v>23</v>
      </c>
      <c r="AL10" s="365" t="str">
        <f>IF($C10="","",AK10*VLOOKUP($C10,MATIERES!$A$2:$F$349,4,0))</f>
        <v/>
      </c>
      <c r="AM10" s="364">
        <v>24</v>
      </c>
      <c r="AN10" s="365" t="str">
        <f>IF($C10="","",AM10*VLOOKUP($C10,MATIERES!$A$2:$F$349,4,0))</f>
        <v/>
      </c>
    </row>
    <row r="11" spans="1:42" ht="15" customHeight="1" x14ac:dyDescent="0.2">
      <c r="A11" s="1550"/>
      <c r="B11" s="361"/>
      <c r="C11" s="362"/>
      <c r="D11" s="363" t="str">
        <f>IF($C11="","",VLOOKUP($C11,MATIERES!$A$2:$F$227,5,0))</f>
        <v/>
      </c>
      <c r="E11" s="364">
        <v>8</v>
      </c>
      <c r="F11" s="365" t="str">
        <f>IF($C11="","",E11*VLOOKUP($C11,MATIERES!$A$2:$F$349,4,0))</f>
        <v/>
      </c>
      <c r="G11" s="364">
        <v>9</v>
      </c>
      <c r="H11" s="365" t="str">
        <f>IF($C11="","",G11*VLOOKUP($C11,MATIERES!$A$2:$F$349,4,0))</f>
        <v/>
      </c>
      <c r="I11" s="364">
        <v>10</v>
      </c>
      <c r="J11" s="365" t="str">
        <f>IF($C11="","",I11*VLOOKUP($C11,MATIERES!$A$2:$F$349,4,0))</f>
        <v/>
      </c>
      <c r="K11" s="364">
        <v>11</v>
      </c>
      <c r="L11" s="365" t="str">
        <f>IF($C11="","",K11*VLOOKUP($C11,MATIERES!$A$2:$F$349,4,0))</f>
        <v/>
      </c>
      <c r="M11" s="364">
        <v>12</v>
      </c>
      <c r="N11" s="365" t="str">
        <f>IF($C11="","",M11*VLOOKUP($C11,MATIERES!$A$2:$F$349,4,0))</f>
        <v/>
      </c>
      <c r="O11" s="364">
        <v>13</v>
      </c>
      <c r="P11" s="365" t="str">
        <f>IF($C11="","",O11*VLOOKUP($C11,MATIERES!$A$2:$F$349,4,0))</f>
        <v/>
      </c>
      <c r="Q11" s="364">
        <v>14</v>
      </c>
      <c r="R11" s="365" t="str">
        <f>IF($C11="","",Q11*VLOOKUP($C11,MATIERES!$A$2:$F$349,4,0))</f>
        <v/>
      </c>
      <c r="S11" s="364">
        <v>15</v>
      </c>
      <c r="T11" s="365" t="str">
        <f>IF($C11="","",S11*VLOOKUP($C11,MATIERES!$A$2:$F$349,4,0))</f>
        <v/>
      </c>
      <c r="U11" s="364">
        <v>16</v>
      </c>
      <c r="V11" s="365" t="str">
        <f>IF($C11="","",U11*VLOOKUP($C11,MATIERES!$A$2:$F$349,4,0))</f>
        <v/>
      </c>
      <c r="W11" s="364">
        <v>17</v>
      </c>
      <c r="X11" s="365" t="str">
        <f>IF($C11="","",W11*VLOOKUP($C11,MATIERES!$A$2:$F$349,4,0))</f>
        <v/>
      </c>
      <c r="Y11" s="364">
        <v>18</v>
      </c>
      <c r="Z11" s="365" t="str">
        <f>IF($C11="","",Y11*VLOOKUP($C11,MATIERES!$A$2:$F$349,4,0))</f>
        <v/>
      </c>
      <c r="AA11" s="364">
        <v>19</v>
      </c>
      <c r="AB11" s="365" t="str">
        <f>IF($C11="","",AA11*VLOOKUP($C11,MATIERES!$A$2:$F$349,4,0))</f>
        <v/>
      </c>
      <c r="AC11" s="364">
        <v>20</v>
      </c>
      <c r="AD11" s="365" t="str">
        <f>IF($C11="","",AC11*VLOOKUP($C11,MATIERES!$A$2:$F$349,4,0))</f>
        <v/>
      </c>
      <c r="AE11" s="364">
        <v>21</v>
      </c>
      <c r="AF11" s="365" t="str">
        <f>IF($C11="","",AE11*VLOOKUP($C11,MATIERES!$A$2:$F$349,4,0))</f>
        <v/>
      </c>
      <c r="AG11" s="364">
        <v>22</v>
      </c>
      <c r="AH11" s="365" t="str">
        <f>IF($C11="","",AG11*VLOOKUP($C11,MATIERES!$A$2:$F$349,4,0))</f>
        <v/>
      </c>
      <c r="AI11" s="364">
        <v>23</v>
      </c>
      <c r="AJ11" s="365" t="str">
        <f>IF($C11="","",AI11*VLOOKUP($C11,MATIERES!$A$2:$F$349,4,0))</f>
        <v/>
      </c>
      <c r="AK11" s="364">
        <v>24</v>
      </c>
      <c r="AL11" s="365" t="str">
        <f>IF($C11="","",AK11*VLOOKUP($C11,MATIERES!$A$2:$F$349,4,0))</f>
        <v/>
      </c>
      <c r="AM11" s="364">
        <v>25</v>
      </c>
      <c r="AN11" s="365" t="str">
        <f>IF($C11="","",AM11*VLOOKUP($C11,MATIERES!$A$2:$F$349,4,0))</f>
        <v/>
      </c>
    </row>
    <row r="12" spans="1:42" ht="15" customHeight="1" x14ac:dyDescent="0.2">
      <c r="A12" s="1550"/>
      <c r="B12" s="361"/>
      <c r="C12" s="362"/>
      <c r="D12" s="363" t="str">
        <f>IF($C12="","",VLOOKUP($C12,MATIERES!$A$2:$F$227,5,0))</f>
        <v/>
      </c>
      <c r="E12" s="364">
        <v>9</v>
      </c>
      <c r="F12" s="365" t="str">
        <f>IF($C12="","",E12*VLOOKUP($C12,MATIERES!$A$2:$F$349,4,0))</f>
        <v/>
      </c>
      <c r="G12" s="364">
        <v>10</v>
      </c>
      <c r="H12" s="365" t="str">
        <f>IF($C12="","",G12*VLOOKUP($C12,MATIERES!$A$2:$F$349,4,0))</f>
        <v/>
      </c>
      <c r="I12" s="364">
        <v>11</v>
      </c>
      <c r="J12" s="365" t="str">
        <f>IF($C12="","",I12*VLOOKUP($C12,MATIERES!$A$2:$F$349,4,0))</f>
        <v/>
      </c>
      <c r="K12" s="364">
        <v>12</v>
      </c>
      <c r="L12" s="365" t="str">
        <f>IF($C12="","",K12*VLOOKUP($C12,MATIERES!$A$2:$F$349,4,0))</f>
        <v/>
      </c>
      <c r="M12" s="364">
        <v>13</v>
      </c>
      <c r="N12" s="365" t="str">
        <f>IF($C12="","",M12*VLOOKUP($C12,MATIERES!$A$2:$F$349,4,0))</f>
        <v/>
      </c>
      <c r="O12" s="364">
        <v>14</v>
      </c>
      <c r="P12" s="365" t="str">
        <f>IF($C12="","",O12*VLOOKUP($C12,MATIERES!$A$2:$F$349,4,0))</f>
        <v/>
      </c>
      <c r="Q12" s="364">
        <v>15</v>
      </c>
      <c r="R12" s="365" t="str">
        <f>IF($C12="","",Q12*VLOOKUP($C12,MATIERES!$A$2:$F$349,4,0))</f>
        <v/>
      </c>
      <c r="S12" s="364">
        <v>16</v>
      </c>
      <c r="T12" s="365" t="str">
        <f>IF($C12="","",S12*VLOOKUP($C12,MATIERES!$A$2:$F$349,4,0))</f>
        <v/>
      </c>
      <c r="U12" s="364">
        <v>17</v>
      </c>
      <c r="V12" s="365" t="str">
        <f>IF($C12="","",U12*VLOOKUP($C12,MATIERES!$A$2:$F$349,4,0))</f>
        <v/>
      </c>
      <c r="W12" s="364">
        <v>18</v>
      </c>
      <c r="X12" s="365" t="str">
        <f>IF($C12="","",W12*VLOOKUP($C12,MATIERES!$A$2:$F$349,4,0))</f>
        <v/>
      </c>
      <c r="Y12" s="364">
        <v>19</v>
      </c>
      <c r="Z12" s="365" t="str">
        <f>IF($C12="","",Y12*VLOOKUP($C12,MATIERES!$A$2:$F$349,4,0))</f>
        <v/>
      </c>
      <c r="AA12" s="364">
        <v>20</v>
      </c>
      <c r="AB12" s="365" t="str">
        <f>IF($C12="","",AA12*VLOOKUP($C12,MATIERES!$A$2:$F$349,4,0))</f>
        <v/>
      </c>
      <c r="AC12" s="364">
        <v>21</v>
      </c>
      <c r="AD12" s="365" t="str">
        <f>IF($C12="","",AC12*VLOOKUP($C12,MATIERES!$A$2:$F$349,4,0))</f>
        <v/>
      </c>
      <c r="AE12" s="364">
        <v>22</v>
      </c>
      <c r="AF12" s="365" t="str">
        <f>IF($C12="","",AE12*VLOOKUP($C12,MATIERES!$A$2:$F$349,4,0))</f>
        <v/>
      </c>
      <c r="AG12" s="364">
        <v>23</v>
      </c>
      <c r="AH12" s="365" t="str">
        <f>IF($C12="","",AG12*VLOOKUP($C12,MATIERES!$A$2:$F$349,4,0))</f>
        <v/>
      </c>
      <c r="AI12" s="364">
        <v>24</v>
      </c>
      <c r="AJ12" s="365" t="str">
        <f>IF($C12="","",AI12*VLOOKUP($C12,MATIERES!$A$2:$F$349,4,0))</f>
        <v/>
      </c>
      <c r="AK12" s="364">
        <v>25</v>
      </c>
      <c r="AL12" s="365" t="str">
        <f>IF($C12="","",AK12*VLOOKUP($C12,MATIERES!$A$2:$F$349,4,0))</f>
        <v/>
      </c>
      <c r="AM12" s="364">
        <v>26</v>
      </c>
      <c r="AN12" s="365" t="str">
        <f>IF($C12="","",AM12*VLOOKUP($C12,MATIERES!$A$2:$F$349,4,0))</f>
        <v/>
      </c>
    </row>
    <row r="13" spans="1:42" ht="15" customHeight="1" x14ac:dyDescent="0.2">
      <c r="A13" s="1550"/>
      <c r="B13" s="361"/>
      <c r="C13" s="362"/>
      <c r="D13" s="363" t="str">
        <f>IF($C13="","",VLOOKUP($C13,MATIERES!$A$2:$F$227,5,0))</f>
        <v/>
      </c>
      <c r="E13" s="364">
        <v>10</v>
      </c>
      <c r="F13" s="365" t="str">
        <f>IF($C13="","",E13*VLOOKUP($C13,MATIERES!$A$2:$F$349,4,0))</f>
        <v/>
      </c>
      <c r="G13" s="364">
        <v>11</v>
      </c>
      <c r="H13" s="365" t="str">
        <f>IF($C13="","",G13*VLOOKUP($C13,MATIERES!$A$2:$F$349,4,0))</f>
        <v/>
      </c>
      <c r="I13" s="364">
        <v>12</v>
      </c>
      <c r="J13" s="365" t="str">
        <f>IF($C13="","",I13*VLOOKUP($C13,MATIERES!$A$2:$F$349,4,0))</f>
        <v/>
      </c>
      <c r="K13" s="364">
        <v>13</v>
      </c>
      <c r="L13" s="365" t="str">
        <f>IF($C13="","",K13*VLOOKUP($C13,MATIERES!$A$2:$F$349,4,0))</f>
        <v/>
      </c>
      <c r="M13" s="364">
        <v>14</v>
      </c>
      <c r="N13" s="365" t="str">
        <f>IF($C13="","",M13*VLOOKUP($C13,MATIERES!$A$2:$F$349,4,0))</f>
        <v/>
      </c>
      <c r="O13" s="364">
        <v>15</v>
      </c>
      <c r="P13" s="365" t="str">
        <f>IF($C13="","",O13*VLOOKUP($C13,MATIERES!$A$2:$F$349,4,0))</f>
        <v/>
      </c>
      <c r="Q13" s="364">
        <v>16</v>
      </c>
      <c r="R13" s="365" t="str">
        <f>IF($C13="","",Q13*VLOOKUP($C13,MATIERES!$A$2:$F$349,4,0))</f>
        <v/>
      </c>
      <c r="S13" s="364">
        <v>17</v>
      </c>
      <c r="T13" s="365" t="str">
        <f>IF($C13="","",S13*VLOOKUP($C13,MATIERES!$A$2:$F$349,4,0))</f>
        <v/>
      </c>
      <c r="U13" s="364">
        <v>18</v>
      </c>
      <c r="V13" s="365" t="str">
        <f>IF($C13="","",U13*VLOOKUP($C13,MATIERES!$A$2:$F$349,4,0))</f>
        <v/>
      </c>
      <c r="W13" s="364">
        <v>19</v>
      </c>
      <c r="X13" s="365" t="str">
        <f>IF($C13="","",W13*VLOOKUP($C13,MATIERES!$A$2:$F$349,4,0))</f>
        <v/>
      </c>
      <c r="Y13" s="364">
        <v>20</v>
      </c>
      <c r="Z13" s="365" t="str">
        <f>IF($C13="","",Y13*VLOOKUP($C13,MATIERES!$A$2:$F$349,4,0))</f>
        <v/>
      </c>
      <c r="AA13" s="364">
        <v>21</v>
      </c>
      <c r="AB13" s="365" t="str">
        <f>IF($C13="","",AA13*VLOOKUP($C13,MATIERES!$A$2:$F$349,4,0))</f>
        <v/>
      </c>
      <c r="AC13" s="364">
        <v>22</v>
      </c>
      <c r="AD13" s="365" t="str">
        <f>IF($C13="","",AC13*VLOOKUP($C13,MATIERES!$A$2:$F$349,4,0))</f>
        <v/>
      </c>
      <c r="AE13" s="364">
        <v>23</v>
      </c>
      <c r="AF13" s="365" t="str">
        <f>IF($C13="","",AE13*VLOOKUP($C13,MATIERES!$A$2:$F$349,4,0))</f>
        <v/>
      </c>
      <c r="AG13" s="364">
        <v>24</v>
      </c>
      <c r="AH13" s="365" t="str">
        <f>IF($C13="","",AG13*VLOOKUP($C13,MATIERES!$A$2:$F$349,4,0))</f>
        <v/>
      </c>
      <c r="AI13" s="364">
        <v>25</v>
      </c>
      <c r="AJ13" s="365" t="str">
        <f>IF($C13="","",AI13*VLOOKUP($C13,MATIERES!$A$2:$F$349,4,0))</f>
        <v/>
      </c>
      <c r="AK13" s="364">
        <v>26</v>
      </c>
      <c r="AL13" s="365" t="str">
        <f>IF($C13="","",AK13*VLOOKUP($C13,MATIERES!$A$2:$F$349,4,0))</f>
        <v/>
      </c>
      <c r="AM13" s="364">
        <v>27</v>
      </c>
      <c r="AN13" s="365" t="str">
        <f>IF($C13="","",AM13*VLOOKUP($C13,MATIERES!$A$2:$F$349,4,0))</f>
        <v/>
      </c>
      <c r="AO13" s="186"/>
    </row>
    <row r="14" spans="1:42" ht="15" customHeight="1" x14ac:dyDescent="0.2">
      <c r="A14" s="1550"/>
      <c r="B14" s="361"/>
      <c r="C14" s="362"/>
      <c r="D14" s="363" t="str">
        <f>IF($C14="","",VLOOKUP($C14,MATIERES!$A$2:$F$227,5,0))</f>
        <v/>
      </c>
      <c r="E14" s="364">
        <v>11</v>
      </c>
      <c r="F14" s="365" t="str">
        <f>IF($C14="","",E14*VLOOKUP($C14,MATIERES!$A$2:$F$349,4,0))</f>
        <v/>
      </c>
      <c r="G14" s="364">
        <v>12</v>
      </c>
      <c r="H14" s="365" t="str">
        <f>IF($C14="","",G14*VLOOKUP($C14,MATIERES!$A$2:$F$349,4,0))</f>
        <v/>
      </c>
      <c r="I14" s="364">
        <v>13</v>
      </c>
      <c r="J14" s="365" t="str">
        <f>IF($C14="","",I14*VLOOKUP($C14,MATIERES!$A$2:$F$349,4,0))</f>
        <v/>
      </c>
      <c r="K14" s="364">
        <v>14</v>
      </c>
      <c r="L14" s="365" t="str">
        <f>IF($C14="","",K14*VLOOKUP($C14,MATIERES!$A$2:$F$349,4,0))</f>
        <v/>
      </c>
      <c r="M14" s="364">
        <v>15</v>
      </c>
      <c r="N14" s="365" t="str">
        <f>IF($C14="","",M14*VLOOKUP($C14,MATIERES!$A$2:$F$349,4,0))</f>
        <v/>
      </c>
      <c r="O14" s="364">
        <v>16</v>
      </c>
      <c r="P14" s="365" t="str">
        <f>IF($C14="","",O14*VLOOKUP($C14,MATIERES!$A$2:$F$349,4,0))</f>
        <v/>
      </c>
      <c r="Q14" s="364">
        <v>17</v>
      </c>
      <c r="R14" s="365" t="str">
        <f>IF($C14="","",Q14*VLOOKUP($C14,MATIERES!$A$2:$F$349,4,0))</f>
        <v/>
      </c>
      <c r="S14" s="364">
        <v>18</v>
      </c>
      <c r="T14" s="365" t="str">
        <f>IF($C14="","",S14*VLOOKUP($C14,MATIERES!$A$2:$F$349,4,0))</f>
        <v/>
      </c>
      <c r="U14" s="364">
        <v>19</v>
      </c>
      <c r="V14" s="365" t="str">
        <f>IF($C14="","",U14*VLOOKUP($C14,MATIERES!$A$2:$F$349,4,0))</f>
        <v/>
      </c>
      <c r="W14" s="364">
        <v>20</v>
      </c>
      <c r="X14" s="365" t="str">
        <f>IF($C14="","",W14*VLOOKUP($C14,MATIERES!$A$2:$F$349,4,0))</f>
        <v/>
      </c>
      <c r="Y14" s="364">
        <v>21</v>
      </c>
      <c r="Z14" s="365" t="str">
        <f>IF($C14="","",Y14*VLOOKUP($C14,MATIERES!$A$2:$F$349,4,0))</f>
        <v/>
      </c>
      <c r="AA14" s="364">
        <v>22</v>
      </c>
      <c r="AB14" s="365" t="str">
        <f>IF($C14="","",AA14*VLOOKUP($C14,MATIERES!$A$2:$F$349,4,0))</f>
        <v/>
      </c>
      <c r="AC14" s="364">
        <v>23</v>
      </c>
      <c r="AD14" s="365" t="str">
        <f>IF($C14="","",AC14*VLOOKUP($C14,MATIERES!$A$2:$F$349,4,0))</f>
        <v/>
      </c>
      <c r="AE14" s="364">
        <v>24</v>
      </c>
      <c r="AF14" s="365" t="str">
        <f>IF($C14="","",AE14*VLOOKUP($C14,MATIERES!$A$2:$F$349,4,0))</f>
        <v/>
      </c>
      <c r="AG14" s="364">
        <v>25</v>
      </c>
      <c r="AH14" s="365" t="str">
        <f>IF($C14="","",AG14*VLOOKUP($C14,MATIERES!$A$2:$F$349,4,0))</f>
        <v/>
      </c>
      <c r="AI14" s="364">
        <v>26</v>
      </c>
      <c r="AJ14" s="365" t="str">
        <f>IF($C14="","",AI14*VLOOKUP($C14,MATIERES!$A$2:$F$349,4,0))</f>
        <v/>
      </c>
      <c r="AK14" s="364">
        <v>27</v>
      </c>
      <c r="AL14" s="365" t="str">
        <f>IF($C14="","",AK14*VLOOKUP($C14,MATIERES!$A$2:$F$349,4,0))</f>
        <v/>
      </c>
      <c r="AM14" s="364">
        <v>28</v>
      </c>
      <c r="AN14" s="365" t="str">
        <f>IF($C14="","",AM14*VLOOKUP($C14,MATIERES!$A$2:$F$349,4,0))</f>
        <v/>
      </c>
    </row>
    <row r="15" spans="1:42" ht="15" customHeight="1" x14ac:dyDescent="0.2">
      <c r="A15" s="1550"/>
      <c r="B15" s="361"/>
      <c r="C15" s="362"/>
      <c r="D15" s="363" t="str">
        <f>IF($C15="","",VLOOKUP($C15,MATIERES!$A$2:$F$227,5,0))</f>
        <v/>
      </c>
      <c r="E15" s="364">
        <v>12</v>
      </c>
      <c r="F15" s="365" t="str">
        <f>IF($C15="","",E15*VLOOKUP($C15,MATIERES!$A$2:$F$349,4,0))</f>
        <v/>
      </c>
      <c r="G15" s="364">
        <v>13</v>
      </c>
      <c r="H15" s="365" t="str">
        <f>IF($C15="","",G15*VLOOKUP($C15,MATIERES!$A$2:$F$349,4,0))</f>
        <v/>
      </c>
      <c r="I15" s="364">
        <v>14</v>
      </c>
      <c r="J15" s="365" t="str">
        <f>IF($C15="","",I15*VLOOKUP($C15,MATIERES!$A$2:$F$349,4,0))</f>
        <v/>
      </c>
      <c r="K15" s="364">
        <v>15</v>
      </c>
      <c r="L15" s="365" t="str">
        <f>IF($C15="","",K15*VLOOKUP($C15,MATIERES!$A$2:$F$349,4,0))</f>
        <v/>
      </c>
      <c r="M15" s="364">
        <v>16</v>
      </c>
      <c r="N15" s="365" t="str">
        <f>IF($C15="","",M15*VLOOKUP($C15,MATIERES!$A$2:$F$349,4,0))</f>
        <v/>
      </c>
      <c r="O15" s="364">
        <v>17</v>
      </c>
      <c r="P15" s="365" t="str">
        <f>IF($C15="","",O15*VLOOKUP($C15,MATIERES!$A$2:$F$349,4,0))</f>
        <v/>
      </c>
      <c r="Q15" s="364">
        <v>18</v>
      </c>
      <c r="R15" s="365" t="str">
        <f>IF($C15="","",Q15*VLOOKUP($C15,MATIERES!$A$2:$F$349,4,0))</f>
        <v/>
      </c>
      <c r="S15" s="364">
        <v>19</v>
      </c>
      <c r="T15" s="365" t="str">
        <f>IF($C15="","",S15*VLOOKUP($C15,MATIERES!$A$2:$F$349,4,0))</f>
        <v/>
      </c>
      <c r="U15" s="364">
        <v>20</v>
      </c>
      <c r="V15" s="365" t="str">
        <f>IF($C15="","",U15*VLOOKUP($C15,MATIERES!$A$2:$F$349,4,0))</f>
        <v/>
      </c>
      <c r="W15" s="364">
        <v>21</v>
      </c>
      <c r="X15" s="365" t="str">
        <f>IF($C15="","",W15*VLOOKUP($C15,MATIERES!$A$2:$F$349,4,0))</f>
        <v/>
      </c>
      <c r="Y15" s="364">
        <v>22</v>
      </c>
      <c r="Z15" s="365" t="str">
        <f>IF($C15="","",Y15*VLOOKUP($C15,MATIERES!$A$2:$F$349,4,0))</f>
        <v/>
      </c>
      <c r="AA15" s="364">
        <v>23</v>
      </c>
      <c r="AB15" s="365" t="str">
        <f>IF($C15="","",AA15*VLOOKUP($C15,MATIERES!$A$2:$F$349,4,0))</f>
        <v/>
      </c>
      <c r="AC15" s="364">
        <v>24</v>
      </c>
      <c r="AD15" s="365" t="str">
        <f>IF($C15="","",AC15*VLOOKUP($C15,MATIERES!$A$2:$F$349,4,0))</f>
        <v/>
      </c>
      <c r="AE15" s="364">
        <v>25</v>
      </c>
      <c r="AF15" s="365" t="str">
        <f>IF($C15="","",AE15*VLOOKUP($C15,MATIERES!$A$2:$F$349,4,0))</f>
        <v/>
      </c>
      <c r="AG15" s="364">
        <v>26</v>
      </c>
      <c r="AH15" s="365" t="str">
        <f>IF($C15="","",AG15*VLOOKUP($C15,MATIERES!$A$2:$F$349,4,0))</f>
        <v/>
      </c>
      <c r="AI15" s="364">
        <v>27</v>
      </c>
      <c r="AJ15" s="365" t="str">
        <f>IF($C15="","",AI15*VLOOKUP($C15,MATIERES!$A$2:$F$349,4,0))</f>
        <v/>
      </c>
      <c r="AK15" s="364">
        <v>28</v>
      </c>
      <c r="AL15" s="365" t="str">
        <f>IF($C15="","",AK15*VLOOKUP($C15,MATIERES!$A$2:$F$349,4,0))</f>
        <v/>
      </c>
      <c r="AM15" s="364">
        <v>29</v>
      </c>
      <c r="AN15" s="365" t="str">
        <f>IF($C15="","",AM15*VLOOKUP($C15,MATIERES!$A$2:$F$349,4,0))</f>
        <v/>
      </c>
    </row>
    <row r="16" spans="1:42" ht="15" customHeight="1" x14ac:dyDescent="0.2">
      <c r="A16" s="1550"/>
      <c r="B16" s="361"/>
      <c r="C16" s="362"/>
      <c r="D16" s="363" t="str">
        <f>IF($C16="","",VLOOKUP($C16,MATIERES!$A$2:$F$227,5,0))</f>
        <v/>
      </c>
      <c r="E16" s="364">
        <v>13</v>
      </c>
      <c r="F16" s="365" t="str">
        <f>IF($C16="","",E16*VLOOKUP($C16,MATIERES!$A$2:$F$349,4,0))</f>
        <v/>
      </c>
      <c r="G16" s="364">
        <v>14</v>
      </c>
      <c r="H16" s="365" t="str">
        <f>IF($C16="","",G16*VLOOKUP($C16,MATIERES!$A$2:$F$349,4,0))</f>
        <v/>
      </c>
      <c r="I16" s="364">
        <v>15</v>
      </c>
      <c r="J16" s="365" t="str">
        <f>IF($C16="","",I16*VLOOKUP($C16,MATIERES!$A$2:$F$349,4,0))</f>
        <v/>
      </c>
      <c r="K16" s="364">
        <v>16</v>
      </c>
      <c r="L16" s="365" t="str">
        <f>IF($C16="","",K16*VLOOKUP($C16,MATIERES!$A$2:$F$349,4,0))</f>
        <v/>
      </c>
      <c r="M16" s="364">
        <v>17</v>
      </c>
      <c r="N16" s="365" t="str">
        <f>IF($C16="","",M16*VLOOKUP($C16,MATIERES!$A$2:$F$349,4,0))</f>
        <v/>
      </c>
      <c r="O16" s="364">
        <v>18</v>
      </c>
      <c r="P16" s="365" t="str">
        <f>IF($C16="","",O16*VLOOKUP($C16,MATIERES!$A$2:$F$349,4,0))</f>
        <v/>
      </c>
      <c r="Q16" s="364">
        <v>19</v>
      </c>
      <c r="R16" s="365" t="str">
        <f>IF($C16="","",Q16*VLOOKUP($C16,MATIERES!$A$2:$F$349,4,0))</f>
        <v/>
      </c>
      <c r="S16" s="364">
        <v>20</v>
      </c>
      <c r="T16" s="365" t="str">
        <f>IF($C16="","",S16*VLOOKUP($C16,MATIERES!$A$2:$F$349,4,0))</f>
        <v/>
      </c>
      <c r="U16" s="364">
        <v>21</v>
      </c>
      <c r="V16" s="365" t="str">
        <f>IF($C16="","",U16*VLOOKUP($C16,MATIERES!$A$2:$F$349,4,0))</f>
        <v/>
      </c>
      <c r="W16" s="364">
        <v>22</v>
      </c>
      <c r="X16" s="365" t="str">
        <f>IF($C16="","",W16*VLOOKUP($C16,MATIERES!$A$2:$F$349,4,0))</f>
        <v/>
      </c>
      <c r="Y16" s="364">
        <v>23</v>
      </c>
      <c r="Z16" s="365" t="str">
        <f>IF($C16="","",Y16*VLOOKUP($C16,MATIERES!$A$2:$F$349,4,0))</f>
        <v/>
      </c>
      <c r="AA16" s="364">
        <v>24</v>
      </c>
      <c r="AB16" s="365" t="str">
        <f>IF($C16="","",AA16*VLOOKUP($C16,MATIERES!$A$2:$F$349,4,0))</f>
        <v/>
      </c>
      <c r="AC16" s="364">
        <v>25</v>
      </c>
      <c r="AD16" s="365" t="str">
        <f>IF($C16="","",AC16*VLOOKUP($C16,MATIERES!$A$2:$F$349,4,0))</f>
        <v/>
      </c>
      <c r="AE16" s="364">
        <v>26</v>
      </c>
      <c r="AF16" s="365" t="str">
        <f>IF($C16="","",AE16*VLOOKUP($C16,MATIERES!$A$2:$F$349,4,0))</f>
        <v/>
      </c>
      <c r="AG16" s="364">
        <v>27</v>
      </c>
      <c r="AH16" s="365" t="str">
        <f>IF($C16="","",AG16*VLOOKUP($C16,MATIERES!$A$2:$F$349,4,0))</f>
        <v/>
      </c>
      <c r="AI16" s="364">
        <v>28</v>
      </c>
      <c r="AJ16" s="365" t="str">
        <f>IF($C16="","",AI16*VLOOKUP($C16,MATIERES!$A$2:$F$349,4,0))</f>
        <v/>
      </c>
      <c r="AK16" s="364">
        <v>29</v>
      </c>
      <c r="AL16" s="365" t="str">
        <f>IF($C16="","",AK16*VLOOKUP($C16,MATIERES!$A$2:$F$349,4,0))</f>
        <v/>
      </c>
      <c r="AM16" s="364">
        <v>30</v>
      </c>
      <c r="AN16" s="365" t="str">
        <f>IF($C16="","",AM16*VLOOKUP($C16,MATIERES!$A$2:$F$349,4,0))</f>
        <v/>
      </c>
    </row>
    <row r="17" spans="1:40" ht="15" customHeight="1" x14ac:dyDescent="0.2">
      <c r="A17" s="1551"/>
      <c r="B17" s="361"/>
      <c r="C17" s="362"/>
      <c r="D17" s="363" t="str">
        <f>IF($C17="","",VLOOKUP($C17,MATIERES!$A$2:$F$227,5,0))</f>
        <v/>
      </c>
      <c r="E17" s="364">
        <v>14</v>
      </c>
      <c r="F17" s="365" t="str">
        <f>IF($C17="","",E17*VLOOKUP($C17,MATIERES!$A$2:$F$349,4,0))</f>
        <v/>
      </c>
      <c r="G17" s="364">
        <v>15</v>
      </c>
      <c r="H17" s="365" t="str">
        <f>IF($C17="","",G17*VLOOKUP($C17,MATIERES!$A$2:$F$349,4,0))</f>
        <v/>
      </c>
      <c r="I17" s="364">
        <v>16</v>
      </c>
      <c r="J17" s="365" t="str">
        <f>IF($C17="","",I17*VLOOKUP($C17,MATIERES!$A$2:$F$349,4,0))</f>
        <v/>
      </c>
      <c r="K17" s="364">
        <v>17</v>
      </c>
      <c r="L17" s="365" t="str">
        <f>IF($C17="","",K17*VLOOKUP($C17,MATIERES!$A$2:$F$349,4,0))</f>
        <v/>
      </c>
      <c r="M17" s="364">
        <v>18</v>
      </c>
      <c r="N17" s="365" t="str">
        <f>IF($C17="","",M17*VLOOKUP($C17,MATIERES!$A$2:$F$349,4,0))</f>
        <v/>
      </c>
      <c r="O17" s="364">
        <v>19</v>
      </c>
      <c r="P17" s="365" t="str">
        <f>IF($C17="","",O17*VLOOKUP($C17,MATIERES!$A$2:$F$349,4,0))</f>
        <v/>
      </c>
      <c r="Q17" s="364">
        <v>20</v>
      </c>
      <c r="R17" s="365" t="str">
        <f>IF($C17="","",Q17*VLOOKUP($C17,MATIERES!$A$2:$F$349,4,0))</f>
        <v/>
      </c>
      <c r="S17" s="364">
        <v>21</v>
      </c>
      <c r="T17" s="365" t="str">
        <f>IF($C17="","",S17*VLOOKUP($C17,MATIERES!$A$2:$F$349,4,0))</f>
        <v/>
      </c>
      <c r="U17" s="364">
        <v>22</v>
      </c>
      <c r="V17" s="365" t="str">
        <f>IF($C17="","",U17*VLOOKUP($C17,MATIERES!$A$2:$F$349,4,0))</f>
        <v/>
      </c>
      <c r="W17" s="364">
        <v>23</v>
      </c>
      <c r="X17" s="365" t="str">
        <f>IF($C17="","",W17*VLOOKUP($C17,MATIERES!$A$2:$F$349,4,0))</f>
        <v/>
      </c>
      <c r="Y17" s="364">
        <v>24</v>
      </c>
      <c r="Z17" s="365" t="str">
        <f>IF($C17="","",Y17*VLOOKUP($C17,MATIERES!$A$2:$F$349,4,0))</f>
        <v/>
      </c>
      <c r="AA17" s="364">
        <v>25</v>
      </c>
      <c r="AB17" s="365" t="str">
        <f>IF($C17="","",AA17*VLOOKUP($C17,MATIERES!$A$2:$F$349,4,0))</f>
        <v/>
      </c>
      <c r="AC17" s="364">
        <v>26</v>
      </c>
      <c r="AD17" s="365" t="str">
        <f>IF($C17="","",AC17*VLOOKUP($C17,MATIERES!$A$2:$F$349,4,0))</f>
        <v/>
      </c>
      <c r="AE17" s="364">
        <v>27</v>
      </c>
      <c r="AF17" s="365" t="str">
        <f>IF($C17="","",AE17*VLOOKUP($C17,MATIERES!$A$2:$F$349,4,0))</f>
        <v/>
      </c>
      <c r="AG17" s="364">
        <v>28</v>
      </c>
      <c r="AH17" s="365" t="str">
        <f>IF($C17="","",AG17*VLOOKUP($C17,MATIERES!$A$2:$F$349,4,0))</f>
        <v/>
      </c>
      <c r="AI17" s="364">
        <v>29</v>
      </c>
      <c r="AJ17" s="365" t="str">
        <f>IF($C17="","",AI17*VLOOKUP($C17,MATIERES!$A$2:$F$349,4,0))</f>
        <v/>
      </c>
      <c r="AK17" s="364">
        <v>30</v>
      </c>
      <c r="AL17" s="365" t="str">
        <f>IF($C17="","",AK17*VLOOKUP($C17,MATIERES!$A$2:$F$349,4,0))</f>
        <v/>
      </c>
      <c r="AM17" s="364">
        <v>31</v>
      </c>
      <c r="AN17" s="365" t="str">
        <f>IF($C17="","",AM17*VLOOKUP($C17,MATIERES!$A$2:$F$349,4,0))</f>
        <v/>
      </c>
    </row>
    <row r="18" spans="1:40" ht="15" customHeight="1" x14ac:dyDescent="0.2">
      <c r="A18" s="1550"/>
      <c r="B18" s="361"/>
      <c r="C18" s="362"/>
      <c r="D18" s="363" t="str">
        <f>IF($C18="","",VLOOKUP($C18,MATIERES!$A$2:$F$227,5,0))</f>
        <v/>
      </c>
      <c r="E18" s="364">
        <v>15</v>
      </c>
      <c r="F18" s="365" t="str">
        <f>IF($C18="","",E18*VLOOKUP($C18,MATIERES!$A$2:$F$349,4,0))</f>
        <v/>
      </c>
      <c r="G18" s="364">
        <v>16</v>
      </c>
      <c r="H18" s="365" t="str">
        <f>IF($C18="","",G18*VLOOKUP($C18,MATIERES!$A$2:$F$349,4,0))</f>
        <v/>
      </c>
      <c r="I18" s="364">
        <v>17</v>
      </c>
      <c r="J18" s="365" t="str">
        <f>IF($C18="","",I18*VLOOKUP($C18,MATIERES!$A$2:$F$349,4,0))</f>
        <v/>
      </c>
      <c r="K18" s="364">
        <v>18</v>
      </c>
      <c r="L18" s="365" t="str">
        <f>IF($C18="","",K18*VLOOKUP($C18,MATIERES!$A$2:$F$349,4,0))</f>
        <v/>
      </c>
      <c r="M18" s="364">
        <v>19</v>
      </c>
      <c r="N18" s="365" t="str">
        <f>IF($C18="","",M18*VLOOKUP($C18,MATIERES!$A$2:$F$349,4,0))</f>
        <v/>
      </c>
      <c r="O18" s="364">
        <v>20</v>
      </c>
      <c r="P18" s="365" t="str">
        <f>IF($C18="","",O18*VLOOKUP($C18,MATIERES!$A$2:$F$349,4,0))</f>
        <v/>
      </c>
      <c r="Q18" s="364">
        <v>21</v>
      </c>
      <c r="R18" s="365" t="str">
        <f>IF($C18="","",Q18*VLOOKUP($C18,MATIERES!$A$2:$F$349,4,0))</f>
        <v/>
      </c>
      <c r="S18" s="364">
        <v>22</v>
      </c>
      <c r="T18" s="365" t="str">
        <f>IF($C18="","",S18*VLOOKUP($C18,MATIERES!$A$2:$F$349,4,0))</f>
        <v/>
      </c>
      <c r="U18" s="364">
        <v>23</v>
      </c>
      <c r="V18" s="365" t="str">
        <f>IF($C18="","",U18*VLOOKUP($C18,MATIERES!$A$2:$F$349,4,0))</f>
        <v/>
      </c>
      <c r="W18" s="364">
        <v>24</v>
      </c>
      <c r="X18" s="365" t="str">
        <f>IF($C18="","",W18*VLOOKUP($C18,MATIERES!$A$2:$F$349,4,0))</f>
        <v/>
      </c>
      <c r="Y18" s="364">
        <v>25</v>
      </c>
      <c r="Z18" s="365" t="str">
        <f>IF($C18="","",Y18*VLOOKUP($C18,MATIERES!$A$2:$F$349,4,0))</f>
        <v/>
      </c>
      <c r="AA18" s="364">
        <v>26</v>
      </c>
      <c r="AB18" s="365" t="str">
        <f>IF($C18="","",AA18*VLOOKUP($C18,MATIERES!$A$2:$F$349,4,0))</f>
        <v/>
      </c>
      <c r="AC18" s="364">
        <v>27</v>
      </c>
      <c r="AD18" s="365" t="str">
        <f>IF($C18="","",AC18*VLOOKUP($C18,MATIERES!$A$2:$F$349,4,0))</f>
        <v/>
      </c>
      <c r="AE18" s="364">
        <v>28</v>
      </c>
      <c r="AF18" s="365" t="str">
        <f>IF($C18="","",AE18*VLOOKUP($C18,MATIERES!$A$2:$F$349,4,0))</f>
        <v/>
      </c>
      <c r="AG18" s="364">
        <v>29</v>
      </c>
      <c r="AH18" s="365" t="str">
        <f>IF($C18="","",AG18*VLOOKUP($C18,MATIERES!$A$2:$F$349,4,0))</f>
        <v/>
      </c>
      <c r="AI18" s="364">
        <v>30</v>
      </c>
      <c r="AJ18" s="365" t="str">
        <f>IF($C18="","",AI18*VLOOKUP($C18,MATIERES!$A$2:$F$349,4,0))</f>
        <v/>
      </c>
      <c r="AK18" s="364">
        <v>31</v>
      </c>
      <c r="AL18" s="365" t="str">
        <f>IF($C18="","",AK18*VLOOKUP($C18,MATIERES!$A$2:$F$349,4,0))</f>
        <v/>
      </c>
      <c r="AM18" s="364">
        <v>32</v>
      </c>
      <c r="AN18" s="365" t="str">
        <f>IF($C18="","",AM18*VLOOKUP($C18,MATIERES!$A$2:$F$349,4,0))</f>
        <v/>
      </c>
    </row>
    <row r="19" spans="1:40" ht="15" customHeight="1" x14ac:dyDescent="0.2">
      <c r="A19" s="1550"/>
      <c r="B19" s="361"/>
      <c r="C19" s="362"/>
      <c r="D19" s="363" t="str">
        <f>IF($C19="","",VLOOKUP($C19,MATIERES!$A$2:$F$227,5,0))</f>
        <v/>
      </c>
      <c r="E19" s="364">
        <v>16</v>
      </c>
      <c r="F19" s="365" t="str">
        <f>IF($C19="","",E19*VLOOKUP($C19,MATIERES!$A$2:$F$349,4,0))</f>
        <v/>
      </c>
      <c r="G19" s="364">
        <v>17</v>
      </c>
      <c r="H19" s="365" t="str">
        <f>IF($C19="","",G19*VLOOKUP($C19,MATIERES!$A$2:$F$349,4,0))</f>
        <v/>
      </c>
      <c r="I19" s="364">
        <v>18</v>
      </c>
      <c r="J19" s="365" t="str">
        <f>IF($C19="","",I19*VLOOKUP($C19,MATIERES!$A$2:$F$349,4,0))</f>
        <v/>
      </c>
      <c r="K19" s="364">
        <v>19</v>
      </c>
      <c r="L19" s="365" t="str">
        <f>IF($C19="","",K19*VLOOKUP($C19,MATIERES!$A$2:$F$349,4,0))</f>
        <v/>
      </c>
      <c r="M19" s="364">
        <v>20</v>
      </c>
      <c r="N19" s="365" t="str">
        <f>IF($C19="","",M19*VLOOKUP($C19,MATIERES!$A$2:$F$349,4,0))</f>
        <v/>
      </c>
      <c r="O19" s="364">
        <v>21</v>
      </c>
      <c r="P19" s="365" t="str">
        <f>IF($C19="","",O19*VLOOKUP($C19,MATIERES!$A$2:$F$349,4,0))</f>
        <v/>
      </c>
      <c r="Q19" s="364">
        <v>22</v>
      </c>
      <c r="R19" s="365" t="str">
        <f>IF($C19="","",Q19*VLOOKUP($C19,MATIERES!$A$2:$F$349,4,0))</f>
        <v/>
      </c>
      <c r="S19" s="364">
        <v>23</v>
      </c>
      <c r="T19" s="365" t="str">
        <f>IF($C19="","",S19*VLOOKUP($C19,MATIERES!$A$2:$F$349,4,0))</f>
        <v/>
      </c>
      <c r="U19" s="364">
        <v>24</v>
      </c>
      <c r="V19" s="365" t="str">
        <f>IF($C19="","",U19*VLOOKUP($C19,MATIERES!$A$2:$F$349,4,0))</f>
        <v/>
      </c>
      <c r="W19" s="364">
        <v>25</v>
      </c>
      <c r="X19" s="365" t="str">
        <f>IF($C19="","",W19*VLOOKUP($C19,MATIERES!$A$2:$F$349,4,0))</f>
        <v/>
      </c>
      <c r="Y19" s="364">
        <v>26</v>
      </c>
      <c r="Z19" s="365" t="str">
        <f>IF($C19="","",Y19*VLOOKUP($C19,MATIERES!$A$2:$F$349,4,0))</f>
        <v/>
      </c>
      <c r="AA19" s="364">
        <v>27</v>
      </c>
      <c r="AB19" s="365" t="str">
        <f>IF($C19="","",AA19*VLOOKUP($C19,MATIERES!$A$2:$F$349,4,0))</f>
        <v/>
      </c>
      <c r="AC19" s="364">
        <v>28</v>
      </c>
      <c r="AD19" s="365" t="str">
        <f>IF($C19="","",AC19*VLOOKUP($C19,MATIERES!$A$2:$F$349,4,0))</f>
        <v/>
      </c>
      <c r="AE19" s="364">
        <v>29</v>
      </c>
      <c r="AF19" s="365" t="str">
        <f>IF($C19="","",AE19*VLOOKUP($C19,MATIERES!$A$2:$F$349,4,0))</f>
        <v/>
      </c>
      <c r="AG19" s="364">
        <v>30</v>
      </c>
      <c r="AH19" s="365" t="str">
        <f>IF($C19="","",AG19*VLOOKUP($C19,MATIERES!$A$2:$F$349,4,0))</f>
        <v/>
      </c>
      <c r="AI19" s="364">
        <v>31</v>
      </c>
      <c r="AJ19" s="365" t="str">
        <f>IF($C19="","",AI19*VLOOKUP($C19,MATIERES!$A$2:$F$349,4,0))</f>
        <v/>
      </c>
      <c r="AK19" s="364">
        <v>32</v>
      </c>
      <c r="AL19" s="365" t="str">
        <f>IF($C19="","",AK19*VLOOKUP($C19,MATIERES!$A$2:$F$349,4,0))</f>
        <v/>
      </c>
      <c r="AM19" s="364">
        <v>33</v>
      </c>
      <c r="AN19" s="365" t="str">
        <f>IF($C19="","",AM19*VLOOKUP($C19,MATIERES!$A$2:$F$349,4,0))</f>
        <v/>
      </c>
    </row>
    <row r="20" spans="1:40" ht="15" customHeight="1" x14ac:dyDescent="0.2">
      <c r="A20" s="1550"/>
      <c r="B20" s="361"/>
      <c r="C20" s="362"/>
      <c r="D20" s="363" t="str">
        <f>IF($C20="","",VLOOKUP($C20,MATIERES!$A$2:$F$227,5,0))</f>
        <v/>
      </c>
      <c r="E20" s="364">
        <v>17</v>
      </c>
      <c r="F20" s="365" t="str">
        <f>IF($C20="","",E20*VLOOKUP($C20,MATIERES!$A$2:$F$349,4,0))</f>
        <v/>
      </c>
      <c r="G20" s="364">
        <v>18</v>
      </c>
      <c r="H20" s="365" t="str">
        <f>IF($C20="","",G20*VLOOKUP($C20,MATIERES!$A$2:$F$349,4,0))</f>
        <v/>
      </c>
      <c r="I20" s="364">
        <v>19</v>
      </c>
      <c r="J20" s="365" t="str">
        <f>IF($C20="","",I20*VLOOKUP($C20,MATIERES!$A$2:$F$349,4,0))</f>
        <v/>
      </c>
      <c r="K20" s="364">
        <v>20</v>
      </c>
      <c r="L20" s="365" t="str">
        <f>IF($C20="","",K20*VLOOKUP($C20,MATIERES!$A$2:$F$349,4,0))</f>
        <v/>
      </c>
      <c r="M20" s="364">
        <v>21</v>
      </c>
      <c r="N20" s="365" t="str">
        <f>IF($C20="","",M20*VLOOKUP($C20,MATIERES!$A$2:$F$349,4,0))</f>
        <v/>
      </c>
      <c r="O20" s="364">
        <v>22</v>
      </c>
      <c r="P20" s="365" t="str">
        <f>IF($C20="","",O20*VLOOKUP($C20,MATIERES!$A$2:$F$349,4,0))</f>
        <v/>
      </c>
      <c r="Q20" s="364">
        <v>23</v>
      </c>
      <c r="R20" s="365" t="str">
        <f>IF($C20="","",Q20*VLOOKUP($C20,MATIERES!$A$2:$F$349,4,0))</f>
        <v/>
      </c>
      <c r="S20" s="364">
        <v>24</v>
      </c>
      <c r="T20" s="365" t="str">
        <f>IF($C20="","",S20*VLOOKUP($C20,MATIERES!$A$2:$F$349,4,0))</f>
        <v/>
      </c>
      <c r="U20" s="364">
        <v>25</v>
      </c>
      <c r="V20" s="365" t="str">
        <f>IF($C20="","",U20*VLOOKUP($C20,MATIERES!$A$2:$F$349,4,0))</f>
        <v/>
      </c>
      <c r="W20" s="364">
        <v>26</v>
      </c>
      <c r="X20" s="365" t="str">
        <f>IF($C20="","",W20*VLOOKUP($C20,MATIERES!$A$2:$F$349,4,0))</f>
        <v/>
      </c>
      <c r="Y20" s="364">
        <v>27</v>
      </c>
      <c r="Z20" s="365" t="str">
        <f>IF($C20="","",Y20*VLOOKUP($C20,MATIERES!$A$2:$F$349,4,0))</f>
        <v/>
      </c>
      <c r="AA20" s="364">
        <v>28</v>
      </c>
      <c r="AB20" s="365" t="str">
        <f>IF($C20="","",AA20*VLOOKUP($C20,MATIERES!$A$2:$F$349,4,0))</f>
        <v/>
      </c>
      <c r="AC20" s="364">
        <v>29</v>
      </c>
      <c r="AD20" s="365" t="str">
        <f>IF($C20="","",AC20*VLOOKUP($C20,MATIERES!$A$2:$F$349,4,0))</f>
        <v/>
      </c>
      <c r="AE20" s="364">
        <v>30</v>
      </c>
      <c r="AF20" s="365" t="str">
        <f>IF($C20="","",AE20*VLOOKUP($C20,MATIERES!$A$2:$F$349,4,0))</f>
        <v/>
      </c>
      <c r="AG20" s="364">
        <v>31</v>
      </c>
      <c r="AH20" s="365" t="str">
        <f>IF($C20="","",AG20*VLOOKUP($C20,MATIERES!$A$2:$F$349,4,0))</f>
        <v/>
      </c>
      <c r="AI20" s="364">
        <v>32</v>
      </c>
      <c r="AJ20" s="365" t="str">
        <f>IF($C20="","",AI20*VLOOKUP($C20,MATIERES!$A$2:$F$349,4,0))</f>
        <v/>
      </c>
      <c r="AK20" s="364">
        <v>33</v>
      </c>
      <c r="AL20" s="365" t="str">
        <f>IF($C20="","",AK20*VLOOKUP($C20,MATIERES!$A$2:$F$349,4,0))</f>
        <v/>
      </c>
      <c r="AM20" s="364">
        <v>34</v>
      </c>
      <c r="AN20" s="365" t="str">
        <f>IF($C20="","",AM20*VLOOKUP($C20,MATIERES!$A$2:$F$349,4,0))</f>
        <v/>
      </c>
    </row>
    <row r="21" spans="1:40" ht="15" customHeight="1" x14ac:dyDescent="0.2">
      <c r="A21" s="1550"/>
      <c r="B21" s="361"/>
      <c r="C21" s="362"/>
      <c r="D21" s="363" t="str">
        <f>IF($C21="","",VLOOKUP($C21,MATIERES!$A$2:$F$227,5,0))</f>
        <v/>
      </c>
      <c r="E21" s="364">
        <v>18</v>
      </c>
      <c r="F21" s="365" t="str">
        <f>IF($C21="","",E21*VLOOKUP($C21,MATIERES!$A$2:$F$349,4,0))</f>
        <v/>
      </c>
      <c r="G21" s="364">
        <v>19</v>
      </c>
      <c r="H21" s="365" t="str">
        <f>IF($C21="","",G21*VLOOKUP($C21,MATIERES!$A$2:$F$349,4,0))</f>
        <v/>
      </c>
      <c r="I21" s="364">
        <v>20</v>
      </c>
      <c r="J21" s="365" t="str">
        <f>IF($C21="","",I21*VLOOKUP($C21,MATIERES!$A$2:$F$349,4,0))</f>
        <v/>
      </c>
      <c r="K21" s="364">
        <v>21</v>
      </c>
      <c r="L21" s="365" t="str">
        <f>IF($C21="","",K21*VLOOKUP($C21,MATIERES!$A$2:$F$349,4,0))</f>
        <v/>
      </c>
      <c r="M21" s="364">
        <v>22</v>
      </c>
      <c r="N21" s="365" t="str">
        <f>IF($C21="","",M21*VLOOKUP($C21,MATIERES!$A$2:$F$349,4,0))</f>
        <v/>
      </c>
      <c r="O21" s="364">
        <v>23</v>
      </c>
      <c r="P21" s="365" t="str">
        <f>IF($C21="","",O21*VLOOKUP($C21,MATIERES!$A$2:$F$349,4,0))</f>
        <v/>
      </c>
      <c r="Q21" s="364">
        <v>24</v>
      </c>
      <c r="R21" s="365" t="str">
        <f>IF($C21="","",Q21*VLOOKUP($C21,MATIERES!$A$2:$F$349,4,0))</f>
        <v/>
      </c>
      <c r="S21" s="364">
        <v>25</v>
      </c>
      <c r="T21" s="365" t="str">
        <f>IF($C21="","",S21*VLOOKUP($C21,MATIERES!$A$2:$F$349,4,0))</f>
        <v/>
      </c>
      <c r="U21" s="364">
        <v>26</v>
      </c>
      <c r="V21" s="365" t="str">
        <f>IF($C21="","",U21*VLOOKUP($C21,MATIERES!$A$2:$F$349,4,0))</f>
        <v/>
      </c>
      <c r="W21" s="364">
        <v>27</v>
      </c>
      <c r="X21" s="365" t="str">
        <f>IF($C21="","",W21*VLOOKUP($C21,MATIERES!$A$2:$F$349,4,0))</f>
        <v/>
      </c>
      <c r="Y21" s="364">
        <v>28</v>
      </c>
      <c r="Z21" s="365" t="str">
        <f>IF($C21="","",Y21*VLOOKUP($C21,MATIERES!$A$2:$F$349,4,0))</f>
        <v/>
      </c>
      <c r="AA21" s="364">
        <v>29</v>
      </c>
      <c r="AB21" s="365" t="str">
        <f>IF($C21="","",AA21*VLOOKUP($C21,MATIERES!$A$2:$F$349,4,0))</f>
        <v/>
      </c>
      <c r="AC21" s="364">
        <v>30</v>
      </c>
      <c r="AD21" s="365" t="str">
        <f>IF($C21="","",AC21*VLOOKUP($C21,MATIERES!$A$2:$F$349,4,0))</f>
        <v/>
      </c>
      <c r="AE21" s="364">
        <v>31</v>
      </c>
      <c r="AF21" s="365" t="str">
        <f>IF($C21="","",AE21*VLOOKUP($C21,MATIERES!$A$2:$F$349,4,0))</f>
        <v/>
      </c>
      <c r="AG21" s="364">
        <v>32</v>
      </c>
      <c r="AH21" s="365" t="str">
        <f>IF($C21="","",AG21*VLOOKUP($C21,MATIERES!$A$2:$F$349,4,0))</f>
        <v/>
      </c>
      <c r="AI21" s="364">
        <v>33</v>
      </c>
      <c r="AJ21" s="365" t="str">
        <f>IF($C21="","",AI21*VLOOKUP($C21,MATIERES!$A$2:$F$349,4,0))</f>
        <v/>
      </c>
      <c r="AK21" s="364">
        <v>34</v>
      </c>
      <c r="AL21" s="365" t="str">
        <f>IF($C21="","",AK21*VLOOKUP($C21,MATIERES!$A$2:$F$349,4,0))</f>
        <v/>
      </c>
      <c r="AM21" s="364">
        <v>35</v>
      </c>
      <c r="AN21" s="365" t="str">
        <f>IF($C21="","",AM21*VLOOKUP($C21,MATIERES!$A$2:$F$349,4,0))</f>
        <v/>
      </c>
    </row>
    <row r="22" spans="1:40" ht="15" customHeight="1" x14ac:dyDescent="0.2">
      <c r="A22" s="1550"/>
      <c r="B22" s="361"/>
      <c r="C22" s="362"/>
      <c r="D22" s="363" t="str">
        <f>IF($C22="","",VLOOKUP($C22,MATIERES!$A$2:$F$227,5,0))</f>
        <v/>
      </c>
      <c r="E22" s="364">
        <v>19</v>
      </c>
      <c r="F22" s="365" t="str">
        <f>IF($C22="","",E22*VLOOKUP($C22,MATIERES!$A$2:$F$349,4,0))</f>
        <v/>
      </c>
      <c r="G22" s="364">
        <v>20</v>
      </c>
      <c r="H22" s="365" t="str">
        <f>IF($C22="","",G22*VLOOKUP($C22,MATIERES!$A$2:$F$349,4,0))</f>
        <v/>
      </c>
      <c r="I22" s="364">
        <v>21</v>
      </c>
      <c r="J22" s="365" t="str">
        <f>IF($C22="","",I22*VLOOKUP($C22,MATIERES!$A$2:$F$349,4,0))</f>
        <v/>
      </c>
      <c r="K22" s="364">
        <v>22</v>
      </c>
      <c r="L22" s="365" t="str">
        <f>IF($C22="","",K22*VLOOKUP($C22,MATIERES!$A$2:$F$349,4,0))</f>
        <v/>
      </c>
      <c r="M22" s="364">
        <v>23</v>
      </c>
      <c r="N22" s="365" t="str">
        <f>IF($C22="","",M22*VLOOKUP($C22,MATIERES!$A$2:$F$349,4,0))</f>
        <v/>
      </c>
      <c r="O22" s="364">
        <v>24</v>
      </c>
      <c r="P22" s="365" t="str">
        <f>IF($C22="","",O22*VLOOKUP($C22,MATIERES!$A$2:$F$349,4,0))</f>
        <v/>
      </c>
      <c r="Q22" s="364">
        <v>25</v>
      </c>
      <c r="R22" s="365" t="str">
        <f>IF($C22="","",Q22*VLOOKUP($C22,MATIERES!$A$2:$F$349,4,0))</f>
        <v/>
      </c>
      <c r="S22" s="364">
        <v>26</v>
      </c>
      <c r="T22" s="365" t="str">
        <f>IF($C22="","",S22*VLOOKUP($C22,MATIERES!$A$2:$F$349,4,0))</f>
        <v/>
      </c>
      <c r="U22" s="364">
        <v>27</v>
      </c>
      <c r="V22" s="365" t="str">
        <f>IF($C22="","",U22*VLOOKUP($C22,MATIERES!$A$2:$F$349,4,0))</f>
        <v/>
      </c>
      <c r="W22" s="364">
        <v>28</v>
      </c>
      <c r="X22" s="365" t="str">
        <f>IF($C22="","",W22*VLOOKUP($C22,MATIERES!$A$2:$F$349,4,0))</f>
        <v/>
      </c>
      <c r="Y22" s="364">
        <v>29</v>
      </c>
      <c r="Z22" s="365" t="str">
        <f>IF($C22="","",Y22*VLOOKUP($C22,MATIERES!$A$2:$F$349,4,0))</f>
        <v/>
      </c>
      <c r="AA22" s="364">
        <v>30</v>
      </c>
      <c r="AB22" s="365" t="str">
        <f>IF($C22="","",AA22*VLOOKUP($C22,MATIERES!$A$2:$F$349,4,0))</f>
        <v/>
      </c>
      <c r="AC22" s="364">
        <v>31</v>
      </c>
      <c r="AD22" s="365" t="str">
        <f>IF($C22="","",AC22*VLOOKUP($C22,MATIERES!$A$2:$F$349,4,0))</f>
        <v/>
      </c>
      <c r="AE22" s="364">
        <v>32</v>
      </c>
      <c r="AF22" s="365" t="str">
        <f>IF($C22="","",AE22*VLOOKUP($C22,MATIERES!$A$2:$F$349,4,0))</f>
        <v/>
      </c>
      <c r="AG22" s="364">
        <v>33</v>
      </c>
      <c r="AH22" s="365" t="str">
        <f>IF($C22="","",AG22*VLOOKUP($C22,MATIERES!$A$2:$F$349,4,0))</f>
        <v/>
      </c>
      <c r="AI22" s="364">
        <v>34</v>
      </c>
      <c r="AJ22" s="365" t="str">
        <f>IF($C22="","",AI22*VLOOKUP($C22,MATIERES!$A$2:$F$349,4,0))</f>
        <v/>
      </c>
      <c r="AK22" s="364">
        <v>35</v>
      </c>
      <c r="AL22" s="365" t="str">
        <f>IF($C22="","",AK22*VLOOKUP($C22,MATIERES!$A$2:$F$349,4,0))</f>
        <v/>
      </c>
      <c r="AM22" s="364">
        <v>36</v>
      </c>
      <c r="AN22" s="365" t="str">
        <f>IF($C22="","",AM22*VLOOKUP($C22,MATIERES!$A$2:$F$349,4,0))</f>
        <v/>
      </c>
    </row>
    <row r="23" spans="1:40" ht="15" customHeight="1" x14ac:dyDescent="0.2">
      <c r="A23" s="1550"/>
      <c r="B23" s="361"/>
      <c r="C23" s="362"/>
      <c r="D23" s="363" t="str">
        <f>IF($C23="","",VLOOKUP($C23,MATIERES!$A$2:$F$227,5,0))</f>
        <v/>
      </c>
      <c r="E23" s="364">
        <v>20</v>
      </c>
      <c r="F23" s="365" t="str">
        <f>IF($C23="","",E23*VLOOKUP($C23,MATIERES!$A$2:$F$349,4,0))</f>
        <v/>
      </c>
      <c r="G23" s="364">
        <v>21</v>
      </c>
      <c r="H23" s="365" t="str">
        <f>IF($C23="","",G23*VLOOKUP($C23,MATIERES!$A$2:$F$349,4,0))</f>
        <v/>
      </c>
      <c r="I23" s="364">
        <v>22</v>
      </c>
      <c r="J23" s="365" t="str">
        <f>IF($C23="","",I23*VLOOKUP($C23,MATIERES!$A$2:$F$349,4,0))</f>
        <v/>
      </c>
      <c r="K23" s="364">
        <v>23</v>
      </c>
      <c r="L23" s="365" t="str">
        <f>IF($C23="","",K23*VLOOKUP($C23,MATIERES!$A$2:$F$349,4,0))</f>
        <v/>
      </c>
      <c r="M23" s="364">
        <v>24</v>
      </c>
      <c r="N23" s="365" t="str">
        <f>IF($C23="","",M23*VLOOKUP($C23,MATIERES!$A$2:$F$349,4,0))</f>
        <v/>
      </c>
      <c r="O23" s="364">
        <v>25</v>
      </c>
      <c r="P23" s="365" t="str">
        <f>IF($C23="","",O23*VLOOKUP($C23,MATIERES!$A$2:$F$349,4,0))</f>
        <v/>
      </c>
      <c r="Q23" s="364">
        <v>26</v>
      </c>
      <c r="R23" s="365" t="str">
        <f>IF($C23="","",Q23*VLOOKUP($C23,MATIERES!$A$2:$F$349,4,0))</f>
        <v/>
      </c>
      <c r="S23" s="364">
        <v>27</v>
      </c>
      <c r="T23" s="365" t="str">
        <f>IF($C23="","",S23*VLOOKUP($C23,MATIERES!$A$2:$F$349,4,0))</f>
        <v/>
      </c>
      <c r="U23" s="364">
        <v>28</v>
      </c>
      <c r="V23" s="365" t="str">
        <f>IF($C23="","",U23*VLOOKUP($C23,MATIERES!$A$2:$F$349,4,0))</f>
        <v/>
      </c>
      <c r="W23" s="364">
        <v>29</v>
      </c>
      <c r="X23" s="365" t="str">
        <f>IF($C23="","",W23*VLOOKUP($C23,MATIERES!$A$2:$F$349,4,0))</f>
        <v/>
      </c>
      <c r="Y23" s="364">
        <v>30</v>
      </c>
      <c r="Z23" s="365" t="str">
        <f>IF($C23="","",Y23*VLOOKUP($C23,MATIERES!$A$2:$F$349,4,0))</f>
        <v/>
      </c>
      <c r="AA23" s="364">
        <v>31</v>
      </c>
      <c r="AB23" s="365" t="str">
        <f>IF($C23="","",AA23*VLOOKUP($C23,MATIERES!$A$2:$F$349,4,0))</f>
        <v/>
      </c>
      <c r="AC23" s="364">
        <v>32</v>
      </c>
      <c r="AD23" s="365" t="str">
        <f>IF($C23="","",AC23*VLOOKUP($C23,MATIERES!$A$2:$F$349,4,0))</f>
        <v/>
      </c>
      <c r="AE23" s="364">
        <v>33</v>
      </c>
      <c r="AF23" s="365" t="str">
        <f>IF($C23="","",AE23*VLOOKUP($C23,MATIERES!$A$2:$F$349,4,0))</f>
        <v/>
      </c>
      <c r="AG23" s="364">
        <v>34</v>
      </c>
      <c r="AH23" s="365" t="str">
        <f>IF($C23="","",AG23*VLOOKUP($C23,MATIERES!$A$2:$F$349,4,0))</f>
        <v/>
      </c>
      <c r="AI23" s="364">
        <v>35</v>
      </c>
      <c r="AJ23" s="365" t="str">
        <f>IF($C23="","",AI23*VLOOKUP($C23,MATIERES!$A$2:$F$349,4,0))</f>
        <v/>
      </c>
      <c r="AK23" s="364">
        <v>36</v>
      </c>
      <c r="AL23" s="365" t="str">
        <f>IF($C23="","",AK23*VLOOKUP($C23,MATIERES!$A$2:$F$349,4,0))</f>
        <v/>
      </c>
      <c r="AM23" s="364">
        <v>37</v>
      </c>
      <c r="AN23" s="365" t="str">
        <f>IF($C23="","",AM23*VLOOKUP($C23,MATIERES!$A$2:$F$349,4,0))</f>
        <v/>
      </c>
    </row>
    <row r="24" spans="1:40" ht="15" customHeight="1" x14ac:dyDescent="0.2">
      <c r="A24" s="1550"/>
      <c r="B24" s="361"/>
      <c r="C24" s="362"/>
      <c r="D24" s="363" t="str">
        <f>IF($C24="","",VLOOKUP($C24,MATIERES!$A$2:$F$227,5,0))</f>
        <v/>
      </c>
      <c r="E24" s="364">
        <v>21</v>
      </c>
      <c r="F24" s="365" t="str">
        <f>IF($C24="","",E24*VLOOKUP($C24,MATIERES!$A$2:$F$349,4,0))</f>
        <v/>
      </c>
      <c r="G24" s="364">
        <v>22</v>
      </c>
      <c r="H24" s="365" t="str">
        <f>IF($C24="","",G24*VLOOKUP($C24,MATIERES!$A$2:$F$349,4,0))</f>
        <v/>
      </c>
      <c r="I24" s="364">
        <v>23</v>
      </c>
      <c r="J24" s="365" t="str">
        <f>IF($C24="","",I24*VLOOKUP($C24,MATIERES!$A$2:$F$349,4,0))</f>
        <v/>
      </c>
      <c r="K24" s="364">
        <v>24</v>
      </c>
      <c r="L24" s="365" t="str">
        <f>IF($C24="","",K24*VLOOKUP($C24,MATIERES!$A$2:$F$349,4,0))</f>
        <v/>
      </c>
      <c r="M24" s="364">
        <v>25</v>
      </c>
      <c r="N24" s="365" t="str">
        <f>IF($C24="","",M24*VLOOKUP($C24,MATIERES!$A$2:$F$349,4,0))</f>
        <v/>
      </c>
      <c r="O24" s="364">
        <v>26</v>
      </c>
      <c r="P24" s="365" t="str">
        <f>IF($C24="","",O24*VLOOKUP($C24,MATIERES!$A$2:$F$349,4,0))</f>
        <v/>
      </c>
      <c r="Q24" s="364">
        <v>27</v>
      </c>
      <c r="R24" s="365" t="str">
        <f>IF($C24="","",Q24*VLOOKUP($C24,MATIERES!$A$2:$F$349,4,0))</f>
        <v/>
      </c>
      <c r="S24" s="364">
        <v>28</v>
      </c>
      <c r="T24" s="365" t="str">
        <f>IF($C24="","",S24*VLOOKUP($C24,MATIERES!$A$2:$F$349,4,0))</f>
        <v/>
      </c>
      <c r="U24" s="364">
        <v>29</v>
      </c>
      <c r="V24" s="365" t="str">
        <f>IF($C24="","",U24*VLOOKUP($C24,MATIERES!$A$2:$F$349,4,0))</f>
        <v/>
      </c>
      <c r="W24" s="364">
        <v>30</v>
      </c>
      <c r="X24" s="365" t="str">
        <f>IF($C24="","",W24*VLOOKUP($C24,MATIERES!$A$2:$F$349,4,0))</f>
        <v/>
      </c>
      <c r="Y24" s="364">
        <v>31</v>
      </c>
      <c r="Z24" s="365" t="str">
        <f>IF($C24="","",Y24*VLOOKUP($C24,MATIERES!$A$2:$F$349,4,0))</f>
        <v/>
      </c>
      <c r="AA24" s="364">
        <v>32</v>
      </c>
      <c r="AB24" s="365" t="str">
        <f>IF($C24="","",AA24*VLOOKUP($C24,MATIERES!$A$2:$F$349,4,0))</f>
        <v/>
      </c>
      <c r="AC24" s="364">
        <v>33</v>
      </c>
      <c r="AD24" s="365" t="str">
        <f>IF($C24="","",AC24*VLOOKUP($C24,MATIERES!$A$2:$F$349,4,0))</f>
        <v/>
      </c>
      <c r="AE24" s="364">
        <v>34</v>
      </c>
      <c r="AF24" s="365" t="str">
        <f>IF($C24="","",AE24*VLOOKUP($C24,MATIERES!$A$2:$F$349,4,0))</f>
        <v/>
      </c>
      <c r="AG24" s="364">
        <v>35</v>
      </c>
      <c r="AH24" s="365" t="str">
        <f>IF($C24="","",AG24*VLOOKUP($C24,MATIERES!$A$2:$F$349,4,0))</f>
        <v/>
      </c>
      <c r="AI24" s="364">
        <v>36</v>
      </c>
      <c r="AJ24" s="365" t="str">
        <f>IF($C24="","",AI24*VLOOKUP($C24,MATIERES!$A$2:$F$349,4,0))</f>
        <v/>
      </c>
      <c r="AK24" s="364">
        <v>37</v>
      </c>
      <c r="AL24" s="365" t="str">
        <f>IF($C24="","",AK24*VLOOKUP($C24,MATIERES!$A$2:$F$349,4,0))</f>
        <v/>
      </c>
      <c r="AM24" s="364">
        <v>38</v>
      </c>
      <c r="AN24" s="365" t="str">
        <f>IF($C24="","",AM24*VLOOKUP($C24,MATIERES!$A$2:$F$349,4,0))</f>
        <v/>
      </c>
    </row>
    <row r="25" spans="1:40" ht="15" customHeight="1" x14ac:dyDescent="0.2">
      <c r="A25" s="1550"/>
      <c r="B25" s="361"/>
      <c r="C25" s="362"/>
      <c r="D25" s="363" t="str">
        <f>IF($C25="","",VLOOKUP($C25,MATIERES!$A$2:$F$227,5,0))</f>
        <v/>
      </c>
      <c r="E25" s="364">
        <v>22</v>
      </c>
      <c r="F25" s="365" t="str">
        <f>IF($C25="","",E25*VLOOKUP($C25,MATIERES!$A$2:$F$349,4,0))</f>
        <v/>
      </c>
      <c r="G25" s="364">
        <v>23</v>
      </c>
      <c r="H25" s="365" t="str">
        <f>IF($C25="","",G25*VLOOKUP($C25,MATIERES!$A$2:$F$349,4,0))</f>
        <v/>
      </c>
      <c r="I25" s="364">
        <v>24</v>
      </c>
      <c r="J25" s="365" t="str">
        <f>IF($C25="","",I25*VLOOKUP($C25,MATIERES!$A$2:$F$349,4,0))</f>
        <v/>
      </c>
      <c r="K25" s="364">
        <v>25</v>
      </c>
      <c r="L25" s="365" t="str">
        <f>IF($C25="","",K25*VLOOKUP($C25,MATIERES!$A$2:$F$349,4,0))</f>
        <v/>
      </c>
      <c r="M25" s="364">
        <v>26</v>
      </c>
      <c r="N25" s="365" t="str">
        <f>IF($C25="","",M25*VLOOKUP($C25,MATIERES!$A$2:$F$349,4,0))</f>
        <v/>
      </c>
      <c r="O25" s="364">
        <v>27</v>
      </c>
      <c r="P25" s="365" t="str">
        <f>IF($C25="","",O25*VLOOKUP($C25,MATIERES!$A$2:$F$349,4,0))</f>
        <v/>
      </c>
      <c r="Q25" s="364">
        <v>28</v>
      </c>
      <c r="R25" s="365" t="str">
        <f>IF($C25="","",Q25*VLOOKUP($C25,MATIERES!$A$2:$F$349,4,0))</f>
        <v/>
      </c>
      <c r="S25" s="364">
        <v>29</v>
      </c>
      <c r="T25" s="365" t="str">
        <f>IF($C25="","",S25*VLOOKUP($C25,MATIERES!$A$2:$F$349,4,0))</f>
        <v/>
      </c>
      <c r="U25" s="364">
        <v>30</v>
      </c>
      <c r="V25" s="365" t="str">
        <f>IF($C25="","",U25*VLOOKUP($C25,MATIERES!$A$2:$F$349,4,0))</f>
        <v/>
      </c>
      <c r="W25" s="364">
        <v>31</v>
      </c>
      <c r="X25" s="365" t="str">
        <f>IF($C25="","",W25*VLOOKUP($C25,MATIERES!$A$2:$F$349,4,0))</f>
        <v/>
      </c>
      <c r="Y25" s="364">
        <v>32</v>
      </c>
      <c r="Z25" s="365" t="str">
        <f>IF($C25="","",Y25*VLOOKUP($C25,MATIERES!$A$2:$F$349,4,0))</f>
        <v/>
      </c>
      <c r="AA25" s="364">
        <v>33</v>
      </c>
      <c r="AB25" s="365" t="str">
        <f>IF($C25="","",AA25*VLOOKUP($C25,MATIERES!$A$2:$F$349,4,0))</f>
        <v/>
      </c>
      <c r="AC25" s="364">
        <v>34</v>
      </c>
      <c r="AD25" s="365" t="str">
        <f>IF($C25="","",AC25*VLOOKUP($C25,MATIERES!$A$2:$F$349,4,0))</f>
        <v/>
      </c>
      <c r="AE25" s="364">
        <v>35</v>
      </c>
      <c r="AF25" s="365" t="str">
        <f>IF($C25="","",AE25*VLOOKUP($C25,MATIERES!$A$2:$F$349,4,0))</f>
        <v/>
      </c>
      <c r="AG25" s="364">
        <v>36</v>
      </c>
      <c r="AH25" s="365" t="str">
        <f>IF($C25="","",AG25*VLOOKUP($C25,MATIERES!$A$2:$F$349,4,0))</f>
        <v/>
      </c>
      <c r="AI25" s="364">
        <v>37</v>
      </c>
      <c r="AJ25" s="365" t="str">
        <f>IF($C25="","",AI25*VLOOKUP($C25,MATIERES!$A$2:$F$349,4,0))</f>
        <v/>
      </c>
      <c r="AK25" s="364">
        <v>38</v>
      </c>
      <c r="AL25" s="365" t="str">
        <f>IF($C25="","",AK25*VLOOKUP($C25,MATIERES!$A$2:$F$349,4,0))</f>
        <v/>
      </c>
      <c r="AM25" s="364">
        <v>39</v>
      </c>
      <c r="AN25" s="365" t="str">
        <f>IF($C25="","",AM25*VLOOKUP($C25,MATIERES!$A$2:$F$349,4,0))</f>
        <v/>
      </c>
    </row>
    <row r="26" spans="1:40" ht="30" customHeight="1" x14ac:dyDescent="0.2">
      <c r="A26" s="366"/>
      <c r="B26" s="367" t="s">
        <v>683</v>
      </c>
      <c r="C26" s="368" t="s">
        <v>446</v>
      </c>
      <c r="D26" s="369" t="s">
        <v>447</v>
      </c>
      <c r="E26" s="370">
        <f>F26*(1+Simulation!$P$11)</f>
        <v>0</v>
      </c>
      <c r="F26" s="371">
        <f>SUM(F4:F25)</f>
        <v>0</v>
      </c>
      <c r="G26" s="370">
        <f>H26*(1+Simulation!$P$11)</f>
        <v>0</v>
      </c>
      <c r="H26" s="371">
        <f>SUM(H4:H25)</f>
        <v>0</v>
      </c>
      <c r="I26" s="370">
        <f>J26*(1+Simulation!$P$11)</f>
        <v>0</v>
      </c>
      <c r="J26" s="371">
        <f>SUM(J4:J25)</f>
        <v>0</v>
      </c>
      <c r="K26" s="370">
        <f>L26*(1+Simulation!$P$11)</f>
        <v>0</v>
      </c>
      <c r="L26" s="371">
        <f>SUM(L4:L25)</f>
        <v>0</v>
      </c>
      <c r="M26" s="370">
        <f>N26*(1+Simulation!$P$11)</f>
        <v>0</v>
      </c>
      <c r="N26" s="371">
        <f>SUM(N4:N25)</f>
        <v>0</v>
      </c>
      <c r="O26" s="370">
        <f>P26*(1+Simulation!$P$11)</f>
        <v>0</v>
      </c>
      <c r="P26" s="371">
        <f>SUM(P4:P25)</f>
        <v>0</v>
      </c>
      <c r="Q26" s="370">
        <f>R26*(1+Simulation!$P$11)</f>
        <v>0</v>
      </c>
      <c r="R26" s="371">
        <f>SUM(R4:R25)</f>
        <v>0</v>
      </c>
      <c r="S26" s="370">
        <f>T26*(1+Simulation!$P$11)</f>
        <v>0</v>
      </c>
      <c r="T26" s="371">
        <f>SUM(T4:T25)</f>
        <v>0</v>
      </c>
      <c r="U26" s="370">
        <f>V26*(1+Simulation!$P$11)</f>
        <v>0</v>
      </c>
      <c r="V26" s="371">
        <f>SUM(V4:V25)</f>
        <v>0</v>
      </c>
      <c r="W26" s="370">
        <f>X26*(1+Simulation!$P$11)</f>
        <v>0</v>
      </c>
      <c r="X26" s="371">
        <f>SUM(X4:X25)</f>
        <v>0</v>
      </c>
      <c r="Y26" s="370">
        <f>Z26*(1+Simulation!$P$11)</f>
        <v>0</v>
      </c>
      <c r="Z26" s="371">
        <f>SUM(Z4:Z25)</f>
        <v>0</v>
      </c>
      <c r="AA26" s="370">
        <f>AB26*(1+Simulation!$P$11)</f>
        <v>0</v>
      </c>
      <c r="AB26" s="371">
        <f>SUM(AB4:AB25)</f>
        <v>0</v>
      </c>
      <c r="AC26" s="370">
        <f>AD26*(1+Simulation!$P$11)</f>
        <v>0</v>
      </c>
      <c r="AD26" s="371">
        <f>SUM(AD4:AD25)</f>
        <v>0</v>
      </c>
      <c r="AE26" s="370">
        <f>AF26*(1+Simulation!$P$11)</f>
        <v>0</v>
      </c>
      <c r="AF26" s="371">
        <f>SUM(AF4:AF25)</f>
        <v>0</v>
      </c>
      <c r="AG26" s="370">
        <f>AH26*(1+Simulation!$P$11)</f>
        <v>0</v>
      </c>
      <c r="AH26" s="371">
        <f>SUM(AH4:AH25)</f>
        <v>0</v>
      </c>
      <c r="AI26" s="370">
        <f>AJ26*(1+Simulation!$P$11)</f>
        <v>0</v>
      </c>
      <c r="AJ26" s="371">
        <f>SUM(AJ4:AJ25)</f>
        <v>0</v>
      </c>
      <c r="AK26" s="370">
        <f>AL26*(1+Simulation!$P$11)</f>
        <v>0</v>
      </c>
      <c r="AL26" s="371">
        <f>SUM(AL4:AL25)</f>
        <v>0</v>
      </c>
      <c r="AM26" s="370">
        <f>AN26*(1+Simulation!$P$11)</f>
        <v>0</v>
      </c>
      <c r="AN26" s="371">
        <f>SUM(AN4:AN25)</f>
        <v>0</v>
      </c>
    </row>
    <row r="27" spans="1:40" ht="15" customHeight="1" x14ac:dyDescent="0.2">
      <c r="A27" s="1553" t="s">
        <v>448</v>
      </c>
      <c r="B27" s="361" t="s">
        <v>1079</v>
      </c>
      <c r="C27" s="362" t="s">
        <v>419</v>
      </c>
      <c r="D27" s="363" t="e">
        <f>IF($C27="","",VLOOKUP($C27,ATELIER!$B$2:$E$109,3,0))</f>
        <v>#N/A</v>
      </c>
      <c r="E27" s="364">
        <v>1</v>
      </c>
      <c r="F27" s="372" t="e">
        <f>IF($C27="","",E27*VLOOKUP($C27,ATELIER!$B$2:$F$109,4,0))</f>
        <v>#N/A</v>
      </c>
      <c r="G27" s="364">
        <v>2</v>
      </c>
      <c r="H27" s="372" t="e">
        <f>IF($C27="","",G27*VLOOKUP($C27,ATELIER!$B$2:$F$109,4,0))</f>
        <v>#N/A</v>
      </c>
      <c r="I27" s="364">
        <v>3</v>
      </c>
      <c r="J27" s="372" t="e">
        <f>IF($C27="","",I27*VLOOKUP($C27,ATELIER!$B$2:$F$109,4,0))</f>
        <v>#N/A</v>
      </c>
      <c r="K27" s="364">
        <v>4</v>
      </c>
      <c r="L27" s="372" t="e">
        <f>IF($C27="","",K27*VLOOKUP($C27,ATELIER!$B$2:$F$109,4,0))</f>
        <v>#N/A</v>
      </c>
      <c r="M27" s="364">
        <v>5</v>
      </c>
      <c r="N27" s="372" t="e">
        <f>IF($C27="","",M27*VLOOKUP($C27,ATELIER!$B$2:$F$109,4,0))</f>
        <v>#N/A</v>
      </c>
      <c r="O27" s="364">
        <v>6</v>
      </c>
      <c r="P27" s="372" t="e">
        <f>IF($C27="","",O27*VLOOKUP($C27,ATELIER!$B$2:$F$109,4,0))</f>
        <v>#N/A</v>
      </c>
      <c r="Q27" s="364">
        <v>7</v>
      </c>
      <c r="R27" s="372" t="e">
        <f>IF($C27="","",Q27*VLOOKUP($C27,ATELIER!$B$2:$F$109,4,0))</f>
        <v>#N/A</v>
      </c>
      <c r="S27" s="364">
        <v>8</v>
      </c>
      <c r="T27" s="372" t="e">
        <f>IF($C27="","",S27*VLOOKUP($C27,ATELIER!$B$2:$F$109,4,0))</f>
        <v>#N/A</v>
      </c>
      <c r="U27" s="364">
        <v>9</v>
      </c>
      <c r="V27" s="372" t="e">
        <f>IF($C27="","",U27*VLOOKUP($C27,ATELIER!$B$2:$F$109,4,0))</f>
        <v>#N/A</v>
      </c>
      <c r="W27" s="364">
        <v>10</v>
      </c>
      <c r="X27" s="372" t="e">
        <f>IF($C27="","",W27*VLOOKUP($C27,ATELIER!$B$2:$F$109,4,0))</f>
        <v>#N/A</v>
      </c>
      <c r="Y27" s="364">
        <v>11</v>
      </c>
      <c r="Z27" s="372" t="e">
        <f>IF($C27="","",Y27*VLOOKUP($C27,ATELIER!$B$2:$F$109,4,0))</f>
        <v>#N/A</v>
      </c>
      <c r="AA27" s="364">
        <v>12</v>
      </c>
      <c r="AB27" s="372" t="e">
        <f>IF($C27="","",AA27*VLOOKUP($C27,ATELIER!$B$2:$F$109,4,0))</f>
        <v>#N/A</v>
      </c>
      <c r="AC27" s="364">
        <v>13</v>
      </c>
      <c r="AD27" s="372" t="e">
        <f>IF($C27="","",AC27*VLOOKUP($C27,ATELIER!$B$2:$F$109,4,0))</f>
        <v>#N/A</v>
      </c>
      <c r="AE27" s="364">
        <v>14</v>
      </c>
      <c r="AF27" s="372" t="e">
        <f>IF($C27="","",AE27*VLOOKUP($C27,ATELIER!$B$2:$F$109,4,0))</f>
        <v>#N/A</v>
      </c>
      <c r="AG27" s="364">
        <v>15</v>
      </c>
      <c r="AH27" s="372" t="e">
        <f>IF($C27="","",AG27*VLOOKUP($C27,ATELIER!$B$2:$F$109,4,0))</f>
        <v>#N/A</v>
      </c>
      <c r="AI27" s="364">
        <v>16</v>
      </c>
      <c r="AJ27" s="372" t="e">
        <f>IF($C27="","",AI27*VLOOKUP($C27,ATELIER!$B$2:$F$109,4,0))</f>
        <v>#N/A</v>
      </c>
      <c r="AK27" s="364">
        <v>17</v>
      </c>
      <c r="AL27" s="372" t="e">
        <f>IF($C27="","",AK27*VLOOKUP($C27,ATELIER!$B$2:$F$109,4,0))</f>
        <v>#N/A</v>
      </c>
      <c r="AM27" s="364">
        <v>18</v>
      </c>
      <c r="AN27" s="372" t="e">
        <f>IF($C27="","",AM27*VLOOKUP($C27,ATELIER!$B$2:$F$109,4,0))</f>
        <v>#N/A</v>
      </c>
    </row>
    <row r="28" spans="1:40" ht="15" customHeight="1" x14ac:dyDescent="0.2">
      <c r="A28" s="1553"/>
      <c r="B28" s="361" t="str">
        <f>IF($C28="","",VLOOKUP($C28,ATELIER!$B$2:$F$109,2,0))</f>
        <v/>
      </c>
      <c r="C28" s="362"/>
      <c r="D28" s="363" t="str">
        <f>IF($C28="","",VLOOKUP($C28,ATELIER!$B$2:$E$109,3,0))</f>
        <v/>
      </c>
      <c r="E28" s="364">
        <v>2</v>
      </c>
      <c r="F28" s="372" t="str">
        <f>IF($C28="","",E28*VLOOKUP($C28,ATELIER!$B$2:$F$109,4,0))</f>
        <v/>
      </c>
      <c r="G28" s="364">
        <v>3</v>
      </c>
      <c r="H28" s="372" t="str">
        <f>IF($C28="","",G28*VLOOKUP($C28,ATELIER!$B$2:$F$109,4,0))</f>
        <v/>
      </c>
      <c r="I28" s="364">
        <v>4</v>
      </c>
      <c r="J28" s="372" t="str">
        <f>IF($C28="","",I28*VLOOKUP($C28,ATELIER!$B$2:$F$109,4,0))</f>
        <v/>
      </c>
      <c r="K28" s="364">
        <v>5</v>
      </c>
      <c r="L28" s="372" t="str">
        <f>IF($C28="","",K28*VLOOKUP($C28,ATELIER!$B$2:$F$109,4,0))</f>
        <v/>
      </c>
      <c r="M28" s="364">
        <v>6</v>
      </c>
      <c r="N28" s="372" t="str">
        <f>IF($C28="","",M28*VLOOKUP($C28,ATELIER!$B$2:$F$109,4,0))</f>
        <v/>
      </c>
      <c r="O28" s="364">
        <v>7</v>
      </c>
      <c r="P28" s="372" t="str">
        <f>IF($C28="","",O28*VLOOKUP($C28,ATELIER!$B$2:$F$109,4,0))</f>
        <v/>
      </c>
      <c r="Q28" s="364">
        <v>8</v>
      </c>
      <c r="R28" s="372" t="str">
        <f>IF($C28="","",Q28*VLOOKUP($C28,ATELIER!$B$2:$F$109,4,0))</f>
        <v/>
      </c>
      <c r="S28" s="364">
        <v>9</v>
      </c>
      <c r="T28" s="372" t="str">
        <f>IF($C28="","",S28*VLOOKUP($C28,ATELIER!$B$2:$F$109,4,0))</f>
        <v/>
      </c>
      <c r="U28" s="364">
        <v>10</v>
      </c>
      <c r="V28" s="372" t="str">
        <f>IF($C28="","",U28*VLOOKUP($C28,ATELIER!$B$2:$F$109,4,0))</f>
        <v/>
      </c>
      <c r="W28" s="364">
        <v>11</v>
      </c>
      <c r="X28" s="372" t="str">
        <f>IF($C28="","",W28*VLOOKUP($C28,ATELIER!$B$2:$F$109,4,0))</f>
        <v/>
      </c>
      <c r="Y28" s="364">
        <v>12</v>
      </c>
      <c r="Z28" s="372" t="str">
        <f>IF($C28="","",Y28*VLOOKUP($C28,ATELIER!$B$2:$F$109,4,0))</f>
        <v/>
      </c>
      <c r="AA28" s="364">
        <v>13</v>
      </c>
      <c r="AB28" s="372" t="str">
        <f>IF($C28="","",AA28*VLOOKUP($C28,ATELIER!$B$2:$F$109,4,0))</f>
        <v/>
      </c>
      <c r="AC28" s="364">
        <v>14</v>
      </c>
      <c r="AD28" s="372" t="str">
        <f>IF($C28="","",AC28*VLOOKUP($C28,ATELIER!$B$2:$F$109,4,0))</f>
        <v/>
      </c>
      <c r="AE28" s="364">
        <v>15</v>
      </c>
      <c r="AF28" s="372" t="str">
        <f>IF($C28="","",AE28*VLOOKUP($C28,ATELIER!$B$2:$F$109,4,0))</f>
        <v/>
      </c>
      <c r="AG28" s="364">
        <v>16</v>
      </c>
      <c r="AH28" s="372" t="str">
        <f>IF($C28="","",AG28*VLOOKUP($C28,ATELIER!$B$2:$F$109,4,0))</f>
        <v/>
      </c>
      <c r="AI28" s="364">
        <v>17</v>
      </c>
      <c r="AJ28" s="372" t="str">
        <f>IF($C28="","",AI28*VLOOKUP($C28,ATELIER!$B$2:$F$109,4,0))</f>
        <v/>
      </c>
      <c r="AK28" s="364">
        <v>18</v>
      </c>
      <c r="AL28" s="372" t="str">
        <f>IF($C28="","",AK28*VLOOKUP($C28,ATELIER!$B$2:$F$109,4,0))</f>
        <v/>
      </c>
      <c r="AM28" s="364">
        <v>19</v>
      </c>
      <c r="AN28" s="372" t="str">
        <f>IF($C28="","",AM28*VLOOKUP($C28,ATELIER!$B$2:$F$109,4,0))</f>
        <v/>
      </c>
    </row>
    <row r="29" spans="1:40" ht="15" customHeight="1" x14ac:dyDescent="0.2">
      <c r="A29" s="1552"/>
      <c r="B29" s="373" t="str">
        <f>IF($C29="","",VLOOKUP($C29,ATELIER!$B$2:$F$109,2,0))</f>
        <v/>
      </c>
      <c r="C29" s="374"/>
      <c r="D29" s="363" t="str">
        <f>IF($C29="","",VLOOKUP($C29,ATELIER!$B$2:$E$109,3,0))</f>
        <v/>
      </c>
      <c r="E29" s="364">
        <v>3</v>
      </c>
      <c r="F29" s="372" t="str">
        <f>IF($C29="","",E29*VLOOKUP($C29,ATELIER!$B$2:$F$109,4,0))</f>
        <v/>
      </c>
      <c r="G29" s="364">
        <v>4</v>
      </c>
      <c r="H29" s="372" t="str">
        <f>IF($C29="","",G29*VLOOKUP($C29,ATELIER!$B$2:$F$109,4,0))</f>
        <v/>
      </c>
      <c r="I29" s="364">
        <v>5</v>
      </c>
      <c r="J29" s="372" t="str">
        <f>IF($C29="","",I29*VLOOKUP($C29,ATELIER!$B$2:$F$109,4,0))</f>
        <v/>
      </c>
      <c r="K29" s="364">
        <v>6</v>
      </c>
      <c r="L29" s="372" t="str">
        <f>IF($C29="","",K29*VLOOKUP($C29,ATELIER!$B$2:$F$109,4,0))</f>
        <v/>
      </c>
      <c r="M29" s="364">
        <v>7</v>
      </c>
      <c r="N29" s="372" t="str">
        <f>IF($C29="","",M29*VLOOKUP($C29,ATELIER!$B$2:$F$109,4,0))</f>
        <v/>
      </c>
      <c r="O29" s="364">
        <v>8</v>
      </c>
      <c r="P29" s="372" t="str">
        <f>IF($C29="","",O29*VLOOKUP($C29,ATELIER!$B$2:$F$109,4,0))</f>
        <v/>
      </c>
      <c r="Q29" s="364">
        <v>9</v>
      </c>
      <c r="R29" s="372" t="str">
        <f>IF($C29="","",Q29*VLOOKUP($C29,ATELIER!$B$2:$F$109,4,0))</f>
        <v/>
      </c>
      <c r="S29" s="364">
        <v>10</v>
      </c>
      <c r="T29" s="372" t="str">
        <f>IF($C29="","",S29*VLOOKUP($C29,ATELIER!$B$2:$F$109,4,0))</f>
        <v/>
      </c>
      <c r="U29" s="364">
        <v>11</v>
      </c>
      <c r="V29" s="372" t="str">
        <f>IF($C29="","",U29*VLOOKUP($C29,ATELIER!$B$2:$F$109,4,0))</f>
        <v/>
      </c>
      <c r="W29" s="364">
        <v>12</v>
      </c>
      <c r="X29" s="372" t="str">
        <f>IF($C29="","",W29*VLOOKUP($C29,ATELIER!$B$2:$F$109,4,0))</f>
        <v/>
      </c>
      <c r="Y29" s="364">
        <v>13</v>
      </c>
      <c r="Z29" s="372" t="str">
        <f>IF($C29="","",Y29*VLOOKUP($C29,ATELIER!$B$2:$F$109,4,0))</f>
        <v/>
      </c>
      <c r="AA29" s="364">
        <v>14</v>
      </c>
      <c r="AB29" s="372" t="str">
        <f>IF($C29="","",AA29*VLOOKUP($C29,ATELIER!$B$2:$F$109,4,0))</f>
        <v/>
      </c>
      <c r="AC29" s="364">
        <v>15</v>
      </c>
      <c r="AD29" s="372" t="str">
        <f>IF($C29="","",AC29*VLOOKUP($C29,ATELIER!$B$2:$F$109,4,0))</f>
        <v/>
      </c>
      <c r="AE29" s="364">
        <v>16</v>
      </c>
      <c r="AF29" s="372" t="str">
        <f>IF($C29="","",AE29*VLOOKUP($C29,ATELIER!$B$2:$F$109,4,0))</f>
        <v/>
      </c>
      <c r="AG29" s="364">
        <v>17</v>
      </c>
      <c r="AH29" s="372" t="str">
        <f>IF($C29="","",AG29*VLOOKUP($C29,ATELIER!$B$2:$F$109,4,0))</f>
        <v/>
      </c>
      <c r="AI29" s="364">
        <v>18</v>
      </c>
      <c r="AJ29" s="372" t="str">
        <f>IF($C29="","",AI29*VLOOKUP($C29,ATELIER!$B$2:$F$109,4,0))</f>
        <v/>
      </c>
      <c r="AK29" s="364">
        <v>19</v>
      </c>
      <c r="AL29" s="372" t="str">
        <f>IF($C29="","",AK29*VLOOKUP($C29,ATELIER!$B$2:$F$109,4,0))</f>
        <v/>
      </c>
      <c r="AM29" s="364">
        <v>20</v>
      </c>
      <c r="AN29" s="372" t="str">
        <f>IF($C29="","",AM29*VLOOKUP($C29,ATELIER!$B$2:$F$109,4,0))</f>
        <v/>
      </c>
    </row>
    <row r="30" spans="1:40" ht="15" customHeight="1" x14ac:dyDescent="0.2">
      <c r="A30" s="1553"/>
      <c r="B30" s="361" t="str">
        <f>IF($C30="","",VLOOKUP($C30,ATELIER!$B$2:$F$109,2,0))</f>
        <v/>
      </c>
      <c r="C30" s="362"/>
      <c r="D30" s="363" t="str">
        <f>IF($C30="","",VLOOKUP($C30,ATELIER!$B$2:$E$109,3,0))</f>
        <v/>
      </c>
      <c r="E30" s="364">
        <v>4</v>
      </c>
      <c r="F30" s="372" t="str">
        <f>IF($C30="","",E30*VLOOKUP($C30,ATELIER!$B$2:$F$109,4,0))</f>
        <v/>
      </c>
      <c r="G30" s="364">
        <v>5</v>
      </c>
      <c r="H30" s="372" t="str">
        <f>IF($C30="","",G30*VLOOKUP($C30,ATELIER!$B$2:$F$109,4,0))</f>
        <v/>
      </c>
      <c r="I30" s="364">
        <v>6</v>
      </c>
      <c r="J30" s="372" t="str">
        <f>IF($C30="","",I30*VLOOKUP($C30,ATELIER!$B$2:$F$109,4,0))</f>
        <v/>
      </c>
      <c r="K30" s="364">
        <v>7</v>
      </c>
      <c r="L30" s="372" t="str">
        <f>IF($C30="","",K30*VLOOKUP($C30,ATELIER!$B$2:$F$109,4,0))</f>
        <v/>
      </c>
      <c r="M30" s="364">
        <v>8</v>
      </c>
      <c r="N30" s="372" t="str">
        <f>IF($C30="","",M30*VLOOKUP($C30,ATELIER!$B$2:$F$109,4,0))</f>
        <v/>
      </c>
      <c r="O30" s="364">
        <v>9</v>
      </c>
      <c r="P30" s="372" t="str">
        <f>IF($C30="","",O30*VLOOKUP($C30,ATELIER!$B$2:$F$109,4,0))</f>
        <v/>
      </c>
      <c r="Q30" s="364">
        <v>10</v>
      </c>
      <c r="R30" s="372" t="str">
        <f>IF($C30="","",Q30*VLOOKUP($C30,ATELIER!$B$2:$F$109,4,0))</f>
        <v/>
      </c>
      <c r="S30" s="364">
        <v>11</v>
      </c>
      <c r="T30" s="372" t="str">
        <f>IF($C30="","",S30*VLOOKUP($C30,ATELIER!$B$2:$F$109,4,0))</f>
        <v/>
      </c>
      <c r="U30" s="364">
        <v>12</v>
      </c>
      <c r="V30" s="372" t="str">
        <f>IF($C30="","",U30*VLOOKUP($C30,ATELIER!$B$2:$F$109,4,0))</f>
        <v/>
      </c>
      <c r="W30" s="364">
        <v>13</v>
      </c>
      <c r="X30" s="372" t="str">
        <f>IF($C30="","",W30*VLOOKUP($C30,ATELIER!$B$2:$F$109,4,0))</f>
        <v/>
      </c>
      <c r="Y30" s="364">
        <v>14</v>
      </c>
      <c r="Z30" s="372" t="str">
        <f>IF($C30="","",Y30*VLOOKUP($C30,ATELIER!$B$2:$F$109,4,0))</f>
        <v/>
      </c>
      <c r="AA30" s="364">
        <v>15</v>
      </c>
      <c r="AB30" s="372" t="str">
        <f>IF($C30="","",AA30*VLOOKUP($C30,ATELIER!$B$2:$F$109,4,0))</f>
        <v/>
      </c>
      <c r="AC30" s="364">
        <v>16</v>
      </c>
      <c r="AD30" s="372" t="str">
        <f>IF($C30="","",AC30*VLOOKUP($C30,ATELIER!$B$2:$F$109,4,0))</f>
        <v/>
      </c>
      <c r="AE30" s="364">
        <v>17</v>
      </c>
      <c r="AF30" s="372" t="str">
        <f>IF($C30="","",AE30*VLOOKUP($C30,ATELIER!$B$2:$F$109,4,0))</f>
        <v/>
      </c>
      <c r="AG30" s="364">
        <v>18</v>
      </c>
      <c r="AH30" s="372" t="str">
        <f>IF($C30="","",AG30*VLOOKUP($C30,ATELIER!$B$2:$F$109,4,0))</f>
        <v/>
      </c>
      <c r="AI30" s="364">
        <v>19</v>
      </c>
      <c r="AJ30" s="372" t="str">
        <f>IF($C30="","",AI30*VLOOKUP($C30,ATELIER!$B$2:$F$109,4,0))</f>
        <v/>
      </c>
      <c r="AK30" s="364">
        <v>20</v>
      </c>
      <c r="AL30" s="372" t="str">
        <f>IF($C30="","",AK30*VLOOKUP($C30,ATELIER!$B$2:$F$109,4,0))</f>
        <v/>
      </c>
      <c r="AM30" s="364">
        <v>21</v>
      </c>
      <c r="AN30" s="372" t="str">
        <f>IF($C30="","",AM30*VLOOKUP($C30,ATELIER!$B$2:$F$109,4,0))</f>
        <v/>
      </c>
    </row>
    <row r="31" spans="1:40" ht="15" customHeight="1" x14ac:dyDescent="0.2">
      <c r="A31" s="1553"/>
      <c r="B31" s="361" t="str">
        <f>IF($C31="","",VLOOKUP($C31,ATELIER!$B$2:$F$109,2,0))</f>
        <v/>
      </c>
      <c r="C31" s="362"/>
      <c r="D31" s="363" t="str">
        <f>IF($C31="","",VLOOKUP($C31,ATELIER!$B$2:$E$109,3,0))</f>
        <v/>
      </c>
      <c r="E31" s="364">
        <v>5</v>
      </c>
      <c r="F31" s="372" t="str">
        <f>IF($C31="","",E31*VLOOKUP($C31,ATELIER!$B$2:$F$109,4,0))</f>
        <v/>
      </c>
      <c r="G31" s="364">
        <v>6</v>
      </c>
      <c r="H31" s="372" t="str">
        <f>IF($C31="","",G31*VLOOKUP($C31,ATELIER!$B$2:$F$109,4,0))</f>
        <v/>
      </c>
      <c r="I31" s="364">
        <v>7</v>
      </c>
      <c r="J31" s="372" t="str">
        <f>IF($C31="","",I31*VLOOKUP($C31,ATELIER!$B$2:$F$109,4,0))</f>
        <v/>
      </c>
      <c r="K31" s="364">
        <v>8</v>
      </c>
      <c r="L31" s="372" t="str">
        <f>IF($C31="","",K31*VLOOKUP($C31,ATELIER!$B$2:$F$109,4,0))</f>
        <v/>
      </c>
      <c r="M31" s="364">
        <v>9</v>
      </c>
      <c r="N31" s="372" t="str">
        <f>IF($C31="","",M31*VLOOKUP($C31,ATELIER!$B$2:$F$109,4,0))</f>
        <v/>
      </c>
      <c r="O31" s="364">
        <v>10</v>
      </c>
      <c r="P31" s="372" t="str">
        <f>IF($C31="","",O31*VLOOKUP($C31,ATELIER!$B$2:$F$109,4,0))</f>
        <v/>
      </c>
      <c r="Q31" s="364">
        <v>11</v>
      </c>
      <c r="R31" s="372" t="str">
        <f>IF($C31="","",Q31*VLOOKUP($C31,ATELIER!$B$2:$F$109,4,0))</f>
        <v/>
      </c>
      <c r="S31" s="364">
        <v>12</v>
      </c>
      <c r="T31" s="372" t="str">
        <f>IF($C31="","",S31*VLOOKUP($C31,ATELIER!$B$2:$F$109,4,0))</f>
        <v/>
      </c>
      <c r="U31" s="364">
        <v>13</v>
      </c>
      <c r="V31" s="372" t="str">
        <f>IF($C31="","",U31*VLOOKUP($C31,ATELIER!$B$2:$F$109,4,0))</f>
        <v/>
      </c>
      <c r="W31" s="364">
        <v>14</v>
      </c>
      <c r="X31" s="372" t="str">
        <f>IF($C31="","",W31*VLOOKUP($C31,ATELIER!$B$2:$F$109,4,0))</f>
        <v/>
      </c>
      <c r="Y31" s="364">
        <v>15</v>
      </c>
      <c r="Z31" s="372" t="str">
        <f>IF($C31="","",Y31*VLOOKUP($C31,ATELIER!$B$2:$F$109,4,0))</f>
        <v/>
      </c>
      <c r="AA31" s="364">
        <v>16</v>
      </c>
      <c r="AB31" s="372" t="str">
        <f>IF($C31="","",AA31*VLOOKUP($C31,ATELIER!$B$2:$F$109,4,0))</f>
        <v/>
      </c>
      <c r="AC31" s="364">
        <v>17</v>
      </c>
      <c r="AD31" s="372" t="str">
        <f>IF($C31="","",AC31*VLOOKUP($C31,ATELIER!$B$2:$F$109,4,0))</f>
        <v/>
      </c>
      <c r="AE31" s="364">
        <v>18</v>
      </c>
      <c r="AF31" s="372" t="str">
        <f>IF($C31="","",AE31*VLOOKUP($C31,ATELIER!$B$2:$F$109,4,0))</f>
        <v/>
      </c>
      <c r="AG31" s="364">
        <v>19</v>
      </c>
      <c r="AH31" s="372" t="str">
        <f>IF($C31="","",AG31*VLOOKUP($C31,ATELIER!$B$2:$F$109,4,0))</f>
        <v/>
      </c>
      <c r="AI31" s="364">
        <v>20</v>
      </c>
      <c r="AJ31" s="372" t="str">
        <f>IF($C31="","",AI31*VLOOKUP($C31,ATELIER!$B$2:$F$109,4,0))</f>
        <v/>
      </c>
      <c r="AK31" s="364">
        <v>21</v>
      </c>
      <c r="AL31" s="372" t="str">
        <f>IF($C31="","",AK31*VLOOKUP($C31,ATELIER!$B$2:$F$109,4,0))</f>
        <v/>
      </c>
      <c r="AM31" s="364">
        <v>22</v>
      </c>
      <c r="AN31" s="372" t="str">
        <f>IF($C31="","",AM31*VLOOKUP($C31,ATELIER!$B$2:$F$109,4,0))</f>
        <v/>
      </c>
    </row>
    <row r="32" spans="1:40" ht="15" customHeight="1" x14ac:dyDescent="0.2">
      <c r="A32" s="1553"/>
      <c r="B32" s="361" t="str">
        <f>IF($C32="","",VLOOKUP($C32,ATELIER!$B$2:$F$109,2,0))</f>
        <v/>
      </c>
      <c r="C32" s="362"/>
      <c r="D32" s="363" t="str">
        <f>IF($C32="","",VLOOKUP($C32,ATELIER!$B$2:$E$109,3,0))</f>
        <v/>
      </c>
      <c r="E32" s="364">
        <v>6</v>
      </c>
      <c r="F32" s="372" t="str">
        <f>IF($C32="","",E32*VLOOKUP($C32,ATELIER!$B$2:$F$109,4,0))</f>
        <v/>
      </c>
      <c r="G32" s="364">
        <v>7</v>
      </c>
      <c r="H32" s="372" t="str">
        <f>IF($C32="","",G32*VLOOKUP($C32,ATELIER!$B$2:$F$109,4,0))</f>
        <v/>
      </c>
      <c r="I32" s="364">
        <v>8</v>
      </c>
      <c r="J32" s="372" t="str">
        <f>IF($C32="","",I32*VLOOKUP($C32,ATELIER!$B$2:$F$109,4,0))</f>
        <v/>
      </c>
      <c r="K32" s="364">
        <v>9</v>
      </c>
      <c r="L32" s="372" t="str">
        <f>IF($C32="","",K32*VLOOKUP($C32,ATELIER!$B$2:$F$109,4,0))</f>
        <v/>
      </c>
      <c r="M32" s="364">
        <v>10</v>
      </c>
      <c r="N32" s="372" t="str">
        <f>IF($C32="","",M32*VLOOKUP($C32,ATELIER!$B$2:$F$109,4,0))</f>
        <v/>
      </c>
      <c r="O32" s="364">
        <v>11</v>
      </c>
      <c r="P32" s="372" t="str">
        <f>IF($C32="","",O32*VLOOKUP($C32,ATELIER!$B$2:$F$109,4,0))</f>
        <v/>
      </c>
      <c r="Q32" s="364">
        <v>12</v>
      </c>
      <c r="R32" s="372" t="str">
        <f>IF($C32="","",Q32*VLOOKUP($C32,ATELIER!$B$2:$F$109,4,0))</f>
        <v/>
      </c>
      <c r="S32" s="364">
        <v>13</v>
      </c>
      <c r="T32" s="372" t="str">
        <f>IF($C32="","",S32*VLOOKUP($C32,ATELIER!$B$2:$F$109,4,0))</f>
        <v/>
      </c>
      <c r="U32" s="364">
        <v>14</v>
      </c>
      <c r="V32" s="372" t="str">
        <f>IF($C32="","",U32*VLOOKUP($C32,ATELIER!$B$2:$F$109,4,0))</f>
        <v/>
      </c>
      <c r="W32" s="364">
        <v>15</v>
      </c>
      <c r="X32" s="372" t="str">
        <f>IF($C32="","",W32*VLOOKUP($C32,ATELIER!$B$2:$F$109,4,0))</f>
        <v/>
      </c>
      <c r="Y32" s="364">
        <v>16</v>
      </c>
      <c r="Z32" s="372" t="str">
        <f>IF($C32="","",Y32*VLOOKUP($C32,ATELIER!$B$2:$F$109,4,0))</f>
        <v/>
      </c>
      <c r="AA32" s="364">
        <v>17</v>
      </c>
      <c r="AB32" s="372" t="str">
        <f>IF($C32="","",AA32*VLOOKUP($C32,ATELIER!$B$2:$F$109,4,0))</f>
        <v/>
      </c>
      <c r="AC32" s="364">
        <v>18</v>
      </c>
      <c r="AD32" s="372" t="str">
        <f>IF($C32="","",AC32*VLOOKUP($C32,ATELIER!$B$2:$F$109,4,0))</f>
        <v/>
      </c>
      <c r="AE32" s="364">
        <v>19</v>
      </c>
      <c r="AF32" s="372" t="str">
        <f>IF($C32="","",AE32*VLOOKUP($C32,ATELIER!$B$2:$F$109,4,0))</f>
        <v/>
      </c>
      <c r="AG32" s="364">
        <v>20</v>
      </c>
      <c r="AH32" s="372" t="str">
        <f>IF($C32="","",AG32*VLOOKUP($C32,ATELIER!$B$2:$F$109,4,0))</f>
        <v/>
      </c>
      <c r="AI32" s="364">
        <v>21</v>
      </c>
      <c r="AJ32" s="372" t="str">
        <f>IF($C32="","",AI32*VLOOKUP($C32,ATELIER!$B$2:$F$109,4,0))</f>
        <v/>
      </c>
      <c r="AK32" s="364">
        <v>22</v>
      </c>
      <c r="AL32" s="372" t="str">
        <f>IF($C32="","",AK32*VLOOKUP($C32,ATELIER!$B$2:$F$109,4,0))</f>
        <v/>
      </c>
      <c r="AM32" s="364">
        <v>23</v>
      </c>
      <c r="AN32" s="372" t="str">
        <f>IF($C32="","",AM32*VLOOKUP($C32,ATELIER!$B$2:$F$109,4,0))</f>
        <v/>
      </c>
    </row>
    <row r="33" spans="1:42" ht="15" customHeight="1" x14ac:dyDescent="0.2">
      <c r="A33" s="1553"/>
      <c r="B33" s="361" t="str">
        <f>IF($C33="","",VLOOKUP($C33,ATELIER!$B$2:$F$109,2,0))</f>
        <v/>
      </c>
      <c r="C33" s="362"/>
      <c r="D33" s="363" t="str">
        <f>IF($C33="","",VLOOKUP($C33,ATELIER!$B$2:$E$109,3,0))</f>
        <v/>
      </c>
      <c r="E33" s="364">
        <v>7</v>
      </c>
      <c r="F33" s="372" t="str">
        <f>IF($C33="","",E33*VLOOKUP($C33,ATELIER!$B$2:$F$109,4,0))</f>
        <v/>
      </c>
      <c r="G33" s="364">
        <v>8</v>
      </c>
      <c r="H33" s="372" t="str">
        <f>IF($C33="","",G33*VLOOKUP($C33,ATELIER!$B$2:$F$109,4,0))</f>
        <v/>
      </c>
      <c r="I33" s="364">
        <v>9</v>
      </c>
      <c r="J33" s="372" t="str">
        <f>IF($C33="","",I33*VLOOKUP($C33,ATELIER!$B$2:$F$109,4,0))</f>
        <v/>
      </c>
      <c r="K33" s="364">
        <v>10</v>
      </c>
      <c r="L33" s="372" t="str">
        <f>IF($C33="","",K33*VLOOKUP($C33,ATELIER!$B$2:$F$109,4,0))</f>
        <v/>
      </c>
      <c r="M33" s="364">
        <v>11</v>
      </c>
      <c r="N33" s="372" t="str">
        <f>IF($C33="","",M33*VLOOKUP($C33,ATELIER!$B$2:$F$109,4,0))</f>
        <v/>
      </c>
      <c r="O33" s="364">
        <v>12</v>
      </c>
      <c r="P33" s="372" t="str">
        <f>IF($C33="","",O33*VLOOKUP($C33,ATELIER!$B$2:$F$109,4,0))</f>
        <v/>
      </c>
      <c r="Q33" s="364">
        <v>13</v>
      </c>
      <c r="R33" s="372" t="str">
        <f>IF($C33="","",Q33*VLOOKUP($C33,ATELIER!$B$2:$F$109,4,0))</f>
        <v/>
      </c>
      <c r="S33" s="364">
        <v>14</v>
      </c>
      <c r="T33" s="372" t="str">
        <f>IF($C33="","",S33*VLOOKUP($C33,ATELIER!$B$2:$F$109,4,0))</f>
        <v/>
      </c>
      <c r="U33" s="364">
        <v>15</v>
      </c>
      <c r="V33" s="372" t="str">
        <f>IF($C33="","",U33*VLOOKUP($C33,ATELIER!$B$2:$F$109,4,0))</f>
        <v/>
      </c>
      <c r="W33" s="364">
        <v>16</v>
      </c>
      <c r="X33" s="372" t="str">
        <f>IF($C33="","",W33*VLOOKUP($C33,ATELIER!$B$2:$F$109,4,0))</f>
        <v/>
      </c>
      <c r="Y33" s="364">
        <v>17</v>
      </c>
      <c r="Z33" s="372" t="str">
        <f>IF($C33="","",Y33*VLOOKUP($C33,ATELIER!$B$2:$F$109,4,0))</f>
        <v/>
      </c>
      <c r="AA33" s="364">
        <v>18</v>
      </c>
      <c r="AB33" s="372" t="str">
        <f>IF($C33="","",AA33*VLOOKUP($C33,ATELIER!$B$2:$F$109,4,0))</f>
        <v/>
      </c>
      <c r="AC33" s="364">
        <v>19</v>
      </c>
      <c r="AD33" s="372" t="str">
        <f>IF($C33="","",AC33*VLOOKUP($C33,ATELIER!$B$2:$F$109,4,0))</f>
        <v/>
      </c>
      <c r="AE33" s="364">
        <v>20</v>
      </c>
      <c r="AF33" s="372" t="str">
        <f>IF($C33="","",AE33*VLOOKUP($C33,ATELIER!$B$2:$F$109,4,0))</f>
        <v/>
      </c>
      <c r="AG33" s="364">
        <v>21</v>
      </c>
      <c r="AH33" s="372" t="str">
        <f>IF($C33="","",AG33*VLOOKUP($C33,ATELIER!$B$2:$F$109,4,0))</f>
        <v/>
      </c>
      <c r="AI33" s="364">
        <v>22</v>
      </c>
      <c r="AJ33" s="372" t="str">
        <f>IF($C33="","",AI33*VLOOKUP($C33,ATELIER!$B$2:$F$109,4,0))</f>
        <v/>
      </c>
      <c r="AK33" s="364">
        <v>23</v>
      </c>
      <c r="AL33" s="372" t="str">
        <f>IF($C33="","",AK33*VLOOKUP($C33,ATELIER!$B$2:$F$109,4,0))</f>
        <v/>
      </c>
      <c r="AM33" s="364">
        <v>24</v>
      </c>
      <c r="AN33" s="372" t="str">
        <f>IF($C33="","",AM33*VLOOKUP($C33,ATELIER!$B$2:$F$109,4,0))</f>
        <v/>
      </c>
    </row>
    <row r="34" spans="1:42" ht="15" customHeight="1" x14ac:dyDescent="0.2">
      <c r="A34" s="1553"/>
      <c r="B34" s="361" t="str">
        <f>IF($C34="","",VLOOKUP($C34,ATELIER!$B$2:$F$109,2,0))</f>
        <v/>
      </c>
      <c r="C34" s="362"/>
      <c r="D34" s="363" t="str">
        <f>IF($C34="","",VLOOKUP($C34,ATELIER!$B$2:$E$109,3,0))</f>
        <v/>
      </c>
      <c r="E34" s="364">
        <v>8</v>
      </c>
      <c r="F34" s="372" t="str">
        <f>IF($C34="","",E34*VLOOKUP($C34,ATELIER!$B$2:$F$109,4,0))</f>
        <v/>
      </c>
      <c r="G34" s="364">
        <v>9</v>
      </c>
      <c r="H34" s="372" t="str">
        <f>IF($C34="","",G34*VLOOKUP($C34,ATELIER!$B$2:$F$109,4,0))</f>
        <v/>
      </c>
      <c r="I34" s="364">
        <v>10</v>
      </c>
      <c r="J34" s="372" t="str">
        <f>IF($C34="","",I34*VLOOKUP($C34,ATELIER!$B$2:$F$109,4,0))</f>
        <v/>
      </c>
      <c r="K34" s="364">
        <v>11</v>
      </c>
      <c r="L34" s="372" t="str">
        <f>IF($C34="","",K34*VLOOKUP($C34,ATELIER!$B$2:$F$109,4,0))</f>
        <v/>
      </c>
      <c r="M34" s="364">
        <v>12</v>
      </c>
      <c r="N34" s="372" t="str">
        <f>IF($C34="","",M34*VLOOKUP($C34,ATELIER!$B$2:$F$109,4,0))</f>
        <v/>
      </c>
      <c r="O34" s="364">
        <v>13</v>
      </c>
      <c r="P34" s="372" t="str">
        <f>IF($C34="","",O34*VLOOKUP($C34,ATELIER!$B$2:$F$109,4,0))</f>
        <v/>
      </c>
      <c r="Q34" s="364">
        <v>14</v>
      </c>
      <c r="R34" s="372" t="str">
        <f>IF($C34="","",Q34*VLOOKUP($C34,ATELIER!$B$2:$F$109,4,0))</f>
        <v/>
      </c>
      <c r="S34" s="364">
        <v>15</v>
      </c>
      <c r="T34" s="372" t="str">
        <f>IF($C34="","",S34*VLOOKUP($C34,ATELIER!$B$2:$F$109,4,0))</f>
        <v/>
      </c>
      <c r="U34" s="364">
        <v>16</v>
      </c>
      <c r="V34" s="372" t="str">
        <f>IF($C34="","",U34*VLOOKUP($C34,ATELIER!$B$2:$F$109,4,0))</f>
        <v/>
      </c>
      <c r="W34" s="364">
        <v>17</v>
      </c>
      <c r="X34" s="372" t="str">
        <f>IF($C34="","",W34*VLOOKUP($C34,ATELIER!$B$2:$F$109,4,0))</f>
        <v/>
      </c>
      <c r="Y34" s="364">
        <v>18</v>
      </c>
      <c r="Z34" s="372" t="str">
        <f>IF($C34="","",Y34*VLOOKUP($C34,ATELIER!$B$2:$F$109,4,0))</f>
        <v/>
      </c>
      <c r="AA34" s="364">
        <v>19</v>
      </c>
      <c r="AB34" s="372" t="str">
        <f>IF($C34="","",AA34*VLOOKUP($C34,ATELIER!$B$2:$F$109,4,0))</f>
        <v/>
      </c>
      <c r="AC34" s="364">
        <v>20</v>
      </c>
      <c r="AD34" s="372" t="str">
        <f>IF($C34="","",AC34*VLOOKUP($C34,ATELIER!$B$2:$F$109,4,0))</f>
        <v/>
      </c>
      <c r="AE34" s="364">
        <v>21</v>
      </c>
      <c r="AF34" s="372" t="str">
        <f>IF($C34="","",AE34*VLOOKUP($C34,ATELIER!$B$2:$F$109,4,0))</f>
        <v/>
      </c>
      <c r="AG34" s="364">
        <v>22</v>
      </c>
      <c r="AH34" s="372" t="str">
        <f>IF($C34="","",AG34*VLOOKUP($C34,ATELIER!$B$2:$F$109,4,0))</f>
        <v/>
      </c>
      <c r="AI34" s="364">
        <v>23</v>
      </c>
      <c r="AJ34" s="372" t="str">
        <f>IF($C34="","",AI34*VLOOKUP($C34,ATELIER!$B$2:$F$109,4,0))</f>
        <v/>
      </c>
      <c r="AK34" s="364">
        <v>24</v>
      </c>
      <c r="AL34" s="372" t="str">
        <f>IF($C34="","",AK34*VLOOKUP($C34,ATELIER!$B$2:$F$109,4,0))</f>
        <v/>
      </c>
      <c r="AM34" s="364">
        <v>25</v>
      </c>
      <c r="AN34" s="372" t="str">
        <f>IF($C34="","",AM34*VLOOKUP($C34,ATELIER!$B$2:$F$109,4,0))</f>
        <v/>
      </c>
      <c r="AO34" s="222"/>
      <c r="AP34" s="223"/>
    </row>
    <row r="35" spans="1:42" ht="15" customHeight="1" x14ac:dyDescent="0.2">
      <c r="A35" s="1553"/>
      <c r="B35" s="361" t="str">
        <f>IF($C35="","",VLOOKUP($C35,ATELIER!$B$2:$F$109,2,0))</f>
        <v/>
      </c>
      <c r="C35" s="362"/>
      <c r="D35" s="363" t="str">
        <f>IF($C35="","",VLOOKUP($C35,ATELIER!$B$2:$E$109,3,0))</f>
        <v/>
      </c>
      <c r="E35" s="364">
        <v>9</v>
      </c>
      <c r="F35" s="372" t="str">
        <f>IF($C35="","",E35*VLOOKUP($C35,ATELIER!$B$2:$F$109,4,0))</f>
        <v/>
      </c>
      <c r="G35" s="364">
        <v>10</v>
      </c>
      <c r="H35" s="372" t="str">
        <f>IF($C35="","",G35*VLOOKUP($C35,ATELIER!$B$2:$F$109,4,0))</f>
        <v/>
      </c>
      <c r="I35" s="364">
        <v>11</v>
      </c>
      <c r="J35" s="372" t="str">
        <f>IF($C35="","",I35*VLOOKUP($C35,ATELIER!$B$2:$F$109,4,0))</f>
        <v/>
      </c>
      <c r="K35" s="364">
        <v>12</v>
      </c>
      <c r="L35" s="372" t="str">
        <f>IF($C35="","",K35*VLOOKUP($C35,ATELIER!$B$2:$F$109,4,0))</f>
        <v/>
      </c>
      <c r="M35" s="364">
        <v>13</v>
      </c>
      <c r="N35" s="372" t="str">
        <f>IF($C35="","",M35*VLOOKUP($C35,ATELIER!$B$2:$F$109,4,0))</f>
        <v/>
      </c>
      <c r="O35" s="364">
        <v>14</v>
      </c>
      <c r="P35" s="372" t="str">
        <f>IF($C35="","",O35*VLOOKUP($C35,ATELIER!$B$2:$F$109,4,0))</f>
        <v/>
      </c>
      <c r="Q35" s="364">
        <v>15</v>
      </c>
      <c r="R35" s="372" t="str">
        <f>IF($C35="","",Q35*VLOOKUP($C35,ATELIER!$B$2:$F$109,4,0))</f>
        <v/>
      </c>
      <c r="S35" s="364">
        <v>16</v>
      </c>
      <c r="T35" s="372" t="str">
        <f>IF($C35="","",S35*VLOOKUP($C35,ATELIER!$B$2:$F$109,4,0))</f>
        <v/>
      </c>
      <c r="U35" s="364">
        <v>17</v>
      </c>
      <c r="V35" s="372" t="str">
        <f>IF($C35="","",U35*VLOOKUP($C35,ATELIER!$B$2:$F$109,4,0))</f>
        <v/>
      </c>
      <c r="W35" s="364">
        <v>18</v>
      </c>
      <c r="X35" s="372" t="str">
        <f>IF($C35="","",W35*VLOOKUP($C35,ATELIER!$B$2:$F$109,4,0))</f>
        <v/>
      </c>
      <c r="Y35" s="364">
        <v>19</v>
      </c>
      <c r="Z35" s="372" t="str">
        <f>IF($C35="","",Y35*VLOOKUP($C35,ATELIER!$B$2:$F$109,4,0))</f>
        <v/>
      </c>
      <c r="AA35" s="364">
        <v>20</v>
      </c>
      <c r="AB35" s="372" t="str">
        <f>IF($C35="","",AA35*VLOOKUP($C35,ATELIER!$B$2:$F$109,4,0))</f>
        <v/>
      </c>
      <c r="AC35" s="364">
        <v>21</v>
      </c>
      <c r="AD35" s="372" t="str">
        <f>IF($C35="","",AC35*VLOOKUP($C35,ATELIER!$B$2:$F$109,4,0))</f>
        <v/>
      </c>
      <c r="AE35" s="364">
        <v>22</v>
      </c>
      <c r="AF35" s="372" t="str">
        <f>IF($C35="","",AE35*VLOOKUP($C35,ATELIER!$B$2:$F$109,4,0))</f>
        <v/>
      </c>
      <c r="AG35" s="364">
        <v>23</v>
      </c>
      <c r="AH35" s="372" t="str">
        <f>IF($C35="","",AG35*VLOOKUP($C35,ATELIER!$B$2:$F$109,4,0))</f>
        <v/>
      </c>
      <c r="AI35" s="364">
        <v>24</v>
      </c>
      <c r="AJ35" s="372" t="str">
        <f>IF($C35="","",AI35*VLOOKUP($C35,ATELIER!$B$2:$F$109,4,0))</f>
        <v/>
      </c>
      <c r="AK35" s="364">
        <v>25</v>
      </c>
      <c r="AL35" s="372" t="str">
        <f>IF($C35="","",AK35*VLOOKUP($C35,ATELIER!$B$2:$F$109,4,0))</f>
        <v/>
      </c>
      <c r="AM35" s="364">
        <v>26</v>
      </c>
      <c r="AN35" s="372" t="str">
        <f>IF($C35="","",AM35*VLOOKUP($C35,ATELIER!$B$2:$F$109,4,0))</f>
        <v/>
      </c>
      <c r="AO35" s="203"/>
      <c r="AP35" s="158"/>
    </row>
    <row r="36" spans="1:42" ht="15" customHeight="1" x14ac:dyDescent="0.2">
      <c r="A36" s="1553"/>
      <c r="B36" s="361" t="str">
        <f>IF($C36="","",VLOOKUP($C36,ATELIER!$B$2:$F$109,2,0))</f>
        <v/>
      </c>
      <c r="C36" s="362"/>
      <c r="D36" s="363" t="str">
        <f>IF($C36="","",VLOOKUP($C36,ATELIER!$B$2:$E$109,3,0))</f>
        <v/>
      </c>
      <c r="E36" s="364">
        <v>10</v>
      </c>
      <c r="F36" s="372" t="str">
        <f>IF($C36="","",E36*VLOOKUP($C36,ATELIER!$B$2:$F$109,4,0))</f>
        <v/>
      </c>
      <c r="G36" s="364">
        <v>11</v>
      </c>
      <c r="H36" s="372" t="str">
        <f>IF($C36="","",G36*VLOOKUP($C36,ATELIER!$B$2:$F$109,4,0))</f>
        <v/>
      </c>
      <c r="I36" s="364">
        <v>12</v>
      </c>
      <c r="J36" s="372" t="str">
        <f>IF($C36="","",I36*VLOOKUP($C36,ATELIER!$B$2:$F$109,4,0))</f>
        <v/>
      </c>
      <c r="K36" s="364">
        <v>13</v>
      </c>
      <c r="L36" s="372" t="str">
        <f>IF($C36="","",K36*VLOOKUP($C36,ATELIER!$B$2:$F$109,4,0))</f>
        <v/>
      </c>
      <c r="M36" s="364">
        <v>14</v>
      </c>
      <c r="N36" s="372" t="str">
        <f>IF($C36="","",M36*VLOOKUP($C36,ATELIER!$B$2:$F$109,4,0))</f>
        <v/>
      </c>
      <c r="O36" s="364">
        <v>15</v>
      </c>
      <c r="P36" s="372" t="str">
        <f>IF($C36="","",O36*VLOOKUP($C36,ATELIER!$B$2:$F$109,4,0))</f>
        <v/>
      </c>
      <c r="Q36" s="364">
        <v>16</v>
      </c>
      <c r="R36" s="372" t="str">
        <f>IF($C36="","",Q36*VLOOKUP($C36,ATELIER!$B$2:$F$109,4,0))</f>
        <v/>
      </c>
      <c r="S36" s="364">
        <v>17</v>
      </c>
      <c r="T36" s="372" t="str">
        <f>IF($C36="","",S36*VLOOKUP($C36,ATELIER!$B$2:$F$109,4,0))</f>
        <v/>
      </c>
      <c r="U36" s="364">
        <v>18</v>
      </c>
      <c r="V36" s="372" t="str">
        <f>IF($C36="","",U36*VLOOKUP($C36,ATELIER!$B$2:$F$109,4,0))</f>
        <v/>
      </c>
      <c r="W36" s="364">
        <v>19</v>
      </c>
      <c r="X36" s="372" t="str">
        <f>IF($C36="","",W36*VLOOKUP($C36,ATELIER!$B$2:$F$109,4,0))</f>
        <v/>
      </c>
      <c r="Y36" s="364">
        <v>20</v>
      </c>
      <c r="Z36" s="372" t="str">
        <f>IF($C36="","",Y36*VLOOKUP($C36,ATELIER!$B$2:$F$109,4,0))</f>
        <v/>
      </c>
      <c r="AA36" s="364">
        <v>21</v>
      </c>
      <c r="AB36" s="372" t="str">
        <f>IF($C36="","",AA36*VLOOKUP($C36,ATELIER!$B$2:$F$109,4,0))</f>
        <v/>
      </c>
      <c r="AC36" s="364">
        <v>22</v>
      </c>
      <c r="AD36" s="372" t="str">
        <f>IF($C36="","",AC36*VLOOKUP($C36,ATELIER!$B$2:$F$109,4,0))</f>
        <v/>
      </c>
      <c r="AE36" s="364">
        <v>23</v>
      </c>
      <c r="AF36" s="372" t="str">
        <f>IF($C36="","",AE36*VLOOKUP($C36,ATELIER!$B$2:$F$109,4,0))</f>
        <v/>
      </c>
      <c r="AG36" s="364">
        <v>24</v>
      </c>
      <c r="AH36" s="372" t="str">
        <f>IF($C36="","",AG36*VLOOKUP($C36,ATELIER!$B$2:$F$109,4,0))</f>
        <v/>
      </c>
      <c r="AI36" s="364">
        <v>25</v>
      </c>
      <c r="AJ36" s="372" t="str">
        <f>IF($C36="","",AI36*VLOOKUP($C36,ATELIER!$B$2:$F$109,4,0))</f>
        <v/>
      </c>
      <c r="AK36" s="364">
        <v>26</v>
      </c>
      <c r="AL36" s="372" t="str">
        <f>IF($C36="","",AK36*VLOOKUP($C36,ATELIER!$B$2:$F$109,4,0))</f>
        <v/>
      </c>
      <c r="AM36" s="364">
        <v>27</v>
      </c>
      <c r="AN36" s="372" t="str">
        <f>IF($C36="","",AM36*VLOOKUP($C36,ATELIER!$B$2:$F$109,4,0))</f>
        <v/>
      </c>
      <c r="AO36" s="203"/>
      <c r="AP36" s="158"/>
    </row>
    <row r="37" spans="1:42" ht="15" customHeight="1" x14ac:dyDescent="0.2">
      <c r="A37" s="1553"/>
      <c r="B37" s="361" t="str">
        <f>IF($C37="","",VLOOKUP($C37,ATELIER!$B$2:$F$109,2,0))</f>
        <v/>
      </c>
      <c r="C37" s="362"/>
      <c r="D37" s="363" t="str">
        <f>IF($C37="","",VLOOKUP($C37,ATELIER!$B$2:$E$109,3,0))</f>
        <v/>
      </c>
      <c r="E37" s="364">
        <v>11</v>
      </c>
      <c r="F37" s="372" t="str">
        <f>IF($C37="","",E37*VLOOKUP($C37,ATELIER!$B$2:$F$109,4,0))</f>
        <v/>
      </c>
      <c r="G37" s="364">
        <v>12</v>
      </c>
      <c r="H37" s="372" t="str">
        <f>IF($C37="","",G37*VLOOKUP($C37,ATELIER!$B$2:$F$109,4,0))</f>
        <v/>
      </c>
      <c r="I37" s="364">
        <v>13</v>
      </c>
      <c r="J37" s="372" t="str">
        <f>IF($C37="","",I37*VLOOKUP($C37,ATELIER!$B$2:$F$109,4,0))</f>
        <v/>
      </c>
      <c r="K37" s="364">
        <v>14</v>
      </c>
      <c r="L37" s="372" t="str">
        <f>IF($C37="","",K37*VLOOKUP($C37,ATELIER!$B$2:$F$109,4,0))</f>
        <v/>
      </c>
      <c r="M37" s="364">
        <v>15</v>
      </c>
      <c r="N37" s="372" t="str">
        <f>IF($C37="","",M37*VLOOKUP($C37,ATELIER!$B$2:$F$109,4,0))</f>
        <v/>
      </c>
      <c r="O37" s="364">
        <v>16</v>
      </c>
      <c r="P37" s="372" t="str">
        <f>IF($C37="","",O37*VLOOKUP($C37,ATELIER!$B$2:$F$109,4,0))</f>
        <v/>
      </c>
      <c r="Q37" s="364">
        <v>17</v>
      </c>
      <c r="R37" s="372" t="str">
        <f>IF($C37="","",Q37*VLOOKUP($C37,ATELIER!$B$2:$F$109,4,0))</f>
        <v/>
      </c>
      <c r="S37" s="364">
        <v>18</v>
      </c>
      <c r="T37" s="372" t="str">
        <f>IF($C37="","",S37*VLOOKUP($C37,ATELIER!$B$2:$F$109,4,0))</f>
        <v/>
      </c>
      <c r="U37" s="364">
        <v>19</v>
      </c>
      <c r="V37" s="372" t="str">
        <f>IF($C37="","",U37*VLOOKUP($C37,ATELIER!$B$2:$F$109,4,0))</f>
        <v/>
      </c>
      <c r="W37" s="364">
        <v>20</v>
      </c>
      <c r="X37" s="372" t="str">
        <f>IF($C37="","",W37*VLOOKUP($C37,ATELIER!$B$2:$F$109,4,0))</f>
        <v/>
      </c>
      <c r="Y37" s="364">
        <v>21</v>
      </c>
      <c r="Z37" s="372" t="str">
        <f>IF($C37="","",Y37*VLOOKUP($C37,ATELIER!$B$2:$F$109,4,0))</f>
        <v/>
      </c>
      <c r="AA37" s="364">
        <v>22</v>
      </c>
      <c r="AB37" s="372" t="str">
        <f>IF($C37="","",AA37*VLOOKUP($C37,ATELIER!$B$2:$F$109,4,0))</f>
        <v/>
      </c>
      <c r="AC37" s="364">
        <v>23</v>
      </c>
      <c r="AD37" s="372" t="str">
        <f>IF($C37="","",AC37*VLOOKUP($C37,ATELIER!$B$2:$F$109,4,0))</f>
        <v/>
      </c>
      <c r="AE37" s="364">
        <v>24</v>
      </c>
      <c r="AF37" s="372" t="str">
        <f>IF($C37="","",AE37*VLOOKUP($C37,ATELIER!$B$2:$F$109,4,0))</f>
        <v/>
      </c>
      <c r="AG37" s="364">
        <v>25</v>
      </c>
      <c r="AH37" s="372" t="str">
        <f>IF($C37="","",AG37*VLOOKUP($C37,ATELIER!$B$2:$F$109,4,0))</f>
        <v/>
      </c>
      <c r="AI37" s="364">
        <v>26</v>
      </c>
      <c r="AJ37" s="372" t="str">
        <f>IF($C37="","",AI37*VLOOKUP($C37,ATELIER!$B$2:$F$109,4,0))</f>
        <v/>
      </c>
      <c r="AK37" s="364">
        <v>27</v>
      </c>
      <c r="AL37" s="372" t="str">
        <f>IF($C37="","",AK37*VLOOKUP($C37,ATELIER!$B$2:$F$109,4,0))</f>
        <v/>
      </c>
      <c r="AM37" s="364">
        <v>28</v>
      </c>
      <c r="AN37" s="372" t="str">
        <f>IF($C37="","",AM37*VLOOKUP($C37,ATELIER!$B$2:$F$109,4,0))</f>
        <v/>
      </c>
      <c r="AO37" s="155"/>
      <c r="AP37" s="155"/>
    </row>
    <row r="38" spans="1:42" ht="35.25" customHeight="1" x14ac:dyDescent="0.2">
      <c r="A38" s="1553"/>
      <c r="B38" s="375" t="s">
        <v>449</v>
      </c>
      <c r="C38" s="376" t="s">
        <v>450</v>
      </c>
      <c r="D38" s="377" t="s">
        <v>451</v>
      </c>
      <c r="E38" s="376" t="e">
        <f>F38*Simulation!$P$8</f>
        <v>#N/A</v>
      </c>
      <c r="F38" s="377" t="e">
        <f>SUM(F27:F37)</f>
        <v>#N/A</v>
      </c>
      <c r="G38" s="376" t="e">
        <f>H38*Simulation!$P$8</f>
        <v>#N/A</v>
      </c>
      <c r="H38" s="377" t="e">
        <f>SUM(H27:H37)</f>
        <v>#N/A</v>
      </c>
      <c r="I38" s="376" t="e">
        <f>J38*Simulation!$P$8</f>
        <v>#N/A</v>
      </c>
      <c r="J38" s="377" t="e">
        <f>SUM(J27:J37)</f>
        <v>#N/A</v>
      </c>
      <c r="K38" s="376" t="e">
        <f>L38*Simulation!$P$8</f>
        <v>#N/A</v>
      </c>
      <c r="L38" s="377" t="e">
        <f>SUM(L27:L37)</f>
        <v>#N/A</v>
      </c>
      <c r="M38" s="376" t="e">
        <f>N38*Simulation!$P$8</f>
        <v>#N/A</v>
      </c>
      <c r="N38" s="377" t="e">
        <f>SUM(N27:N37)</f>
        <v>#N/A</v>
      </c>
      <c r="O38" s="376" t="e">
        <f>P38*Simulation!$P$8</f>
        <v>#N/A</v>
      </c>
      <c r="P38" s="377" t="e">
        <f>SUM(P27:P37)</f>
        <v>#N/A</v>
      </c>
      <c r="Q38" s="376" t="e">
        <f>R38*Simulation!$P$8</f>
        <v>#N/A</v>
      </c>
      <c r="R38" s="377" t="e">
        <f>SUM(R27:R37)</f>
        <v>#N/A</v>
      </c>
      <c r="S38" s="376" t="e">
        <f>T38*Simulation!$P$8</f>
        <v>#N/A</v>
      </c>
      <c r="T38" s="377" t="e">
        <f>SUM(T27:T37)</f>
        <v>#N/A</v>
      </c>
      <c r="U38" s="376" t="e">
        <f>V38*Simulation!$P$8</f>
        <v>#N/A</v>
      </c>
      <c r="V38" s="377" t="e">
        <f>SUM(V27:V37)</f>
        <v>#N/A</v>
      </c>
      <c r="W38" s="376" t="e">
        <f>X38*Simulation!$P$8</f>
        <v>#N/A</v>
      </c>
      <c r="X38" s="377" t="e">
        <f>SUM(X27:X37)</f>
        <v>#N/A</v>
      </c>
      <c r="Y38" s="376" t="e">
        <f>Z38*Simulation!$P$8</f>
        <v>#N/A</v>
      </c>
      <c r="Z38" s="377" t="e">
        <f>SUM(Z27:Z37)</f>
        <v>#N/A</v>
      </c>
      <c r="AA38" s="376" t="e">
        <f>AB38*Simulation!$P$8</f>
        <v>#N/A</v>
      </c>
      <c r="AB38" s="377" t="e">
        <f>SUM(AB27:AB37)</f>
        <v>#N/A</v>
      </c>
      <c r="AC38" s="376" t="e">
        <f>AD38*Simulation!$P$8</f>
        <v>#N/A</v>
      </c>
      <c r="AD38" s="377" t="e">
        <f>SUM(AD27:AD37)</f>
        <v>#N/A</v>
      </c>
      <c r="AE38" s="376" t="e">
        <f>AF38*Simulation!$P$8</f>
        <v>#N/A</v>
      </c>
      <c r="AF38" s="377" t="e">
        <f>SUM(AF27:AF37)</f>
        <v>#N/A</v>
      </c>
      <c r="AG38" s="376" t="e">
        <f>AH38*Simulation!$P$8</f>
        <v>#N/A</v>
      </c>
      <c r="AH38" s="377" t="e">
        <f>SUM(AH27:AH37)</f>
        <v>#N/A</v>
      </c>
      <c r="AI38" s="376" t="e">
        <f>AJ38*Simulation!$P$8</f>
        <v>#N/A</v>
      </c>
      <c r="AJ38" s="377" t="e">
        <f>SUM(AJ27:AJ37)</f>
        <v>#N/A</v>
      </c>
      <c r="AK38" s="376" t="e">
        <f>AL38*Simulation!$P$8</f>
        <v>#N/A</v>
      </c>
      <c r="AL38" s="377" t="e">
        <f>SUM(AL27:AL37)</f>
        <v>#N/A</v>
      </c>
      <c r="AM38" s="376" t="e">
        <f>AN38*Simulation!$P$8</f>
        <v>#N/A</v>
      </c>
      <c r="AN38" s="377" t="e">
        <f>SUM(AN27:AN37)</f>
        <v>#N/A</v>
      </c>
      <c r="AO38" s="224"/>
      <c r="AP38" s="224"/>
    </row>
    <row r="39" spans="1:42" ht="15" customHeight="1" x14ac:dyDescent="0.2">
      <c r="A39" s="1554" t="s">
        <v>452</v>
      </c>
      <c r="B39" s="361" t="s">
        <v>1082</v>
      </c>
      <c r="C39" s="378" t="s">
        <v>378</v>
      </c>
      <c r="D39" s="363" t="str">
        <f>IF(C39="","",VLOOKUP($C39,CHANTIER!$A$2:$C$83,3,0))</f>
        <v>forfait</v>
      </c>
      <c r="E39" s="364">
        <v>1</v>
      </c>
      <c r="F39" s="372">
        <f>IF($C39="","",E39*VLOOKUP($C39,CHANTIER!$A$2:$D$83,4,0))</f>
        <v>0.25</v>
      </c>
      <c r="G39" s="364">
        <v>2</v>
      </c>
      <c r="H39" s="372">
        <f>IF($C39="","",G39*VLOOKUP($C39,CHANTIER!$A$2:$D$83,4,0))</f>
        <v>0.5</v>
      </c>
      <c r="I39" s="364">
        <v>3</v>
      </c>
      <c r="J39" s="372">
        <f>IF($C39="","",I39*VLOOKUP($C39,CHANTIER!$A$2:$D$83,4,0))</f>
        <v>0.75</v>
      </c>
      <c r="K39" s="364">
        <v>4</v>
      </c>
      <c r="L39" s="372">
        <f>IF($C39="","",K39*VLOOKUP($C39,CHANTIER!$A$2:$D$83,4,0))</f>
        <v>1</v>
      </c>
      <c r="M39" s="364">
        <v>5</v>
      </c>
      <c r="N39" s="372">
        <f>IF($C39="","",M39*VLOOKUP($C39,CHANTIER!$A$2:$D$83,4,0))</f>
        <v>1.25</v>
      </c>
      <c r="O39" s="364">
        <v>6</v>
      </c>
      <c r="P39" s="372">
        <f>IF($C39="","",O39*VLOOKUP($C39,CHANTIER!$A$2:$D$83,4,0))</f>
        <v>1.5</v>
      </c>
      <c r="Q39" s="364">
        <v>7</v>
      </c>
      <c r="R39" s="372">
        <f>IF($C39="","",Q39*VLOOKUP($C39,CHANTIER!$A$2:$D$83,4,0))</f>
        <v>1.75</v>
      </c>
      <c r="S39" s="364">
        <v>8</v>
      </c>
      <c r="T39" s="372">
        <f>IF($C39="","",S39*VLOOKUP($C39,CHANTIER!$A$2:$D$83,4,0))</f>
        <v>2</v>
      </c>
      <c r="U39" s="364">
        <v>9</v>
      </c>
      <c r="V39" s="372">
        <f>IF($C39="","",U39*VLOOKUP($C39,CHANTIER!$A$2:$D$83,4,0))</f>
        <v>2.25</v>
      </c>
      <c r="W39" s="364">
        <v>10</v>
      </c>
      <c r="X39" s="372">
        <f>IF($C39="","",W39*VLOOKUP($C39,CHANTIER!$A$2:$D$83,4,0))</f>
        <v>2.5</v>
      </c>
      <c r="Y39" s="364">
        <v>11</v>
      </c>
      <c r="Z39" s="372">
        <f>IF($C39="","",Y39*VLOOKUP($C39,CHANTIER!$A$2:$D$83,4,0))</f>
        <v>2.75</v>
      </c>
      <c r="AA39" s="364">
        <v>12</v>
      </c>
      <c r="AB39" s="372">
        <f>IF($C39="","",AA39*VLOOKUP($C39,CHANTIER!$A$2:$D$83,4,0))</f>
        <v>3</v>
      </c>
      <c r="AC39" s="364">
        <v>13</v>
      </c>
      <c r="AD39" s="372">
        <f>IF($C39="","",AC39*VLOOKUP($C39,CHANTIER!$A$2:$D$83,4,0))</f>
        <v>3.25</v>
      </c>
      <c r="AE39" s="364">
        <v>14</v>
      </c>
      <c r="AF39" s="372">
        <f>IF($C39="","",AE39*VLOOKUP($C39,CHANTIER!$A$2:$D$83,4,0))</f>
        <v>3.5</v>
      </c>
      <c r="AG39" s="364">
        <v>15</v>
      </c>
      <c r="AH39" s="372">
        <f>IF($C39="","",AG39*VLOOKUP($C39,CHANTIER!$A$2:$D$83,4,0))</f>
        <v>3.75</v>
      </c>
      <c r="AI39" s="364">
        <v>16</v>
      </c>
      <c r="AJ39" s="372">
        <f>IF($C39="","",AI39*VLOOKUP($C39,CHANTIER!$A$2:$D$83,4,0))</f>
        <v>4</v>
      </c>
      <c r="AK39" s="364">
        <v>17</v>
      </c>
      <c r="AL39" s="372">
        <f>IF($C39="","",AK39*VLOOKUP($C39,CHANTIER!$A$2:$D$83,4,0))</f>
        <v>4.25</v>
      </c>
      <c r="AM39" s="364">
        <v>18</v>
      </c>
      <c r="AN39" s="372">
        <f>IF($C39="","",AM39*VLOOKUP($C39,CHANTIER!$A$2:$D$83,4,0))</f>
        <v>4.5</v>
      </c>
      <c r="AO39" s="224"/>
      <c r="AP39" s="224"/>
    </row>
    <row r="40" spans="1:42" ht="15" customHeight="1" x14ac:dyDescent="0.2">
      <c r="A40" s="1554"/>
      <c r="B40" s="361"/>
      <c r="C40" s="378"/>
      <c r="D40" s="363" t="str">
        <f>IF(C40="","",VLOOKUP($C40,CHANTIER!$A$2:$C$83,3,0))</f>
        <v/>
      </c>
      <c r="E40" s="364">
        <v>2</v>
      </c>
      <c r="F40" s="372" t="str">
        <f>IF($C40="","",E40*VLOOKUP($C40,CHANTIER!$A$2:$D$83,4,0))</f>
        <v/>
      </c>
      <c r="G40" s="364">
        <v>3</v>
      </c>
      <c r="H40" s="372" t="str">
        <f>IF($C40="","",G40*VLOOKUP($C40,CHANTIER!$A$2:$D$83,4,0))</f>
        <v/>
      </c>
      <c r="I40" s="364">
        <v>4</v>
      </c>
      <c r="J40" s="372" t="str">
        <f>IF($C40="","",I40*VLOOKUP($C40,CHANTIER!$A$2:$D$83,4,0))</f>
        <v/>
      </c>
      <c r="K40" s="364">
        <v>5</v>
      </c>
      <c r="L40" s="372" t="str">
        <f>IF($C40="","",K40*VLOOKUP($C40,CHANTIER!$A$2:$D$83,4,0))</f>
        <v/>
      </c>
      <c r="M40" s="364">
        <v>6</v>
      </c>
      <c r="N40" s="372" t="str">
        <f>IF($C40="","",M40*VLOOKUP($C40,CHANTIER!$A$2:$D$83,4,0))</f>
        <v/>
      </c>
      <c r="O40" s="364">
        <v>7</v>
      </c>
      <c r="P40" s="372" t="str">
        <f>IF($C40="","",O40*VLOOKUP($C40,CHANTIER!$A$2:$D$83,4,0))</f>
        <v/>
      </c>
      <c r="Q40" s="364">
        <v>8</v>
      </c>
      <c r="R40" s="372" t="str">
        <f>IF($C40="","",Q40*VLOOKUP($C40,CHANTIER!$A$2:$D$83,4,0))</f>
        <v/>
      </c>
      <c r="S40" s="364">
        <v>9</v>
      </c>
      <c r="T40" s="372" t="str">
        <f>IF($C40="","",S40*VLOOKUP($C40,CHANTIER!$A$2:$D$83,4,0))</f>
        <v/>
      </c>
      <c r="U40" s="364">
        <v>10</v>
      </c>
      <c r="V40" s="372" t="str">
        <f>IF($C40="","",U40*VLOOKUP($C40,CHANTIER!$A$2:$D$83,4,0))</f>
        <v/>
      </c>
      <c r="W40" s="364">
        <v>11</v>
      </c>
      <c r="X40" s="372" t="str">
        <f>IF($C40="","",W40*VLOOKUP($C40,CHANTIER!$A$2:$D$83,4,0))</f>
        <v/>
      </c>
      <c r="Y40" s="364">
        <v>12</v>
      </c>
      <c r="Z40" s="372" t="str">
        <f>IF($C40="","",Y40*VLOOKUP($C40,CHANTIER!$A$2:$D$83,4,0))</f>
        <v/>
      </c>
      <c r="AA40" s="364">
        <v>13</v>
      </c>
      <c r="AB40" s="372" t="str">
        <f>IF($C40="","",AA40*VLOOKUP($C40,CHANTIER!$A$2:$D$83,4,0))</f>
        <v/>
      </c>
      <c r="AC40" s="364">
        <v>14</v>
      </c>
      <c r="AD40" s="372" t="str">
        <f>IF($C40="","",AC40*VLOOKUP($C40,CHANTIER!$A$2:$D$83,4,0))</f>
        <v/>
      </c>
      <c r="AE40" s="364">
        <v>15</v>
      </c>
      <c r="AF40" s="372" t="str">
        <f>IF($C40="","",AE40*VLOOKUP($C40,CHANTIER!$A$2:$D$83,4,0))</f>
        <v/>
      </c>
      <c r="AG40" s="364">
        <v>16</v>
      </c>
      <c r="AH40" s="372" t="str">
        <f>IF($C40="","",AG40*VLOOKUP($C40,CHANTIER!$A$2:$D$83,4,0))</f>
        <v/>
      </c>
      <c r="AI40" s="364">
        <v>17</v>
      </c>
      <c r="AJ40" s="372" t="str">
        <f>IF($C40="","",AI40*VLOOKUP($C40,CHANTIER!$A$2:$D$83,4,0))</f>
        <v/>
      </c>
      <c r="AK40" s="364">
        <v>18</v>
      </c>
      <c r="AL40" s="372" t="str">
        <f>IF($C40="","",AK40*VLOOKUP($C40,CHANTIER!$A$2:$D$83,4,0))</f>
        <v/>
      </c>
      <c r="AM40" s="364">
        <v>19</v>
      </c>
      <c r="AN40" s="372" t="str">
        <f>IF($C40="","",AM40*VLOOKUP($C40,CHANTIER!$A$2:$D$83,4,0))</f>
        <v/>
      </c>
      <c r="AO40" s="224"/>
      <c r="AP40" s="224"/>
    </row>
    <row r="41" spans="1:42" ht="15" customHeight="1" x14ac:dyDescent="0.2">
      <c r="A41" s="1555"/>
      <c r="B41" s="361"/>
      <c r="C41" s="378"/>
      <c r="D41" s="363" t="str">
        <f>IF(C41="","",VLOOKUP($C41,CHANTIER!$A$2:$C$83,3,0))</f>
        <v/>
      </c>
      <c r="E41" s="364">
        <v>3</v>
      </c>
      <c r="F41" s="372" t="str">
        <f>IF($C41="","",E41*VLOOKUP($C41,CHANTIER!$A$2:$D$83,4,0))</f>
        <v/>
      </c>
      <c r="G41" s="364">
        <v>4</v>
      </c>
      <c r="H41" s="372" t="str">
        <f>IF($C41="","",G41*VLOOKUP($C41,CHANTIER!$A$2:$D$83,4,0))</f>
        <v/>
      </c>
      <c r="I41" s="364">
        <v>5</v>
      </c>
      <c r="J41" s="372" t="str">
        <f>IF($C41="","",I41*VLOOKUP($C41,CHANTIER!$A$2:$D$83,4,0))</f>
        <v/>
      </c>
      <c r="K41" s="364">
        <v>6</v>
      </c>
      <c r="L41" s="372" t="str">
        <f>IF($C41="","",K41*VLOOKUP($C41,CHANTIER!$A$2:$D$83,4,0))</f>
        <v/>
      </c>
      <c r="M41" s="364">
        <v>7</v>
      </c>
      <c r="N41" s="372" t="str">
        <f>IF($C41="","",M41*VLOOKUP($C41,CHANTIER!$A$2:$D$83,4,0))</f>
        <v/>
      </c>
      <c r="O41" s="364">
        <v>8</v>
      </c>
      <c r="P41" s="372" t="str">
        <f>IF($C41="","",O41*VLOOKUP($C41,CHANTIER!$A$2:$D$83,4,0))</f>
        <v/>
      </c>
      <c r="Q41" s="364">
        <v>9</v>
      </c>
      <c r="R41" s="372" t="str">
        <f>IF($C41="","",Q41*VLOOKUP($C41,CHANTIER!$A$2:$D$83,4,0))</f>
        <v/>
      </c>
      <c r="S41" s="364">
        <v>10</v>
      </c>
      <c r="T41" s="372" t="str">
        <f>IF($C41="","",S41*VLOOKUP($C41,CHANTIER!$A$2:$D$83,4,0))</f>
        <v/>
      </c>
      <c r="U41" s="364">
        <v>11</v>
      </c>
      <c r="V41" s="372" t="str">
        <f>IF($C41="","",U41*VLOOKUP($C41,CHANTIER!$A$2:$D$83,4,0))</f>
        <v/>
      </c>
      <c r="W41" s="364">
        <v>12</v>
      </c>
      <c r="X41" s="372" t="str">
        <f>IF($C41="","",W41*VLOOKUP($C41,CHANTIER!$A$2:$D$83,4,0))</f>
        <v/>
      </c>
      <c r="Y41" s="364">
        <v>13</v>
      </c>
      <c r="Z41" s="372" t="str">
        <f>IF($C41="","",Y41*VLOOKUP($C41,CHANTIER!$A$2:$D$83,4,0))</f>
        <v/>
      </c>
      <c r="AA41" s="364">
        <v>14</v>
      </c>
      <c r="AB41" s="372" t="str">
        <f>IF($C41="","",AA41*VLOOKUP($C41,CHANTIER!$A$2:$D$83,4,0))</f>
        <v/>
      </c>
      <c r="AC41" s="364">
        <v>15</v>
      </c>
      <c r="AD41" s="372" t="str">
        <f>IF($C41="","",AC41*VLOOKUP($C41,CHANTIER!$A$2:$D$83,4,0))</f>
        <v/>
      </c>
      <c r="AE41" s="364">
        <v>16</v>
      </c>
      <c r="AF41" s="372" t="str">
        <f>IF($C41="","",AE41*VLOOKUP($C41,CHANTIER!$A$2:$D$83,4,0))</f>
        <v/>
      </c>
      <c r="AG41" s="364">
        <v>17</v>
      </c>
      <c r="AH41" s="372" t="str">
        <f>IF($C41="","",AG41*VLOOKUP($C41,CHANTIER!$A$2:$D$83,4,0))</f>
        <v/>
      </c>
      <c r="AI41" s="364">
        <v>18</v>
      </c>
      <c r="AJ41" s="372" t="str">
        <f>IF($C41="","",AI41*VLOOKUP($C41,CHANTIER!$A$2:$D$83,4,0))</f>
        <v/>
      </c>
      <c r="AK41" s="364">
        <v>19</v>
      </c>
      <c r="AL41" s="372" t="str">
        <f>IF($C41="","",AK41*VLOOKUP($C41,CHANTIER!$A$2:$D$83,4,0))</f>
        <v/>
      </c>
      <c r="AM41" s="364">
        <v>20</v>
      </c>
      <c r="AN41" s="372" t="str">
        <f>IF($C41="","",AM41*VLOOKUP($C41,CHANTIER!$A$2:$D$83,4,0))</f>
        <v/>
      </c>
      <c r="AO41" s="224"/>
      <c r="AP41" s="224"/>
    </row>
    <row r="42" spans="1:42" ht="15" customHeight="1" x14ac:dyDescent="0.2">
      <c r="A42" s="1554"/>
      <c r="B42" s="361"/>
      <c r="C42" s="378"/>
      <c r="D42" s="363" t="str">
        <f>IF(C42="","",VLOOKUP($C42,CHANTIER!$A$2:$C$83,3,0))</f>
        <v/>
      </c>
      <c r="E42" s="364">
        <v>4</v>
      </c>
      <c r="F42" s="372" t="str">
        <f>IF($C42="","",E42*VLOOKUP($C42,CHANTIER!$A$2:$D$83,4,0))</f>
        <v/>
      </c>
      <c r="G42" s="364">
        <v>5</v>
      </c>
      <c r="H42" s="372" t="str">
        <f>IF($C42="","",G42*VLOOKUP($C42,CHANTIER!$A$2:$D$83,4,0))</f>
        <v/>
      </c>
      <c r="I42" s="364">
        <v>6</v>
      </c>
      <c r="J42" s="372" t="str">
        <f>IF($C42="","",I42*VLOOKUP($C42,CHANTIER!$A$2:$D$83,4,0))</f>
        <v/>
      </c>
      <c r="K42" s="364">
        <v>7</v>
      </c>
      <c r="L42" s="372" t="str">
        <f>IF($C42="","",K42*VLOOKUP($C42,CHANTIER!$A$2:$D$83,4,0))</f>
        <v/>
      </c>
      <c r="M42" s="364">
        <v>8</v>
      </c>
      <c r="N42" s="372" t="str">
        <f>IF($C42="","",M42*VLOOKUP($C42,CHANTIER!$A$2:$D$83,4,0))</f>
        <v/>
      </c>
      <c r="O42" s="364">
        <v>9</v>
      </c>
      <c r="P42" s="372" t="str">
        <f>IF($C42="","",O42*VLOOKUP($C42,CHANTIER!$A$2:$D$83,4,0))</f>
        <v/>
      </c>
      <c r="Q42" s="364">
        <v>10</v>
      </c>
      <c r="R42" s="372" t="str">
        <f>IF($C42="","",Q42*VLOOKUP($C42,CHANTIER!$A$2:$D$83,4,0))</f>
        <v/>
      </c>
      <c r="S42" s="364">
        <v>11</v>
      </c>
      <c r="T42" s="372" t="str">
        <f>IF($C42="","",S42*VLOOKUP($C42,CHANTIER!$A$2:$D$83,4,0))</f>
        <v/>
      </c>
      <c r="U42" s="364">
        <v>12</v>
      </c>
      <c r="V42" s="372" t="str">
        <f>IF($C42="","",U42*VLOOKUP($C42,CHANTIER!$A$2:$D$83,4,0))</f>
        <v/>
      </c>
      <c r="W42" s="364">
        <v>13</v>
      </c>
      <c r="X42" s="372" t="str">
        <f>IF($C42="","",W42*VLOOKUP($C42,CHANTIER!$A$2:$D$83,4,0))</f>
        <v/>
      </c>
      <c r="Y42" s="364">
        <v>14</v>
      </c>
      <c r="Z42" s="372" t="str">
        <f>IF($C42="","",Y42*VLOOKUP($C42,CHANTIER!$A$2:$D$83,4,0))</f>
        <v/>
      </c>
      <c r="AA42" s="364">
        <v>15</v>
      </c>
      <c r="AB42" s="372" t="str">
        <f>IF($C42="","",AA42*VLOOKUP($C42,CHANTIER!$A$2:$D$83,4,0))</f>
        <v/>
      </c>
      <c r="AC42" s="364">
        <v>16</v>
      </c>
      <c r="AD42" s="372" t="str">
        <f>IF($C42="","",AC42*VLOOKUP($C42,CHANTIER!$A$2:$D$83,4,0))</f>
        <v/>
      </c>
      <c r="AE42" s="364">
        <v>17</v>
      </c>
      <c r="AF42" s="372" t="str">
        <f>IF($C42="","",AE42*VLOOKUP($C42,CHANTIER!$A$2:$D$83,4,0))</f>
        <v/>
      </c>
      <c r="AG42" s="364">
        <v>18</v>
      </c>
      <c r="AH42" s="372" t="str">
        <f>IF($C42="","",AG42*VLOOKUP($C42,CHANTIER!$A$2:$D$83,4,0))</f>
        <v/>
      </c>
      <c r="AI42" s="364">
        <v>19</v>
      </c>
      <c r="AJ42" s="372" t="str">
        <f>IF($C42="","",AI42*VLOOKUP($C42,CHANTIER!$A$2:$D$83,4,0))</f>
        <v/>
      </c>
      <c r="AK42" s="364">
        <v>20</v>
      </c>
      <c r="AL42" s="372" t="str">
        <f>IF($C42="","",AK42*VLOOKUP($C42,CHANTIER!$A$2:$D$83,4,0))</f>
        <v/>
      </c>
      <c r="AM42" s="364">
        <v>21</v>
      </c>
      <c r="AN42" s="372" t="str">
        <f>IF($C42="","",AM42*VLOOKUP($C42,CHANTIER!$A$2:$D$83,4,0))</f>
        <v/>
      </c>
      <c r="AO42" s="224"/>
      <c r="AP42" s="224"/>
    </row>
    <row r="43" spans="1:42" ht="15" customHeight="1" x14ac:dyDescent="0.2">
      <c r="A43" s="1554"/>
      <c r="B43" s="361"/>
      <c r="C43" s="378"/>
      <c r="D43" s="363" t="str">
        <f>IF(C43="","",VLOOKUP($C43,CHANTIER!$A$2:$C$83,3,0))</f>
        <v/>
      </c>
      <c r="E43" s="364">
        <v>5</v>
      </c>
      <c r="F43" s="372" t="str">
        <f>IF($C43="","",E43*VLOOKUP($C43,CHANTIER!$A$2:$D$83,4,0))</f>
        <v/>
      </c>
      <c r="G43" s="364">
        <v>6</v>
      </c>
      <c r="H43" s="372" t="str">
        <f>IF($C43="","",G43*VLOOKUP($C43,CHANTIER!$A$2:$D$83,4,0))</f>
        <v/>
      </c>
      <c r="I43" s="364">
        <v>7</v>
      </c>
      <c r="J43" s="372" t="str">
        <f>IF($C43="","",I43*VLOOKUP($C43,CHANTIER!$A$2:$D$83,4,0))</f>
        <v/>
      </c>
      <c r="K43" s="364">
        <v>8</v>
      </c>
      <c r="L43" s="372" t="str">
        <f>IF($C43="","",K43*VLOOKUP($C43,CHANTIER!$A$2:$D$83,4,0))</f>
        <v/>
      </c>
      <c r="M43" s="364">
        <v>9</v>
      </c>
      <c r="N43" s="372" t="str">
        <f>IF($C43="","",M43*VLOOKUP($C43,CHANTIER!$A$2:$D$83,4,0))</f>
        <v/>
      </c>
      <c r="O43" s="364">
        <v>10</v>
      </c>
      <c r="P43" s="372" t="str">
        <f>IF($C43="","",O43*VLOOKUP($C43,CHANTIER!$A$2:$D$83,4,0))</f>
        <v/>
      </c>
      <c r="Q43" s="364">
        <v>11</v>
      </c>
      <c r="R43" s="372" t="str">
        <f>IF($C43="","",Q43*VLOOKUP($C43,CHANTIER!$A$2:$D$83,4,0))</f>
        <v/>
      </c>
      <c r="S43" s="364">
        <v>12</v>
      </c>
      <c r="T43" s="372" t="str">
        <f>IF($C43="","",S43*VLOOKUP($C43,CHANTIER!$A$2:$D$83,4,0))</f>
        <v/>
      </c>
      <c r="U43" s="364">
        <v>13</v>
      </c>
      <c r="V43" s="372" t="str">
        <f>IF($C43="","",U43*VLOOKUP($C43,CHANTIER!$A$2:$D$83,4,0))</f>
        <v/>
      </c>
      <c r="W43" s="364">
        <v>14</v>
      </c>
      <c r="X43" s="372" t="str">
        <f>IF($C43="","",W43*VLOOKUP($C43,CHANTIER!$A$2:$D$83,4,0))</f>
        <v/>
      </c>
      <c r="Y43" s="364">
        <v>15</v>
      </c>
      <c r="Z43" s="372" t="str">
        <f>IF($C43="","",Y43*VLOOKUP($C43,CHANTIER!$A$2:$D$83,4,0))</f>
        <v/>
      </c>
      <c r="AA43" s="364">
        <v>16</v>
      </c>
      <c r="AB43" s="372" t="str">
        <f>IF($C43="","",AA43*VLOOKUP($C43,CHANTIER!$A$2:$D$83,4,0))</f>
        <v/>
      </c>
      <c r="AC43" s="364">
        <v>17</v>
      </c>
      <c r="AD43" s="372" t="str">
        <f>IF($C43="","",AC43*VLOOKUP($C43,CHANTIER!$A$2:$D$83,4,0))</f>
        <v/>
      </c>
      <c r="AE43" s="364">
        <v>18</v>
      </c>
      <c r="AF43" s="372" t="str">
        <f>IF($C43="","",AE43*VLOOKUP($C43,CHANTIER!$A$2:$D$83,4,0))</f>
        <v/>
      </c>
      <c r="AG43" s="364">
        <v>19</v>
      </c>
      <c r="AH43" s="372" t="str">
        <f>IF($C43="","",AG43*VLOOKUP($C43,CHANTIER!$A$2:$D$83,4,0))</f>
        <v/>
      </c>
      <c r="AI43" s="364">
        <v>20</v>
      </c>
      <c r="AJ43" s="372" t="str">
        <f>IF($C43="","",AI43*VLOOKUP($C43,CHANTIER!$A$2:$D$83,4,0))</f>
        <v/>
      </c>
      <c r="AK43" s="364">
        <v>21</v>
      </c>
      <c r="AL43" s="372" t="str">
        <f>IF($C43="","",AK43*VLOOKUP($C43,CHANTIER!$A$2:$D$83,4,0))</f>
        <v/>
      </c>
      <c r="AM43" s="364">
        <v>22</v>
      </c>
      <c r="AN43" s="372" t="str">
        <f>IF($C43="","",AM43*VLOOKUP($C43,CHANTIER!$A$2:$D$83,4,0))</f>
        <v/>
      </c>
      <c r="AO43" s="224"/>
      <c r="AP43" s="224"/>
    </row>
    <row r="44" spans="1:42" ht="15" customHeight="1" x14ac:dyDescent="0.2">
      <c r="A44" s="1554"/>
      <c r="B44" s="361"/>
      <c r="C44" s="378"/>
      <c r="D44" s="363" t="str">
        <f>IF(C44="","",VLOOKUP($C44,CHANTIER!$A$2:$C$83,3,0))</f>
        <v/>
      </c>
      <c r="E44" s="364">
        <v>6</v>
      </c>
      <c r="F44" s="372" t="str">
        <f>IF($C44="","",E44*VLOOKUP($C44,CHANTIER!$A$2:$D$83,4,0))</f>
        <v/>
      </c>
      <c r="G44" s="364">
        <v>7</v>
      </c>
      <c r="H44" s="372" t="str">
        <f>IF($C44="","",G44*VLOOKUP($C44,CHANTIER!$A$2:$D$83,4,0))</f>
        <v/>
      </c>
      <c r="I44" s="364">
        <v>8</v>
      </c>
      <c r="J44" s="372" t="str">
        <f>IF($C44="","",I44*VLOOKUP($C44,CHANTIER!$A$2:$D$83,4,0))</f>
        <v/>
      </c>
      <c r="K44" s="364">
        <v>9</v>
      </c>
      <c r="L44" s="372" t="str">
        <f>IF($C44="","",K44*VLOOKUP($C44,CHANTIER!$A$2:$D$83,4,0))</f>
        <v/>
      </c>
      <c r="M44" s="364">
        <v>10</v>
      </c>
      <c r="N44" s="372" t="str">
        <f>IF($C44="","",M44*VLOOKUP($C44,CHANTIER!$A$2:$D$83,4,0))</f>
        <v/>
      </c>
      <c r="O44" s="364">
        <v>11</v>
      </c>
      <c r="P44" s="372" t="str">
        <f>IF($C44="","",O44*VLOOKUP($C44,CHANTIER!$A$2:$D$83,4,0))</f>
        <v/>
      </c>
      <c r="Q44" s="364">
        <v>12</v>
      </c>
      <c r="R44" s="372" t="str">
        <f>IF($C44="","",Q44*VLOOKUP($C44,CHANTIER!$A$2:$D$83,4,0))</f>
        <v/>
      </c>
      <c r="S44" s="364">
        <v>13</v>
      </c>
      <c r="T44" s="372" t="str">
        <f>IF($C44="","",S44*VLOOKUP($C44,CHANTIER!$A$2:$D$83,4,0))</f>
        <v/>
      </c>
      <c r="U44" s="364">
        <v>14</v>
      </c>
      <c r="V44" s="372" t="str">
        <f>IF($C44="","",U44*VLOOKUP($C44,CHANTIER!$A$2:$D$83,4,0))</f>
        <v/>
      </c>
      <c r="W44" s="364">
        <v>15</v>
      </c>
      <c r="X44" s="372" t="str">
        <f>IF($C44="","",W44*VLOOKUP($C44,CHANTIER!$A$2:$D$83,4,0))</f>
        <v/>
      </c>
      <c r="Y44" s="364">
        <v>16</v>
      </c>
      <c r="Z44" s="372" t="str">
        <f>IF($C44="","",Y44*VLOOKUP($C44,CHANTIER!$A$2:$D$83,4,0))</f>
        <v/>
      </c>
      <c r="AA44" s="364">
        <v>17</v>
      </c>
      <c r="AB44" s="372" t="str">
        <f>IF($C44="","",AA44*VLOOKUP($C44,CHANTIER!$A$2:$D$83,4,0))</f>
        <v/>
      </c>
      <c r="AC44" s="364">
        <v>18</v>
      </c>
      <c r="AD44" s="372" t="str">
        <f>IF($C44="","",AC44*VLOOKUP($C44,CHANTIER!$A$2:$D$83,4,0))</f>
        <v/>
      </c>
      <c r="AE44" s="364">
        <v>19</v>
      </c>
      <c r="AF44" s="372" t="str">
        <f>IF($C44="","",AE44*VLOOKUP($C44,CHANTIER!$A$2:$D$83,4,0))</f>
        <v/>
      </c>
      <c r="AG44" s="364">
        <v>20</v>
      </c>
      <c r="AH44" s="372" t="str">
        <f>IF($C44="","",AG44*VLOOKUP($C44,CHANTIER!$A$2:$D$83,4,0))</f>
        <v/>
      </c>
      <c r="AI44" s="364">
        <v>21</v>
      </c>
      <c r="AJ44" s="372" t="str">
        <f>IF($C44="","",AI44*VLOOKUP($C44,CHANTIER!$A$2:$D$83,4,0))</f>
        <v/>
      </c>
      <c r="AK44" s="364">
        <v>22</v>
      </c>
      <c r="AL44" s="372" t="str">
        <f>IF($C44="","",AK44*VLOOKUP($C44,CHANTIER!$A$2:$D$83,4,0))</f>
        <v/>
      </c>
      <c r="AM44" s="364">
        <v>23</v>
      </c>
      <c r="AN44" s="372" t="str">
        <f>IF($C44="","",AM44*VLOOKUP($C44,CHANTIER!$A$2:$D$83,4,0))</f>
        <v/>
      </c>
      <c r="AO44" s="224"/>
      <c r="AP44" s="224"/>
    </row>
    <row r="45" spans="1:42" ht="15" customHeight="1" x14ac:dyDescent="0.2">
      <c r="A45" s="1554"/>
      <c r="B45" s="361"/>
      <c r="C45" s="378"/>
      <c r="D45" s="363" t="str">
        <f>IF(C45="","",VLOOKUP($C45,CHANTIER!$A$2:$C$83,3,0))</f>
        <v/>
      </c>
      <c r="E45" s="364">
        <v>7</v>
      </c>
      <c r="F45" s="372" t="str">
        <f>IF($C45="","",E45*VLOOKUP($C45,CHANTIER!$A$2:$D$83,4,0))</f>
        <v/>
      </c>
      <c r="G45" s="364">
        <v>8</v>
      </c>
      <c r="H45" s="372" t="str">
        <f>IF($C45="","",G45*VLOOKUP($C45,CHANTIER!$A$2:$D$83,4,0))</f>
        <v/>
      </c>
      <c r="I45" s="364">
        <v>9</v>
      </c>
      <c r="J45" s="372" t="str">
        <f>IF($C45="","",I45*VLOOKUP($C45,CHANTIER!$A$2:$D$83,4,0))</f>
        <v/>
      </c>
      <c r="K45" s="364">
        <v>10</v>
      </c>
      <c r="L45" s="372" t="str">
        <f>IF($C45="","",K45*VLOOKUP($C45,CHANTIER!$A$2:$D$83,4,0))</f>
        <v/>
      </c>
      <c r="M45" s="364">
        <v>11</v>
      </c>
      <c r="N45" s="372" t="str">
        <f>IF($C45="","",M45*VLOOKUP($C45,CHANTIER!$A$2:$D$83,4,0))</f>
        <v/>
      </c>
      <c r="O45" s="364">
        <v>12</v>
      </c>
      <c r="P45" s="372" t="str">
        <f>IF($C45="","",O45*VLOOKUP($C45,CHANTIER!$A$2:$D$83,4,0))</f>
        <v/>
      </c>
      <c r="Q45" s="364">
        <v>13</v>
      </c>
      <c r="R45" s="372" t="str">
        <f>IF($C45="","",Q45*VLOOKUP($C45,CHANTIER!$A$2:$D$83,4,0))</f>
        <v/>
      </c>
      <c r="S45" s="364">
        <v>14</v>
      </c>
      <c r="T45" s="372" t="str">
        <f>IF($C45="","",S45*VLOOKUP($C45,CHANTIER!$A$2:$D$83,4,0))</f>
        <v/>
      </c>
      <c r="U45" s="364">
        <v>15</v>
      </c>
      <c r="V45" s="372" t="str">
        <f>IF($C45="","",U45*VLOOKUP($C45,CHANTIER!$A$2:$D$83,4,0))</f>
        <v/>
      </c>
      <c r="W45" s="364">
        <v>16</v>
      </c>
      <c r="X45" s="372" t="str">
        <f>IF($C45="","",W45*VLOOKUP($C45,CHANTIER!$A$2:$D$83,4,0))</f>
        <v/>
      </c>
      <c r="Y45" s="364">
        <v>17</v>
      </c>
      <c r="Z45" s="372" t="str">
        <f>IF($C45="","",Y45*VLOOKUP($C45,CHANTIER!$A$2:$D$83,4,0))</f>
        <v/>
      </c>
      <c r="AA45" s="364">
        <v>18</v>
      </c>
      <c r="AB45" s="372" t="str">
        <f>IF($C45="","",AA45*VLOOKUP($C45,CHANTIER!$A$2:$D$83,4,0))</f>
        <v/>
      </c>
      <c r="AC45" s="364">
        <v>19</v>
      </c>
      <c r="AD45" s="372" t="str">
        <f>IF($C45="","",AC45*VLOOKUP($C45,CHANTIER!$A$2:$D$83,4,0))</f>
        <v/>
      </c>
      <c r="AE45" s="364">
        <v>20</v>
      </c>
      <c r="AF45" s="372" t="str">
        <f>IF($C45="","",AE45*VLOOKUP($C45,CHANTIER!$A$2:$D$83,4,0))</f>
        <v/>
      </c>
      <c r="AG45" s="364">
        <v>21</v>
      </c>
      <c r="AH45" s="372" t="str">
        <f>IF($C45="","",AG45*VLOOKUP($C45,CHANTIER!$A$2:$D$83,4,0))</f>
        <v/>
      </c>
      <c r="AI45" s="364">
        <v>22</v>
      </c>
      <c r="AJ45" s="372" t="str">
        <f>IF($C45="","",AI45*VLOOKUP($C45,CHANTIER!$A$2:$D$83,4,0))</f>
        <v/>
      </c>
      <c r="AK45" s="364">
        <v>23</v>
      </c>
      <c r="AL45" s="372" t="str">
        <f>IF($C45="","",AK45*VLOOKUP($C45,CHANTIER!$A$2:$D$83,4,0))</f>
        <v/>
      </c>
      <c r="AM45" s="364">
        <v>24</v>
      </c>
      <c r="AN45" s="372" t="str">
        <f>IF($C45="","",AM45*VLOOKUP($C45,CHANTIER!$A$2:$D$83,4,0))</f>
        <v/>
      </c>
      <c r="AO45" s="224"/>
      <c r="AP45" s="224"/>
    </row>
    <row r="46" spans="1:42" ht="15" customHeight="1" x14ac:dyDescent="0.2">
      <c r="A46" s="1554"/>
      <c r="B46" s="361"/>
      <c r="C46" s="378"/>
      <c r="D46" s="363" t="str">
        <f>IF(C46="","",VLOOKUP($C46,CHANTIER!$A$2:$C$83,3,0))</f>
        <v/>
      </c>
      <c r="E46" s="364">
        <v>8</v>
      </c>
      <c r="F46" s="372" t="str">
        <f>IF($C46="","",E46*VLOOKUP($C46,CHANTIER!$A$2:$D$83,4,0))</f>
        <v/>
      </c>
      <c r="G46" s="364">
        <v>9</v>
      </c>
      <c r="H46" s="372" t="str">
        <f>IF($C46="","",G46*VLOOKUP($C46,CHANTIER!$A$2:$D$83,4,0))</f>
        <v/>
      </c>
      <c r="I46" s="364">
        <v>10</v>
      </c>
      <c r="J46" s="372" t="str">
        <f>IF($C46="","",I46*VLOOKUP($C46,CHANTIER!$A$2:$D$83,4,0))</f>
        <v/>
      </c>
      <c r="K46" s="364">
        <v>11</v>
      </c>
      <c r="L46" s="372" t="str">
        <f>IF($C46="","",K46*VLOOKUP($C46,CHANTIER!$A$2:$D$83,4,0))</f>
        <v/>
      </c>
      <c r="M46" s="364">
        <v>12</v>
      </c>
      <c r="N46" s="372" t="str">
        <f>IF($C46="","",M46*VLOOKUP($C46,CHANTIER!$A$2:$D$83,4,0))</f>
        <v/>
      </c>
      <c r="O46" s="364">
        <v>13</v>
      </c>
      <c r="P46" s="372" t="str">
        <f>IF($C46="","",O46*VLOOKUP($C46,CHANTIER!$A$2:$D$83,4,0))</f>
        <v/>
      </c>
      <c r="Q46" s="364">
        <v>14</v>
      </c>
      <c r="R46" s="372" t="str">
        <f>IF($C46="","",Q46*VLOOKUP($C46,CHANTIER!$A$2:$D$83,4,0))</f>
        <v/>
      </c>
      <c r="S46" s="364">
        <v>15</v>
      </c>
      <c r="T46" s="372" t="str">
        <f>IF($C46="","",S46*VLOOKUP($C46,CHANTIER!$A$2:$D$83,4,0))</f>
        <v/>
      </c>
      <c r="U46" s="364">
        <v>16</v>
      </c>
      <c r="V46" s="372" t="str">
        <f>IF($C46="","",U46*VLOOKUP($C46,CHANTIER!$A$2:$D$83,4,0))</f>
        <v/>
      </c>
      <c r="W46" s="364">
        <v>17</v>
      </c>
      <c r="X46" s="372" t="str">
        <f>IF($C46="","",W46*VLOOKUP($C46,CHANTIER!$A$2:$D$83,4,0))</f>
        <v/>
      </c>
      <c r="Y46" s="364">
        <v>18</v>
      </c>
      <c r="Z46" s="372" t="str">
        <f>IF($C46="","",Y46*VLOOKUP($C46,CHANTIER!$A$2:$D$83,4,0))</f>
        <v/>
      </c>
      <c r="AA46" s="364">
        <v>19</v>
      </c>
      <c r="AB46" s="372" t="str">
        <f>IF($C46="","",AA46*VLOOKUP($C46,CHANTIER!$A$2:$D$83,4,0))</f>
        <v/>
      </c>
      <c r="AC46" s="364">
        <v>20</v>
      </c>
      <c r="AD46" s="372" t="str">
        <f>IF($C46="","",AC46*VLOOKUP($C46,CHANTIER!$A$2:$D$83,4,0))</f>
        <v/>
      </c>
      <c r="AE46" s="364">
        <v>21</v>
      </c>
      <c r="AF46" s="372" t="str">
        <f>IF($C46="","",AE46*VLOOKUP($C46,CHANTIER!$A$2:$D$83,4,0))</f>
        <v/>
      </c>
      <c r="AG46" s="364">
        <v>22</v>
      </c>
      <c r="AH46" s="372" t="str">
        <f>IF($C46="","",AG46*VLOOKUP($C46,CHANTIER!$A$2:$D$83,4,0))</f>
        <v/>
      </c>
      <c r="AI46" s="364">
        <v>23</v>
      </c>
      <c r="AJ46" s="372" t="str">
        <f>IF($C46="","",AI46*VLOOKUP($C46,CHANTIER!$A$2:$D$83,4,0))</f>
        <v/>
      </c>
      <c r="AK46" s="364">
        <v>24</v>
      </c>
      <c r="AL46" s="372" t="str">
        <f>IF($C46="","",AK46*VLOOKUP($C46,CHANTIER!$A$2:$D$83,4,0))</f>
        <v/>
      </c>
      <c r="AM46" s="364">
        <v>25</v>
      </c>
      <c r="AN46" s="372" t="str">
        <f>IF($C46="","",AM46*VLOOKUP($C46,CHANTIER!$A$2:$D$83,4,0))</f>
        <v/>
      </c>
      <c r="AO46" s="225"/>
      <c r="AP46" s="226"/>
    </row>
    <row r="47" spans="1:42" ht="15" customHeight="1" x14ac:dyDescent="0.2">
      <c r="A47" s="1554"/>
      <c r="B47" s="361"/>
      <c r="C47" s="378"/>
      <c r="D47" s="363" t="str">
        <f>IF(C47="","",VLOOKUP($C47,CHANTIER!$A$2:$C$83,3,0))</f>
        <v/>
      </c>
      <c r="E47" s="364">
        <v>9</v>
      </c>
      <c r="F47" s="372" t="str">
        <f>IF($C47="","",E47*VLOOKUP($C47,CHANTIER!$A$2:$D$83,4,0))</f>
        <v/>
      </c>
      <c r="G47" s="364">
        <v>10</v>
      </c>
      <c r="H47" s="372" t="str">
        <f>IF($C47="","",G47*VLOOKUP($C47,CHANTIER!$A$2:$D$83,4,0))</f>
        <v/>
      </c>
      <c r="I47" s="364">
        <v>11</v>
      </c>
      <c r="J47" s="372" t="str">
        <f>IF($C47="","",I47*VLOOKUP($C47,CHANTIER!$A$2:$D$83,4,0))</f>
        <v/>
      </c>
      <c r="K47" s="364">
        <v>12</v>
      </c>
      <c r="L47" s="372" t="str">
        <f>IF($C47="","",K47*VLOOKUP($C47,CHANTIER!$A$2:$D$83,4,0))</f>
        <v/>
      </c>
      <c r="M47" s="364">
        <v>13</v>
      </c>
      <c r="N47" s="372" t="str">
        <f>IF($C47="","",M47*VLOOKUP($C47,CHANTIER!$A$2:$D$83,4,0))</f>
        <v/>
      </c>
      <c r="O47" s="364">
        <v>14</v>
      </c>
      <c r="P47" s="372" t="str">
        <f>IF($C47="","",O47*VLOOKUP($C47,CHANTIER!$A$2:$D$83,4,0))</f>
        <v/>
      </c>
      <c r="Q47" s="364">
        <v>15</v>
      </c>
      <c r="R47" s="372" t="str">
        <f>IF($C47="","",Q47*VLOOKUP($C47,CHANTIER!$A$2:$D$83,4,0))</f>
        <v/>
      </c>
      <c r="S47" s="364">
        <v>16</v>
      </c>
      <c r="T47" s="372" t="str">
        <f>IF($C47="","",S47*VLOOKUP($C47,CHANTIER!$A$2:$D$83,4,0))</f>
        <v/>
      </c>
      <c r="U47" s="364">
        <v>17</v>
      </c>
      <c r="V47" s="372" t="str">
        <f>IF($C47="","",U47*VLOOKUP($C47,CHANTIER!$A$2:$D$83,4,0))</f>
        <v/>
      </c>
      <c r="W47" s="364">
        <v>18</v>
      </c>
      <c r="X47" s="372" t="str">
        <f>IF($C47="","",W47*VLOOKUP($C47,CHANTIER!$A$2:$D$83,4,0))</f>
        <v/>
      </c>
      <c r="Y47" s="364">
        <v>19</v>
      </c>
      <c r="Z47" s="372" t="str">
        <f>IF($C47="","",Y47*VLOOKUP($C47,CHANTIER!$A$2:$D$83,4,0))</f>
        <v/>
      </c>
      <c r="AA47" s="364">
        <v>20</v>
      </c>
      <c r="AB47" s="372" t="str">
        <f>IF($C47="","",AA47*VLOOKUP($C47,CHANTIER!$A$2:$D$83,4,0))</f>
        <v/>
      </c>
      <c r="AC47" s="364">
        <v>21</v>
      </c>
      <c r="AD47" s="372" t="str">
        <f>IF($C47="","",AC47*VLOOKUP($C47,CHANTIER!$A$2:$D$83,4,0))</f>
        <v/>
      </c>
      <c r="AE47" s="364">
        <v>22</v>
      </c>
      <c r="AF47" s="372" t="str">
        <f>IF($C47="","",AE47*VLOOKUP($C47,CHANTIER!$A$2:$D$83,4,0))</f>
        <v/>
      </c>
      <c r="AG47" s="364">
        <v>23</v>
      </c>
      <c r="AH47" s="372" t="str">
        <f>IF($C47="","",AG47*VLOOKUP($C47,CHANTIER!$A$2:$D$83,4,0))</f>
        <v/>
      </c>
      <c r="AI47" s="364">
        <v>24</v>
      </c>
      <c r="AJ47" s="372" t="str">
        <f>IF($C47="","",AI47*VLOOKUP($C47,CHANTIER!$A$2:$D$83,4,0))</f>
        <v/>
      </c>
      <c r="AK47" s="364">
        <v>25</v>
      </c>
      <c r="AL47" s="372" t="str">
        <f>IF($C47="","",AK47*VLOOKUP($C47,CHANTIER!$A$2:$D$83,4,0))</f>
        <v/>
      </c>
      <c r="AM47" s="364">
        <v>26</v>
      </c>
      <c r="AN47" s="372" t="str">
        <f>IF($C47="","",AM47*VLOOKUP($C47,CHANTIER!$A$2:$D$83,4,0))</f>
        <v/>
      </c>
    </row>
    <row r="48" spans="1:42" ht="15" customHeight="1" x14ac:dyDescent="0.2">
      <c r="A48" s="1554"/>
      <c r="B48" s="361"/>
      <c r="C48" s="378"/>
      <c r="D48" s="363" t="str">
        <f>IF(C48="","",VLOOKUP($C48,CHANTIER!$A$2:$C$83,3,0))</f>
        <v/>
      </c>
      <c r="E48" s="364">
        <v>10</v>
      </c>
      <c r="F48" s="372" t="str">
        <f>IF($C48="","",E48*VLOOKUP($C48,CHANTIER!$A$2:$D$83,4,0))</f>
        <v/>
      </c>
      <c r="G48" s="364">
        <v>11</v>
      </c>
      <c r="H48" s="372" t="str">
        <f>IF($C48="","",G48*VLOOKUP($C48,CHANTIER!$A$2:$D$83,4,0))</f>
        <v/>
      </c>
      <c r="I48" s="364">
        <v>12</v>
      </c>
      <c r="J48" s="372" t="str">
        <f>IF($C48="","",I48*VLOOKUP($C48,CHANTIER!$A$2:$D$83,4,0))</f>
        <v/>
      </c>
      <c r="K48" s="364">
        <v>13</v>
      </c>
      <c r="L48" s="372" t="str">
        <f>IF($C48="","",K48*VLOOKUP($C48,CHANTIER!$A$2:$D$83,4,0))</f>
        <v/>
      </c>
      <c r="M48" s="364">
        <v>14</v>
      </c>
      <c r="N48" s="372" t="str">
        <f>IF($C48="","",M48*VLOOKUP($C48,CHANTIER!$A$2:$D$83,4,0))</f>
        <v/>
      </c>
      <c r="O48" s="364">
        <v>15</v>
      </c>
      <c r="P48" s="372" t="str">
        <f>IF($C48="","",O48*VLOOKUP($C48,CHANTIER!$A$2:$D$83,4,0))</f>
        <v/>
      </c>
      <c r="Q48" s="364">
        <v>16</v>
      </c>
      <c r="R48" s="372" t="str">
        <f>IF($C48="","",Q48*VLOOKUP($C48,CHANTIER!$A$2:$D$83,4,0))</f>
        <v/>
      </c>
      <c r="S48" s="364">
        <v>17</v>
      </c>
      <c r="T48" s="372" t="str">
        <f>IF($C48="","",S48*VLOOKUP($C48,CHANTIER!$A$2:$D$83,4,0))</f>
        <v/>
      </c>
      <c r="U48" s="364">
        <v>18</v>
      </c>
      <c r="V48" s="372" t="str">
        <f>IF($C48="","",U48*VLOOKUP($C48,CHANTIER!$A$2:$D$83,4,0))</f>
        <v/>
      </c>
      <c r="W48" s="364">
        <v>19</v>
      </c>
      <c r="X48" s="372" t="str">
        <f>IF($C48="","",W48*VLOOKUP($C48,CHANTIER!$A$2:$D$83,4,0))</f>
        <v/>
      </c>
      <c r="Y48" s="364">
        <v>20</v>
      </c>
      <c r="Z48" s="372" t="str">
        <f>IF($C48="","",Y48*VLOOKUP($C48,CHANTIER!$A$2:$D$83,4,0))</f>
        <v/>
      </c>
      <c r="AA48" s="364">
        <v>21</v>
      </c>
      <c r="AB48" s="372" t="str">
        <f>IF($C48="","",AA48*VLOOKUP($C48,CHANTIER!$A$2:$D$83,4,0))</f>
        <v/>
      </c>
      <c r="AC48" s="364">
        <v>22</v>
      </c>
      <c r="AD48" s="372" t="str">
        <f>IF($C48="","",AC48*VLOOKUP($C48,CHANTIER!$A$2:$D$83,4,0))</f>
        <v/>
      </c>
      <c r="AE48" s="364">
        <v>23</v>
      </c>
      <c r="AF48" s="372" t="str">
        <f>IF($C48="","",AE48*VLOOKUP($C48,CHANTIER!$A$2:$D$83,4,0))</f>
        <v/>
      </c>
      <c r="AG48" s="364">
        <v>24</v>
      </c>
      <c r="AH48" s="372" t="str">
        <f>IF($C48="","",AG48*VLOOKUP($C48,CHANTIER!$A$2:$D$83,4,0))</f>
        <v/>
      </c>
      <c r="AI48" s="364">
        <v>25</v>
      </c>
      <c r="AJ48" s="372" t="str">
        <f>IF($C48="","",AI48*VLOOKUP($C48,CHANTIER!$A$2:$D$83,4,0))</f>
        <v/>
      </c>
      <c r="AK48" s="364">
        <v>26</v>
      </c>
      <c r="AL48" s="372" t="str">
        <f>IF($C48="","",AK48*VLOOKUP($C48,CHANTIER!$A$2:$D$83,4,0))</f>
        <v/>
      </c>
      <c r="AM48" s="364">
        <v>27</v>
      </c>
      <c r="AN48" s="372" t="str">
        <f>IF($C48="","",AM48*VLOOKUP($C48,CHANTIER!$A$2:$D$83,4,0))</f>
        <v/>
      </c>
    </row>
    <row r="49" spans="1:42" ht="15" customHeight="1" x14ac:dyDescent="0.2">
      <c r="A49" s="1554"/>
      <c r="B49" s="361"/>
      <c r="C49" s="378"/>
      <c r="D49" s="363" t="str">
        <f>IF(C49="","",VLOOKUP($C49,CHANTIER!$A$2:$C$83,3,0))</f>
        <v/>
      </c>
      <c r="E49" s="364">
        <v>11</v>
      </c>
      <c r="F49" s="372" t="str">
        <f>IF($C49="","",E49*VLOOKUP($C49,CHANTIER!$A$2:$D$83,4,0))</f>
        <v/>
      </c>
      <c r="G49" s="364">
        <v>12</v>
      </c>
      <c r="H49" s="372" t="str">
        <f>IF($C49="","",G49*VLOOKUP($C49,CHANTIER!$A$2:$D$83,4,0))</f>
        <v/>
      </c>
      <c r="I49" s="364">
        <v>13</v>
      </c>
      <c r="J49" s="372" t="str">
        <f>IF($C49="","",I49*VLOOKUP($C49,CHANTIER!$A$2:$D$83,4,0))</f>
        <v/>
      </c>
      <c r="K49" s="364">
        <v>14</v>
      </c>
      <c r="L49" s="372" t="str">
        <f>IF($C49="","",K49*VLOOKUP($C49,CHANTIER!$A$2:$D$83,4,0))</f>
        <v/>
      </c>
      <c r="M49" s="364">
        <v>15</v>
      </c>
      <c r="N49" s="372" t="str">
        <f>IF($C49="","",M49*VLOOKUP($C49,CHANTIER!$A$2:$D$83,4,0))</f>
        <v/>
      </c>
      <c r="O49" s="364">
        <v>16</v>
      </c>
      <c r="P49" s="372" t="str">
        <f>IF($C49="","",O49*VLOOKUP($C49,CHANTIER!$A$2:$D$83,4,0))</f>
        <v/>
      </c>
      <c r="Q49" s="364">
        <v>17</v>
      </c>
      <c r="R49" s="372" t="str">
        <f>IF($C49="","",Q49*VLOOKUP($C49,CHANTIER!$A$2:$D$83,4,0))</f>
        <v/>
      </c>
      <c r="S49" s="364">
        <v>18</v>
      </c>
      <c r="T49" s="372" t="str">
        <f>IF($C49="","",S49*VLOOKUP($C49,CHANTIER!$A$2:$D$83,4,0))</f>
        <v/>
      </c>
      <c r="U49" s="364">
        <v>19</v>
      </c>
      <c r="V49" s="372" t="str">
        <f>IF($C49="","",U49*VLOOKUP($C49,CHANTIER!$A$2:$D$83,4,0))</f>
        <v/>
      </c>
      <c r="W49" s="364">
        <v>20</v>
      </c>
      <c r="X49" s="372" t="str">
        <f>IF($C49="","",W49*VLOOKUP($C49,CHANTIER!$A$2:$D$83,4,0))</f>
        <v/>
      </c>
      <c r="Y49" s="364">
        <v>21</v>
      </c>
      <c r="Z49" s="372" t="str">
        <f>IF($C49="","",Y49*VLOOKUP($C49,CHANTIER!$A$2:$D$83,4,0))</f>
        <v/>
      </c>
      <c r="AA49" s="364">
        <v>22</v>
      </c>
      <c r="AB49" s="372" t="str">
        <f>IF($C49="","",AA49*VLOOKUP($C49,CHANTIER!$A$2:$D$83,4,0))</f>
        <v/>
      </c>
      <c r="AC49" s="364">
        <v>23</v>
      </c>
      <c r="AD49" s="372" t="str">
        <f>IF($C49="","",AC49*VLOOKUP($C49,CHANTIER!$A$2:$D$83,4,0))</f>
        <v/>
      </c>
      <c r="AE49" s="364">
        <v>24</v>
      </c>
      <c r="AF49" s="372" t="str">
        <f>IF($C49="","",AE49*VLOOKUP($C49,CHANTIER!$A$2:$D$83,4,0))</f>
        <v/>
      </c>
      <c r="AG49" s="364">
        <v>25</v>
      </c>
      <c r="AH49" s="372" t="str">
        <f>IF($C49="","",AG49*VLOOKUP($C49,CHANTIER!$A$2:$D$83,4,0))</f>
        <v/>
      </c>
      <c r="AI49" s="364">
        <v>26</v>
      </c>
      <c r="AJ49" s="372" t="str">
        <f>IF($C49="","",AI49*VLOOKUP($C49,CHANTIER!$A$2:$D$83,4,0))</f>
        <v/>
      </c>
      <c r="AK49" s="364">
        <v>27</v>
      </c>
      <c r="AL49" s="372" t="str">
        <f>IF($C49="","",AK49*VLOOKUP($C49,CHANTIER!$A$2:$D$83,4,0))</f>
        <v/>
      </c>
      <c r="AM49" s="364">
        <v>28</v>
      </c>
      <c r="AN49" s="372" t="str">
        <f>IF($C49="","",AM49*VLOOKUP($C49,CHANTIER!$A$2:$D$83,4,0))</f>
        <v/>
      </c>
    </row>
    <row r="50" spans="1:42" ht="30.75" customHeight="1" x14ac:dyDescent="0.2">
      <c r="A50" s="1554"/>
      <c r="B50" s="379" t="s">
        <v>453</v>
      </c>
      <c r="C50" s="380" t="s">
        <v>450</v>
      </c>
      <c r="D50" s="381" t="s">
        <v>451</v>
      </c>
      <c r="E50" s="382">
        <f>F50*Simulation!$P$9</f>
        <v>11.25</v>
      </c>
      <c r="F50" s="383">
        <f>SUM(F39:F49)</f>
        <v>0.25</v>
      </c>
      <c r="G50" s="382">
        <f>H50*Simulation!$P$9</f>
        <v>22.5</v>
      </c>
      <c r="H50" s="383">
        <f>SUM(H39:H49)</f>
        <v>0.5</v>
      </c>
      <c r="I50" s="382">
        <f>J50*Simulation!$P$9</f>
        <v>33.75</v>
      </c>
      <c r="J50" s="383">
        <f>SUM(J39:J49)</f>
        <v>0.75</v>
      </c>
      <c r="K50" s="382">
        <f>L50*Simulation!$P$9</f>
        <v>45</v>
      </c>
      <c r="L50" s="383">
        <f>SUM(L39:L49)</f>
        <v>1</v>
      </c>
      <c r="M50" s="382">
        <f>N50*Simulation!$P$9</f>
        <v>56.25</v>
      </c>
      <c r="N50" s="383">
        <f>SUM(N39:N49)</f>
        <v>1.25</v>
      </c>
      <c r="O50" s="382">
        <f>P50*Simulation!$P$9</f>
        <v>67.5</v>
      </c>
      <c r="P50" s="383">
        <f>SUM(P39:P49)</f>
        <v>1.5</v>
      </c>
      <c r="Q50" s="382">
        <f>R50*Simulation!$P$9</f>
        <v>78.75</v>
      </c>
      <c r="R50" s="383">
        <f>SUM(R39:R49)</f>
        <v>1.75</v>
      </c>
      <c r="S50" s="382">
        <f>T50*Simulation!$P$9</f>
        <v>90</v>
      </c>
      <c r="T50" s="383">
        <f>SUM(T39:T49)</f>
        <v>2</v>
      </c>
      <c r="U50" s="382">
        <f>V50*Simulation!$P$9</f>
        <v>101.25</v>
      </c>
      <c r="V50" s="383">
        <f>SUM(V39:V49)</f>
        <v>2.25</v>
      </c>
      <c r="W50" s="382">
        <f>X50*Simulation!$P$9</f>
        <v>112.5</v>
      </c>
      <c r="X50" s="383">
        <f>SUM(X39:X49)</f>
        <v>2.5</v>
      </c>
      <c r="Y50" s="382">
        <f>Z50*Simulation!$P$9</f>
        <v>123.75</v>
      </c>
      <c r="Z50" s="383">
        <f>SUM(Z39:Z49)</f>
        <v>2.75</v>
      </c>
      <c r="AA50" s="382">
        <f>AB50*Simulation!$P$9</f>
        <v>135</v>
      </c>
      <c r="AB50" s="383">
        <f>SUM(AB39:AB49)</f>
        <v>3</v>
      </c>
      <c r="AC50" s="382">
        <f>AD50*Simulation!$P$9</f>
        <v>146.25</v>
      </c>
      <c r="AD50" s="383">
        <f>SUM(AD39:AD49)</f>
        <v>3.25</v>
      </c>
      <c r="AE50" s="382">
        <f>AF50*Simulation!$P$9</f>
        <v>157.5</v>
      </c>
      <c r="AF50" s="383">
        <f>SUM(AF39:AF49)</f>
        <v>3.5</v>
      </c>
      <c r="AG50" s="382">
        <f>AH50*Simulation!$P$9</f>
        <v>168.75</v>
      </c>
      <c r="AH50" s="383">
        <f>SUM(AH39:AH49)</f>
        <v>3.75</v>
      </c>
      <c r="AI50" s="382">
        <f>AJ50*Simulation!$P$9</f>
        <v>180</v>
      </c>
      <c r="AJ50" s="383">
        <f>SUM(AJ39:AJ49)</f>
        <v>4</v>
      </c>
      <c r="AK50" s="382">
        <f>AL50*Simulation!$P$9</f>
        <v>191.25</v>
      </c>
      <c r="AL50" s="383">
        <f>SUM(AL39:AL49)</f>
        <v>4.25</v>
      </c>
      <c r="AM50" s="382">
        <f>AN50*Simulation!$P$9</f>
        <v>202.5</v>
      </c>
      <c r="AN50" s="383">
        <f>SUM(AN39:AN49)</f>
        <v>4.5</v>
      </c>
    </row>
    <row r="51" spans="1:42" ht="15" customHeight="1" x14ac:dyDescent="0.2">
      <c r="A51" s="1559" t="s">
        <v>4</v>
      </c>
      <c r="B51" s="361" t="s">
        <v>371</v>
      </c>
      <c r="C51" s="378" t="s">
        <v>400</v>
      </c>
      <c r="D51" s="363" t="str">
        <f>IF(C51="","",VLOOKUP($C51,MINIPELLE!$A$2:$C$28,3,0))</f>
        <v>cm</v>
      </c>
      <c r="E51" s="364">
        <v>2</v>
      </c>
      <c r="F51" s="372">
        <f>IF($C51="","",E51*VLOOKUP($C51,MINIPELLE!$A$2:$D$28,4,0))</f>
        <v>0.05</v>
      </c>
      <c r="G51" s="364">
        <v>2</v>
      </c>
      <c r="H51" s="372">
        <f>IF($C51="","",G51*VLOOKUP($C51,MINIPELLE!$A$2:$D$28,4,0))</f>
        <v>0.05</v>
      </c>
      <c r="I51" s="364">
        <v>2</v>
      </c>
      <c r="J51" s="372">
        <f>IF($C51="","",I51*VLOOKUP($C51,MINIPELLE!$A$2:$D$28,4,0))</f>
        <v>0.05</v>
      </c>
      <c r="K51" s="364">
        <v>2</v>
      </c>
      <c r="L51" s="372">
        <f>IF($C51="","",K51*VLOOKUP($C51,MINIPELLE!$A$2:$D$28,4,0))</f>
        <v>0.05</v>
      </c>
      <c r="M51" s="364">
        <v>2</v>
      </c>
      <c r="N51" s="372">
        <f>IF($C51="","",M51*VLOOKUP($C51,MINIPELLE!$A$2:$D$28,4,0))</f>
        <v>0.05</v>
      </c>
      <c r="O51" s="364">
        <v>2</v>
      </c>
      <c r="P51" s="372">
        <f>IF($C51="","",O51*VLOOKUP($C51,MINIPELLE!$A$2:$D$28,4,0))</f>
        <v>0.05</v>
      </c>
      <c r="Q51" s="364">
        <v>2</v>
      </c>
      <c r="R51" s="372">
        <f>IF($C51="","",Q51*VLOOKUP($C51,MINIPELLE!$A$2:$D$28,4,0))</f>
        <v>0.05</v>
      </c>
      <c r="S51" s="364">
        <v>2</v>
      </c>
      <c r="T51" s="372">
        <f>IF($C51="","",S51*VLOOKUP($C51,MINIPELLE!$A$2:$D$28,4,0))</f>
        <v>0.05</v>
      </c>
      <c r="U51" s="364">
        <v>2</v>
      </c>
      <c r="V51" s="372">
        <f>IF($C51="","",U51*VLOOKUP($C51,MINIPELLE!$A$2:$D$28,4,0))</f>
        <v>0.05</v>
      </c>
      <c r="W51" s="364">
        <v>2</v>
      </c>
      <c r="X51" s="372">
        <f>IF($C51="","",W51*VLOOKUP($C51,MINIPELLE!$A$2:$D$28,4,0))</f>
        <v>0.05</v>
      </c>
      <c r="Y51" s="364">
        <v>2</v>
      </c>
      <c r="Z51" s="372">
        <f>IF($C51="","",Y51*VLOOKUP($C51,MINIPELLE!$A$2:$D$28,4,0))</f>
        <v>0.05</v>
      </c>
      <c r="AA51" s="364">
        <v>2</v>
      </c>
      <c r="AB51" s="372">
        <f>IF($C51="","",AA51*VLOOKUP($C51,MINIPELLE!$A$2:$D$28,4,0))</f>
        <v>0.05</v>
      </c>
      <c r="AC51" s="364">
        <v>2</v>
      </c>
      <c r="AD51" s="372">
        <f>IF($C51="","",AC51*VLOOKUP($C51,MINIPELLE!$A$2:$D$28,4,0))</f>
        <v>0.05</v>
      </c>
      <c r="AE51" s="364">
        <v>2</v>
      </c>
      <c r="AF51" s="372">
        <f>IF($C51="","",AE51*VLOOKUP($C51,MINIPELLE!$A$2:$D$28,4,0))</f>
        <v>0.05</v>
      </c>
      <c r="AG51" s="364">
        <v>2</v>
      </c>
      <c r="AH51" s="372">
        <f>IF($C51="","",AG51*VLOOKUP($C51,MINIPELLE!$A$2:$D$28,4,0))</f>
        <v>0.05</v>
      </c>
      <c r="AI51" s="364">
        <v>2</v>
      </c>
      <c r="AJ51" s="372">
        <f>IF($C51="","",AI51*VLOOKUP($C51,MINIPELLE!$A$2:$D$28,4,0))</f>
        <v>0.05</v>
      </c>
      <c r="AK51" s="364">
        <v>2</v>
      </c>
      <c r="AL51" s="372">
        <f>IF($C51="","",AK51*VLOOKUP($C51,MINIPELLE!$A$2:$D$28,4,0))</f>
        <v>0.05</v>
      </c>
      <c r="AM51" s="364">
        <v>2</v>
      </c>
      <c r="AN51" s="372">
        <f>IF($C51="","",AM51*VLOOKUP($C51,MINIPELLE!$A$2:$D$28,4,0))</f>
        <v>0.05</v>
      </c>
    </row>
    <row r="52" spans="1:42" ht="15" customHeight="1" x14ac:dyDescent="0.2">
      <c r="A52" s="1560"/>
      <c r="B52" s="361"/>
      <c r="C52" s="378"/>
      <c r="D52" s="363" t="str">
        <f>IF(C52="","",VLOOKUP($C52,MINIPELLE!$A$2:$C$28,3,0))</f>
        <v/>
      </c>
      <c r="E52" s="364">
        <v>3</v>
      </c>
      <c r="F52" s="389" t="str">
        <f>IF($C52="","",E52*VLOOKUP($C52,MINIPELLE!$A$2:$D$28,4,0))</f>
        <v/>
      </c>
      <c r="G52" s="364">
        <v>3</v>
      </c>
      <c r="H52" s="389" t="str">
        <f>IF($C52="","",G52*VLOOKUP($C52,MINIPELLE!$A$2:$D$28,4,0))</f>
        <v/>
      </c>
      <c r="I52" s="364">
        <v>3</v>
      </c>
      <c r="J52" s="389" t="str">
        <f>IF($C52="","",I52*VLOOKUP($C52,MINIPELLE!$A$2:$D$28,4,0))</f>
        <v/>
      </c>
      <c r="K52" s="364">
        <v>3</v>
      </c>
      <c r="L52" s="389" t="str">
        <f>IF($C52="","",K52*VLOOKUP($C52,MINIPELLE!$A$2:$D$28,4,0))</f>
        <v/>
      </c>
      <c r="M52" s="364">
        <v>3</v>
      </c>
      <c r="N52" s="389" t="str">
        <f>IF($C52="","",M52*VLOOKUP($C52,MINIPELLE!$A$2:$D$28,4,0))</f>
        <v/>
      </c>
      <c r="O52" s="364">
        <v>3</v>
      </c>
      <c r="P52" s="389" t="str">
        <f>IF($C52="","",O52*VLOOKUP($C52,MINIPELLE!$A$2:$D$28,4,0))</f>
        <v/>
      </c>
      <c r="Q52" s="364">
        <v>3</v>
      </c>
      <c r="R52" s="389" t="str">
        <f>IF($C52="","",Q52*VLOOKUP($C52,MINIPELLE!$A$2:$D$28,4,0))</f>
        <v/>
      </c>
      <c r="S52" s="364">
        <v>3</v>
      </c>
      <c r="T52" s="389" t="str">
        <f>IF($C52="","",S52*VLOOKUP($C52,MINIPELLE!$A$2:$D$28,4,0))</f>
        <v/>
      </c>
      <c r="U52" s="364">
        <v>3</v>
      </c>
      <c r="V52" s="389" t="str">
        <f>IF($C52="","",U52*VLOOKUP($C52,MINIPELLE!$A$2:$D$28,4,0))</f>
        <v/>
      </c>
      <c r="W52" s="364">
        <v>3</v>
      </c>
      <c r="X52" s="389" t="str">
        <f>IF($C52="","",W52*VLOOKUP($C52,MINIPELLE!$A$2:$D$28,4,0))</f>
        <v/>
      </c>
      <c r="Y52" s="364">
        <v>3</v>
      </c>
      <c r="Z52" s="389" t="str">
        <f>IF($C52="","",Y52*VLOOKUP($C52,MINIPELLE!$A$2:$D$28,4,0))</f>
        <v/>
      </c>
      <c r="AA52" s="364">
        <v>3</v>
      </c>
      <c r="AB52" s="389" t="str">
        <f>IF($C52="","",AA52*VLOOKUP($C52,MINIPELLE!$A$2:$D$28,4,0))</f>
        <v/>
      </c>
      <c r="AC52" s="364">
        <v>3</v>
      </c>
      <c r="AD52" s="389" t="str">
        <f>IF($C52="","",AC52*VLOOKUP($C52,MINIPELLE!$A$2:$D$28,4,0))</f>
        <v/>
      </c>
      <c r="AE52" s="364">
        <v>3</v>
      </c>
      <c r="AF52" s="389" t="str">
        <f>IF($C52="","",AE52*VLOOKUP($C52,MINIPELLE!$A$2:$D$28,4,0))</f>
        <v/>
      </c>
      <c r="AG52" s="364">
        <v>3</v>
      </c>
      <c r="AH52" s="389" t="str">
        <f>IF($C52="","",AG52*VLOOKUP($C52,MINIPELLE!$A$2:$D$28,4,0))</f>
        <v/>
      </c>
      <c r="AI52" s="364">
        <v>3</v>
      </c>
      <c r="AJ52" s="389" t="str">
        <f>IF($C52="","",AI52*VLOOKUP($C52,MINIPELLE!$A$2:$D$28,4,0))</f>
        <v/>
      </c>
      <c r="AK52" s="364">
        <v>3</v>
      </c>
      <c r="AL52" s="389" t="str">
        <f>IF($C52="","",AK52*VLOOKUP($C52,MINIPELLE!$A$2:$D$28,4,0))</f>
        <v/>
      </c>
      <c r="AM52" s="364">
        <v>3</v>
      </c>
      <c r="AN52" s="389" t="str">
        <f>IF($C52="","",AM52*VLOOKUP($C52,MINIPELLE!$A$2:$D$28,4,0))</f>
        <v/>
      </c>
    </row>
    <row r="53" spans="1:42" ht="15" customHeight="1" x14ac:dyDescent="0.2">
      <c r="A53" s="1560"/>
      <c r="B53" s="361"/>
      <c r="C53" s="378"/>
      <c r="D53" s="363" t="str">
        <f>IF(C53="","",VLOOKUP($C53,MINIPELLE!$A$2:$C$28,3,0))</f>
        <v/>
      </c>
      <c r="E53" s="364">
        <v>4</v>
      </c>
      <c r="F53" s="389" t="str">
        <f>IF($C53="","",E53*VLOOKUP($C53,MINIPELLE!$A$2:$D$28,4,0))</f>
        <v/>
      </c>
      <c r="G53" s="364">
        <v>4</v>
      </c>
      <c r="H53" s="389" t="str">
        <f>IF($C53="","",G53*VLOOKUP($C53,MINIPELLE!$A$2:$D$28,4,0))</f>
        <v/>
      </c>
      <c r="I53" s="364">
        <v>4</v>
      </c>
      <c r="J53" s="389" t="str">
        <f>IF($C53="","",I53*VLOOKUP($C53,MINIPELLE!$A$2:$D$28,4,0))</f>
        <v/>
      </c>
      <c r="K53" s="364">
        <v>4</v>
      </c>
      <c r="L53" s="389" t="str">
        <f>IF($C53="","",K53*VLOOKUP($C53,MINIPELLE!$A$2:$D$28,4,0))</f>
        <v/>
      </c>
      <c r="M53" s="364">
        <v>4</v>
      </c>
      <c r="N53" s="389" t="str">
        <f>IF($C53="","",M53*VLOOKUP($C53,MINIPELLE!$A$2:$D$28,4,0))</f>
        <v/>
      </c>
      <c r="O53" s="364">
        <v>4</v>
      </c>
      <c r="P53" s="389" t="str">
        <f>IF($C53="","",O53*VLOOKUP($C53,MINIPELLE!$A$2:$D$28,4,0))</f>
        <v/>
      </c>
      <c r="Q53" s="364">
        <v>4</v>
      </c>
      <c r="R53" s="389" t="str">
        <f>IF($C53="","",Q53*VLOOKUP($C53,MINIPELLE!$A$2:$D$28,4,0))</f>
        <v/>
      </c>
      <c r="S53" s="364">
        <v>4</v>
      </c>
      <c r="T53" s="389" t="str">
        <f>IF($C53="","",S53*VLOOKUP($C53,MINIPELLE!$A$2:$D$28,4,0))</f>
        <v/>
      </c>
      <c r="U53" s="364">
        <v>4</v>
      </c>
      <c r="V53" s="389" t="str">
        <f>IF($C53="","",U53*VLOOKUP($C53,MINIPELLE!$A$2:$D$28,4,0))</f>
        <v/>
      </c>
      <c r="W53" s="364">
        <v>4</v>
      </c>
      <c r="X53" s="389" t="str">
        <f>IF($C53="","",W53*VLOOKUP($C53,MINIPELLE!$A$2:$D$28,4,0))</f>
        <v/>
      </c>
      <c r="Y53" s="364">
        <v>4</v>
      </c>
      <c r="Z53" s="389" t="str">
        <f>IF($C53="","",Y53*VLOOKUP($C53,MINIPELLE!$A$2:$D$28,4,0))</f>
        <v/>
      </c>
      <c r="AA53" s="364">
        <v>4</v>
      </c>
      <c r="AB53" s="389" t="str">
        <f>IF($C53="","",AA53*VLOOKUP($C53,MINIPELLE!$A$2:$D$28,4,0))</f>
        <v/>
      </c>
      <c r="AC53" s="364">
        <v>4</v>
      </c>
      <c r="AD53" s="389" t="str">
        <f>IF($C53="","",AC53*VLOOKUP($C53,MINIPELLE!$A$2:$D$28,4,0))</f>
        <v/>
      </c>
      <c r="AE53" s="364">
        <v>4</v>
      </c>
      <c r="AF53" s="389" t="str">
        <f>IF($C53="","",AE53*VLOOKUP($C53,MINIPELLE!$A$2:$D$28,4,0))</f>
        <v/>
      </c>
      <c r="AG53" s="364">
        <v>4</v>
      </c>
      <c r="AH53" s="389" t="str">
        <f>IF($C53="","",AG53*VLOOKUP($C53,MINIPELLE!$A$2:$D$28,4,0))</f>
        <v/>
      </c>
      <c r="AI53" s="364">
        <v>4</v>
      </c>
      <c r="AJ53" s="389" t="str">
        <f>IF($C53="","",AI53*VLOOKUP($C53,MINIPELLE!$A$2:$D$28,4,0))</f>
        <v/>
      </c>
      <c r="AK53" s="364">
        <v>4</v>
      </c>
      <c r="AL53" s="389" t="str">
        <f>IF($C53="","",AK53*VLOOKUP($C53,MINIPELLE!$A$2:$D$28,4,0))</f>
        <v/>
      </c>
      <c r="AM53" s="364">
        <v>4</v>
      </c>
      <c r="AN53" s="389" t="str">
        <f>IF($C53="","",AM53*VLOOKUP($C53,MINIPELLE!$A$2:$D$28,4,0))</f>
        <v/>
      </c>
    </row>
    <row r="54" spans="1:42" ht="15" customHeight="1" x14ac:dyDescent="0.2">
      <c r="A54" s="1560"/>
      <c r="B54" s="361"/>
      <c r="C54" s="378"/>
      <c r="D54" s="363" t="str">
        <f>IF(C54="","",VLOOKUP($C54,MINIPELLE!$A$2:$C$28,3,0))</f>
        <v/>
      </c>
      <c r="E54" s="364">
        <v>5</v>
      </c>
      <c r="F54" s="389" t="str">
        <f>IF($C54="","",E54*VLOOKUP($C54,MINIPELLE!$A$2:$D$28,4,0))</f>
        <v/>
      </c>
      <c r="G54" s="364">
        <v>5</v>
      </c>
      <c r="H54" s="389" t="str">
        <f>IF($C54="","",G54*VLOOKUP($C54,MINIPELLE!$A$2:$D$28,4,0))</f>
        <v/>
      </c>
      <c r="I54" s="364">
        <v>5</v>
      </c>
      <c r="J54" s="389" t="str">
        <f>IF($C54="","",I54*VLOOKUP($C54,MINIPELLE!$A$2:$D$28,4,0))</f>
        <v/>
      </c>
      <c r="K54" s="364">
        <v>5</v>
      </c>
      <c r="L54" s="389" t="str">
        <f>IF($C54="","",K54*VLOOKUP($C54,MINIPELLE!$A$2:$D$28,4,0))</f>
        <v/>
      </c>
      <c r="M54" s="364">
        <v>5</v>
      </c>
      <c r="N54" s="389" t="str">
        <f>IF($C54="","",M54*VLOOKUP($C54,MINIPELLE!$A$2:$D$28,4,0))</f>
        <v/>
      </c>
      <c r="O54" s="364">
        <v>5</v>
      </c>
      <c r="P54" s="389" t="str">
        <f>IF($C54="","",O54*VLOOKUP($C54,MINIPELLE!$A$2:$D$28,4,0))</f>
        <v/>
      </c>
      <c r="Q54" s="364">
        <v>5</v>
      </c>
      <c r="R54" s="389" t="str">
        <f>IF($C54="","",Q54*VLOOKUP($C54,MINIPELLE!$A$2:$D$28,4,0))</f>
        <v/>
      </c>
      <c r="S54" s="364">
        <v>5</v>
      </c>
      <c r="T54" s="389" t="str">
        <f>IF($C54="","",S54*VLOOKUP($C54,MINIPELLE!$A$2:$D$28,4,0))</f>
        <v/>
      </c>
      <c r="U54" s="364">
        <v>5</v>
      </c>
      <c r="V54" s="389" t="str">
        <f>IF($C54="","",U54*VLOOKUP($C54,MINIPELLE!$A$2:$D$28,4,0))</f>
        <v/>
      </c>
      <c r="W54" s="364">
        <v>5</v>
      </c>
      <c r="X54" s="389" t="str">
        <f>IF($C54="","",W54*VLOOKUP($C54,MINIPELLE!$A$2:$D$28,4,0))</f>
        <v/>
      </c>
      <c r="Y54" s="364">
        <v>5</v>
      </c>
      <c r="Z54" s="389" t="str">
        <f>IF($C54="","",Y54*VLOOKUP($C54,MINIPELLE!$A$2:$D$28,4,0))</f>
        <v/>
      </c>
      <c r="AA54" s="364">
        <v>5</v>
      </c>
      <c r="AB54" s="389" t="str">
        <f>IF($C54="","",AA54*VLOOKUP($C54,MINIPELLE!$A$2:$D$28,4,0))</f>
        <v/>
      </c>
      <c r="AC54" s="364">
        <v>5</v>
      </c>
      <c r="AD54" s="389" t="str">
        <f>IF($C54="","",AC54*VLOOKUP($C54,MINIPELLE!$A$2:$D$28,4,0))</f>
        <v/>
      </c>
      <c r="AE54" s="364">
        <v>5</v>
      </c>
      <c r="AF54" s="389" t="str">
        <f>IF($C54="","",AE54*VLOOKUP($C54,MINIPELLE!$A$2:$D$28,4,0))</f>
        <v/>
      </c>
      <c r="AG54" s="364">
        <v>5</v>
      </c>
      <c r="AH54" s="389" t="str">
        <f>IF($C54="","",AG54*VLOOKUP($C54,MINIPELLE!$A$2:$D$28,4,0))</f>
        <v/>
      </c>
      <c r="AI54" s="364">
        <v>5</v>
      </c>
      <c r="AJ54" s="389" t="str">
        <f>IF($C54="","",AI54*VLOOKUP($C54,MINIPELLE!$A$2:$D$28,4,0))</f>
        <v/>
      </c>
      <c r="AK54" s="364">
        <v>5</v>
      </c>
      <c r="AL54" s="389" t="str">
        <f>IF($C54="","",AK54*VLOOKUP($C54,MINIPELLE!$A$2:$D$28,4,0))</f>
        <v/>
      </c>
      <c r="AM54" s="364">
        <v>5</v>
      </c>
      <c r="AN54" s="389" t="str">
        <f>IF($C54="","",AM54*VLOOKUP($C54,MINIPELLE!$A$2:$D$28,4,0))</f>
        <v/>
      </c>
    </row>
    <row r="55" spans="1:42" ht="15" customHeight="1" x14ac:dyDescent="0.2">
      <c r="A55" s="1560"/>
      <c r="B55" s="361"/>
      <c r="C55" s="378"/>
      <c r="D55" s="363" t="str">
        <f>IF(C55="","",VLOOKUP($C55,MINIPELLE!$A$2:$C$28,3,0))</f>
        <v/>
      </c>
      <c r="E55" s="364">
        <v>6</v>
      </c>
      <c r="F55" s="389" t="str">
        <f>IF($C55="","",E55*VLOOKUP($C55,MINIPELLE!$A$2:$D$28,4,0))</f>
        <v/>
      </c>
      <c r="G55" s="364">
        <v>6</v>
      </c>
      <c r="H55" s="389" t="str">
        <f>IF($C55="","",G55*VLOOKUP($C55,MINIPELLE!$A$2:$D$28,4,0))</f>
        <v/>
      </c>
      <c r="I55" s="364">
        <v>6</v>
      </c>
      <c r="J55" s="389" t="str">
        <f>IF($C55="","",I55*VLOOKUP($C55,MINIPELLE!$A$2:$D$28,4,0))</f>
        <v/>
      </c>
      <c r="K55" s="364">
        <v>6</v>
      </c>
      <c r="L55" s="389" t="str">
        <f>IF($C55="","",K55*VLOOKUP($C55,MINIPELLE!$A$2:$D$28,4,0))</f>
        <v/>
      </c>
      <c r="M55" s="364">
        <v>6</v>
      </c>
      <c r="N55" s="389" t="str">
        <f>IF($C55="","",M55*VLOOKUP($C55,MINIPELLE!$A$2:$D$28,4,0))</f>
        <v/>
      </c>
      <c r="O55" s="364">
        <v>6</v>
      </c>
      <c r="P55" s="389" t="str">
        <f>IF($C55="","",O55*VLOOKUP($C55,MINIPELLE!$A$2:$D$28,4,0))</f>
        <v/>
      </c>
      <c r="Q55" s="364">
        <v>6</v>
      </c>
      <c r="R55" s="389" t="str">
        <f>IF($C55="","",Q55*VLOOKUP($C55,MINIPELLE!$A$2:$D$28,4,0))</f>
        <v/>
      </c>
      <c r="S55" s="364">
        <v>6</v>
      </c>
      <c r="T55" s="389" t="str">
        <f>IF($C55="","",S55*VLOOKUP($C55,MINIPELLE!$A$2:$D$28,4,0))</f>
        <v/>
      </c>
      <c r="U55" s="364">
        <v>6</v>
      </c>
      <c r="V55" s="389" t="str">
        <f>IF($C55="","",U55*VLOOKUP($C55,MINIPELLE!$A$2:$D$28,4,0))</f>
        <v/>
      </c>
      <c r="W55" s="364">
        <v>6</v>
      </c>
      <c r="X55" s="389" t="str">
        <f>IF($C55="","",W55*VLOOKUP($C55,MINIPELLE!$A$2:$D$28,4,0))</f>
        <v/>
      </c>
      <c r="Y55" s="364">
        <v>6</v>
      </c>
      <c r="Z55" s="389" t="str">
        <f>IF($C55="","",Y55*VLOOKUP($C55,MINIPELLE!$A$2:$D$28,4,0))</f>
        <v/>
      </c>
      <c r="AA55" s="364">
        <v>6</v>
      </c>
      <c r="AB55" s="389" t="str">
        <f>IF($C55="","",AA55*VLOOKUP($C55,MINIPELLE!$A$2:$D$28,4,0))</f>
        <v/>
      </c>
      <c r="AC55" s="364">
        <v>6</v>
      </c>
      <c r="AD55" s="389" t="str">
        <f>IF($C55="","",AC55*VLOOKUP($C55,MINIPELLE!$A$2:$D$28,4,0))</f>
        <v/>
      </c>
      <c r="AE55" s="364">
        <v>6</v>
      </c>
      <c r="AF55" s="389" t="str">
        <f>IF($C55="","",AE55*VLOOKUP($C55,MINIPELLE!$A$2:$D$28,4,0))</f>
        <v/>
      </c>
      <c r="AG55" s="364">
        <v>6</v>
      </c>
      <c r="AH55" s="389" t="str">
        <f>IF($C55="","",AG55*VLOOKUP($C55,MINIPELLE!$A$2:$D$28,4,0))</f>
        <v/>
      </c>
      <c r="AI55" s="364">
        <v>6</v>
      </c>
      <c r="AJ55" s="389" t="str">
        <f>IF($C55="","",AI55*VLOOKUP($C55,MINIPELLE!$A$2:$D$28,4,0))</f>
        <v/>
      </c>
      <c r="AK55" s="364">
        <v>6</v>
      </c>
      <c r="AL55" s="389" t="str">
        <f>IF($C55="","",AK55*VLOOKUP($C55,MINIPELLE!$A$2:$D$28,4,0))</f>
        <v/>
      </c>
      <c r="AM55" s="364">
        <v>6</v>
      </c>
      <c r="AN55" s="389" t="str">
        <f>IF($C55="","",AM55*VLOOKUP($C55,MINIPELLE!$A$2:$D$28,4,0))</f>
        <v/>
      </c>
    </row>
    <row r="56" spans="1:42" ht="15" customHeight="1" x14ac:dyDescent="0.2">
      <c r="A56" s="1560"/>
      <c r="B56" s="361"/>
      <c r="C56" s="378"/>
      <c r="D56" s="363" t="str">
        <f>IF(C56="","",VLOOKUP($C56,MINIPELLE!$A$2:$C$28,3,0))</f>
        <v/>
      </c>
      <c r="E56" s="364">
        <v>7</v>
      </c>
      <c r="F56" s="389" t="str">
        <f>IF($C56="","",E56*VLOOKUP($C56,MINIPELLE!$A$2:$D$28,4,0))</f>
        <v/>
      </c>
      <c r="G56" s="364">
        <v>7</v>
      </c>
      <c r="H56" s="389" t="str">
        <f>IF($C56="","",G56*VLOOKUP($C56,MINIPELLE!$A$2:$D$28,4,0))</f>
        <v/>
      </c>
      <c r="I56" s="364">
        <v>7</v>
      </c>
      <c r="J56" s="389" t="str">
        <f>IF($C56="","",I56*VLOOKUP($C56,MINIPELLE!$A$2:$D$28,4,0))</f>
        <v/>
      </c>
      <c r="K56" s="364">
        <v>7</v>
      </c>
      <c r="L56" s="389" t="str">
        <f>IF($C56="","",K56*VLOOKUP($C56,MINIPELLE!$A$2:$D$28,4,0))</f>
        <v/>
      </c>
      <c r="M56" s="364">
        <v>7</v>
      </c>
      <c r="N56" s="389" t="str">
        <f>IF($C56="","",M56*VLOOKUP($C56,MINIPELLE!$A$2:$D$28,4,0))</f>
        <v/>
      </c>
      <c r="O56" s="364">
        <v>7</v>
      </c>
      <c r="P56" s="389" t="str">
        <f>IF($C56="","",O56*VLOOKUP($C56,MINIPELLE!$A$2:$D$28,4,0))</f>
        <v/>
      </c>
      <c r="Q56" s="364">
        <v>7</v>
      </c>
      <c r="R56" s="389" t="str">
        <f>IF($C56="","",Q56*VLOOKUP($C56,MINIPELLE!$A$2:$D$28,4,0))</f>
        <v/>
      </c>
      <c r="S56" s="364">
        <v>7</v>
      </c>
      <c r="T56" s="389" t="str">
        <f>IF($C56="","",S56*VLOOKUP($C56,MINIPELLE!$A$2:$D$28,4,0))</f>
        <v/>
      </c>
      <c r="U56" s="364">
        <v>7</v>
      </c>
      <c r="V56" s="389" t="str">
        <f>IF($C56="","",U56*VLOOKUP($C56,MINIPELLE!$A$2:$D$28,4,0))</f>
        <v/>
      </c>
      <c r="W56" s="364">
        <v>7</v>
      </c>
      <c r="X56" s="389" t="str">
        <f>IF($C56="","",W56*VLOOKUP($C56,MINIPELLE!$A$2:$D$28,4,0))</f>
        <v/>
      </c>
      <c r="Y56" s="364">
        <v>7</v>
      </c>
      <c r="Z56" s="389" t="str">
        <f>IF($C56="","",Y56*VLOOKUP($C56,MINIPELLE!$A$2:$D$28,4,0))</f>
        <v/>
      </c>
      <c r="AA56" s="364">
        <v>7</v>
      </c>
      <c r="AB56" s="389" t="str">
        <f>IF($C56="","",AA56*VLOOKUP($C56,MINIPELLE!$A$2:$D$28,4,0))</f>
        <v/>
      </c>
      <c r="AC56" s="364">
        <v>7</v>
      </c>
      <c r="AD56" s="389" t="str">
        <f>IF($C56="","",AC56*VLOOKUP($C56,MINIPELLE!$A$2:$D$28,4,0))</f>
        <v/>
      </c>
      <c r="AE56" s="364">
        <v>7</v>
      </c>
      <c r="AF56" s="389" t="str">
        <f>IF($C56="","",AE56*VLOOKUP($C56,MINIPELLE!$A$2:$D$28,4,0))</f>
        <v/>
      </c>
      <c r="AG56" s="364">
        <v>7</v>
      </c>
      <c r="AH56" s="389" t="str">
        <f>IF($C56="","",AG56*VLOOKUP($C56,MINIPELLE!$A$2:$D$28,4,0))</f>
        <v/>
      </c>
      <c r="AI56" s="364">
        <v>7</v>
      </c>
      <c r="AJ56" s="389" t="str">
        <f>IF($C56="","",AI56*VLOOKUP($C56,MINIPELLE!$A$2:$D$28,4,0))</f>
        <v/>
      </c>
      <c r="AK56" s="364">
        <v>7</v>
      </c>
      <c r="AL56" s="389" t="str">
        <f>IF($C56="","",AK56*VLOOKUP($C56,MINIPELLE!$A$2:$D$28,4,0))</f>
        <v/>
      </c>
      <c r="AM56" s="364">
        <v>7</v>
      </c>
      <c r="AN56" s="389" t="str">
        <f>IF($C56="","",AM56*VLOOKUP($C56,MINIPELLE!$A$2:$D$28,4,0))</f>
        <v/>
      </c>
    </row>
    <row r="57" spans="1:42" ht="15" customHeight="1" x14ac:dyDescent="0.2">
      <c r="A57" s="1560"/>
      <c r="B57" s="361"/>
      <c r="C57" s="378"/>
      <c r="D57" s="363" t="str">
        <f>IF(C57="","",VLOOKUP($C57,MINIPELLE!$A$2:$C$28,3,0))</f>
        <v/>
      </c>
      <c r="E57" s="364">
        <v>8</v>
      </c>
      <c r="F57" s="389" t="str">
        <f>IF($C57="","",E57*VLOOKUP($C57,MINIPELLE!$A$2:$D$28,4,0))</f>
        <v/>
      </c>
      <c r="G57" s="364">
        <v>8</v>
      </c>
      <c r="H57" s="389" t="str">
        <f>IF($C57="","",G57*VLOOKUP($C57,MINIPELLE!$A$2:$D$28,4,0))</f>
        <v/>
      </c>
      <c r="I57" s="364">
        <v>8</v>
      </c>
      <c r="J57" s="389" t="str">
        <f>IF($C57="","",I57*VLOOKUP($C57,MINIPELLE!$A$2:$D$28,4,0))</f>
        <v/>
      </c>
      <c r="K57" s="364">
        <v>8</v>
      </c>
      <c r="L57" s="389" t="str">
        <f>IF($C57="","",K57*VLOOKUP($C57,MINIPELLE!$A$2:$D$28,4,0))</f>
        <v/>
      </c>
      <c r="M57" s="364">
        <v>8</v>
      </c>
      <c r="N57" s="389" t="str">
        <f>IF($C57="","",M57*VLOOKUP($C57,MINIPELLE!$A$2:$D$28,4,0))</f>
        <v/>
      </c>
      <c r="O57" s="364">
        <v>8</v>
      </c>
      <c r="P57" s="389" t="str">
        <f>IF($C57="","",O57*VLOOKUP($C57,MINIPELLE!$A$2:$D$28,4,0))</f>
        <v/>
      </c>
      <c r="Q57" s="364">
        <v>8</v>
      </c>
      <c r="R57" s="389" t="str">
        <f>IF($C57="","",Q57*VLOOKUP($C57,MINIPELLE!$A$2:$D$28,4,0))</f>
        <v/>
      </c>
      <c r="S57" s="364">
        <v>8</v>
      </c>
      <c r="T57" s="389" t="str">
        <f>IF($C57="","",S57*VLOOKUP($C57,MINIPELLE!$A$2:$D$28,4,0))</f>
        <v/>
      </c>
      <c r="U57" s="364">
        <v>8</v>
      </c>
      <c r="V57" s="389" t="str">
        <f>IF($C57="","",U57*VLOOKUP($C57,MINIPELLE!$A$2:$D$28,4,0))</f>
        <v/>
      </c>
      <c r="W57" s="364">
        <v>8</v>
      </c>
      <c r="X57" s="389" t="str">
        <f>IF($C57="","",W57*VLOOKUP($C57,MINIPELLE!$A$2:$D$28,4,0))</f>
        <v/>
      </c>
      <c r="Y57" s="364">
        <v>8</v>
      </c>
      <c r="Z57" s="389" t="str">
        <f>IF($C57="","",Y57*VLOOKUP($C57,MINIPELLE!$A$2:$D$28,4,0))</f>
        <v/>
      </c>
      <c r="AA57" s="364">
        <v>8</v>
      </c>
      <c r="AB57" s="389" t="str">
        <f>IF($C57="","",AA57*VLOOKUP($C57,MINIPELLE!$A$2:$D$28,4,0))</f>
        <v/>
      </c>
      <c r="AC57" s="364">
        <v>8</v>
      </c>
      <c r="AD57" s="389" t="str">
        <f>IF($C57="","",AC57*VLOOKUP($C57,MINIPELLE!$A$2:$D$28,4,0))</f>
        <v/>
      </c>
      <c r="AE57" s="364">
        <v>8</v>
      </c>
      <c r="AF57" s="389" t="str">
        <f>IF($C57="","",AE57*VLOOKUP($C57,MINIPELLE!$A$2:$D$28,4,0))</f>
        <v/>
      </c>
      <c r="AG57" s="364">
        <v>8</v>
      </c>
      <c r="AH57" s="389" t="str">
        <f>IF($C57="","",AG57*VLOOKUP($C57,MINIPELLE!$A$2:$D$28,4,0))</f>
        <v/>
      </c>
      <c r="AI57" s="364">
        <v>8</v>
      </c>
      <c r="AJ57" s="389" t="str">
        <f>IF($C57="","",AI57*VLOOKUP($C57,MINIPELLE!$A$2:$D$28,4,0))</f>
        <v/>
      </c>
      <c r="AK57" s="364">
        <v>8</v>
      </c>
      <c r="AL57" s="389" t="str">
        <f>IF($C57="","",AK57*VLOOKUP($C57,MINIPELLE!$A$2:$D$28,4,0))</f>
        <v/>
      </c>
      <c r="AM57" s="364">
        <v>8</v>
      </c>
      <c r="AN57" s="389" t="str">
        <f>IF($C57="","",AM57*VLOOKUP($C57,MINIPELLE!$A$2:$D$28,4,0))</f>
        <v/>
      </c>
    </row>
    <row r="58" spans="1:42" ht="15" customHeight="1" x14ac:dyDescent="0.2">
      <c r="A58" s="1560"/>
      <c r="B58" s="361"/>
      <c r="C58" s="378"/>
      <c r="D58" s="363" t="str">
        <f>IF(C58="","",VLOOKUP($C58,MINIPELLE!$A$2:$C$28,3,0))</f>
        <v/>
      </c>
      <c r="E58" s="364">
        <v>9</v>
      </c>
      <c r="F58" s="389" t="str">
        <f>IF($C58="","",E58*VLOOKUP($C58,MINIPELLE!$A$2:$D$28,4,0))</f>
        <v/>
      </c>
      <c r="G58" s="364">
        <v>9</v>
      </c>
      <c r="H58" s="389" t="str">
        <f>IF($C58="","",G58*VLOOKUP($C58,MINIPELLE!$A$2:$D$28,4,0))</f>
        <v/>
      </c>
      <c r="I58" s="364">
        <v>9</v>
      </c>
      <c r="J58" s="389" t="str">
        <f>IF($C58="","",I58*VLOOKUP($C58,MINIPELLE!$A$2:$D$28,4,0))</f>
        <v/>
      </c>
      <c r="K58" s="364">
        <v>9</v>
      </c>
      <c r="L58" s="389" t="str">
        <f>IF($C58="","",K58*VLOOKUP($C58,MINIPELLE!$A$2:$D$28,4,0))</f>
        <v/>
      </c>
      <c r="M58" s="364">
        <v>9</v>
      </c>
      <c r="N58" s="389" t="str">
        <f>IF($C58="","",M58*VLOOKUP($C58,MINIPELLE!$A$2:$D$28,4,0))</f>
        <v/>
      </c>
      <c r="O58" s="364">
        <v>9</v>
      </c>
      <c r="P58" s="389" t="str">
        <f>IF($C58="","",O58*VLOOKUP($C58,MINIPELLE!$A$2:$D$28,4,0))</f>
        <v/>
      </c>
      <c r="Q58" s="364">
        <v>9</v>
      </c>
      <c r="R58" s="389" t="str">
        <f>IF($C58="","",Q58*VLOOKUP($C58,MINIPELLE!$A$2:$D$28,4,0))</f>
        <v/>
      </c>
      <c r="S58" s="364">
        <v>9</v>
      </c>
      <c r="T58" s="389" t="str">
        <f>IF($C58="","",S58*VLOOKUP($C58,MINIPELLE!$A$2:$D$28,4,0))</f>
        <v/>
      </c>
      <c r="U58" s="364">
        <v>9</v>
      </c>
      <c r="V58" s="389" t="str">
        <f>IF($C58="","",U58*VLOOKUP($C58,MINIPELLE!$A$2:$D$28,4,0))</f>
        <v/>
      </c>
      <c r="W58" s="364">
        <v>9</v>
      </c>
      <c r="X58" s="389" t="str">
        <f>IF($C58="","",W58*VLOOKUP($C58,MINIPELLE!$A$2:$D$28,4,0))</f>
        <v/>
      </c>
      <c r="Y58" s="364">
        <v>9</v>
      </c>
      <c r="Z58" s="389" t="str">
        <f>IF($C58="","",Y58*VLOOKUP($C58,MINIPELLE!$A$2:$D$28,4,0))</f>
        <v/>
      </c>
      <c r="AA58" s="364">
        <v>9</v>
      </c>
      <c r="AB58" s="389" t="str">
        <f>IF($C58="","",AA58*VLOOKUP($C58,MINIPELLE!$A$2:$D$28,4,0))</f>
        <v/>
      </c>
      <c r="AC58" s="364">
        <v>9</v>
      </c>
      <c r="AD58" s="389" t="str">
        <f>IF($C58="","",AC58*VLOOKUP($C58,MINIPELLE!$A$2:$D$28,4,0))</f>
        <v/>
      </c>
      <c r="AE58" s="364">
        <v>9</v>
      </c>
      <c r="AF58" s="389" t="str">
        <f>IF($C58="","",AE58*VLOOKUP($C58,MINIPELLE!$A$2:$D$28,4,0))</f>
        <v/>
      </c>
      <c r="AG58" s="364">
        <v>9</v>
      </c>
      <c r="AH58" s="389" t="str">
        <f>IF($C58="","",AG58*VLOOKUP($C58,MINIPELLE!$A$2:$D$28,4,0))</f>
        <v/>
      </c>
      <c r="AI58" s="364">
        <v>9</v>
      </c>
      <c r="AJ58" s="389" t="str">
        <f>IF($C58="","",AI58*VLOOKUP($C58,MINIPELLE!$A$2:$D$28,4,0))</f>
        <v/>
      </c>
      <c r="AK58" s="364">
        <v>9</v>
      </c>
      <c r="AL58" s="389" t="str">
        <f>IF($C58="","",AK58*VLOOKUP($C58,MINIPELLE!$A$2:$D$28,4,0))</f>
        <v/>
      </c>
      <c r="AM58" s="364">
        <v>9</v>
      </c>
      <c r="AN58" s="389" t="str">
        <f>IF($C58="","",AM58*VLOOKUP($C58,MINIPELLE!$A$2:$D$28,4,0))</f>
        <v/>
      </c>
      <c r="AO58" s="223"/>
      <c r="AP58" s="223"/>
    </row>
    <row r="59" spans="1:42" ht="15" customHeight="1" x14ac:dyDescent="0.2">
      <c r="A59" s="1560"/>
      <c r="B59" s="361"/>
      <c r="C59" s="378"/>
      <c r="D59" s="363" t="str">
        <f>IF(C59="","",VLOOKUP($C59,MINIPELLE!$A$2:$C$28,3,0))</f>
        <v/>
      </c>
      <c r="E59" s="364">
        <v>10</v>
      </c>
      <c r="F59" s="389" t="str">
        <f>IF($C59="","",E59*VLOOKUP($C59,MINIPELLE!$A$2:$D$28,4,0))</f>
        <v/>
      </c>
      <c r="G59" s="364">
        <v>10</v>
      </c>
      <c r="H59" s="389" t="str">
        <f>IF($C59="","",G59*VLOOKUP($C59,MINIPELLE!$A$2:$D$28,4,0))</f>
        <v/>
      </c>
      <c r="I59" s="364">
        <v>10</v>
      </c>
      <c r="J59" s="389" t="str">
        <f>IF($C59="","",I59*VLOOKUP($C59,MINIPELLE!$A$2:$D$28,4,0))</f>
        <v/>
      </c>
      <c r="K59" s="364">
        <v>10</v>
      </c>
      <c r="L59" s="389" t="str">
        <f>IF($C59="","",K59*VLOOKUP($C59,MINIPELLE!$A$2:$D$28,4,0))</f>
        <v/>
      </c>
      <c r="M59" s="364">
        <v>10</v>
      </c>
      <c r="N59" s="389" t="str">
        <f>IF($C59="","",M59*VLOOKUP($C59,MINIPELLE!$A$2:$D$28,4,0))</f>
        <v/>
      </c>
      <c r="O59" s="364">
        <v>10</v>
      </c>
      <c r="P59" s="389" t="str">
        <f>IF($C59="","",O59*VLOOKUP($C59,MINIPELLE!$A$2:$D$28,4,0))</f>
        <v/>
      </c>
      <c r="Q59" s="364">
        <v>10</v>
      </c>
      <c r="R59" s="389" t="str">
        <f>IF($C59="","",Q59*VLOOKUP($C59,MINIPELLE!$A$2:$D$28,4,0))</f>
        <v/>
      </c>
      <c r="S59" s="364">
        <v>10</v>
      </c>
      <c r="T59" s="389" t="str">
        <f>IF($C59="","",S59*VLOOKUP($C59,MINIPELLE!$A$2:$D$28,4,0))</f>
        <v/>
      </c>
      <c r="U59" s="364">
        <v>10</v>
      </c>
      <c r="V59" s="389" t="str">
        <f>IF($C59="","",U59*VLOOKUP($C59,MINIPELLE!$A$2:$D$28,4,0))</f>
        <v/>
      </c>
      <c r="W59" s="364">
        <v>10</v>
      </c>
      <c r="X59" s="389" t="str">
        <f>IF($C59="","",W59*VLOOKUP($C59,MINIPELLE!$A$2:$D$28,4,0))</f>
        <v/>
      </c>
      <c r="Y59" s="364">
        <v>10</v>
      </c>
      <c r="Z59" s="389" t="str">
        <f>IF($C59="","",Y59*VLOOKUP($C59,MINIPELLE!$A$2:$D$28,4,0))</f>
        <v/>
      </c>
      <c r="AA59" s="364">
        <v>10</v>
      </c>
      <c r="AB59" s="389" t="str">
        <f>IF($C59="","",AA59*VLOOKUP($C59,MINIPELLE!$A$2:$D$28,4,0))</f>
        <v/>
      </c>
      <c r="AC59" s="364">
        <v>10</v>
      </c>
      <c r="AD59" s="389" t="str">
        <f>IF($C59="","",AC59*VLOOKUP($C59,MINIPELLE!$A$2:$D$28,4,0))</f>
        <v/>
      </c>
      <c r="AE59" s="364">
        <v>10</v>
      </c>
      <c r="AF59" s="389" t="str">
        <f>IF($C59="","",AE59*VLOOKUP($C59,MINIPELLE!$A$2:$D$28,4,0))</f>
        <v/>
      </c>
      <c r="AG59" s="364">
        <v>10</v>
      </c>
      <c r="AH59" s="389" t="str">
        <f>IF($C59="","",AG59*VLOOKUP($C59,MINIPELLE!$A$2:$D$28,4,0))</f>
        <v/>
      </c>
      <c r="AI59" s="364">
        <v>10</v>
      </c>
      <c r="AJ59" s="389" t="str">
        <f>IF($C59="","",AI59*VLOOKUP($C59,MINIPELLE!$A$2:$D$28,4,0))</f>
        <v/>
      </c>
      <c r="AK59" s="364">
        <v>10</v>
      </c>
      <c r="AL59" s="389" t="str">
        <f>IF($C59="","",AK59*VLOOKUP($C59,MINIPELLE!$A$2:$D$28,4,0))</f>
        <v/>
      </c>
      <c r="AM59" s="364">
        <v>10</v>
      </c>
      <c r="AN59" s="389" t="str">
        <f>IF($C59="","",AM59*VLOOKUP($C59,MINIPELLE!$A$2:$D$28,4,0))</f>
        <v/>
      </c>
    </row>
    <row r="60" spans="1:42" ht="15" customHeight="1" x14ac:dyDescent="0.2">
      <c r="A60" s="1560"/>
      <c r="B60" s="361"/>
      <c r="C60" s="378"/>
      <c r="D60" s="363" t="str">
        <f>IF(C60="","",VLOOKUP($C60,MINIPELLE!$A$2:$C$28,3,0))</f>
        <v/>
      </c>
      <c r="E60" s="364">
        <v>11</v>
      </c>
      <c r="F60" s="389" t="str">
        <f>IF($C60="","",E60*VLOOKUP($C60,MINIPELLE!$A$2:$D$28,4,0))</f>
        <v/>
      </c>
      <c r="G60" s="364">
        <v>11</v>
      </c>
      <c r="H60" s="389" t="str">
        <f>IF($C60="","",G60*VLOOKUP($C60,MINIPELLE!$A$2:$D$28,4,0))</f>
        <v/>
      </c>
      <c r="I60" s="364">
        <v>11</v>
      </c>
      <c r="J60" s="389" t="str">
        <f>IF($C60="","",I60*VLOOKUP($C60,MINIPELLE!$A$2:$D$28,4,0))</f>
        <v/>
      </c>
      <c r="K60" s="364">
        <v>11</v>
      </c>
      <c r="L60" s="389" t="str">
        <f>IF($C60="","",K60*VLOOKUP($C60,MINIPELLE!$A$2:$D$28,4,0))</f>
        <v/>
      </c>
      <c r="M60" s="364">
        <v>11</v>
      </c>
      <c r="N60" s="389" t="str">
        <f>IF($C60="","",M60*VLOOKUP($C60,MINIPELLE!$A$2:$D$28,4,0))</f>
        <v/>
      </c>
      <c r="O60" s="364">
        <v>11</v>
      </c>
      <c r="P60" s="389" t="str">
        <f>IF($C60="","",O60*VLOOKUP($C60,MINIPELLE!$A$2:$D$28,4,0))</f>
        <v/>
      </c>
      <c r="Q60" s="364">
        <v>11</v>
      </c>
      <c r="R60" s="389" t="str">
        <f>IF($C60="","",Q60*VLOOKUP($C60,MINIPELLE!$A$2:$D$28,4,0))</f>
        <v/>
      </c>
      <c r="S60" s="364">
        <v>11</v>
      </c>
      <c r="T60" s="389" t="str">
        <f>IF($C60="","",S60*VLOOKUP($C60,MINIPELLE!$A$2:$D$28,4,0))</f>
        <v/>
      </c>
      <c r="U60" s="364">
        <v>11</v>
      </c>
      <c r="V60" s="389" t="str">
        <f>IF($C60="","",U60*VLOOKUP($C60,MINIPELLE!$A$2:$D$28,4,0))</f>
        <v/>
      </c>
      <c r="W60" s="364">
        <v>11</v>
      </c>
      <c r="X60" s="389" t="str">
        <f>IF($C60="","",W60*VLOOKUP($C60,MINIPELLE!$A$2:$D$28,4,0))</f>
        <v/>
      </c>
      <c r="Y60" s="364">
        <v>11</v>
      </c>
      <c r="Z60" s="389" t="str">
        <f>IF($C60="","",Y60*VLOOKUP($C60,MINIPELLE!$A$2:$D$28,4,0))</f>
        <v/>
      </c>
      <c r="AA60" s="364">
        <v>11</v>
      </c>
      <c r="AB60" s="389" t="str">
        <f>IF($C60="","",AA60*VLOOKUP($C60,MINIPELLE!$A$2:$D$28,4,0))</f>
        <v/>
      </c>
      <c r="AC60" s="364">
        <v>11</v>
      </c>
      <c r="AD60" s="389" t="str">
        <f>IF($C60="","",AC60*VLOOKUP($C60,MINIPELLE!$A$2:$D$28,4,0))</f>
        <v/>
      </c>
      <c r="AE60" s="364">
        <v>11</v>
      </c>
      <c r="AF60" s="389" t="str">
        <f>IF($C60="","",AE60*VLOOKUP($C60,MINIPELLE!$A$2:$D$28,4,0))</f>
        <v/>
      </c>
      <c r="AG60" s="364">
        <v>11</v>
      </c>
      <c r="AH60" s="389" t="str">
        <f>IF($C60="","",AG60*VLOOKUP($C60,MINIPELLE!$A$2:$D$28,4,0))</f>
        <v/>
      </c>
      <c r="AI60" s="364">
        <v>11</v>
      </c>
      <c r="AJ60" s="389" t="str">
        <f>IF($C60="","",AI60*VLOOKUP($C60,MINIPELLE!$A$2:$D$28,4,0))</f>
        <v/>
      </c>
      <c r="AK60" s="364">
        <v>11</v>
      </c>
      <c r="AL60" s="389" t="str">
        <f>IF($C60="","",AK60*VLOOKUP($C60,MINIPELLE!$A$2:$D$28,4,0))</f>
        <v/>
      </c>
      <c r="AM60" s="364">
        <v>11</v>
      </c>
      <c r="AN60" s="389" t="str">
        <f>IF($C60="","",AM60*VLOOKUP($C60,MINIPELLE!$A$2:$D$28,4,0))</f>
        <v/>
      </c>
    </row>
    <row r="61" spans="1:42" ht="15" customHeight="1" x14ac:dyDescent="0.2">
      <c r="A61" s="1560"/>
      <c r="B61" s="361"/>
      <c r="C61" s="378"/>
      <c r="D61" s="363" t="str">
        <f>IF(C61="","",VLOOKUP($C61,MINIPELLE!$A$2:$C$28,3,0))</f>
        <v/>
      </c>
      <c r="E61" s="364">
        <v>12</v>
      </c>
      <c r="F61" s="389" t="str">
        <f>IF($C61="","",E61*VLOOKUP($C61,MINIPELLE!$A$2:$D$28,4,0))</f>
        <v/>
      </c>
      <c r="G61" s="364">
        <v>12</v>
      </c>
      <c r="H61" s="389" t="str">
        <f>IF($C61="","",G61*VLOOKUP($C61,MINIPELLE!$A$2:$D$28,4,0))</f>
        <v/>
      </c>
      <c r="I61" s="364">
        <v>12</v>
      </c>
      <c r="J61" s="389" t="str">
        <f>IF($C61="","",I61*VLOOKUP($C61,MINIPELLE!$A$2:$D$28,4,0))</f>
        <v/>
      </c>
      <c r="K61" s="364">
        <v>12</v>
      </c>
      <c r="L61" s="389" t="str">
        <f>IF($C61="","",K61*VLOOKUP($C61,MINIPELLE!$A$2:$D$28,4,0))</f>
        <v/>
      </c>
      <c r="M61" s="364">
        <v>12</v>
      </c>
      <c r="N61" s="389" t="str">
        <f>IF($C61="","",M61*VLOOKUP($C61,MINIPELLE!$A$2:$D$28,4,0))</f>
        <v/>
      </c>
      <c r="O61" s="364">
        <v>12</v>
      </c>
      <c r="P61" s="389" t="str">
        <f>IF($C61="","",O61*VLOOKUP($C61,MINIPELLE!$A$2:$D$28,4,0))</f>
        <v/>
      </c>
      <c r="Q61" s="364">
        <v>12</v>
      </c>
      <c r="R61" s="389" t="str">
        <f>IF($C61="","",Q61*VLOOKUP($C61,MINIPELLE!$A$2:$D$28,4,0))</f>
        <v/>
      </c>
      <c r="S61" s="364">
        <v>12</v>
      </c>
      <c r="T61" s="389" t="str">
        <f>IF($C61="","",S61*VLOOKUP($C61,MINIPELLE!$A$2:$D$28,4,0))</f>
        <v/>
      </c>
      <c r="U61" s="364">
        <v>12</v>
      </c>
      <c r="V61" s="389" t="str">
        <f>IF($C61="","",U61*VLOOKUP($C61,MINIPELLE!$A$2:$D$28,4,0))</f>
        <v/>
      </c>
      <c r="W61" s="364">
        <v>12</v>
      </c>
      <c r="X61" s="389" t="str">
        <f>IF($C61="","",W61*VLOOKUP($C61,MINIPELLE!$A$2:$D$28,4,0))</f>
        <v/>
      </c>
      <c r="Y61" s="364">
        <v>12</v>
      </c>
      <c r="Z61" s="389" t="str">
        <f>IF($C61="","",Y61*VLOOKUP($C61,MINIPELLE!$A$2:$D$28,4,0))</f>
        <v/>
      </c>
      <c r="AA61" s="364">
        <v>12</v>
      </c>
      <c r="AB61" s="389" t="str">
        <f>IF($C61="","",AA61*VLOOKUP($C61,MINIPELLE!$A$2:$D$28,4,0))</f>
        <v/>
      </c>
      <c r="AC61" s="364">
        <v>12</v>
      </c>
      <c r="AD61" s="389" t="str">
        <f>IF($C61="","",AC61*VLOOKUP($C61,MINIPELLE!$A$2:$D$28,4,0))</f>
        <v/>
      </c>
      <c r="AE61" s="364">
        <v>12</v>
      </c>
      <c r="AF61" s="389" t="str">
        <f>IF($C61="","",AE61*VLOOKUP($C61,MINIPELLE!$A$2:$D$28,4,0))</f>
        <v/>
      </c>
      <c r="AG61" s="364">
        <v>12</v>
      </c>
      <c r="AH61" s="389" t="str">
        <f>IF($C61="","",AG61*VLOOKUP($C61,MINIPELLE!$A$2:$D$28,4,0))</f>
        <v/>
      </c>
      <c r="AI61" s="364">
        <v>12</v>
      </c>
      <c r="AJ61" s="389" t="str">
        <f>IF($C61="","",AI61*VLOOKUP($C61,MINIPELLE!$A$2:$D$28,4,0))</f>
        <v/>
      </c>
      <c r="AK61" s="364">
        <v>12</v>
      </c>
      <c r="AL61" s="389" t="str">
        <f>IF($C61="","",AK61*VLOOKUP($C61,MINIPELLE!$A$2:$D$28,4,0))</f>
        <v/>
      </c>
      <c r="AM61" s="364">
        <v>12</v>
      </c>
      <c r="AN61" s="389" t="str">
        <f>IF($C61="","",AM61*VLOOKUP($C61,MINIPELLE!$A$2:$D$28,4,0))</f>
        <v/>
      </c>
    </row>
    <row r="62" spans="1:42" ht="29.25" customHeight="1" x14ac:dyDescent="0.2">
      <c r="A62" s="1560"/>
      <c r="B62" s="384" t="s">
        <v>454</v>
      </c>
      <c r="C62" s="385" t="s">
        <v>455</v>
      </c>
      <c r="D62" s="386" t="s">
        <v>451</v>
      </c>
      <c r="E62" s="387">
        <f>F62*Simulation!$P$10</f>
        <v>4</v>
      </c>
      <c r="F62" s="388">
        <f>SUM(F51:F61)</f>
        <v>0.05</v>
      </c>
      <c r="G62" s="387">
        <f>H62*Simulation!$P$10</f>
        <v>4</v>
      </c>
      <c r="H62" s="388">
        <f>SUM(H51:H61)</f>
        <v>0.05</v>
      </c>
      <c r="I62" s="387">
        <f>J62*Simulation!$P$10</f>
        <v>4</v>
      </c>
      <c r="J62" s="388">
        <f>SUM(J51:J61)</f>
        <v>0.05</v>
      </c>
      <c r="K62" s="387">
        <f>L62*Simulation!$P$10</f>
        <v>4</v>
      </c>
      <c r="L62" s="388">
        <f>SUM(L51:L61)</f>
        <v>0.05</v>
      </c>
      <c r="M62" s="387">
        <f>N62*Simulation!$P$10</f>
        <v>4</v>
      </c>
      <c r="N62" s="388">
        <f>SUM(N51:N61)</f>
        <v>0.05</v>
      </c>
      <c r="O62" s="387">
        <f>P62*Simulation!$P$10</f>
        <v>4</v>
      </c>
      <c r="P62" s="388">
        <f>SUM(P51:P61)</f>
        <v>0.05</v>
      </c>
      <c r="Q62" s="387">
        <f>R62*Simulation!$P$10</f>
        <v>4</v>
      </c>
      <c r="R62" s="388">
        <f>SUM(R51:R61)</f>
        <v>0.05</v>
      </c>
      <c r="S62" s="387">
        <f>T62*Simulation!$P$10</f>
        <v>4</v>
      </c>
      <c r="T62" s="388">
        <f>SUM(T51:T61)</f>
        <v>0.05</v>
      </c>
      <c r="U62" s="387">
        <f>V62*Simulation!$P$10</f>
        <v>4</v>
      </c>
      <c r="V62" s="388">
        <f>SUM(V51:V61)</f>
        <v>0.05</v>
      </c>
      <c r="W62" s="387">
        <f>X62*Simulation!$P$10</f>
        <v>4</v>
      </c>
      <c r="X62" s="388">
        <f>SUM(X51:X61)</f>
        <v>0.05</v>
      </c>
      <c r="Y62" s="387">
        <f>Z62*Simulation!$P$10</f>
        <v>4</v>
      </c>
      <c r="Z62" s="388">
        <f>SUM(Z51:Z61)</f>
        <v>0.05</v>
      </c>
      <c r="AA62" s="387">
        <f>AB62*Simulation!$P$10</f>
        <v>4</v>
      </c>
      <c r="AB62" s="388">
        <f>SUM(AB51:AB61)</f>
        <v>0.05</v>
      </c>
      <c r="AC62" s="387">
        <f>AD62*Simulation!$P$10</f>
        <v>4</v>
      </c>
      <c r="AD62" s="388">
        <f>SUM(AD51:AD61)</f>
        <v>0.05</v>
      </c>
      <c r="AE62" s="387">
        <f>AF62*Simulation!$P$10</f>
        <v>4</v>
      </c>
      <c r="AF62" s="388">
        <f>SUM(AF51:AF61)</f>
        <v>0.05</v>
      </c>
      <c r="AG62" s="387">
        <f>AH62*Simulation!$P$10</f>
        <v>4</v>
      </c>
      <c r="AH62" s="388">
        <f>SUM(AH51:AH61)</f>
        <v>0.05</v>
      </c>
      <c r="AI62" s="387">
        <f>AJ62*Simulation!$P$10</f>
        <v>4</v>
      </c>
      <c r="AJ62" s="388">
        <f>SUM(AJ51:AJ61)</f>
        <v>0.05</v>
      </c>
      <c r="AK62" s="387">
        <f>AL62*Simulation!$P$10</f>
        <v>4</v>
      </c>
      <c r="AL62" s="388">
        <f>SUM(AL51:AL61)</f>
        <v>0.05</v>
      </c>
      <c r="AM62" s="387">
        <f>AN62*Simulation!$P$10</f>
        <v>4</v>
      </c>
      <c r="AN62" s="388">
        <f>SUM(AN51:AN61)</f>
        <v>0.05</v>
      </c>
    </row>
    <row r="63" spans="1:42" x14ac:dyDescent="0.2">
      <c r="A63" s="199"/>
      <c r="B63" s="172"/>
      <c r="C63" s="200"/>
      <c r="D63" s="201"/>
      <c r="E63" s="202"/>
      <c r="F63" s="203"/>
      <c r="G63" s="202"/>
      <c r="H63" s="203"/>
      <c r="I63" s="202"/>
      <c r="J63" s="203"/>
      <c r="K63" s="202"/>
      <c r="L63" s="203"/>
      <c r="M63" s="202"/>
      <c r="N63" s="203"/>
      <c r="O63" s="202"/>
      <c r="P63" s="203"/>
      <c r="Q63" s="202"/>
      <c r="R63" s="203"/>
      <c r="S63" s="202"/>
      <c r="T63" s="203"/>
      <c r="U63" s="202"/>
      <c r="V63" s="203"/>
      <c r="W63" s="202"/>
      <c r="X63" s="203"/>
      <c r="Y63" s="202"/>
      <c r="Z63" s="203"/>
      <c r="AA63" s="202"/>
      <c r="AB63" s="203"/>
      <c r="AC63" s="202"/>
      <c r="AD63" s="203"/>
      <c r="AE63" s="202"/>
      <c r="AF63" s="203"/>
      <c r="AG63" s="202"/>
      <c r="AH63" s="203"/>
      <c r="AI63" s="202"/>
      <c r="AJ63" s="203"/>
      <c r="AK63" s="202"/>
      <c r="AL63" s="203"/>
      <c r="AM63" s="202"/>
      <c r="AN63" s="203"/>
    </row>
    <row r="64" spans="1:42" ht="36" customHeight="1" x14ac:dyDescent="0.2">
      <c r="A64" s="204"/>
      <c r="B64" s="1561" t="s">
        <v>456</v>
      </c>
      <c r="C64" s="1564" t="s">
        <v>445</v>
      </c>
      <c r="D64" s="1564"/>
      <c r="E64" s="1547" t="e">
        <f>E62+E50+E38+E26</f>
        <v>#N/A</v>
      </c>
      <c r="F64" s="1547"/>
      <c r="G64" s="1547" t="e">
        <f>G62+G50+G38+G26</f>
        <v>#N/A</v>
      </c>
      <c r="H64" s="1547"/>
      <c r="I64" s="1547" t="e">
        <f>I62+I50+I38+I26</f>
        <v>#N/A</v>
      </c>
      <c r="J64" s="1547"/>
      <c r="K64" s="1547" t="e">
        <f>K62+K50+K38+K26</f>
        <v>#N/A</v>
      </c>
      <c r="L64" s="1547"/>
      <c r="M64" s="1547" t="e">
        <f>M62+M50+M38+M26</f>
        <v>#N/A</v>
      </c>
      <c r="N64" s="1547"/>
      <c r="O64" s="1547" t="e">
        <f>O62+O50+O38+O26</f>
        <v>#N/A</v>
      </c>
      <c r="P64" s="1547"/>
      <c r="Q64" s="1547" t="e">
        <f>Q62+Q50+Q38+Q26</f>
        <v>#N/A</v>
      </c>
      <c r="R64" s="1547"/>
      <c r="S64" s="1547" t="e">
        <f>S62+S50+S38+S26</f>
        <v>#N/A</v>
      </c>
      <c r="T64" s="1547"/>
      <c r="U64" s="1547" t="e">
        <f>U62+U50+U38+U26</f>
        <v>#N/A</v>
      </c>
      <c r="V64" s="1547"/>
      <c r="W64" s="1547" t="e">
        <f>W62+W50+W38+W26</f>
        <v>#N/A</v>
      </c>
      <c r="X64" s="1547"/>
      <c r="Y64" s="1547" t="e">
        <f>Y62+Y50+Y38+Y26</f>
        <v>#N/A</v>
      </c>
      <c r="Z64" s="1547"/>
      <c r="AA64" s="1547" t="e">
        <f>AA62+AA50+AA38+AA26</f>
        <v>#N/A</v>
      </c>
      <c r="AB64" s="1547"/>
      <c r="AC64" s="1547" t="e">
        <f>AC62+AC50+AC38+AC26</f>
        <v>#N/A</v>
      </c>
      <c r="AD64" s="1547"/>
      <c r="AE64" s="1547" t="e">
        <f>AE62+AE50+AE38+AE26</f>
        <v>#N/A</v>
      </c>
      <c r="AF64" s="1547"/>
      <c r="AG64" s="1547" t="e">
        <f>AG62+AG50+AG38+AG26</f>
        <v>#N/A</v>
      </c>
      <c r="AH64" s="1547"/>
      <c r="AI64" s="1547" t="e">
        <f>AI62+AI50+AI38+AI26</f>
        <v>#N/A</v>
      </c>
      <c r="AJ64" s="1547"/>
      <c r="AK64" s="1547" t="e">
        <f>AK62+AK50+AK38+AK26</f>
        <v>#N/A</v>
      </c>
      <c r="AL64" s="1547"/>
      <c r="AM64" s="1547" t="e">
        <f>AM62+AM50+AM38+AM26</f>
        <v>#N/A</v>
      </c>
      <c r="AN64" s="1547"/>
    </row>
    <row r="65" spans="1:42" ht="18" customHeight="1" x14ac:dyDescent="0.2">
      <c r="A65" s="154"/>
      <c r="B65" s="1562"/>
      <c r="C65" s="1565" t="s">
        <v>457</v>
      </c>
      <c r="D65" s="1565"/>
      <c r="E65" s="149">
        <f>E26-F26</f>
        <v>0</v>
      </c>
      <c r="F65" s="207" t="e">
        <f>E65/E$64</f>
        <v>#N/A</v>
      </c>
      <c r="G65" s="149">
        <f>G26-H26</f>
        <v>0</v>
      </c>
      <c r="H65" s="207" t="e">
        <f>G65/G$64</f>
        <v>#N/A</v>
      </c>
      <c r="I65" s="149">
        <f>I26-J26</f>
        <v>0</v>
      </c>
      <c r="J65" s="207" t="e">
        <f>I65/I$64</f>
        <v>#N/A</v>
      </c>
      <c r="K65" s="149">
        <f>K26-L26</f>
        <v>0</v>
      </c>
      <c r="L65" s="207" t="e">
        <f>K65/K$64</f>
        <v>#N/A</v>
      </c>
      <c r="M65" s="149">
        <f>M26-N26</f>
        <v>0</v>
      </c>
      <c r="N65" s="207" t="e">
        <f>M65/M$64</f>
        <v>#N/A</v>
      </c>
      <c r="O65" s="149">
        <f>O26-P26</f>
        <v>0</v>
      </c>
      <c r="P65" s="207" t="e">
        <f>O65/O$64</f>
        <v>#N/A</v>
      </c>
      <c r="Q65" s="149">
        <f>Q26-R26</f>
        <v>0</v>
      </c>
      <c r="R65" s="207" t="e">
        <f>Q65/Q$64</f>
        <v>#N/A</v>
      </c>
      <c r="S65" s="149">
        <f>S26-T26</f>
        <v>0</v>
      </c>
      <c r="T65" s="207" t="e">
        <f>S65/S$64</f>
        <v>#N/A</v>
      </c>
      <c r="U65" s="149">
        <f>U26-V26</f>
        <v>0</v>
      </c>
      <c r="V65" s="207" t="e">
        <f>U65/U$64</f>
        <v>#N/A</v>
      </c>
      <c r="W65" s="149">
        <f>W26-X26</f>
        <v>0</v>
      </c>
      <c r="X65" s="207" t="e">
        <f>W65/W$64</f>
        <v>#N/A</v>
      </c>
      <c r="Y65" s="149">
        <f>Y26-Z26</f>
        <v>0</v>
      </c>
      <c r="Z65" s="207" t="e">
        <f>Y65/Y$64</f>
        <v>#N/A</v>
      </c>
      <c r="AA65" s="149">
        <f>AA26-AB26</f>
        <v>0</v>
      </c>
      <c r="AB65" s="207" t="e">
        <f>AA65/AA$64</f>
        <v>#N/A</v>
      </c>
      <c r="AC65" s="149">
        <f>AC26-AD26</f>
        <v>0</v>
      </c>
      <c r="AD65" s="207" t="e">
        <f>AC65/AC$64</f>
        <v>#N/A</v>
      </c>
      <c r="AE65" s="149">
        <f>AE26-AF26</f>
        <v>0</v>
      </c>
      <c r="AF65" s="207" t="e">
        <f>AE65/AE$64</f>
        <v>#N/A</v>
      </c>
      <c r="AG65" s="149">
        <f>AG26-AH26</f>
        <v>0</v>
      </c>
      <c r="AH65" s="207" t="e">
        <f>AG65/AG$64</f>
        <v>#N/A</v>
      </c>
      <c r="AI65" s="149">
        <f>AI26-AJ26</f>
        <v>0</v>
      </c>
      <c r="AJ65" s="207" t="e">
        <f>AI65/AI$64</f>
        <v>#N/A</v>
      </c>
      <c r="AK65" s="149">
        <f>AK26-AL26</f>
        <v>0</v>
      </c>
      <c r="AL65" s="207" t="e">
        <f>AK65/AK$64</f>
        <v>#N/A</v>
      </c>
      <c r="AM65" s="149">
        <f>AM26-AN26</f>
        <v>0</v>
      </c>
      <c r="AN65" s="207" t="e">
        <f>AM65/AM$64</f>
        <v>#N/A</v>
      </c>
    </row>
    <row r="66" spans="1:42" ht="18" customHeight="1" x14ac:dyDescent="0.2">
      <c r="A66" s="154"/>
      <c r="B66" s="1562"/>
      <c r="C66" s="1565" t="s">
        <v>9</v>
      </c>
      <c r="D66" s="1565"/>
      <c r="E66" s="149">
        <f>E26</f>
        <v>0</v>
      </c>
      <c r="F66" s="207" t="e">
        <f>E66/E$64</f>
        <v>#N/A</v>
      </c>
      <c r="G66" s="149">
        <f>G26</f>
        <v>0</v>
      </c>
      <c r="H66" s="207" t="e">
        <f>G66/G$64</f>
        <v>#N/A</v>
      </c>
      <c r="I66" s="149">
        <f>I26</f>
        <v>0</v>
      </c>
      <c r="J66" s="207" t="e">
        <f>I66/I$64</f>
        <v>#N/A</v>
      </c>
      <c r="K66" s="149">
        <f>K26</f>
        <v>0</v>
      </c>
      <c r="L66" s="207" t="e">
        <f>K66/K$64</f>
        <v>#N/A</v>
      </c>
      <c r="M66" s="149">
        <f>M26</f>
        <v>0</v>
      </c>
      <c r="N66" s="207" t="e">
        <f>M66/M$64</f>
        <v>#N/A</v>
      </c>
      <c r="O66" s="149">
        <f>O26</f>
        <v>0</v>
      </c>
      <c r="P66" s="207" t="e">
        <f>O66/O$64</f>
        <v>#N/A</v>
      </c>
      <c r="Q66" s="149">
        <f>Q26</f>
        <v>0</v>
      </c>
      <c r="R66" s="207" t="e">
        <f>Q66/Q$64</f>
        <v>#N/A</v>
      </c>
      <c r="S66" s="149">
        <f>S26</f>
        <v>0</v>
      </c>
      <c r="T66" s="207" t="e">
        <f>S66/S$64</f>
        <v>#N/A</v>
      </c>
      <c r="U66" s="149">
        <f>U26</f>
        <v>0</v>
      </c>
      <c r="V66" s="207" t="e">
        <f>U66/U$64</f>
        <v>#N/A</v>
      </c>
      <c r="W66" s="149">
        <f>W26</f>
        <v>0</v>
      </c>
      <c r="X66" s="207" t="e">
        <f>W66/W$64</f>
        <v>#N/A</v>
      </c>
      <c r="Y66" s="149">
        <f>Y26</f>
        <v>0</v>
      </c>
      <c r="Z66" s="207" t="e">
        <f>Y66/Y$64</f>
        <v>#N/A</v>
      </c>
      <c r="AA66" s="149">
        <f>AA26</f>
        <v>0</v>
      </c>
      <c r="AB66" s="207" t="e">
        <f>AA66/AA$64</f>
        <v>#N/A</v>
      </c>
      <c r="AC66" s="149">
        <f>AC26</f>
        <v>0</v>
      </c>
      <c r="AD66" s="207" t="e">
        <f>AC66/AC$64</f>
        <v>#N/A</v>
      </c>
      <c r="AE66" s="149">
        <f>AE26</f>
        <v>0</v>
      </c>
      <c r="AF66" s="207" t="e">
        <f>AE66/AE$64</f>
        <v>#N/A</v>
      </c>
      <c r="AG66" s="149">
        <f>AG26</f>
        <v>0</v>
      </c>
      <c r="AH66" s="207" t="e">
        <f>AG66/AG$64</f>
        <v>#N/A</v>
      </c>
      <c r="AI66" s="149">
        <f>AI26</f>
        <v>0</v>
      </c>
      <c r="AJ66" s="207" t="e">
        <f>AI66/AI$64</f>
        <v>#N/A</v>
      </c>
      <c r="AK66" s="149">
        <f>AK26</f>
        <v>0</v>
      </c>
      <c r="AL66" s="207" t="e">
        <f>AK66/AK$64</f>
        <v>#N/A</v>
      </c>
      <c r="AM66" s="149">
        <f>AM26</f>
        <v>0</v>
      </c>
      <c r="AN66" s="207" t="e">
        <f>AM66/AM$64</f>
        <v>#N/A</v>
      </c>
    </row>
    <row r="67" spans="1:42" ht="18" customHeight="1" x14ac:dyDescent="0.2">
      <c r="A67" s="154"/>
      <c r="B67" s="1562"/>
      <c r="C67" s="1565" t="s">
        <v>458</v>
      </c>
      <c r="D67" s="1565"/>
      <c r="E67" s="149" t="e">
        <f>E38</f>
        <v>#N/A</v>
      </c>
      <c r="F67" s="207" t="e">
        <f>E67/E$64</f>
        <v>#N/A</v>
      </c>
      <c r="G67" s="149" t="e">
        <f>G38</f>
        <v>#N/A</v>
      </c>
      <c r="H67" s="207" t="e">
        <f>G67/G$64</f>
        <v>#N/A</v>
      </c>
      <c r="I67" s="149" t="e">
        <f>I38</f>
        <v>#N/A</v>
      </c>
      <c r="J67" s="207" t="e">
        <f>I67/I$64</f>
        <v>#N/A</v>
      </c>
      <c r="K67" s="149" t="e">
        <f>K38</f>
        <v>#N/A</v>
      </c>
      <c r="L67" s="207" t="e">
        <f>K67/K$64</f>
        <v>#N/A</v>
      </c>
      <c r="M67" s="149" t="e">
        <f>M38</f>
        <v>#N/A</v>
      </c>
      <c r="N67" s="207" t="e">
        <f>M67/M$64</f>
        <v>#N/A</v>
      </c>
      <c r="O67" s="149" t="e">
        <f>O38</f>
        <v>#N/A</v>
      </c>
      <c r="P67" s="207" t="e">
        <f>O67/O$64</f>
        <v>#N/A</v>
      </c>
      <c r="Q67" s="149" t="e">
        <f>Q38</f>
        <v>#N/A</v>
      </c>
      <c r="R67" s="207" t="e">
        <f>Q67/Q$64</f>
        <v>#N/A</v>
      </c>
      <c r="S67" s="149" t="e">
        <f>S38</f>
        <v>#N/A</v>
      </c>
      <c r="T67" s="207" t="e">
        <f>S67/S$64</f>
        <v>#N/A</v>
      </c>
      <c r="U67" s="149" t="e">
        <f>U38</f>
        <v>#N/A</v>
      </c>
      <c r="V67" s="207" t="e">
        <f>U67/U$64</f>
        <v>#N/A</v>
      </c>
      <c r="W67" s="149" t="e">
        <f>W38</f>
        <v>#N/A</v>
      </c>
      <c r="X67" s="207" t="e">
        <f>W67/W$64</f>
        <v>#N/A</v>
      </c>
      <c r="Y67" s="149" t="e">
        <f>Y38</f>
        <v>#N/A</v>
      </c>
      <c r="Z67" s="207" t="e">
        <f>Y67/Y$64</f>
        <v>#N/A</v>
      </c>
      <c r="AA67" s="149" t="e">
        <f>AA38</f>
        <v>#N/A</v>
      </c>
      <c r="AB67" s="207" t="e">
        <f>AA67/AA$64</f>
        <v>#N/A</v>
      </c>
      <c r="AC67" s="149" t="e">
        <f>AC38</f>
        <v>#N/A</v>
      </c>
      <c r="AD67" s="207" t="e">
        <f>AC67/AC$64</f>
        <v>#N/A</v>
      </c>
      <c r="AE67" s="149" t="e">
        <f>AE38</f>
        <v>#N/A</v>
      </c>
      <c r="AF67" s="207" t="e">
        <f>AE67/AE$64</f>
        <v>#N/A</v>
      </c>
      <c r="AG67" s="149" t="e">
        <f>AG38</f>
        <v>#N/A</v>
      </c>
      <c r="AH67" s="207" t="e">
        <f>AG67/AG$64</f>
        <v>#N/A</v>
      </c>
      <c r="AI67" s="149" t="e">
        <f>AI38</f>
        <v>#N/A</v>
      </c>
      <c r="AJ67" s="207" t="e">
        <f>AI67/AI$64</f>
        <v>#N/A</v>
      </c>
      <c r="AK67" s="149" t="e">
        <f>AK38</f>
        <v>#N/A</v>
      </c>
      <c r="AL67" s="207" t="e">
        <f>AK67/AK$64</f>
        <v>#N/A</v>
      </c>
      <c r="AM67" s="149" t="e">
        <f>AM38</f>
        <v>#N/A</v>
      </c>
      <c r="AN67" s="207" t="e">
        <f>AM67/AM$64</f>
        <v>#N/A</v>
      </c>
    </row>
    <row r="68" spans="1:42" ht="18" customHeight="1" x14ac:dyDescent="0.2">
      <c r="A68" s="154"/>
      <c r="B68" s="1562"/>
      <c r="C68" s="1565" t="s">
        <v>459</v>
      </c>
      <c r="D68" s="1565"/>
      <c r="E68" s="149">
        <f>E50</f>
        <v>11.25</v>
      </c>
      <c r="F68" s="207" t="e">
        <f>E68/E$64</f>
        <v>#N/A</v>
      </c>
      <c r="G68" s="149">
        <f>G50</f>
        <v>22.5</v>
      </c>
      <c r="H68" s="207" t="e">
        <f>G68/G$64</f>
        <v>#N/A</v>
      </c>
      <c r="I68" s="149">
        <f>I50</f>
        <v>33.75</v>
      </c>
      <c r="J68" s="207" t="e">
        <f>I68/I$64</f>
        <v>#N/A</v>
      </c>
      <c r="K68" s="149">
        <f>K50</f>
        <v>45</v>
      </c>
      <c r="L68" s="207" t="e">
        <f>K68/K$64</f>
        <v>#N/A</v>
      </c>
      <c r="M68" s="149">
        <f>M50</f>
        <v>56.25</v>
      </c>
      <c r="N68" s="207" t="e">
        <f>M68/M$64</f>
        <v>#N/A</v>
      </c>
      <c r="O68" s="149">
        <f>O50</f>
        <v>67.5</v>
      </c>
      <c r="P68" s="207" t="e">
        <f>O68/O$64</f>
        <v>#N/A</v>
      </c>
      <c r="Q68" s="149">
        <f>Q50</f>
        <v>78.75</v>
      </c>
      <c r="R68" s="207" t="e">
        <f>Q68/Q$64</f>
        <v>#N/A</v>
      </c>
      <c r="S68" s="149">
        <f>S50</f>
        <v>90</v>
      </c>
      <c r="T68" s="207" t="e">
        <f>S68/S$64</f>
        <v>#N/A</v>
      </c>
      <c r="U68" s="149">
        <f>U50</f>
        <v>101.25</v>
      </c>
      <c r="V68" s="207" t="e">
        <f>U68/U$64</f>
        <v>#N/A</v>
      </c>
      <c r="W68" s="149">
        <f>W50</f>
        <v>112.5</v>
      </c>
      <c r="X68" s="207" t="e">
        <f>W68/W$64</f>
        <v>#N/A</v>
      </c>
      <c r="Y68" s="149">
        <f>Y50</f>
        <v>123.75</v>
      </c>
      <c r="Z68" s="207" t="e">
        <f>Y68/Y$64</f>
        <v>#N/A</v>
      </c>
      <c r="AA68" s="149">
        <f>AA50</f>
        <v>135</v>
      </c>
      <c r="AB68" s="207" t="e">
        <f>AA68/AA$64</f>
        <v>#N/A</v>
      </c>
      <c r="AC68" s="149">
        <f>AC50</f>
        <v>146.25</v>
      </c>
      <c r="AD68" s="207" t="e">
        <f>AC68/AC$64</f>
        <v>#N/A</v>
      </c>
      <c r="AE68" s="149">
        <f>AE50</f>
        <v>157.5</v>
      </c>
      <c r="AF68" s="207" t="e">
        <f>AE68/AE$64</f>
        <v>#N/A</v>
      </c>
      <c r="AG68" s="149">
        <f>AG50</f>
        <v>168.75</v>
      </c>
      <c r="AH68" s="207" t="e">
        <f>AG68/AG$64</f>
        <v>#N/A</v>
      </c>
      <c r="AI68" s="149">
        <f>AI50</f>
        <v>180</v>
      </c>
      <c r="AJ68" s="207" t="e">
        <f>AI68/AI$64</f>
        <v>#N/A</v>
      </c>
      <c r="AK68" s="149">
        <f>AK50</f>
        <v>191.25</v>
      </c>
      <c r="AL68" s="207" t="e">
        <f>AK68/AK$64</f>
        <v>#N/A</v>
      </c>
      <c r="AM68" s="149">
        <f>AM50</f>
        <v>202.5</v>
      </c>
      <c r="AN68" s="207" t="e">
        <f>AM68/AM$64</f>
        <v>#N/A</v>
      </c>
    </row>
    <row r="69" spans="1:42" ht="18" customHeight="1" x14ac:dyDescent="0.2">
      <c r="A69" s="154"/>
      <c r="B69" s="1563"/>
      <c r="C69" s="1565" t="s">
        <v>5</v>
      </c>
      <c r="D69" s="1565"/>
      <c r="E69" s="149">
        <f>E62</f>
        <v>4</v>
      </c>
      <c r="F69" s="207" t="e">
        <f>E69/E$64</f>
        <v>#N/A</v>
      </c>
      <c r="G69" s="149">
        <f>G62</f>
        <v>4</v>
      </c>
      <c r="H69" s="207" t="e">
        <f>G69/G$64</f>
        <v>#N/A</v>
      </c>
      <c r="I69" s="149">
        <f>I62</f>
        <v>4</v>
      </c>
      <c r="J69" s="207" t="e">
        <f>I69/I$64</f>
        <v>#N/A</v>
      </c>
      <c r="K69" s="149">
        <f>K62</f>
        <v>4</v>
      </c>
      <c r="L69" s="207" t="e">
        <f>K69/K$64</f>
        <v>#N/A</v>
      </c>
      <c r="M69" s="149">
        <f>M62</f>
        <v>4</v>
      </c>
      <c r="N69" s="207" t="e">
        <f>M69/M$64</f>
        <v>#N/A</v>
      </c>
      <c r="O69" s="149">
        <f>O62</f>
        <v>4</v>
      </c>
      <c r="P69" s="207" t="e">
        <f>O69/O$64</f>
        <v>#N/A</v>
      </c>
      <c r="Q69" s="149">
        <f>Q62</f>
        <v>4</v>
      </c>
      <c r="R69" s="207" t="e">
        <f>Q69/Q$64</f>
        <v>#N/A</v>
      </c>
      <c r="S69" s="149">
        <f>S62</f>
        <v>4</v>
      </c>
      <c r="T69" s="207" t="e">
        <f>S69/S$64</f>
        <v>#N/A</v>
      </c>
      <c r="U69" s="149">
        <f>U62</f>
        <v>4</v>
      </c>
      <c r="V69" s="207" t="e">
        <f>U69/U$64</f>
        <v>#N/A</v>
      </c>
      <c r="W69" s="149">
        <f>W62</f>
        <v>4</v>
      </c>
      <c r="X69" s="207" t="e">
        <f>W69/W$64</f>
        <v>#N/A</v>
      </c>
      <c r="Y69" s="149">
        <f>Y62</f>
        <v>4</v>
      </c>
      <c r="Z69" s="207" t="e">
        <f>Y69/Y$64</f>
        <v>#N/A</v>
      </c>
      <c r="AA69" s="149">
        <f>AA62</f>
        <v>4</v>
      </c>
      <c r="AB69" s="207" t="e">
        <f>AA69/AA$64</f>
        <v>#N/A</v>
      </c>
      <c r="AC69" s="149">
        <f>AC62</f>
        <v>4</v>
      </c>
      <c r="AD69" s="207" t="e">
        <f>AC69/AC$64</f>
        <v>#N/A</v>
      </c>
      <c r="AE69" s="149">
        <f>AE62</f>
        <v>4</v>
      </c>
      <c r="AF69" s="207" t="e">
        <f>AE69/AE$64</f>
        <v>#N/A</v>
      </c>
      <c r="AG69" s="149">
        <f>AG62</f>
        <v>4</v>
      </c>
      <c r="AH69" s="207" t="e">
        <f>AG69/AG$64</f>
        <v>#N/A</v>
      </c>
      <c r="AI69" s="149">
        <f>AI62</f>
        <v>4</v>
      </c>
      <c r="AJ69" s="207" t="e">
        <f>AI69/AI$64</f>
        <v>#N/A</v>
      </c>
      <c r="AK69" s="149">
        <f>AK62</f>
        <v>4</v>
      </c>
      <c r="AL69" s="207" t="e">
        <f>AK69/AK$64</f>
        <v>#N/A</v>
      </c>
      <c r="AM69" s="149">
        <f>AM62</f>
        <v>4</v>
      </c>
      <c r="AN69" s="207" t="e">
        <f>AM69/AM$64</f>
        <v>#N/A</v>
      </c>
    </row>
    <row r="70" spans="1:42" x14ac:dyDescent="0.2">
      <c r="A70" s="154"/>
      <c r="B70" s="172"/>
      <c r="C70" s="154"/>
      <c r="D70" s="227"/>
      <c r="E70" s="154"/>
      <c r="F70" s="154"/>
      <c r="G70" s="154"/>
      <c r="H70" s="154"/>
      <c r="I70" s="154"/>
      <c r="J70" s="154"/>
      <c r="K70" s="154"/>
      <c r="L70" s="154"/>
      <c r="M70" s="154"/>
      <c r="N70" s="154"/>
      <c r="O70" s="154"/>
      <c r="P70" s="154"/>
      <c r="Q70" s="228"/>
      <c r="R70" s="229"/>
      <c r="S70" s="154"/>
      <c r="T70" s="230"/>
      <c r="U70" s="154"/>
      <c r="V70" s="154"/>
      <c r="W70" s="154"/>
      <c r="X70" s="154"/>
      <c r="Y70" s="154"/>
      <c r="Z70" s="154"/>
      <c r="AA70" s="154"/>
      <c r="AB70" s="154"/>
      <c r="AC70" s="154"/>
      <c r="AD70" s="154"/>
      <c r="AE70" s="154"/>
      <c r="AF70" s="154"/>
      <c r="AG70" s="154"/>
      <c r="AH70" s="154"/>
      <c r="AI70" s="154"/>
      <c r="AJ70" s="154"/>
      <c r="AK70" s="154"/>
      <c r="AL70" s="154"/>
      <c r="AM70" s="154"/>
      <c r="AN70" s="154"/>
      <c r="AO70" s="154"/>
      <c r="AP70" s="154"/>
    </row>
    <row r="71" spans="1:42" x14ac:dyDescent="0.2">
      <c r="A71" s="154"/>
      <c r="B71" s="172"/>
      <c r="C71" s="154"/>
      <c r="D71" s="227"/>
      <c r="E71" s="154"/>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c r="AD71" s="154"/>
      <c r="AE71" s="154"/>
      <c r="AF71" s="154"/>
      <c r="AG71" s="154"/>
      <c r="AH71" s="154"/>
      <c r="AI71" s="154"/>
      <c r="AJ71" s="154"/>
      <c r="AK71" s="154"/>
      <c r="AL71" s="154"/>
      <c r="AM71" s="154"/>
      <c r="AN71" s="154"/>
      <c r="AO71" s="154"/>
      <c r="AP71" s="154"/>
    </row>
    <row r="72" spans="1:42" ht="36" x14ac:dyDescent="0.2">
      <c r="A72" s="154"/>
      <c r="B72" s="1375" t="s">
        <v>1462</v>
      </c>
      <c r="C72" s="1568" t="s">
        <v>1463</v>
      </c>
      <c r="D72" s="1569"/>
      <c r="E72" s="149" t="e">
        <f>(VLOOKUP("Prix HT",$C$1:$N$64,E$1,0))-(VLOOKUP("Non margé",$D$1:$N$64,E$1,0))</f>
        <v>#N/A</v>
      </c>
      <c r="F72" s="207" t="e">
        <f>E72/VLOOKUP("Prix HT",$C$1:$N$64,E$1,0)</f>
        <v>#N/A</v>
      </c>
      <c r="G72" s="149" t="e">
        <f>(VLOOKUP("Prix HT",$C$1:$N$64,G$1,0))-(VLOOKUP("Non margé",$D$1:$N$64,G$1,0))</f>
        <v>#N/A</v>
      </c>
      <c r="H72" s="207" t="e">
        <f>G72/VLOOKUP("Prix HT",$C$1:$N$64,G$1,0)</f>
        <v>#N/A</v>
      </c>
      <c r="I72" s="149" t="e">
        <f>(VLOOKUP("Prix HT",$C$1:$N$64,I$1,0))-(VLOOKUP("Non margé",$D$1:$N$64,I$1,0))</f>
        <v>#N/A</v>
      </c>
      <c r="J72" s="207" t="e">
        <f>I72/VLOOKUP("Prix HT",$C$1:$N$64,I$1,0)</f>
        <v>#N/A</v>
      </c>
      <c r="K72" s="149" t="e">
        <f>(VLOOKUP("Prix HT",$C$1:$N$64,K$1,0))-(VLOOKUP("Non margé",$D$1:$N$64,K$1,0))</f>
        <v>#N/A</v>
      </c>
      <c r="L72" s="207" t="e">
        <f>K72/VLOOKUP("Prix HT",$C$1:$N$64,K$1,0)</f>
        <v>#N/A</v>
      </c>
      <c r="M72" s="149" t="e">
        <f>(VLOOKUP("Prix HT",$C$1:$N$64,M$1,0))-(VLOOKUP("Non margé",$D$1:$N$64,M$1,0))</f>
        <v>#N/A</v>
      </c>
      <c r="N72" s="207" t="e">
        <f>M72/VLOOKUP("Prix HT",$C$1:$N$64,M$1,0)</f>
        <v>#N/A</v>
      </c>
      <c r="O72" s="149" t="e">
        <f>(VLOOKUP("Prix HT",$C$1:$AN$64,O$1,0))-(VLOOKUP("Non margé",$D$1:$AN$64,O$1,0))</f>
        <v>#N/A</v>
      </c>
      <c r="P72" s="207" t="e">
        <f>O72/VLOOKUP("Prix HT",$C$1:$AN$64,O$1,0)</f>
        <v>#N/A</v>
      </c>
      <c r="Q72" s="149" t="e">
        <f>(VLOOKUP("Prix HT",$C$1:$AN$64,Q$1,0))-(VLOOKUP("Non margé",$D$1:$AN$64,Q$1,0))</f>
        <v>#N/A</v>
      </c>
      <c r="R72" s="207" t="e">
        <f>Q72/VLOOKUP("Prix HT",$C$1:$AN$64,Q$1,0)</f>
        <v>#N/A</v>
      </c>
      <c r="S72" s="149" t="e">
        <f>(VLOOKUP("Prix HT",$C$1:$AN$64,S$1,0))-(VLOOKUP("Non margé",$D$1:$AN$64,S$1,0))</f>
        <v>#N/A</v>
      </c>
      <c r="T72" s="207" t="e">
        <f>S72/VLOOKUP("Prix HT",$C$1:$AN$64,S$1,0)</f>
        <v>#N/A</v>
      </c>
      <c r="U72" s="149" t="e">
        <f>(VLOOKUP("Prix HT",$C$1:$AN$64,U$1,0))-(VLOOKUP("Non margé",$D$1:$AN$64,U$1,0))</f>
        <v>#N/A</v>
      </c>
      <c r="V72" s="207" t="e">
        <f>U72/VLOOKUP("Prix HT",$C$1:$AN$64,U$1,0)</f>
        <v>#N/A</v>
      </c>
      <c r="W72" s="149" t="e">
        <f>(VLOOKUP("Prix HT",$C$1:$AN$64,W$1,0))-(VLOOKUP("Non margé",$D$1:$AN$64,W$1,0))</f>
        <v>#N/A</v>
      </c>
      <c r="X72" s="207" t="e">
        <f>W72/VLOOKUP("Prix HT",$C$1:$AN$64,W$1,0)</f>
        <v>#N/A</v>
      </c>
      <c r="Y72" s="149" t="e">
        <f>(VLOOKUP("Prix HT",$C$1:$AN$64,Y$1,0))-(VLOOKUP("Non margé",$D$1:$AN$64,Y$1,0))</f>
        <v>#N/A</v>
      </c>
      <c r="Z72" s="207" t="e">
        <f>Y72/VLOOKUP("Prix HT",$C$1:$AN$64,Y$1,0)</f>
        <v>#N/A</v>
      </c>
      <c r="AA72" s="149" t="e">
        <f>(VLOOKUP("Prix HT",$C$1:$AN$64,AA$1,0))-(VLOOKUP("Non margé",$D$1:$AN$64,AA$1,0))</f>
        <v>#N/A</v>
      </c>
      <c r="AB72" s="207" t="e">
        <f>AA72/VLOOKUP("Prix HT",$C$1:$AN$64,AA$1,0)</f>
        <v>#N/A</v>
      </c>
      <c r="AC72" s="149" t="e">
        <f>(VLOOKUP("Prix HT",$C$1:$AN$64,AC$1,0))-(VLOOKUP("Non margé",$D$1:$AN$64,AC$1,0))</f>
        <v>#N/A</v>
      </c>
      <c r="AD72" s="207" t="e">
        <f>AC72/VLOOKUP("Prix HT",$C$1:$AN$64,AC$1,0)</f>
        <v>#N/A</v>
      </c>
      <c r="AE72" s="149" t="e">
        <f>(VLOOKUP("Prix HT",$C$1:$AN$64,AE$1,0))-(VLOOKUP("Non margé",$D$1:$AN$64,AE$1,0))</f>
        <v>#N/A</v>
      </c>
      <c r="AF72" s="207" t="e">
        <f>AE72/VLOOKUP("Prix HT",$C$1:$AN$64,AE$1,0)</f>
        <v>#N/A</v>
      </c>
      <c r="AG72" s="149" t="e">
        <f>(VLOOKUP("Prix HT",$C$1:$AN$64,AG$1,0))-(VLOOKUP("Non margé",$D$1:$AN$64,AG$1,0))</f>
        <v>#N/A</v>
      </c>
      <c r="AH72" s="207" t="e">
        <f>AG72/VLOOKUP("Prix HT",$C$1:$AN$64,AG$1,0)</f>
        <v>#N/A</v>
      </c>
      <c r="AI72" s="149" t="e">
        <f>(VLOOKUP("Prix HT",$C$1:$AN$64,AI$1,0))-(VLOOKUP("Non margé",$D$1:$AN$64,AI$1,0))</f>
        <v>#N/A</v>
      </c>
      <c r="AJ72" s="207" t="e">
        <f>AI72/VLOOKUP("Prix HT",$C$1:$AN$64,AI$1,0)</f>
        <v>#N/A</v>
      </c>
      <c r="AK72" s="149" t="e">
        <f>(VLOOKUP("Prix HT",$C$1:$AN$64,AK$1,0))-(VLOOKUP("Non margé",$D$1:$AN$64,AK$1,0))</f>
        <v>#N/A</v>
      </c>
      <c r="AL72" s="207" t="e">
        <f>AK72/VLOOKUP("Prix HT",$C$1:$AN$64,AK$1,0)</f>
        <v>#N/A</v>
      </c>
      <c r="AM72" s="149" t="e">
        <f>(VLOOKUP("Prix HT",$C$1:$AN$64,AM$1,0))-(VLOOKUP("Non margé",$D$1:$AN$64,AM$1,0))</f>
        <v>#N/A</v>
      </c>
      <c r="AN72" s="207" t="e">
        <f>AM72/VLOOKUP("Prix HT",$C$1:$AN$64,AM$1,0)</f>
        <v>#N/A</v>
      </c>
      <c r="AO72" s="154"/>
      <c r="AP72" s="154"/>
    </row>
  </sheetData>
  <mergeCells count="42">
    <mergeCell ref="C72:D72"/>
    <mergeCell ref="AE2:AF2"/>
    <mergeCell ref="B2:B3"/>
    <mergeCell ref="C2:C3"/>
    <mergeCell ref="E2:F2"/>
    <mergeCell ref="G2:H2"/>
    <mergeCell ref="I2:J2"/>
    <mergeCell ref="K2:L2"/>
    <mergeCell ref="M2:N2"/>
    <mergeCell ref="O2:P2"/>
    <mergeCell ref="Q2:R2"/>
    <mergeCell ref="S2:T2"/>
    <mergeCell ref="U2:V2"/>
    <mergeCell ref="C69:D69"/>
    <mergeCell ref="E64:F64"/>
    <mergeCell ref="G64:H64"/>
    <mergeCell ref="A4:A25"/>
    <mergeCell ref="A27:A38"/>
    <mergeCell ref="A39:A50"/>
    <mergeCell ref="A51:A62"/>
    <mergeCell ref="B64:B69"/>
    <mergeCell ref="AM64:AN64"/>
    <mergeCell ref="Q64:R64"/>
    <mergeCell ref="S64:T64"/>
    <mergeCell ref="U64:V64"/>
    <mergeCell ref="W64:X64"/>
    <mergeCell ref="Y64:Z64"/>
    <mergeCell ref="AA64:AB64"/>
    <mergeCell ref="AC64:AD64"/>
    <mergeCell ref="AE64:AF64"/>
    <mergeCell ref="AG64:AH64"/>
    <mergeCell ref="AI64:AJ64"/>
    <mergeCell ref="K64:L64"/>
    <mergeCell ref="M64:N64"/>
    <mergeCell ref="O64:P64"/>
    <mergeCell ref="C64:D64"/>
    <mergeCell ref="AK64:AL64"/>
    <mergeCell ref="C65:D65"/>
    <mergeCell ref="C66:D66"/>
    <mergeCell ref="C67:D67"/>
    <mergeCell ref="C68:D68"/>
    <mergeCell ref="I64:J64"/>
  </mergeCells>
  <dataValidations count="8">
    <dataValidation type="list" allowBlank="1" showInputMessage="1" showErrorMessage="1" promptTitle="MINIPELLE" prompt="choisir catégorie" sqref="B51:B61" xr:uid="{00000000-0002-0000-1F00-000000000000}">
      <formula1>CATEGORIE_MP</formula1>
    </dataValidation>
    <dataValidation type="list" allowBlank="1" showInputMessage="1" promptTitle="MINIPELLE" prompt="choisir la prestation" sqref="C51:C61" xr:uid="{00000000-0002-0000-1F00-000001000000}">
      <formula1>INDIRECT(B51)</formula1>
    </dataValidation>
    <dataValidation type="list" allowBlank="1" showInputMessage="1" showErrorMessage="1" promptTitle="Catégorie MOC" prompt="choisir" sqref="B39:B48" xr:uid="{00000000-0002-0000-1F00-000002000000}">
      <formula1>CATEGORIE_MOC</formula1>
    </dataValidation>
    <dataValidation type="list" allowBlank="1" showInputMessage="1" promptTitle="Main d'oeuvre CHANTIER" prompt="choisir la prestation" sqref="C39:C49" xr:uid="{00000000-0002-0000-1F00-000003000000}">
      <formula1>INDIRECT(B39)</formula1>
    </dataValidation>
    <dataValidation type="list" allowBlank="1" showInputMessage="1" showErrorMessage="1" promptTitle="MO ATELIER" prompt="choisir catégorie" sqref="B27" xr:uid="{00000000-0002-0000-1F00-000004000000}">
      <formula1>CATEGORIE_MOA</formula1>
    </dataValidation>
    <dataValidation type="list" allowBlank="1" showInputMessage="1" showErrorMessage="1" promptTitle="Main d'oeuvre ATELIER" prompt="choisir la prestation" sqref="C27" xr:uid="{00000000-0002-0000-1F00-000005000000}">
      <formula1>INDIRECT(B27)</formula1>
    </dataValidation>
    <dataValidation type="list" allowBlank="1" showInputMessage="1" showErrorMessage="1" promptTitle="MATIERES" prompt="choisir catégorie" sqref="B4:B25" xr:uid="{00000000-0002-0000-1F00-000006000000}">
      <formula1>MOA_ALIM</formula1>
    </dataValidation>
    <dataValidation type="list" allowBlank="1" showInputMessage="1" showErrorMessage="1" promptTitle="MATIERES" prompt="choisir le produit" sqref="C4:C25" xr:uid="{00000000-0002-0000-1F00-000007000000}">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ErrorMessage="1" xr:uid="{00000000-0002-0000-1F00-000008000000}">
          <x14:formula1>
            <xm:f>ATELIER!$B$2:$B$109</xm:f>
          </x14:formula1>
          <xm:sqref>C28:C37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published="0" codeName="Feuil33"/>
  <dimension ref="A1:AP71"/>
  <sheetViews>
    <sheetView workbookViewId="0">
      <selection activeCell="A71" sqref="A71:XFD75"/>
    </sheetView>
  </sheetViews>
  <sheetFormatPr baseColWidth="10" defaultRowHeight="18" x14ac:dyDescent="0.2"/>
  <cols>
    <col min="1" max="1" width="18.125" style="210" customWidth="1"/>
    <col min="2" max="2" width="22.5" style="233"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40" width="10" style="135" customWidth="1"/>
    <col min="41" max="42" width="11.5" style="135" customWidth="1"/>
    <col min="43" max="810" width="11.5" customWidth="1"/>
  </cols>
  <sheetData>
    <row r="1" spans="1:42"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s="535" t="s">
        <v>467</v>
      </c>
      <c r="AO1" s="535"/>
      <c r="AP1" s="535"/>
    </row>
    <row r="2" spans="1:42" ht="35.1" customHeight="1" x14ac:dyDescent="0.2">
      <c r="A2" s="174"/>
      <c r="B2" s="1572" t="s">
        <v>969</v>
      </c>
      <c r="C2" s="1574" t="s">
        <v>468</v>
      </c>
      <c r="D2" s="115" t="s">
        <v>203</v>
      </c>
      <c r="E2" s="1571">
        <v>2</v>
      </c>
      <c r="F2" s="1571"/>
      <c r="G2" s="1571">
        <v>3</v>
      </c>
      <c r="H2" s="1571"/>
      <c r="I2" s="1571">
        <v>4</v>
      </c>
      <c r="J2" s="1571"/>
      <c r="K2" s="1571">
        <v>5</v>
      </c>
      <c r="L2" s="1571"/>
      <c r="M2" s="1571">
        <v>6</v>
      </c>
      <c r="N2" s="1571"/>
      <c r="O2" s="1571">
        <v>7</v>
      </c>
      <c r="P2" s="1571"/>
      <c r="Q2" s="1571">
        <v>8</v>
      </c>
      <c r="R2" s="1571"/>
      <c r="S2" s="1571">
        <v>9</v>
      </c>
      <c r="T2" s="1571"/>
      <c r="U2" s="1571">
        <v>10</v>
      </c>
      <c r="V2" s="1571"/>
      <c r="W2" s="218">
        <v>12</v>
      </c>
      <c r="X2" s="213" t="s">
        <v>469</v>
      </c>
      <c r="Y2" s="213">
        <v>12</v>
      </c>
      <c r="Z2" s="214" t="s">
        <v>470</v>
      </c>
      <c r="AA2" s="218">
        <v>14</v>
      </c>
      <c r="AB2" s="213" t="s">
        <v>471</v>
      </c>
      <c r="AC2" s="218">
        <v>14</v>
      </c>
      <c r="AD2" s="213" t="s">
        <v>472</v>
      </c>
      <c r="AE2" s="1571">
        <v>16</v>
      </c>
      <c r="AF2" s="1571"/>
      <c r="AG2" s="218">
        <v>18</v>
      </c>
      <c r="AH2" s="213" t="s">
        <v>473</v>
      </c>
      <c r="AI2" s="218">
        <v>18</v>
      </c>
      <c r="AJ2" s="213" t="s">
        <v>474</v>
      </c>
      <c r="AK2" s="218">
        <v>20</v>
      </c>
      <c r="AL2" s="213" t="s">
        <v>475</v>
      </c>
      <c r="AM2" s="218">
        <v>20</v>
      </c>
      <c r="AN2" s="213" t="s">
        <v>476</v>
      </c>
      <c r="AO2" s="178"/>
      <c r="AP2" s="178"/>
    </row>
    <row r="3" spans="1:42" ht="35.1" customHeight="1" x14ac:dyDescent="0.2">
      <c r="A3" s="174"/>
      <c r="B3" s="1573"/>
      <c r="C3" s="1574"/>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303" t="s">
        <v>477</v>
      </c>
      <c r="AO3" s="178"/>
      <c r="AP3" s="178"/>
    </row>
    <row r="4" spans="1:42" ht="15" customHeight="1" x14ac:dyDescent="0.2">
      <c r="A4" s="1549" t="s">
        <v>1078</v>
      </c>
      <c r="B4" s="361" t="s">
        <v>1065</v>
      </c>
      <c r="C4" s="362"/>
      <c r="D4" s="363" t="str">
        <f>IF($C4="","",VLOOKUP($C4,MATIERES!$A$2:$F$227,5,0))</f>
        <v/>
      </c>
      <c r="E4" s="364">
        <v>1</v>
      </c>
      <c r="F4" s="365" t="str">
        <f>IF($C4="","",E4*VLOOKUP($C4,MATIERES!$A$2:$F$349,4,0))</f>
        <v/>
      </c>
      <c r="G4" s="364">
        <v>2</v>
      </c>
      <c r="H4" s="365" t="str">
        <f>IF($C4="","",G4*VLOOKUP($C4,MATIERES!$A$2:$F$349,4,0))</f>
        <v/>
      </c>
      <c r="I4" s="364">
        <v>3</v>
      </c>
      <c r="J4" s="365" t="str">
        <f>IF($C4="","",I4*VLOOKUP($C4,MATIERES!$A$2:$F$349,4,0))</f>
        <v/>
      </c>
      <c r="K4" s="364">
        <v>4</v>
      </c>
      <c r="L4" s="365" t="str">
        <f>IF($C4="","",K4*VLOOKUP($C4,MATIERES!$A$2:$F$349,4,0))</f>
        <v/>
      </c>
      <c r="M4" s="364">
        <v>5</v>
      </c>
      <c r="N4" s="365" t="str">
        <f>IF($C4="","",M4*VLOOKUP($C4,MATIERES!$A$2:$F$349,4,0))</f>
        <v/>
      </c>
      <c r="O4" s="364">
        <v>6</v>
      </c>
      <c r="P4" s="365" t="str">
        <f>IF($C4="","",O4*VLOOKUP($C4,MATIERES!$A$2:$F$349,4,0))</f>
        <v/>
      </c>
      <c r="Q4" s="364">
        <v>7</v>
      </c>
      <c r="R4" s="365" t="str">
        <f>IF($C4="","",Q4*VLOOKUP($C4,MATIERES!$A$2:$F$349,4,0))</f>
        <v/>
      </c>
      <c r="S4" s="364">
        <v>8</v>
      </c>
      <c r="T4" s="365" t="str">
        <f>IF($C4="","",S4*VLOOKUP($C4,MATIERES!$A$2:$F$349,4,0))</f>
        <v/>
      </c>
      <c r="U4" s="364">
        <v>9</v>
      </c>
      <c r="V4" s="365" t="str">
        <f>IF($C4="","",U4*VLOOKUP($C4,MATIERES!$A$2:$F$349,4,0))</f>
        <v/>
      </c>
      <c r="W4" s="364">
        <v>10</v>
      </c>
      <c r="X4" s="365" t="str">
        <f>IF($C4="","",W4*VLOOKUP($C4,MATIERES!$A$2:$F$349,4,0))</f>
        <v/>
      </c>
      <c r="Y4" s="364">
        <v>11</v>
      </c>
      <c r="Z4" s="365" t="str">
        <f>IF($C4="","",Y4*VLOOKUP($C4,MATIERES!$A$2:$F$349,4,0))</f>
        <v/>
      </c>
      <c r="AA4" s="364">
        <v>12</v>
      </c>
      <c r="AB4" s="365" t="str">
        <f>IF($C4="","",AA4*VLOOKUP($C4,MATIERES!$A$2:$F$349,4,0))</f>
        <v/>
      </c>
      <c r="AC4" s="364">
        <v>13</v>
      </c>
      <c r="AD4" s="365" t="str">
        <f>IF($C4="","",AC4*VLOOKUP($C4,MATIERES!$A$2:$F$349,4,0))</f>
        <v/>
      </c>
      <c r="AE4" s="364">
        <v>14</v>
      </c>
      <c r="AF4" s="365" t="str">
        <f>IF($C4="","",AE4*VLOOKUP($C4,MATIERES!$A$2:$F$349,4,0))</f>
        <v/>
      </c>
      <c r="AG4" s="364">
        <v>15</v>
      </c>
      <c r="AH4" s="365" t="str">
        <f>IF($C4="","",AG4*VLOOKUP($C4,MATIERES!$A$2:$F$349,4,0))</f>
        <v/>
      </c>
      <c r="AI4" s="364">
        <v>16</v>
      </c>
      <c r="AJ4" s="365" t="str">
        <f>IF($C4="","",AI4*VLOOKUP($C4,MATIERES!$A$2:$F$349,4,0))</f>
        <v/>
      </c>
      <c r="AK4" s="364">
        <v>17</v>
      </c>
      <c r="AL4" s="365" t="str">
        <f>IF($C4="","",AK4*VLOOKUP($C4,MATIERES!$A$2:$F$349,4,0))</f>
        <v/>
      </c>
      <c r="AM4" s="364">
        <v>18</v>
      </c>
      <c r="AN4" s="365" t="str">
        <f>IF($C4="","",AM4*VLOOKUP($C4,MATIERES!$A$2:$F$349,4,0))</f>
        <v/>
      </c>
    </row>
    <row r="5" spans="1:42" ht="15" customHeight="1" x14ac:dyDescent="0.2">
      <c r="A5" s="1550"/>
      <c r="B5" s="361"/>
      <c r="C5" s="362"/>
      <c r="D5" s="363" t="str">
        <f>IF($C5="","",VLOOKUP($C5,MATIERES!$A$2:$F$227,5,0))</f>
        <v/>
      </c>
      <c r="E5" s="364">
        <v>2</v>
      </c>
      <c r="F5" s="365" t="str">
        <f>IF($C5="","",E5*VLOOKUP($C5,MATIERES!$A$2:$F$349,4,0))</f>
        <v/>
      </c>
      <c r="G5" s="364">
        <v>3</v>
      </c>
      <c r="H5" s="365" t="str">
        <f>IF($C5="","",G5*VLOOKUP($C5,MATIERES!$A$2:$F$349,4,0))</f>
        <v/>
      </c>
      <c r="I5" s="364">
        <v>4</v>
      </c>
      <c r="J5" s="365" t="str">
        <f>IF($C5="","",I5*VLOOKUP($C5,MATIERES!$A$2:$F$349,4,0))</f>
        <v/>
      </c>
      <c r="K5" s="364">
        <v>5</v>
      </c>
      <c r="L5" s="365" t="str">
        <f>IF($C5="","",K5*VLOOKUP($C5,MATIERES!$A$2:$F$349,4,0))</f>
        <v/>
      </c>
      <c r="M5" s="364">
        <v>6</v>
      </c>
      <c r="N5" s="365" t="str">
        <f>IF($C5="","",M5*VLOOKUP($C5,MATIERES!$A$2:$F$349,4,0))</f>
        <v/>
      </c>
      <c r="O5" s="364">
        <v>7</v>
      </c>
      <c r="P5" s="365" t="str">
        <f>IF($C5="","",O5*VLOOKUP($C5,MATIERES!$A$2:$F$349,4,0))</f>
        <v/>
      </c>
      <c r="Q5" s="364">
        <v>8</v>
      </c>
      <c r="R5" s="365" t="str">
        <f>IF($C5="","",Q5*VLOOKUP($C5,MATIERES!$A$2:$F$349,4,0))</f>
        <v/>
      </c>
      <c r="S5" s="364">
        <v>9</v>
      </c>
      <c r="T5" s="365" t="str">
        <f>IF($C5="","",S5*VLOOKUP($C5,MATIERES!$A$2:$F$349,4,0))</f>
        <v/>
      </c>
      <c r="U5" s="364">
        <v>10</v>
      </c>
      <c r="V5" s="365" t="str">
        <f>IF($C5="","",U5*VLOOKUP($C5,MATIERES!$A$2:$F$349,4,0))</f>
        <v/>
      </c>
      <c r="W5" s="364">
        <v>11</v>
      </c>
      <c r="X5" s="365" t="str">
        <f>IF($C5="","",W5*VLOOKUP($C5,MATIERES!$A$2:$F$349,4,0))</f>
        <v/>
      </c>
      <c r="Y5" s="364">
        <v>12</v>
      </c>
      <c r="Z5" s="365" t="str">
        <f>IF($C5="","",Y5*VLOOKUP($C5,MATIERES!$A$2:$F$349,4,0))</f>
        <v/>
      </c>
      <c r="AA5" s="364">
        <v>13</v>
      </c>
      <c r="AB5" s="365" t="str">
        <f>IF($C5="","",AA5*VLOOKUP($C5,MATIERES!$A$2:$F$349,4,0))</f>
        <v/>
      </c>
      <c r="AC5" s="364">
        <v>14</v>
      </c>
      <c r="AD5" s="365" t="str">
        <f>IF($C5="","",AC5*VLOOKUP($C5,MATIERES!$A$2:$F$349,4,0))</f>
        <v/>
      </c>
      <c r="AE5" s="364">
        <v>15</v>
      </c>
      <c r="AF5" s="365" t="str">
        <f>IF($C5="","",AE5*VLOOKUP($C5,MATIERES!$A$2:$F$349,4,0))</f>
        <v/>
      </c>
      <c r="AG5" s="364">
        <v>16</v>
      </c>
      <c r="AH5" s="365" t="str">
        <f>IF($C5="","",AG5*VLOOKUP($C5,MATIERES!$A$2:$F$349,4,0))</f>
        <v/>
      </c>
      <c r="AI5" s="364">
        <v>17</v>
      </c>
      <c r="AJ5" s="365" t="str">
        <f>IF($C5="","",AI5*VLOOKUP($C5,MATIERES!$A$2:$F$349,4,0))</f>
        <v/>
      </c>
      <c r="AK5" s="364">
        <v>18</v>
      </c>
      <c r="AL5" s="365" t="str">
        <f>IF($C5="","",AK5*VLOOKUP($C5,MATIERES!$A$2:$F$349,4,0))</f>
        <v/>
      </c>
      <c r="AM5" s="364">
        <v>19</v>
      </c>
      <c r="AN5" s="365" t="str">
        <f>IF($C5="","",AM5*VLOOKUP($C5,MATIERES!$A$2:$F$349,4,0))</f>
        <v/>
      </c>
    </row>
    <row r="6" spans="1:42" ht="15" customHeight="1" x14ac:dyDescent="0.2">
      <c r="A6" s="1550"/>
      <c r="B6" s="361"/>
      <c r="C6" s="362"/>
      <c r="D6" s="363" t="str">
        <f>IF($C6="","",VLOOKUP($C6,MATIERES!$A$2:$F$227,5,0))</f>
        <v/>
      </c>
      <c r="E6" s="364">
        <v>3</v>
      </c>
      <c r="F6" s="365" t="str">
        <f>IF($C6="","",E6*VLOOKUP($C6,MATIERES!$A$2:$F$349,4,0))</f>
        <v/>
      </c>
      <c r="G6" s="364">
        <v>4</v>
      </c>
      <c r="H6" s="365" t="str">
        <f>IF($C6="","",G6*VLOOKUP($C6,MATIERES!$A$2:$F$349,4,0))</f>
        <v/>
      </c>
      <c r="I6" s="364">
        <v>5</v>
      </c>
      <c r="J6" s="365" t="str">
        <f>IF($C6="","",I6*VLOOKUP($C6,MATIERES!$A$2:$F$349,4,0))</f>
        <v/>
      </c>
      <c r="K6" s="364">
        <v>6</v>
      </c>
      <c r="L6" s="365" t="str">
        <f>IF($C6="","",K6*VLOOKUP($C6,MATIERES!$A$2:$F$349,4,0))</f>
        <v/>
      </c>
      <c r="M6" s="364">
        <v>7</v>
      </c>
      <c r="N6" s="365" t="str">
        <f>IF($C6="","",M6*VLOOKUP($C6,MATIERES!$A$2:$F$349,4,0))</f>
        <v/>
      </c>
      <c r="O6" s="364">
        <v>8</v>
      </c>
      <c r="P6" s="365" t="str">
        <f>IF($C6="","",O6*VLOOKUP($C6,MATIERES!$A$2:$F$349,4,0))</f>
        <v/>
      </c>
      <c r="Q6" s="364">
        <v>9</v>
      </c>
      <c r="R6" s="365" t="str">
        <f>IF($C6="","",Q6*VLOOKUP($C6,MATIERES!$A$2:$F$349,4,0))</f>
        <v/>
      </c>
      <c r="S6" s="364">
        <v>10</v>
      </c>
      <c r="T6" s="365" t="str">
        <f>IF($C6="","",S6*VLOOKUP($C6,MATIERES!$A$2:$F$349,4,0))</f>
        <v/>
      </c>
      <c r="U6" s="364">
        <v>11</v>
      </c>
      <c r="V6" s="365" t="str">
        <f>IF($C6="","",U6*VLOOKUP($C6,MATIERES!$A$2:$F$349,4,0))</f>
        <v/>
      </c>
      <c r="W6" s="364">
        <v>12</v>
      </c>
      <c r="X6" s="365" t="str">
        <f>IF($C6="","",W6*VLOOKUP($C6,MATIERES!$A$2:$F$349,4,0))</f>
        <v/>
      </c>
      <c r="Y6" s="364">
        <v>13</v>
      </c>
      <c r="Z6" s="365" t="str">
        <f>IF($C6="","",Y6*VLOOKUP($C6,MATIERES!$A$2:$F$349,4,0))</f>
        <v/>
      </c>
      <c r="AA6" s="364">
        <v>14</v>
      </c>
      <c r="AB6" s="365" t="str">
        <f>IF($C6="","",AA6*VLOOKUP($C6,MATIERES!$A$2:$F$349,4,0))</f>
        <v/>
      </c>
      <c r="AC6" s="364">
        <v>15</v>
      </c>
      <c r="AD6" s="365" t="str">
        <f>IF($C6="","",AC6*VLOOKUP($C6,MATIERES!$A$2:$F$349,4,0))</f>
        <v/>
      </c>
      <c r="AE6" s="364">
        <v>16</v>
      </c>
      <c r="AF6" s="365" t="str">
        <f>IF($C6="","",AE6*VLOOKUP($C6,MATIERES!$A$2:$F$349,4,0))</f>
        <v/>
      </c>
      <c r="AG6" s="364">
        <v>17</v>
      </c>
      <c r="AH6" s="365" t="str">
        <f>IF($C6="","",AG6*VLOOKUP($C6,MATIERES!$A$2:$F$349,4,0))</f>
        <v/>
      </c>
      <c r="AI6" s="364">
        <v>18</v>
      </c>
      <c r="AJ6" s="365" t="str">
        <f>IF($C6="","",AI6*VLOOKUP($C6,MATIERES!$A$2:$F$349,4,0))</f>
        <v/>
      </c>
      <c r="AK6" s="364">
        <v>19</v>
      </c>
      <c r="AL6" s="365" t="str">
        <f>IF($C6="","",AK6*VLOOKUP($C6,MATIERES!$A$2:$F$349,4,0))</f>
        <v/>
      </c>
      <c r="AM6" s="364">
        <v>20</v>
      </c>
      <c r="AN6" s="365" t="str">
        <f>IF($C6="","",AM6*VLOOKUP($C6,MATIERES!$A$2:$F$349,4,0))</f>
        <v/>
      </c>
    </row>
    <row r="7" spans="1:42" ht="15" customHeight="1" x14ac:dyDescent="0.2">
      <c r="A7" s="1550"/>
      <c r="B7" s="361"/>
      <c r="C7" s="362"/>
      <c r="D7" s="363" t="str">
        <f>IF($C7="","",VLOOKUP($C7,MATIERES!$A$2:$F$227,5,0))</f>
        <v/>
      </c>
      <c r="E7" s="364">
        <v>4</v>
      </c>
      <c r="F7" s="365" t="str">
        <f>IF($C7="","",E7*VLOOKUP($C7,MATIERES!$A$2:$F$349,4,0))</f>
        <v/>
      </c>
      <c r="G7" s="364">
        <v>5</v>
      </c>
      <c r="H7" s="365" t="str">
        <f>IF($C7="","",G7*VLOOKUP($C7,MATIERES!$A$2:$F$349,4,0))</f>
        <v/>
      </c>
      <c r="I7" s="364">
        <v>6</v>
      </c>
      <c r="J7" s="365" t="str">
        <f>IF($C7="","",I7*VLOOKUP($C7,MATIERES!$A$2:$F$349,4,0))</f>
        <v/>
      </c>
      <c r="K7" s="364">
        <v>7</v>
      </c>
      <c r="L7" s="365" t="str">
        <f>IF($C7="","",K7*VLOOKUP($C7,MATIERES!$A$2:$F$349,4,0))</f>
        <v/>
      </c>
      <c r="M7" s="364">
        <v>8</v>
      </c>
      <c r="N7" s="365" t="str">
        <f>IF($C7="","",M7*VLOOKUP($C7,MATIERES!$A$2:$F$349,4,0))</f>
        <v/>
      </c>
      <c r="O7" s="364">
        <v>9</v>
      </c>
      <c r="P7" s="365" t="str">
        <f>IF($C7="","",O7*VLOOKUP($C7,MATIERES!$A$2:$F$349,4,0))</f>
        <v/>
      </c>
      <c r="Q7" s="364">
        <v>10</v>
      </c>
      <c r="R7" s="365" t="str">
        <f>IF($C7="","",Q7*VLOOKUP($C7,MATIERES!$A$2:$F$349,4,0))</f>
        <v/>
      </c>
      <c r="S7" s="364">
        <v>11</v>
      </c>
      <c r="T7" s="365" t="str">
        <f>IF($C7="","",S7*VLOOKUP($C7,MATIERES!$A$2:$F$349,4,0))</f>
        <v/>
      </c>
      <c r="U7" s="364">
        <v>12</v>
      </c>
      <c r="V7" s="365" t="str">
        <f>IF($C7="","",U7*VLOOKUP($C7,MATIERES!$A$2:$F$349,4,0))</f>
        <v/>
      </c>
      <c r="W7" s="364">
        <v>13</v>
      </c>
      <c r="X7" s="365" t="str">
        <f>IF($C7="","",W7*VLOOKUP($C7,MATIERES!$A$2:$F$349,4,0))</f>
        <v/>
      </c>
      <c r="Y7" s="364">
        <v>14</v>
      </c>
      <c r="Z7" s="365" t="str">
        <f>IF($C7="","",Y7*VLOOKUP($C7,MATIERES!$A$2:$F$349,4,0))</f>
        <v/>
      </c>
      <c r="AA7" s="364">
        <v>15</v>
      </c>
      <c r="AB7" s="365" t="str">
        <f>IF($C7="","",AA7*VLOOKUP($C7,MATIERES!$A$2:$F$349,4,0))</f>
        <v/>
      </c>
      <c r="AC7" s="364">
        <v>16</v>
      </c>
      <c r="AD7" s="365" t="str">
        <f>IF($C7="","",AC7*VLOOKUP($C7,MATIERES!$A$2:$F$349,4,0))</f>
        <v/>
      </c>
      <c r="AE7" s="364">
        <v>17</v>
      </c>
      <c r="AF7" s="365" t="str">
        <f>IF($C7="","",AE7*VLOOKUP($C7,MATIERES!$A$2:$F$349,4,0))</f>
        <v/>
      </c>
      <c r="AG7" s="364">
        <v>18</v>
      </c>
      <c r="AH7" s="365" t="str">
        <f>IF($C7="","",AG7*VLOOKUP($C7,MATIERES!$A$2:$F$349,4,0))</f>
        <v/>
      </c>
      <c r="AI7" s="364">
        <v>19</v>
      </c>
      <c r="AJ7" s="365" t="str">
        <f>IF($C7="","",AI7*VLOOKUP($C7,MATIERES!$A$2:$F$349,4,0))</f>
        <v/>
      </c>
      <c r="AK7" s="364">
        <v>20</v>
      </c>
      <c r="AL7" s="365" t="str">
        <f>IF($C7="","",AK7*VLOOKUP($C7,MATIERES!$A$2:$F$349,4,0))</f>
        <v/>
      </c>
      <c r="AM7" s="364">
        <v>21</v>
      </c>
      <c r="AN7" s="365" t="str">
        <f>IF($C7="","",AM7*VLOOKUP($C7,MATIERES!$A$2:$F$349,4,0))</f>
        <v/>
      </c>
    </row>
    <row r="8" spans="1:42" ht="15" customHeight="1" x14ac:dyDescent="0.2">
      <c r="A8" s="1550"/>
      <c r="B8" s="361"/>
      <c r="C8" s="362"/>
      <c r="D8" s="363" t="str">
        <f>IF($C8="","",VLOOKUP($C8,MATIERES!$A$2:$F$227,5,0))</f>
        <v/>
      </c>
      <c r="E8" s="364">
        <v>5</v>
      </c>
      <c r="F8" s="365" t="str">
        <f>IF($C8="","",E8*VLOOKUP($C8,MATIERES!$A$2:$F$349,4,0))</f>
        <v/>
      </c>
      <c r="G8" s="364">
        <v>6</v>
      </c>
      <c r="H8" s="365" t="str">
        <f>IF($C8="","",G8*VLOOKUP($C8,MATIERES!$A$2:$F$349,4,0))</f>
        <v/>
      </c>
      <c r="I8" s="364">
        <v>7</v>
      </c>
      <c r="J8" s="365" t="str">
        <f>IF($C8="","",I8*VLOOKUP($C8,MATIERES!$A$2:$F$349,4,0))</f>
        <v/>
      </c>
      <c r="K8" s="364">
        <v>8</v>
      </c>
      <c r="L8" s="365" t="str">
        <f>IF($C8="","",K8*VLOOKUP($C8,MATIERES!$A$2:$F$349,4,0))</f>
        <v/>
      </c>
      <c r="M8" s="364">
        <v>9</v>
      </c>
      <c r="N8" s="365" t="str">
        <f>IF($C8="","",M8*VLOOKUP($C8,MATIERES!$A$2:$F$349,4,0))</f>
        <v/>
      </c>
      <c r="O8" s="364">
        <v>10</v>
      </c>
      <c r="P8" s="365" t="str">
        <f>IF($C8="","",O8*VLOOKUP($C8,MATIERES!$A$2:$F$349,4,0))</f>
        <v/>
      </c>
      <c r="Q8" s="364">
        <v>11</v>
      </c>
      <c r="R8" s="365" t="str">
        <f>IF($C8="","",Q8*VLOOKUP($C8,MATIERES!$A$2:$F$349,4,0))</f>
        <v/>
      </c>
      <c r="S8" s="364">
        <v>12</v>
      </c>
      <c r="T8" s="365" t="str">
        <f>IF($C8="","",S8*VLOOKUP($C8,MATIERES!$A$2:$F$349,4,0))</f>
        <v/>
      </c>
      <c r="U8" s="364">
        <v>13</v>
      </c>
      <c r="V8" s="365" t="str">
        <f>IF($C8="","",U8*VLOOKUP($C8,MATIERES!$A$2:$F$349,4,0))</f>
        <v/>
      </c>
      <c r="W8" s="364">
        <v>14</v>
      </c>
      <c r="X8" s="365" t="str">
        <f>IF($C8="","",W8*VLOOKUP($C8,MATIERES!$A$2:$F$349,4,0))</f>
        <v/>
      </c>
      <c r="Y8" s="364">
        <v>15</v>
      </c>
      <c r="Z8" s="365" t="str">
        <f>IF($C8="","",Y8*VLOOKUP($C8,MATIERES!$A$2:$F$349,4,0))</f>
        <v/>
      </c>
      <c r="AA8" s="364">
        <v>16</v>
      </c>
      <c r="AB8" s="365" t="str">
        <f>IF($C8="","",AA8*VLOOKUP($C8,MATIERES!$A$2:$F$349,4,0))</f>
        <v/>
      </c>
      <c r="AC8" s="364">
        <v>17</v>
      </c>
      <c r="AD8" s="365" t="str">
        <f>IF($C8="","",AC8*VLOOKUP($C8,MATIERES!$A$2:$F$349,4,0))</f>
        <v/>
      </c>
      <c r="AE8" s="364">
        <v>18</v>
      </c>
      <c r="AF8" s="365" t="str">
        <f>IF($C8="","",AE8*VLOOKUP($C8,MATIERES!$A$2:$F$349,4,0))</f>
        <v/>
      </c>
      <c r="AG8" s="364">
        <v>19</v>
      </c>
      <c r="AH8" s="365" t="str">
        <f>IF($C8="","",AG8*VLOOKUP($C8,MATIERES!$A$2:$F$349,4,0))</f>
        <v/>
      </c>
      <c r="AI8" s="364">
        <v>20</v>
      </c>
      <c r="AJ8" s="365" t="str">
        <f>IF($C8="","",AI8*VLOOKUP($C8,MATIERES!$A$2:$F$349,4,0))</f>
        <v/>
      </c>
      <c r="AK8" s="364">
        <v>21</v>
      </c>
      <c r="AL8" s="365" t="str">
        <f>IF($C8="","",AK8*VLOOKUP($C8,MATIERES!$A$2:$F$349,4,0))</f>
        <v/>
      </c>
      <c r="AM8" s="364">
        <v>22</v>
      </c>
      <c r="AN8" s="365" t="str">
        <f>IF($C8="","",AM8*VLOOKUP($C8,MATIERES!$A$2:$F$349,4,0))</f>
        <v/>
      </c>
    </row>
    <row r="9" spans="1:42" ht="15" customHeight="1" x14ac:dyDescent="0.2">
      <c r="A9" s="1550"/>
      <c r="B9" s="361"/>
      <c r="C9" s="362"/>
      <c r="D9" s="363" t="str">
        <f>IF($C9="","",VLOOKUP($C9,MATIERES!$A$2:$F$227,5,0))</f>
        <v/>
      </c>
      <c r="E9" s="364">
        <v>6</v>
      </c>
      <c r="F9" s="365" t="str">
        <f>IF($C9="","",E9*VLOOKUP($C9,MATIERES!$A$2:$F$349,4,0))</f>
        <v/>
      </c>
      <c r="G9" s="364">
        <v>7</v>
      </c>
      <c r="H9" s="365" t="str">
        <f>IF($C9="","",G9*VLOOKUP($C9,MATIERES!$A$2:$F$349,4,0))</f>
        <v/>
      </c>
      <c r="I9" s="364">
        <v>8</v>
      </c>
      <c r="J9" s="365" t="str">
        <f>IF($C9="","",I9*VLOOKUP($C9,MATIERES!$A$2:$F$349,4,0))</f>
        <v/>
      </c>
      <c r="K9" s="364">
        <v>9</v>
      </c>
      <c r="L9" s="365" t="str">
        <f>IF($C9="","",K9*VLOOKUP($C9,MATIERES!$A$2:$F$349,4,0))</f>
        <v/>
      </c>
      <c r="M9" s="364">
        <v>10</v>
      </c>
      <c r="N9" s="365" t="str">
        <f>IF($C9="","",M9*VLOOKUP($C9,MATIERES!$A$2:$F$349,4,0))</f>
        <v/>
      </c>
      <c r="O9" s="364">
        <v>11</v>
      </c>
      <c r="P9" s="365" t="str">
        <f>IF($C9="","",O9*VLOOKUP($C9,MATIERES!$A$2:$F$349,4,0))</f>
        <v/>
      </c>
      <c r="Q9" s="364">
        <v>12</v>
      </c>
      <c r="R9" s="365" t="str">
        <f>IF($C9="","",Q9*VLOOKUP($C9,MATIERES!$A$2:$F$349,4,0))</f>
        <v/>
      </c>
      <c r="S9" s="364">
        <v>13</v>
      </c>
      <c r="T9" s="365" t="str">
        <f>IF($C9="","",S9*VLOOKUP($C9,MATIERES!$A$2:$F$349,4,0))</f>
        <v/>
      </c>
      <c r="U9" s="364">
        <v>14</v>
      </c>
      <c r="V9" s="365" t="str">
        <f>IF($C9="","",U9*VLOOKUP($C9,MATIERES!$A$2:$F$349,4,0))</f>
        <v/>
      </c>
      <c r="W9" s="364">
        <v>15</v>
      </c>
      <c r="X9" s="365" t="str">
        <f>IF($C9="","",W9*VLOOKUP($C9,MATIERES!$A$2:$F$349,4,0))</f>
        <v/>
      </c>
      <c r="Y9" s="364">
        <v>16</v>
      </c>
      <c r="Z9" s="365" t="str">
        <f>IF($C9="","",Y9*VLOOKUP($C9,MATIERES!$A$2:$F$349,4,0))</f>
        <v/>
      </c>
      <c r="AA9" s="364">
        <v>17</v>
      </c>
      <c r="AB9" s="365" t="str">
        <f>IF($C9="","",AA9*VLOOKUP($C9,MATIERES!$A$2:$F$349,4,0))</f>
        <v/>
      </c>
      <c r="AC9" s="364">
        <v>18</v>
      </c>
      <c r="AD9" s="365" t="str">
        <f>IF($C9="","",AC9*VLOOKUP($C9,MATIERES!$A$2:$F$349,4,0))</f>
        <v/>
      </c>
      <c r="AE9" s="364">
        <v>19</v>
      </c>
      <c r="AF9" s="365" t="str">
        <f>IF($C9="","",AE9*VLOOKUP($C9,MATIERES!$A$2:$F$349,4,0))</f>
        <v/>
      </c>
      <c r="AG9" s="364">
        <v>20</v>
      </c>
      <c r="AH9" s="365" t="str">
        <f>IF($C9="","",AG9*VLOOKUP($C9,MATIERES!$A$2:$F$349,4,0))</f>
        <v/>
      </c>
      <c r="AI9" s="364">
        <v>21</v>
      </c>
      <c r="AJ9" s="365" t="str">
        <f>IF($C9="","",AI9*VLOOKUP($C9,MATIERES!$A$2:$F$349,4,0))</f>
        <v/>
      </c>
      <c r="AK9" s="364">
        <v>22</v>
      </c>
      <c r="AL9" s="365" t="str">
        <f>IF($C9="","",AK9*VLOOKUP($C9,MATIERES!$A$2:$F$349,4,0))</f>
        <v/>
      </c>
      <c r="AM9" s="364">
        <v>23</v>
      </c>
      <c r="AN9" s="365" t="str">
        <f>IF($C9="","",AM9*VLOOKUP($C9,MATIERES!$A$2:$F$349,4,0))</f>
        <v/>
      </c>
    </row>
    <row r="10" spans="1:42" ht="15" customHeight="1" x14ac:dyDescent="0.2">
      <c r="A10" s="1550"/>
      <c r="B10" s="361"/>
      <c r="C10" s="362"/>
      <c r="D10" s="363" t="str">
        <f>IF($C10="","",VLOOKUP($C10,MATIERES!$A$2:$F$227,5,0))</f>
        <v/>
      </c>
      <c r="E10" s="364">
        <v>7</v>
      </c>
      <c r="F10" s="365" t="str">
        <f>IF($C10="","",E10*VLOOKUP($C10,MATIERES!$A$2:$F$349,4,0))</f>
        <v/>
      </c>
      <c r="G10" s="364">
        <v>8</v>
      </c>
      <c r="H10" s="365" t="str">
        <f>IF($C10="","",G10*VLOOKUP($C10,MATIERES!$A$2:$F$349,4,0))</f>
        <v/>
      </c>
      <c r="I10" s="364">
        <v>9</v>
      </c>
      <c r="J10" s="365" t="str">
        <f>IF($C10="","",I10*VLOOKUP($C10,MATIERES!$A$2:$F$349,4,0))</f>
        <v/>
      </c>
      <c r="K10" s="364">
        <v>10</v>
      </c>
      <c r="L10" s="365" t="str">
        <f>IF($C10="","",K10*VLOOKUP($C10,MATIERES!$A$2:$F$349,4,0))</f>
        <v/>
      </c>
      <c r="M10" s="364">
        <v>11</v>
      </c>
      <c r="N10" s="365" t="str">
        <f>IF($C10="","",M10*VLOOKUP($C10,MATIERES!$A$2:$F$349,4,0))</f>
        <v/>
      </c>
      <c r="O10" s="364">
        <v>12</v>
      </c>
      <c r="P10" s="365" t="str">
        <f>IF($C10="","",O10*VLOOKUP($C10,MATIERES!$A$2:$F$349,4,0))</f>
        <v/>
      </c>
      <c r="Q10" s="364">
        <v>13</v>
      </c>
      <c r="R10" s="365" t="str">
        <f>IF($C10="","",Q10*VLOOKUP($C10,MATIERES!$A$2:$F$349,4,0))</f>
        <v/>
      </c>
      <c r="S10" s="364">
        <v>14</v>
      </c>
      <c r="T10" s="365" t="str">
        <f>IF($C10="","",S10*VLOOKUP($C10,MATIERES!$A$2:$F$349,4,0))</f>
        <v/>
      </c>
      <c r="U10" s="364">
        <v>15</v>
      </c>
      <c r="V10" s="365" t="str">
        <f>IF($C10="","",U10*VLOOKUP($C10,MATIERES!$A$2:$F$349,4,0))</f>
        <v/>
      </c>
      <c r="W10" s="364">
        <v>16</v>
      </c>
      <c r="X10" s="365" t="str">
        <f>IF($C10="","",W10*VLOOKUP($C10,MATIERES!$A$2:$F$349,4,0))</f>
        <v/>
      </c>
      <c r="Y10" s="364">
        <v>17</v>
      </c>
      <c r="Z10" s="365" t="str">
        <f>IF($C10="","",Y10*VLOOKUP($C10,MATIERES!$A$2:$F$349,4,0))</f>
        <v/>
      </c>
      <c r="AA10" s="364">
        <v>18</v>
      </c>
      <c r="AB10" s="365" t="str">
        <f>IF($C10="","",AA10*VLOOKUP($C10,MATIERES!$A$2:$F$349,4,0))</f>
        <v/>
      </c>
      <c r="AC10" s="364">
        <v>19</v>
      </c>
      <c r="AD10" s="365" t="str">
        <f>IF($C10="","",AC10*VLOOKUP($C10,MATIERES!$A$2:$F$349,4,0))</f>
        <v/>
      </c>
      <c r="AE10" s="364">
        <v>20</v>
      </c>
      <c r="AF10" s="365" t="str">
        <f>IF($C10="","",AE10*VLOOKUP($C10,MATIERES!$A$2:$F$349,4,0))</f>
        <v/>
      </c>
      <c r="AG10" s="364">
        <v>21</v>
      </c>
      <c r="AH10" s="365" t="str">
        <f>IF($C10="","",AG10*VLOOKUP($C10,MATIERES!$A$2:$F$349,4,0))</f>
        <v/>
      </c>
      <c r="AI10" s="364">
        <v>22</v>
      </c>
      <c r="AJ10" s="365" t="str">
        <f>IF($C10="","",AI10*VLOOKUP($C10,MATIERES!$A$2:$F$349,4,0))</f>
        <v/>
      </c>
      <c r="AK10" s="364">
        <v>23</v>
      </c>
      <c r="AL10" s="365" t="str">
        <f>IF($C10="","",AK10*VLOOKUP($C10,MATIERES!$A$2:$F$349,4,0))</f>
        <v/>
      </c>
      <c r="AM10" s="364">
        <v>24</v>
      </c>
      <c r="AN10" s="365" t="str">
        <f>IF($C10="","",AM10*VLOOKUP($C10,MATIERES!$A$2:$F$349,4,0))</f>
        <v/>
      </c>
    </row>
    <row r="11" spans="1:42" ht="15" customHeight="1" x14ac:dyDescent="0.2">
      <c r="A11" s="1550"/>
      <c r="B11" s="361"/>
      <c r="C11" s="362"/>
      <c r="D11" s="363" t="str">
        <f>IF($C11="","",VLOOKUP($C11,MATIERES!$A$2:$F$227,5,0))</f>
        <v/>
      </c>
      <c r="E11" s="364">
        <v>8</v>
      </c>
      <c r="F11" s="365" t="str">
        <f>IF($C11="","",E11*VLOOKUP($C11,MATIERES!$A$2:$F$349,4,0))</f>
        <v/>
      </c>
      <c r="G11" s="364">
        <v>9</v>
      </c>
      <c r="H11" s="365" t="str">
        <f>IF($C11="","",G11*VLOOKUP($C11,MATIERES!$A$2:$F$349,4,0))</f>
        <v/>
      </c>
      <c r="I11" s="364">
        <v>10</v>
      </c>
      <c r="J11" s="365" t="str">
        <f>IF($C11="","",I11*VLOOKUP($C11,MATIERES!$A$2:$F$349,4,0))</f>
        <v/>
      </c>
      <c r="K11" s="364">
        <v>11</v>
      </c>
      <c r="L11" s="365" t="str">
        <f>IF($C11="","",K11*VLOOKUP($C11,MATIERES!$A$2:$F$349,4,0))</f>
        <v/>
      </c>
      <c r="M11" s="364">
        <v>12</v>
      </c>
      <c r="N11" s="365" t="str">
        <f>IF($C11="","",M11*VLOOKUP($C11,MATIERES!$A$2:$F$349,4,0))</f>
        <v/>
      </c>
      <c r="O11" s="364">
        <v>13</v>
      </c>
      <c r="P11" s="365" t="str">
        <f>IF($C11="","",O11*VLOOKUP($C11,MATIERES!$A$2:$F$349,4,0))</f>
        <v/>
      </c>
      <c r="Q11" s="364">
        <v>14</v>
      </c>
      <c r="R11" s="365" t="str">
        <f>IF($C11="","",Q11*VLOOKUP($C11,MATIERES!$A$2:$F$349,4,0))</f>
        <v/>
      </c>
      <c r="S11" s="364">
        <v>15</v>
      </c>
      <c r="T11" s="365" t="str">
        <f>IF($C11="","",S11*VLOOKUP($C11,MATIERES!$A$2:$F$349,4,0))</f>
        <v/>
      </c>
      <c r="U11" s="364">
        <v>16</v>
      </c>
      <c r="V11" s="365" t="str">
        <f>IF($C11="","",U11*VLOOKUP($C11,MATIERES!$A$2:$F$349,4,0))</f>
        <v/>
      </c>
      <c r="W11" s="364">
        <v>17</v>
      </c>
      <c r="X11" s="365" t="str">
        <f>IF($C11="","",W11*VLOOKUP($C11,MATIERES!$A$2:$F$349,4,0))</f>
        <v/>
      </c>
      <c r="Y11" s="364">
        <v>18</v>
      </c>
      <c r="Z11" s="365" t="str">
        <f>IF($C11="","",Y11*VLOOKUP($C11,MATIERES!$A$2:$F$349,4,0))</f>
        <v/>
      </c>
      <c r="AA11" s="364">
        <v>19</v>
      </c>
      <c r="AB11" s="365" t="str">
        <f>IF($C11="","",AA11*VLOOKUP($C11,MATIERES!$A$2:$F$349,4,0))</f>
        <v/>
      </c>
      <c r="AC11" s="364">
        <v>20</v>
      </c>
      <c r="AD11" s="365" t="str">
        <f>IF($C11="","",AC11*VLOOKUP($C11,MATIERES!$A$2:$F$349,4,0))</f>
        <v/>
      </c>
      <c r="AE11" s="364">
        <v>21</v>
      </c>
      <c r="AF11" s="365" t="str">
        <f>IF($C11="","",AE11*VLOOKUP($C11,MATIERES!$A$2:$F$349,4,0))</f>
        <v/>
      </c>
      <c r="AG11" s="364">
        <v>22</v>
      </c>
      <c r="AH11" s="365" t="str">
        <f>IF($C11="","",AG11*VLOOKUP($C11,MATIERES!$A$2:$F$349,4,0))</f>
        <v/>
      </c>
      <c r="AI11" s="364">
        <v>23</v>
      </c>
      <c r="AJ11" s="365" t="str">
        <f>IF($C11="","",AI11*VLOOKUP($C11,MATIERES!$A$2:$F$349,4,0))</f>
        <v/>
      </c>
      <c r="AK11" s="364">
        <v>24</v>
      </c>
      <c r="AL11" s="365" t="str">
        <f>IF($C11="","",AK11*VLOOKUP($C11,MATIERES!$A$2:$F$349,4,0))</f>
        <v/>
      </c>
      <c r="AM11" s="364">
        <v>25</v>
      </c>
      <c r="AN11" s="365" t="str">
        <f>IF($C11="","",AM11*VLOOKUP($C11,MATIERES!$A$2:$F$349,4,0))</f>
        <v/>
      </c>
    </row>
    <row r="12" spans="1:42" ht="15" customHeight="1" x14ac:dyDescent="0.2">
      <c r="A12" s="1550"/>
      <c r="B12" s="361"/>
      <c r="C12" s="362"/>
      <c r="D12" s="363" t="str">
        <f>IF($C12="","",VLOOKUP($C12,MATIERES!$A$2:$F$227,5,0))</f>
        <v/>
      </c>
      <c r="E12" s="364">
        <v>9</v>
      </c>
      <c r="F12" s="365" t="str">
        <f>IF($C12="","",E12*VLOOKUP($C12,MATIERES!$A$2:$F$349,4,0))</f>
        <v/>
      </c>
      <c r="G12" s="364">
        <v>10</v>
      </c>
      <c r="H12" s="365" t="str">
        <f>IF($C12="","",G12*VLOOKUP($C12,MATIERES!$A$2:$F$349,4,0))</f>
        <v/>
      </c>
      <c r="I12" s="364">
        <v>11</v>
      </c>
      <c r="J12" s="365" t="str">
        <f>IF($C12="","",I12*VLOOKUP($C12,MATIERES!$A$2:$F$349,4,0))</f>
        <v/>
      </c>
      <c r="K12" s="364">
        <v>12</v>
      </c>
      <c r="L12" s="365" t="str">
        <f>IF($C12="","",K12*VLOOKUP($C12,MATIERES!$A$2:$F$349,4,0))</f>
        <v/>
      </c>
      <c r="M12" s="364">
        <v>13</v>
      </c>
      <c r="N12" s="365" t="str">
        <f>IF($C12="","",M12*VLOOKUP($C12,MATIERES!$A$2:$F$349,4,0))</f>
        <v/>
      </c>
      <c r="O12" s="364">
        <v>14</v>
      </c>
      <c r="P12" s="365" t="str">
        <f>IF($C12="","",O12*VLOOKUP($C12,MATIERES!$A$2:$F$349,4,0))</f>
        <v/>
      </c>
      <c r="Q12" s="364">
        <v>15</v>
      </c>
      <c r="R12" s="365" t="str">
        <f>IF($C12="","",Q12*VLOOKUP($C12,MATIERES!$A$2:$F$349,4,0))</f>
        <v/>
      </c>
      <c r="S12" s="364">
        <v>16</v>
      </c>
      <c r="T12" s="365" t="str">
        <f>IF($C12="","",S12*VLOOKUP($C12,MATIERES!$A$2:$F$349,4,0))</f>
        <v/>
      </c>
      <c r="U12" s="364">
        <v>17</v>
      </c>
      <c r="V12" s="365" t="str">
        <f>IF($C12="","",U12*VLOOKUP($C12,MATIERES!$A$2:$F$349,4,0))</f>
        <v/>
      </c>
      <c r="W12" s="364">
        <v>18</v>
      </c>
      <c r="X12" s="365" t="str">
        <f>IF($C12="","",W12*VLOOKUP($C12,MATIERES!$A$2:$F$349,4,0))</f>
        <v/>
      </c>
      <c r="Y12" s="364">
        <v>19</v>
      </c>
      <c r="Z12" s="365" t="str">
        <f>IF($C12="","",Y12*VLOOKUP($C12,MATIERES!$A$2:$F$349,4,0))</f>
        <v/>
      </c>
      <c r="AA12" s="364">
        <v>20</v>
      </c>
      <c r="AB12" s="365" t="str">
        <f>IF($C12="","",AA12*VLOOKUP($C12,MATIERES!$A$2:$F$349,4,0))</f>
        <v/>
      </c>
      <c r="AC12" s="364">
        <v>21</v>
      </c>
      <c r="AD12" s="365" t="str">
        <f>IF($C12="","",AC12*VLOOKUP($C12,MATIERES!$A$2:$F$349,4,0))</f>
        <v/>
      </c>
      <c r="AE12" s="364">
        <v>22</v>
      </c>
      <c r="AF12" s="365" t="str">
        <f>IF($C12="","",AE12*VLOOKUP($C12,MATIERES!$A$2:$F$349,4,0))</f>
        <v/>
      </c>
      <c r="AG12" s="364">
        <v>23</v>
      </c>
      <c r="AH12" s="365" t="str">
        <f>IF($C12="","",AG12*VLOOKUP($C12,MATIERES!$A$2:$F$349,4,0))</f>
        <v/>
      </c>
      <c r="AI12" s="364">
        <v>24</v>
      </c>
      <c r="AJ12" s="365" t="str">
        <f>IF($C12="","",AI12*VLOOKUP($C12,MATIERES!$A$2:$F$349,4,0))</f>
        <v/>
      </c>
      <c r="AK12" s="364">
        <v>25</v>
      </c>
      <c r="AL12" s="365" t="str">
        <f>IF($C12="","",AK12*VLOOKUP($C12,MATIERES!$A$2:$F$349,4,0))</f>
        <v/>
      </c>
      <c r="AM12" s="364">
        <v>26</v>
      </c>
      <c r="AN12" s="365" t="str">
        <f>IF($C12="","",AM12*VLOOKUP($C12,MATIERES!$A$2:$F$349,4,0))</f>
        <v/>
      </c>
    </row>
    <row r="13" spans="1:42" ht="15" customHeight="1" x14ac:dyDescent="0.2">
      <c r="A13" s="1550"/>
      <c r="B13" s="361"/>
      <c r="C13" s="362"/>
      <c r="D13" s="363" t="str">
        <f>IF($C13="","",VLOOKUP($C13,MATIERES!$A$2:$F$227,5,0))</f>
        <v/>
      </c>
      <c r="E13" s="364">
        <v>10</v>
      </c>
      <c r="F13" s="365" t="str">
        <f>IF($C13="","",E13*VLOOKUP($C13,MATIERES!$A$2:$F$349,4,0))</f>
        <v/>
      </c>
      <c r="G13" s="364">
        <v>11</v>
      </c>
      <c r="H13" s="365" t="str">
        <f>IF($C13="","",G13*VLOOKUP($C13,MATIERES!$A$2:$F$349,4,0))</f>
        <v/>
      </c>
      <c r="I13" s="364">
        <v>12</v>
      </c>
      <c r="J13" s="365" t="str">
        <f>IF($C13="","",I13*VLOOKUP($C13,MATIERES!$A$2:$F$349,4,0))</f>
        <v/>
      </c>
      <c r="K13" s="364">
        <v>13</v>
      </c>
      <c r="L13" s="365" t="str">
        <f>IF($C13="","",K13*VLOOKUP($C13,MATIERES!$A$2:$F$349,4,0))</f>
        <v/>
      </c>
      <c r="M13" s="364">
        <v>14</v>
      </c>
      <c r="N13" s="365" t="str">
        <f>IF($C13="","",M13*VLOOKUP($C13,MATIERES!$A$2:$F$349,4,0))</f>
        <v/>
      </c>
      <c r="O13" s="364">
        <v>15</v>
      </c>
      <c r="P13" s="365" t="str">
        <f>IF($C13="","",O13*VLOOKUP($C13,MATIERES!$A$2:$F$349,4,0))</f>
        <v/>
      </c>
      <c r="Q13" s="364">
        <v>16</v>
      </c>
      <c r="R13" s="365" t="str">
        <f>IF($C13="","",Q13*VLOOKUP($C13,MATIERES!$A$2:$F$349,4,0))</f>
        <v/>
      </c>
      <c r="S13" s="364">
        <v>17</v>
      </c>
      <c r="T13" s="365" t="str">
        <f>IF($C13="","",S13*VLOOKUP($C13,MATIERES!$A$2:$F$349,4,0))</f>
        <v/>
      </c>
      <c r="U13" s="364">
        <v>18</v>
      </c>
      <c r="V13" s="365" t="str">
        <f>IF($C13="","",U13*VLOOKUP($C13,MATIERES!$A$2:$F$349,4,0))</f>
        <v/>
      </c>
      <c r="W13" s="364">
        <v>19</v>
      </c>
      <c r="X13" s="365" t="str">
        <f>IF($C13="","",W13*VLOOKUP($C13,MATIERES!$A$2:$F$349,4,0))</f>
        <v/>
      </c>
      <c r="Y13" s="364">
        <v>20</v>
      </c>
      <c r="Z13" s="365" t="str">
        <f>IF($C13="","",Y13*VLOOKUP($C13,MATIERES!$A$2:$F$349,4,0))</f>
        <v/>
      </c>
      <c r="AA13" s="364">
        <v>21</v>
      </c>
      <c r="AB13" s="365" t="str">
        <f>IF($C13="","",AA13*VLOOKUP($C13,MATIERES!$A$2:$F$349,4,0))</f>
        <v/>
      </c>
      <c r="AC13" s="364">
        <v>22</v>
      </c>
      <c r="AD13" s="365" t="str">
        <f>IF($C13="","",AC13*VLOOKUP($C13,MATIERES!$A$2:$F$349,4,0))</f>
        <v/>
      </c>
      <c r="AE13" s="364">
        <v>23</v>
      </c>
      <c r="AF13" s="365" t="str">
        <f>IF($C13="","",AE13*VLOOKUP($C13,MATIERES!$A$2:$F$349,4,0))</f>
        <v/>
      </c>
      <c r="AG13" s="364">
        <v>24</v>
      </c>
      <c r="AH13" s="365" t="str">
        <f>IF($C13="","",AG13*VLOOKUP($C13,MATIERES!$A$2:$F$349,4,0))</f>
        <v/>
      </c>
      <c r="AI13" s="364">
        <v>25</v>
      </c>
      <c r="AJ13" s="365" t="str">
        <f>IF($C13="","",AI13*VLOOKUP($C13,MATIERES!$A$2:$F$349,4,0))</f>
        <v/>
      </c>
      <c r="AK13" s="364">
        <v>26</v>
      </c>
      <c r="AL13" s="365" t="str">
        <f>IF($C13="","",AK13*VLOOKUP($C13,MATIERES!$A$2:$F$349,4,0))</f>
        <v/>
      </c>
      <c r="AM13" s="364">
        <v>27</v>
      </c>
      <c r="AN13" s="365" t="str">
        <f>IF($C13="","",AM13*VLOOKUP($C13,MATIERES!$A$2:$F$349,4,0))</f>
        <v/>
      </c>
      <c r="AO13" s="186"/>
    </row>
    <row r="14" spans="1:42" ht="15" customHeight="1" x14ac:dyDescent="0.2">
      <c r="A14" s="1550"/>
      <c r="B14" s="361"/>
      <c r="C14" s="362"/>
      <c r="D14" s="363" t="str">
        <f>IF($C14="","",VLOOKUP($C14,MATIERES!$A$2:$F$227,5,0))</f>
        <v/>
      </c>
      <c r="E14" s="364">
        <v>11</v>
      </c>
      <c r="F14" s="365" t="str">
        <f>IF($C14="","",E14*VLOOKUP($C14,MATIERES!$A$2:$F$349,4,0))</f>
        <v/>
      </c>
      <c r="G14" s="364">
        <v>12</v>
      </c>
      <c r="H14" s="365" t="str">
        <f>IF($C14="","",G14*VLOOKUP($C14,MATIERES!$A$2:$F$349,4,0))</f>
        <v/>
      </c>
      <c r="I14" s="364">
        <v>13</v>
      </c>
      <c r="J14" s="365" t="str">
        <f>IF($C14="","",I14*VLOOKUP($C14,MATIERES!$A$2:$F$349,4,0))</f>
        <v/>
      </c>
      <c r="K14" s="364">
        <v>14</v>
      </c>
      <c r="L14" s="365" t="str">
        <f>IF($C14="","",K14*VLOOKUP($C14,MATIERES!$A$2:$F$349,4,0))</f>
        <v/>
      </c>
      <c r="M14" s="364">
        <v>15</v>
      </c>
      <c r="N14" s="365" t="str">
        <f>IF($C14="","",M14*VLOOKUP($C14,MATIERES!$A$2:$F$349,4,0))</f>
        <v/>
      </c>
      <c r="O14" s="364">
        <v>16</v>
      </c>
      <c r="P14" s="365" t="str">
        <f>IF($C14="","",O14*VLOOKUP($C14,MATIERES!$A$2:$F$349,4,0))</f>
        <v/>
      </c>
      <c r="Q14" s="364">
        <v>17</v>
      </c>
      <c r="R14" s="365" t="str">
        <f>IF($C14="","",Q14*VLOOKUP($C14,MATIERES!$A$2:$F$349,4,0))</f>
        <v/>
      </c>
      <c r="S14" s="364">
        <v>18</v>
      </c>
      <c r="T14" s="365" t="str">
        <f>IF($C14="","",S14*VLOOKUP($C14,MATIERES!$A$2:$F$349,4,0))</f>
        <v/>
      </c>
      <c r="U14" s="364">
        <v>19</v>
      </c>
      <c r="V14" s="365" t="str">
        <f>IF($C14="","",U14*VLOOKUP($C14,MATIERES!$A$2:$F$349,4,0))</f>
        <v/>
      </c>
      <c r="W14" s="364">
        <v>20</v>
      </c>
      <c r="X14" s="365" t="str">
        <f>IF($C14="","",W14*VLOOKUP($C14,MATIERES!$A$2:$F$349,4,0))</f>
        <v/>
      </c>
      <c r="Y14" s="364">
        <v>21</v>
      </c>
      <c r="Z14" s="365" t="str">
        <f>IF($C14="","",Y14*VLOOKUP($C14,MATIERES!$A$2:$F$349,4,0))</f>
        <v/>
      </c>
      <c r="AA14" s="364">
        <v>22</v>
      </c>
      <c r="AB14" s="365" t="str">
        <f>IF($C14="","",AA14*VLOOKUP($C14,MATIERES!$A$2:$F$349,4,0))</f>
        <v/>
      </c>
      <c r="AC14" s="364">
        <v>23</v>
      </c>
      <c r="AD14" s="365" t="str">
        <f>IF($C14="","",AC14*VLOOKUP($C14,MATIERES!$A$2:$F$349,4,0))</f>
        <v/>
      </c>
      <c r="AE14" s="364">
        <v>24</v>
      </c>
      <c r="AF14" s="365" t="str">
        <f>IF($C14="","",AE14*VLOOKUP($C14,MATIERES!$A$2:$F$349,4,0))</f>
        <v/>
      </c>
      <c r="AG14" s="364">
        <v>25</v>
      </c>
      <c r="AH14" s="365" t="str">
        <f>IF($C14="","",AG14*VLOOKUP($C14,MATIERES!$A$2:$F$349,4,0))</f>
        <v/>
      </c>
      <c r="AI14" s="364">
        <v>26</v>
      </c>
      <c r="AJ14" s="365" t="str">
        <f>IF($C14="","",AI14*VLOOKUP($C14,MATIERES!$A$2:$F$349,4,0))</f>
        <v/>
      </c>
      <c r="AK14" s="364">
        <v>27</v>
      </c>
      <c r="AL14" s="365" t="str">
        <f>IF($C14="","",AK14*VLOOKUP($C14,MATIERES!$A$2:$F$349,4,0))</f>
        <v/>
      </c>
      <c r="AM14" s="364">
        <v>28</v>
      </c>
      <c r="AN14" s="365" t="str">
        <f>IF($C14="","",AM14*VLOOKUP($C14,MATIERES!$A$2:$F$349,4,0))</f>
        <v/>
      </c>
    </row>
    <row r="15" spans="1:42" ht="15" customHeight="1" x14ac:dyDescent="0.2">
      <c r="A15" s="1550"/>
      <c r="B15" s="361"/>
      <c r="C15" s="362"/>
      <c r="D15" s="363" t="str">
        <f>IF($C15="","",VLOOKUP($C15,MATIERES!$A$2:$F$227,5,0))</f>
        <v/>
      </c>
      <c r="E15" s="364">
        <v>12</v>
      </c>
      <c r="F15" s="365" t="str">
        <f>IF($C15="","",E15*VLOOKUP($C15,MATIERES!$A$2:$F$349,4,0))</f>
        <v/>
      </c>
      <c r="G15" s="364">
        <v>13</v>
      </c>
      <c r="H15" s="365" t="str">
        <f>IF($C15="","",G15*VLOOKUP($C15,MATIERES!$A$2:$F$349,4,0))</f>
        <v/>
      </c>
      <c r="I15" s="364">
        <v>14</v>
      </c>
      <c r="J15" s="365" t="str">
        <f>IF($C15="","",I15*VLOOKUP($C15,MATIERES!$A$2:$F$349,4,0))</f>
        <v/>
      </c>
      <c r="K15" s="364">
        <v>15</v>
      </c>
      <c r="L15" s="365" t="str">
        <f>IF($C15="","",K15*VLOOKUP($C15,MATIERES!$A$2:$F$349,4,0))</f>
        <v/>
      </c>
      <c r="M15" s="364">
        <v>16</v>
      </c>
      <c r="N15" s="365" t="str">
        <f>IF($C15="","",M15*VLOOKUP($C15,MATIERES!$A$2:$F$349,4,0))</f>
        <v/>
      </c>
      <c r="O15" s="364">
        <v>17</v>
      </c>
      <c r="P15" s="365" t="str">
        <f>IF($C15="","",O15*VLOOKUP($C15,MATIERES!$A$2:$F$349,4,0))</f>
        <v/>
      </c>
      <c r="Q15" s="364">
        <v>18</v>
      </c>
      <c r="R15" s="365" t="str">
        <f>IF($C15="","",Q15*VLOOKUP($C15,MATIERES!$A$2:$F$349,4,0))</f>
        <v/>
      </c>
      <c r="S15" s="364">
        <v>19</v>
      </c>
      <c r="T15" s="365" t="str">
        <f>IF($C15="","",S15*VLOOKUP($C15,MATIERES!$A$2:$F$349,4,0))</f>
        <v/>
      </c>
      <c r="U15" s="364">
        <v>20</v>
      </c>
      <c r="V15" s="365" t="str">
        <f>IF($C15="","",U15*VLOOKUP($C15,MATIERES!$A$2:$F$349,4,0))</f>
        <v/>
      </c>
      <c r="W15" s="364">
        <v>21</v>
      </c>
      <c r="X15" s="365" t="str">
        <f>IF($C15="","",W15*VLOOKUP($C15,MATIERES!$A$2:$F$349,4,0))</f>
        <v/>
      </c>
      <c r="Y15" s="364">
        <v>22</v>
      </c>
      <c r="Z15" s="365" t="str">
        <f>IF($C15="","",Y15*VLOOKUP($C15,MATIERES!$A$2:$F$349,4,0))</f>
        <v/>
      </c>
      <c r="AA15" s="364">
        <v>23</v>
      </c>
      <c r="AB15" s="365" t="str">
        <f>IF($C15="","",AA15*VLOOKUP($C15,MATIERES!$A$2:$F$349,4,0))</f>
        <v/>
      </c>
      <c r="AC15" s="364">
        <v>24</v>
      </c>
      <c r="AD15" s="365" t="str">
        <f>IF($C15="","",AC15*VLOOKUP($C15,MATIERES!$A$2:$F$349,4,0))</f>
        <v/>
      </c>
      <c r="AE15" s="364">
        <v>25</v>
      </c>
      <c r="AF15" s="365" t="str">
        <f>IF($C15="","",AE15*VLOOKUP($C15,MATIERES!$A$2:$F$349,4,0))</f>
        <v/>
      </c>
      <c r="AG15" s="364">
        <v>26</v>
      </c>
      <c r="AH15" s="365" t="str">
        <f>IF($C15="","",AG15*VLOOKUP($C15,MATIERES!$A$2:$F$349,4,0))</f>
        <v/>
      </c>
      <c r="AI15" s="364">
        <v>27</v>
      </c>
      <c r="AJ15" s="365" t="str">
        <f>IF($C15="","",AI15*VLOOKUP($C15,MATIERES!$A$2:$F$349,4,0))</f>
        <v/>
      </c>
      <c r="AK15" s="364">
        <v>28</v>
      </c>
      <c r="AL15" s="365" t="str">
        <f>IF($C15="","",AK15*VLOOKUP($C15,MATIERES!$A$2:$F$349,4,0))</f>
        <v/>
      </c>
      <c r="AM15" s="364">
        <v>29</v>
      </c>
      <c r="AN15" s="365" t="str">
        <f>IF($C15="","",AM15*VLOOKUP($C15,MATIERES!$A$2:$F$349,4,0))</f>
        <v/>
      </c>
    </row>
    <row r="16" spans="1:42" ht="15" customHeight="1" x14ac:dyDescent="0.2">
      <c r="A16" s="1550"/>
      <c r="B16" s="361"/>
      <c r="C16" s="362"/>
      <c r="D16" s="363" t="str">
        <f>IF($C16="","",VLOOKUP($C16,MATIERES!$A$2:$F$227,5,0))</f>
        <v/>
      </c>
      <c r="E16" s="364">
        <v>13</v>
      </c>
      <c r="F16" s="365" t="str">
        <f>IF($C16="","",E16*VLOOKUP($C16,MATIERES!$A$2:$F$349,4,0))</f>
        <v/>
      </c>
      <c r="G16" s="364">
        <v>14</v>
      </c>
      <c r="H16" s="365" t="str">
        <f>IF($C16="","",G16*VLOOKUP($C16,MATIERES!$A$2:$F$349,4,0))</f>
        <v/>
      </c>
      <c r="I16" s="364">
        <v>15</v>
      </c>
      <c r="J16" s="365" t="str">
        <f>IF($C16="","",I16*VLOOKUP($C16,MATIERES!$A$2:$F$349,4,0))</f>
        <v/>
      </c>
      <c r="K16" s="364">
        <v>16</v>
      </c>
      <c r="L16" s="365" t="str">
        <f>IF($C16="","",K16*VLOOKUP($C16,MATIERES!$A$2:$F$349,4,0))</f>
        <v/>
      </c>
      <c r="M16" s="364">
        <v>17</v>
      </c>
      <c r="N16" s="365" t="str">
        <f>IF($C16="","",M16*VLOOKUP($C16,MATIERES!$A$2:$F$349,4,0))</f>
        <v/>
      </c>
      <c r="O16" s="364">
        <v>18</v>
      </c>
      <c r="P16" s="365" t="str">
        <f>IF($C16="","",O16*VLOOKUP($C16,MATIERES!$A$2:$F$349,4,0))</f>
        <v/>
      </c>
      <c r="Q16" s="364">
        <v>19</v>
      </c>
      <c r="R16" s="365" t="str">
        <f>IF($C16="","",Q16*VLOOKUP($C16,MATIERES!$A$2:$F$349,4,0))</f>
        <v/>
      </c>
      <c r="S16" s="364">
        <v>20</v>
      </c>
      <c r="T16" s="365" t="str">
        <f>IF($C16="","",S16*VLOOKUP($C16,MATIERES!$A$2:$F$349,4,0))</f>
        <v/>
      </c>
      <c r="U16" s="364">
        <v>21</v>
      </c>
      <c r="V16" s="365" t="str">
        <f>IF($C16="","",U16*VLOOKUP($C16,MATIERES!$A$2:$F$349,4,0))</f>
        <v/>
      </c>
      <c r="W16" s="364">
        <v>22</v>
      </c>
      <c r="X16" s="365" t="str">
        <f>IF($C16="","",W16*VLOOKUP($C16,MATIERES!$A$2:$F$349,4,0))</f>
        <v/>
      </c>
      <c r="Y16" s="364">
        <v>23</v>
      </c>
      <c r="Z16" s="365" t="str">
        <f>IF($C16="","",Y16*VLOOKUP($C16,MATIERES!$A$2:$F$349,4,0))</f>
        <v/>
      </c>
      <c r="AA16" s="364">
        <v>24</v>
      </c>
      <c r="AB16" s="365" t="str">
        <f>IF($C16="","",AA16*VLOOKUP($C16,MATIERES!$A$2:$F$349,4,0))</f>
        <v/>
      </c>
      <c r="AC16" s="364">
        <v>25</v>
      </c>
      <c r="AD16" s="365" t="str">
        <f>IF($C16="","",AC16*VLOOKUP($C16,MATIERES!$A$2:$F$349,4,0))</f>
        <v/>
      </c>
      <c r="AE16" s="364">
        <v>26</v>
      </c>
      <c r="AF16" s="365" t="str">
        <f>IF($C16="","",AE16*VLOOKUP($C16,MATIERES!$A$2:$F$349,4,0))</f>
        <v/>
      </c>
      <c r="AG16" s="364">
        <v>27</v>
      </c>
      <c r="AH16" s="365" t="str">
        <f>IF($C16="","",AG16*VLOOKUP($C16,MATIERES!$A$2:$F$349,4,0))</f>
        <v/>
      </c>
      <c r="AI16" s="364">
        <v>28</v>
      </c>
      <c r="AJ16" s="365" t="str">
        <f>IF($C16="","",AI16*VLOOKUP($C16,MATIERES!$A$2:$F$349,4,0))</f>
        <v/>
      </c>
      <c r="AK16" s="364">
        <v>29</v>
      </c>
      <c r="AL16" s="365" t="str">
        <f>IF($C16="","",AK16*VLOOKUP($C16,MATIERES!$A$2:$F$349,4,0))</f>
        <v/>
      </c>
      <c r="AM16" s="364">
        <v>30</v>
      </c>
      <c r="AN16" s="365" t="str">
        <f>IF($C16="","",AM16*VLOOKUP($C16,MATIERES!$A$2:$F$349,4,0))</f>
        <v/>
      </c>
    </row>
    <row r="17" spans="1:40" ht="15" customHeight="1" x14ac:dyDescent="0.2">
      <c r="A17" s="1551"/>
      <c r="B17" s="361"/>
      <c r="C17" s="362"/>
      <c r="D17" s="363" t="str">
        <f>IF($C17="","",VLOOKUP($C17,MATIERES!$A$2:$F$227,5,0))</f>
        <v/>
      </c>
      <c r="E17" s="364">
        <v>14</v>
      </c>
      <c r="F17" s="365" t="str">
        <f>IF($C17="","",E17*VLOOKUP($C17,MATIERES!$A$2:$F$349,4,0))</f>
        <v/>
      </c>
      <c r="G17" s="364">
        <v>15</v>
      </c>
      <c r="H17" s="365" t="str">
        <f>IF($C17="","",G17*VLOOKUP($C17,MATIERES!$A$2:$F$349,4,0))</f>
        <v/>
      </c>
      <c r="I17" s="364">
        <v>16</v>
      </c>
      <c r="J17" s="365" t="str">
        <f>IF($C17="","",I17*VLOOKUP($C17,MATIERES!$A$2:$F$349,4,0))</f>
        <v/>
      </c>
      <c r="K17" s="364">
        <v>17</v>
      </c>
      <c r="L17" s="365" t="str">
        <f>IF($C17="","",K17*VLOOKUP($C17,MATIERES!$A$2:$F$349,4,0))</f>
        <v/>
      </c>
      <c r="M17" s="364">
        <v>18</v>
      </c>
      <c r="N17" s="365" t="str">
        <f>IF($C17="","",M17*VLOOKUP($C17,MATIERES!$A$2:$F$349,4,0))</f>
        <v/>
      </c>
      <c r="O17" s="364">
        <v>19</v>
      </c>
      <c r="P17" s="365" t="str">
        <f>IF($C17="","",O17*VLOOKUP($C17,MATIERES!$A$2:$F$349,4,0))</f>
        <v/>
      </c>
      <c r="Q17" s="364">
        <v>20</v>
      </c>
      <c r="R17" s="365" t="str">
        <f>IF($C17="","",Q17*VLOOKUP($C17,MATIERES!$A$2:$F$349,4,0))</f>
        <v/>
      </c>
      <c r="S17" s="364">
        <v>21</v>
      </c>
      <c r="T17" s="365" t="str">
        <f>IF($C17="","",S17*VLOOKUP($C17,MATIERES!$A$2:$F$349,4,0))</f>
        <v/>
      </c>
      <c r="U17" s="364">
        <v>22</v>
      </c>
      <c r="V17" s="365" t="str">
        <f>IF($C17="","",U17*VLOOKUP($C17,MATIERES!$A$2:$F$349,4,0))</f>
        <v/>
      </c>
      <c r="W17" s="364">
        <v>23</v>
      </c>
      <c r="X17" s="365" t="str">
        <f>IF($C17="","",W17*VLOOKUP($C17,MATIERES!$A$2:$F$349,4,0))</f>
        <v/>
      </c>
      <c r="Y17" s="364">
        <v>24</v>
      </c>
      <c r="Z17" s="365" t="str">
        <f>IF($C17="","",Y17*VLOOKUP($C17,MATIERES!$A$2:$F$349,4,0))</f>
        <v/>
      </c>
      <c r="AA17" s="364">
        <v>25</v>
      </c>
      <c r="AB17" s="365" t="str">
        <f>IF($C17="","",AA17*VLOOKUP($C17,MATIERES!$A$2:$F$349,4,0))</f>
        <v/>
      </c>
      <c r="AC17" s="364">
        <v>26</v>
      </c>
      <c r="AD17" s="365" t="str">
        <f>IF($C17="","",AC17*VLOOKUP($C17,MATIERES!$A$2:$F$349,4,0))</f>
        <v/>
      </c>
      <c r="AE17" s="364">
        <v>27</v>
      </c>
      <c r="AF17" s="365" t="str">
        <f>IF($C17="","",AE17*VLOOKUP($C17,MATIERES!$A$2:$F$349,4,0))</f>
        <v/>
      </c>
      <c r="AG17" s="364">
        <v>28</v>
      </c>
      <c r="AH17" s="365" t="str">
        <f>IF($C17="","",AG17*VLOOKUP($C17,MATIERES!$A$2:$F$349,4,0))</f>
        <v/>
      </c>
      <c r="AI17" s="364">
        <v>29</v>
      </c>
      <c r="AJ17" s="365" t="str">
        <f>IF($C17="","",AI17*VLOOKUP($C17,MATIERES!$A$2:$F$349,4,0))</f>
        <v/>
      </c>
      <c r="AK17" s="364">
        <v>30</v>
      </c>
      <c r="AL17" s="365" t="str">
        <f>IF($C17="","",AK17*VLOOKUP($C17,MATIERES!$A$2:$F$349,4,0))</f>
        <v/>
      </c>
      <c r="AM17" s="364">
        <v>31</v>
      </c>
      <c r="AN17" s="365" t="str">
        <f>IF($C17="","",AM17*VLOOKUP($C17,MATIERES!$A$2:$F$349,4,0))</f>
        <v/>
      </c>
    </row>
    <row r="18" spans="1:40" ht="15" customHeight="1" x14ac:dyDescent="0.2">
      <c r="A18" s="1550"/>
      <c r="B18" s="361"/>
      <c r="C18" s="362"/>
      <c r="D18" s="363" t="str">
        <f>IF($C18="","",VLOOKUP($C18,MATIERES!$A$2:$F$227,5,0))</f>
        <v/>
      </c>
      <c r="E18" s="364">
        <v>15</v>
      </c>
      <c r="F18" s="365" t="str">
        <f>IF($C18="","",E18*VLOOKUP($C18,MATIERES!$A$2:$F$349,4,0))</f>
        <v/>
      </c>
      <c r="G18" s="364">
        <v>16</v>
      </c>
      <c r="H18" s="365" t="str">
        <f>IF($C18="","",G18*VLOOKUP($C18,MATIERES!$A$2:$F$349,4,0))</f>
        <v/>
      </c>
      <c r="I18" s="364">
        <v>17</v>
      </c>
      <c r="J18" s="365" t="str">
        <f>IF($C18="","",I18*VLOOKUP($C18,MATIERES!$A$2:$F$349,4,0))</f>
        <v/>
      </c>
      <c r="K18" s="364">
        <v>18</v>
      </c>
      <c r="L18" s="365" t="str">
        <f>IF($C18="","",K18*VLOOKUP($C18,MATIERES!$A$2:$F$349,4,0))</f>
        <v/>
      </c>
      <c r="M18" s="364">
        <v>19</v>
      </c>
      <c r="N18" s="365" t="str">
        <f>IF($C18="","",M18*VLOOKUP($C18,MATIERES!$A$2:$F$349,4,0))</f>
        <v/>
      </c>
      <c r="O18" s="364">
        <v>20</v>
      </c>
      <c r="P18" s="365" t="str">
        <f>IF($C18="","",O18*VLOOKUP($C18,MATIERES!$A$2:$F$349,4,0))</f>
        <v/>
      </c>
      <c r="Q18" s="364">
        <v>21</v>
      </c>
      <c r="R18" s="365" t="str">
        <f>IF($C18="","",Q18*VLOOKUP($C18,MATIERES!$A$2:$F$349,4,0))</f>
        <v/>
      </c>
      <c r="S18" s="364">
        <v>22</v>
      </c>
      <c r="T18" s="365" t="str">
        <f>IF($C18="","",S18*VLOOKUP($C18,MATIERES!$A$2:$F$349,4,0))</f>
        <v/>
      </c>
      <c r="U18" s="364">
        <v>23</v>
      </c>
      <c r="V18" s="365" t="str">
        <f>IF($C18="","",U18*VLOOKUP($C18,MATIERES!$A$2:$F$349,4,0))</f>
        <v/>
      </c>
      <c r="W18" s="364">
        <v>24</v>
      </c>
      <c r="X18" s="365" t="str">
        <f>IF($C18="","",W18*VLOOKUP($C18,MATIERES!$A$2:$F$349,4,0))</f>
        <v/>
      </c>
      <c r="Y18" s="364">
        <v>25</v>
      </c>
      <c r="Z18" s="365" t="str">
        <f>IF($C18="","",Y18*VLOOKUP($C18,MATIERES!$A$2:$F$349,4,0))</f>
        <v/>
      </c>
      <c r="AA18" s="364">
        <v>26</v>
      </c>
      <c r="AB18" s="365" t="str">
        <f>IF($C18="","",AA18*VLOOKUP($C18,MATIERES!$A$2:$F$349,4,0))</f>
        <v/>
      </c>
      <c r="AC18" s="364">
        <v>27</v>
      </c>
      <c r="AD18" s="365" t="str">
        <f>IF($C18="","",AC18*VLOOKUP($C18,MATIERES!$A$2:$F$349,4,0))</f>
        <v/>
      </c>
      <c r="AE18" s="364">
        <v>28</v>
      </c>
      <c r="AF18" s="365" t="str">
        <f>IF($C18="","",AE18*VLOOKUP($C18,MATIERES!$A$2:$F$349,4,0))</f>
        <v/>
      </c>
      <c r="AG18" s="364">
        <v>29</v>
      </c>
      <c r="AH18" s="365" t="str">
        <f>IF($C18="","",AG18*VLOOKUP($C18,MATIERES!$A$2:$F$349,4,0))</f>
        <v/>
      </c>
      <c r="AI18" s="364">
        <v>30</v>
      </c>
      <c r="AJ18" s="365" t="str">
        <f>IF($C18="","",AI18*VLOOKUP($C18,MATIERES!$A$2:$F$349,4,0))</f>
        <v/>
      </c>
      <c r="AK18" s="364">
        <v>31</v>
      </c>
      <c r="AL18" s="365" t="str">
        <f>IF($C18="","",AK18*VLOOKUP($C18,MATIERES!$A$2:$F$349,4,0))</f>
        <v/>
      </c>
      <c r="AM18" s="364">
        <v>32</v>
      </c>
      <c r="AN18" s="365" t="str">
        <f>IF($C18="","",AM18*VLOOKUP($C18,MATIERES!$A$2:$F$349,4,0))</f>
        <v/>
      </c>
    </row>
    <row r="19" spans="1:40" ht="15" customHeight="1" x14ac:dyDescent="0.2">
      <c r="A19" s="1550"/>
      <c r="B19" s="361"/>
      <c r="C19" s="362"/>
      <c r="D19" s="363" t="str">
        <f>IF($C19="","",VLOOKUP($C19,MATIERES!$A$2:$F$227,5,0))</f>
        <v/>
      </c>
      <c r="E19" s="364">
        <v>16</v>
      </c>
      <c r="F19" s="365" t="str">
        <f>IF($C19="","",E19*VLOOKUP($C19,MATIERES!$A$2:$F$349,4,0))</f>
        <v/>
      </c>
      <c r="G19" s="364">
        <v>17</v>
      </c>
      <c r="H19" s="365" t="str">
        <f>IF($C19="","",G19*VLOOKUP($C19,MATIERES!$A$2:$F$349,4,0))</f>
        <v/>
      </c>
      <c r="I19" s="364">
        <v>18</v>
      </c>
      <c r="J19" s="365" t="str">
        <f>IF($C19="","",I19*VLOOKUP($C19,MATIERES!$A$2:$F$349,4,0))</f>
        <v/>
      </c>
      <c r="K19" s="364">
        <v>19</v>
      </c>
      <c r="L19" s="365" t="str">
        <f>IF($C19="","",K19*VLOOKUP($C19,MATIERES!$A$2:$F$349,4,0))</f>
        <v/>
      </c>
      <c r="M19" s="364">
        <v>20</v>
      </c>
      <c r="N19" s="365" t="str">
        <f>IF($C19="","",M19*VLOOKUP($C19,MATIERES!$A$2:$F$349,4,0))</f>
        <v/>
      </c>
      <c r="O19" s="364">
        <v>21</v>
      </c>
      <c r="P19" s="365" t="str">
        <f>IF($C19="","",O19*VLOOKUP($C19,MATIERES!$A$2:$F$349,4,0))</f>
        <v/>
      </c>
      <c r="Q19" s="364">
        <v>22</v>
      </c>
      <c r="R19" s="365" t="str">
        <f>IF($C19="","",Q19*VLOOKUP($C19,MATIERES!$A$2:$F$349,4,0))</f>
        <v/>
      </c>
      <c r="S19" s="364">
        <v>23</v>
      </c>
      <c r="T19" s="365" t="str">
        <f>IF($C19="","",S19*VLOOKUP($C19,MATIERES!$A$2:$F$349,4,0))</f>
        <v/>
      </c>
      <c r="U19" s="364">
        <v>24</v>
      </c>
      <c r="V19" s="365" t="str">
        <f>IF($C19="","",U19*VLOOKUP($C19,MATIERES!$A$2:$F$349,4,0))</f>
        <v/>
      </c>
      <c r="W19" s="364">
        <v>25</v>
      </c>
      <c r="X19" s="365" t="str">
        <f>IF($C19="","",W19*VLOOKUP($C19,MATIERES!$A$2:$F$349,4,0))</f>
        <v/>
      </c>
      <c r="Y19" s="364">
        <v>26</v>
      </c>
      <c r="Z19" s="365" t="str">
        <f>IF($C19="","",Y19*VLOOKUP($C19,MATIERES!$A$2:$F$349,4,0))</f>
        <v/>
      </c>
      <c r="AA19" s="364">
        <v>27</v>
      </c>
      <c r="AB19" s="365" t="str">
        <f>IF($C19="","",AA19*VLOOKUP($C19,MATIERES!$A$2:$F$349,4,0))</f>
        <v/>
      </c>
      <c r="AC19" s="364">
        <v>28</v>
      </c>
      <c r="AD19" s="365" t="str">
        <f>IF($C19="","",AC19*VLOOKUP($C19,MATIERES!$A$2:$F$349,4,0))</f>
        <v/>
      </c>
      <c r="AE19" s="364">
        <v>29</v>
      </c>
      <c r="AF19" s="365" t="str">
        <f>IF($C19="","",AE19*VLOOKUP($C19,MATIERES!$A$2:$F$349,4,0))</f>
        <v/>
      </c>
      <c r="AG19" s="364">
        <v>30</v>
      </c>
      <c r="AH19" s="365" t="str">
        <f>IF($C19="","",AG19*VLOOKUP($C19,MATIERES!$A$2:$F$349,4,0))</f>
        <v/>
      </c>
      <c r="AI19" s="364">
        <v>31</v>
      </c>
      <c r="AJ19" s="365" t="str">
        <f>IF($C19="","",AI19*VLOOKUP($C19,MATIERES!$A$2:$F$349,4,0))</f>
        <v/>
      </c>
      <c r="AK19" s="364">
        <v>32</v>
      </c>
      <c r="AL19" s="365" t="str">
        <f>IF($C19="","",AK19*VLOOKUP($C19,MATIERES!$A$2:$F$349,4,0))</f>
        <v/>
      </c>
      <c r="AM19" s="364">
        <v>33</v>
      </c>
      <c r="AN19" s="365" t="str">
        <f>IF($C19="","",AM19*VLOOKUP($C19,MATIERES!$A$2:$F$349,4,0))</f>
        <v/>
      </c>
    </row>
    <row r="20" spans="1:40" ht="15" customHeight="1" x14ac:dyDescent="0.2">
      <c r="A20" s="1550"/>
      <c r="B20" s="361"/>
      <c r="C20" s="362"/>
      <c r="D20" s="363" t="str">
        <f>IF($C20="","",VLOOKUP($C20,MATIERES!$A$2:$F$227,5,0))</f>
        <v/>
      </c>
      <c r="E20" s="364">
        <v>17</v>
      </c>
      <c r="F20" s="365" t="str">
        <f>IF($C20="","",E20*VLOOKUP($C20,MATIERES!$A$2:$F$349,4,0))</f>
        <v/>
      </c>
      <c r="G20" s="364">
        <v>18</v>
      </c>
      <c r="H20" s="365" t="str">
        <f>IF($C20="","",G20*VLOOKUP($C20,MATIERES!$A$2:$F$349,4,0))</f>
        <v/>
      </c>
      <c r="I20" s="364">
        <v>19</v>
      </c>
      <c r="J20" s="365" t="str">
        <f>IF($C20="","",I20*VLOOKUP($C20,MATIERES!$A$2:$F$349,4,0))</f>
        <v/>
      </c>
      <c r="K20" s="364">
        <v>20</v>
      </c>
      <c r="L20" s="365" t="str">
        <f>IF($C20="","",K20*VLOOKUP($C20,MATIERES!$A$2:$F$349,4,0))</f>
        <v/>
      </c>
      <c r="M20" s="364">
        <v>21</v>
      </c>
      <c r="N20" s="365" t="str">
        <f>IF($C20="","",M20*VLOOKUP($C20,MATIERES!$A$2:$F$349,4,0))</f>
        <v/>
      </c>
      <c r="O20" s="364">
        <v>22</v>
      </c>
      <c r="P20" s="365" t="str">
        <f>IF($C20="","",O20*VLOOKUP($C20,MATIERES!$A$2:$F$349,4,0))</f>
        <v/>
      </c>
      <c r="Q20" s="364">
        <v>23</v>
      </c>
      <c r="R20" s="365" t="str">
        <f>IF($C20="","",Q20*VLOOKUP($C20,MATIERES!$A$2:$F$349,4,0))</f>
        <v/>
      </c>
      <c r="S20" s="364">
        <v>24</v>
      </c>
      <c r="T20" s="365" t="str">
        <f>IF($C20="","",S20*VLOOKUP($C20,MATIERES!$A$2:$F$349,4,0))</f>
        <v/>
      </c>
      <c r="U20" s="364">
        <v>25</v>
      </c>
      <c r="V20" s="365" t="str">
        <f>IF($C20="","",U20*VLOOKUP($C20,MATIERES!$A$2:$F$349,4,0))</f>
        <v/>
      </c>
      <c r="W20" s="364">
        <v>26</v>
      </c>
      <c r="X20" s="365" t="str">
        <f>IF($C20="","",W20*VLOOKUP($C20,MATIERES!$A$2:$F$349,4,0))</f>
        <v/>
      </c>
      <c r="Y20" s="364">
        <v>27</v>
      </c>
      <c r="Z20" s="365" t="str">
        <f>IF($C20="","",Y20*VLOOKUP($C20,MATIERES!$A$2:$F$349,4,0))</f>
        <v/>
      </c>
      <c r="AA20" s="364">
        <v>28</v>
      </c>
      <c r="AB20" s="365" t="str">
        <f>IF($C20="","",AA20*VLOOKUP($C20,MATIERES!$A$2:$F$349,4,0))</f>
        <v/>
      </c>
      <c r="AC20" s="364">
        <v>29</v>
      </c>
      <c r="AD20" s="365" t="str">
        <f>IF($C20="","",AC20*VLOOKUP($C20,MATIERES!$A$2:$F$349,4,0))</f>
        <v/>
      </c>
      <c r="AE20" s="364">
        <v>30</v>
      </c>
      <c r="AF20" s="365" t="str">
        <f>IF($C20="","",AE20*VLOOKUP($C20,MATIERES!$A$2:$F$349,4,0))</f>
        <v/>
      </c>
      <c r="AG20" s="364">
        <v>31</v>
      </c>
      <c r="AH20" s="365" t="str">
        <f>IF($C20="","",AG20*VLOOKUP($C20,MATIERES!$A$2:$F$349,4,0))</f>
        <v/>
      </c>
      <c r="AI20" s="364">
        <v>32</v>
      </c>
      <c r="AJ20" s="365" t="str">
        <f>IF($C20="","",AI20*VLOOKUP($C20,MATIERES!$A$2:$F$349,4,0))</f>
        <v/>
      </c>
      <c r="AK20" s="364">
        <v>33</v>
      </c>
      <c r="AL20" s="365" t="str">
        <f>IF($C20="","",AK20*VLOOKUP($C20,MATIERES!$A$2:$F$349,4,0))</f>
        <v/>
      </c>
      <c r="AM20" s="364">
        <v>34</v>
      </c>
      <c r="AN20" s="365" t="str">
        <f>IF($C20="","",AM20*VLOOKUP($C20,MATIERES!$A$2:$F$349,4,0))</f>
        <v/>
      </c>
    </row>
    <row r="21" spans="1:40" ht="15" customHeight="1" x14ac:dyDescent="0.2">
      <c r="A21" s="1550"/>
      <c r="B21" s="361"/>
      <c r="C21" s="362"/>
      <c r="D21" s="363" t="str">
        <f>IF($C21="","",VLOOKUP($C21,MATIERES!$A$2:$F$227,5,0))</f>
        <v/>
      </c>
      <c r="E21" s="364">
        <v>18</v>
      </c>
      <c r="F21" s="365" t="str">
        <f>IF($C21="","",E21*VLOOKUP($C21,MATIERES!$A$2:$F$349,4,0))</f>
        <v/>
      </c>
      <c r="G21" s="364">
        <v>19</v>
      </c>
      <c r="H21" s="365" t="str">
        <f>IF($C21="","",G21*VLOOKUP($C21,MATIERES!$A$2:$F$349,4,0))</f>
        <v/>
      </c>
      <c r="I21" s="364">
        <v>20</v>
      </c>
      <c r="J21" s="365" t="str">
        <f>IF($C21="","",I21*VLOOKUP($C21,MATIERES!$A$2:$F$349,4,0))</f>
        <v/>
      </c>
      <c r="K21" s="364">
        <v>21</v>
      </c>
      <c r="L21" s="365" t="str">
        <f>IF($C21="","",K21*VLOOKUP($C21,MATIERES!$A$2:$F$349,4,0))</f>
        <v/>
      </c>
      <c r="M21" s="364">
        <v>22</v>
      </c>
      <c r="N21" s="365" t="str">
        <f>IF($C21="","",M21*VLOOKUP($C21,MATIERES!$A$2:$F$349,4,0))</f>
        <v/>
      </c>
      <c r="O21" s="364">
        <v>23</v>
      </c>
      <c r="P21" s="365" t="str">
        <f>IF($C21="","",O21*VLOOKUP($C21,MATIERES!$A$2:$F$349,4,0))</f>
        <v/>
      </c>
      <c r="Q21" s="364">
        <v>24</v>
      </c>
      <c r="R21" s="365" t="str">
        <f>IF($C21="","",Q21*VLOOKUP($C21,MATIERES!$A$2:$F$349,4,0))</f>
        <v/>
      </c>
      <c r="S21" s="364">
        <v>25</v>
      </c>
      <c r="T21" s="365" t="str">
        <f>IF($C21="","",S21*VLOOKUP($C21,MATIERES!$A$2:$F$349,4,0))</f>
        <v/>
      </c>
      <c r="U21" s="364">
        <v>26</v>
      </c>
      <c r="V21" s="365" t="str">
        <f>IF($C21="","",U21*VLOOKUP($C21,MATIERES!$A$2:$F$349,4,0))</f>
        <v/>
      </c>
      <c r="W21" s="364">
        <v>27</v>
      </c>
      <c r="X21" s="365" t="str">
        <f>IF($C21="","",W21*VLOOKUP($C21,MATIERES!$A$2:$F$349,4,0))</f>
        <v/>
      </c>
      <c r="Y21" s="364">
        <v>28</v>
      </c>
      <c r="Z21" s="365" t="str">
        <f>IF($C21="","",Y21*VLOOKUP($C21,MATIERES!$A$2:$F$349,4,0))</f>
        <v/>
      </c>
      <c r="AA21" s="364">
        <v>29</v>
      </c>
      <c r="AB21" s="365" t="str">
        <f>IF($C21="","",AA21*VLOOKUP($C21,MATIERES!$A$2:$F$349,4,0))</f>
        <v/>
      </c>
      <c r="AC21" s="364">
        <v>30</v>
      </c>
      <c r="AD21" s="365" t="str">
        <f>IF($C21="","",AC21*VLOOKUP($C21,MATIERES!$A$2:$F$349,4,0))</f>
        <v/>
      </c>
      <c r="AE21" s="364">
        <v>31</v>
      </c>
      <c r="AF21" s="365" t="str">
        <f>IF($C21="","",AE21*VLOOKUP($C21,MATIERES!$A$2:$F$349,4,0))</f>
        <v/>
      </c>
      <c r="AG21" s="364">
        <v>32</v>
      </c>
      <c r="AH21" s="365" t="str">
        <f>IF($C21="","",AG21*VLOOKUP($C21,MATIERES!$A$2:$F$349,4,0))</f>
        <v/>
      </c>
      <c r="AI21" s="364">
        <v>33</v>
      </c>
      <c r="AJ21" s="365" t="str">
        <f>IF($C21="","",AI21*VLOOKUP($C21,MATIERES!$A$2:$F$349,4,0))</f>
        <v/>
      </c>
      <c r="AK21" s="364">
        <v>34</v>
      </c>
      <c r="AL21" s="365" t="str">
        <f>IF($C21="","",AK21*VLOOKUP($C21,MATIERES!$A$2:$F$349,4,0))</f>
        <v/>
      </c>
      <c r="AM21" s="364">
        <v>35</v>
      </c>
      <c r="AN21" s="365" t="str">
        <f>IF($C21="","",AM21*VLOOKUP($C21,MATIERES!$A$2:$F$349,4,0))</f>
        <v/>
      </c>
    </row>
    <row r="22" spans="1:40" ht="15" customHeight="1" x14ac:dyDescent="0.2">
      <c r="A22" s="1550"/>
      <c r="B22" s="361"/>
      <c r="C22" s="362"/>
      <c r="D22" s="363" t="str">
        <f>IF($C22="","",VLOOKUP($C22,MATIERES!$A$2:$F$227,5,0))</f>
        <v/>
      </c>
      <c r="E22" s="364">
        <v>19</v>
      </c>
      <c r="F22" s="365" t="str">
        <f>IF($C22="","",E22*VLOOKUP($C22,MATIERES!$A$2:$F$349,4,0))</f>
        <v/>
      </c>
      <c r="G22" s="364">
        <v>20</v>
      </c>
      <c r="H22" s="365" t="str">
        <f>IF($C22="","",G22*VLOOKUP($C22,MATIERES!$A$2:$F$349,4,0))</f>
        <v/>
      </c>
      <c r="I22" s="364">
        <v>21</v>
      </c>
      <c r="J22" s="365" t="str">
        <f>IF($C22="","",I22*VLOOKUP($C22,MATIERES!$A$2:$F$349,4,0))</f>
        <v/>
      </c>
      <c r="K22" s="364">
        <v>22</v>
      </c>
      <c r="L22" s="365" t="str">
        <f>IF($C22="","",K22*VLOOKUP($C22,MATIERES!$A$2:$F$349,4,0))</f>
        <v/>
      </c>
      <c r="M22" s="364">
        <v>23</v>
      </c>
      <c r="N22" s="365" t="str">
        <f>IF($C22="","",M22*VLOOKUP($C22,MATIERES!$A$2:$F$349,4,0))</f>
        <v/>
      </c>
      <c r="O22" s="364">
        <v>24</v>
      </c>
      <c r="P22" s="365" t="str">
        <f>IF($C22="","",O22*VLOOKUP($C22,MATIERES!$A$2:$F$349,4,0))</f>
        <v/>
      </c>
      <c r="Q22" s="364">
        <v>25</v>
      </c>
      <c r="R22" s="365" t="str">
        <f>IF($C22="","",Q22*VLOOKUP($C22,MATIERES!$A$2:$F$349,4,0))</f>
        <v/>
      </c>
      <c r="S22" s="364">
        <v>26</v>
      </c>
      <c r="T22" s="365" t="str">
        <f>IF($C22="","",S22*VLOOKUP($C22,MATIERES!$A$2:$F$349,4,0))</f>
        <v/>
      </c>
      <c r="U22" s="364">
        <v>27</v>
      </c>
      <c r="V22" s="365" t="str">
        <f>IF($C22="","",U22*VLOOKUP($C22,MATIERES!$A$2:$F$349,4,0))</f>
        <v/>
      </c>
      <c r="W22" s="364">
        <v>28</v>
      </c>
      <c r="X22" s="365" t="str">
        <f>IF($C22="","",W22*VLOOKUP($C22,MATIERES!$A$2:$F$349,4,0))</f>
        <v/>
      </c>
      <c r="Y22" s="364">
        <v>29</v>
      </c>
      <c r="Z22" s="365" t="str">
        <f>IF($C22="","",Y22*VLOOKUP($C22,MATIERES!$A$2:$F$349,4,0))</f>
        <v/>
      </c>
      <c r="AA22" s="364">
        <v>30</v>
      </c>
      <c r="AB22" s="365" t="str">
        <f>IF($C22="","",AA22*VLOOKUP($C22,MATIERES!$A$2:$F$349,4,0))</f>
        <v/>
      </c>
      <c r="AC22" s="364">
        <v>31</v>
      </c>
      <c r="AD22" s="365" t="str">
        <f>IF($C22="","",AC22*VLOOKUP($C22,MATIERES!$A$2:$F$349,4,0))</f>
        <v/>
      </c>
      <c r="AE22" s="364">
        <v>32</v>
      </c>
      <c r="AF22" s="365" t="str">
        <f>IF($C22="","",AE22*VLOOKUP($C22,MATIERES!$A$2:$F$349,4,0))</f>
        <v/>
      </c>
      <c r="AG22" s="364">
        <v>33</v>
      </c>
      <c r="AH22" s="365" t="str">
        <f>IF($C22="","",AG22*VLOOKUP($C22,MATIERES!$A$2:$F$349,4,0))</f>
        <v/>
      </c>
      <c r="AI22" s="364">
        <v>34</v>
      </c>
      <c r="AJ22" s="365" t="str">
        <f>IF($C22="","",AI22*VLOOKUP($C22,MATIERES!$A$2:$F$349,4,0))</f>
        <v/>
      </c>
      <c r="AK22" s="364">
        <v>35</v>
      </c>
      <c r="AL22" s="365" t="str">
        <f>IF($C22="","",AK22*VLOOKUP($C22,MATIERES!$A$2:$F$349,4,0))</f>
        <v/>
      </c>
      <c r="AM22" s="364">
        <v>36</v>
      </c>
      <c r="AN22" s="365" t="str">
        <f>IF($C22="","",AM22*VLOOKUP($C22,MATIERES!$A$2:$F$349,4,0))</f>
        <v/>
      </c>
    </row>
    <row r="23" spans="1:40" ht="15" customHeight="1" x14ac:dyDescent="0.2">
      <c r="A23" s="1550"/>
      <c r="B23" s="361"/>
      <c r="C23" s="362"/>
      <c r="D23" s="363" t="str">
        <f>IF($C23="","",VLOOKUP($C23,MATIERES!$A$2:$F$227,5,0))</f>
        <v/>
      </c>
      <c r="E23" s="364">
        <v>20</v>
      </c>
      <c r="F23" s="365" t="str">
        <f>IF($C23="","",E23*VLOOKUP($C23,MATIERES!$A$2:$F$349,4,0))</f>
        <v/>
      </c>
      <c r="G23" s="364">
        <v>21</v>
      </c>
      <c r="H23" s="365" t="str">
        <f>IF($C23="","",G23*VLOOKUP($C23,MATIERES!$A$2:$F$349,4,0))</f>
        <v/>
      </c>
      <c r="I23" s="364">
        <v>22</v>
      </c>
      <c r="J23" s="365" t="str">
        <f>IF($C23="","",I23*VLOOKUP($C23,MATIERES!$A$2:$F$349,4,0))</f>
        <v/>
      </c>
      <c r="K23" s="364">
        <v>23</v>
      </c>
      <c r="L23" s="365" t="str">
        <f>IF($C23="","",K23*VLOOKUP($C23,MATIERES!$A$2:$F$349,4,0))</f>
        <v/>
      </c>
      <c r="M23" s="364">
        <v>24</v>
      </c>
      <c r="N23" s="365" t="str">
        <f>IF($C23="","",M23*VLOOKUP($C23,MATIERES!$A$2:$F$349,4,0))</f>
        <v/>
      </c>
      <c r="O23" s="364">
        <v>25</v>
      </c>
      <c r="P23" s="365" t="str">
        <f>IF($C23="","",O23*VLOOKUP($C23,MATIERES!$A$2:$F$349,4,0))</f>
        <v/>
      </c>
      <c r="Q23" s="364">
        <v>26</v>
      </c>
      <c r="R23" s="365" t="str">
        <f>IF($C23="","",Q23*VLOOKUP($C23,MATIERES!$A$2:$F$349,4,0))</f>
        <v/>
      </c>
      <c r="S23" s="364">
        <v>27</v>
      </c>
      <c r="T23" s="365" t="str">
        <f>IF($C23="","",S23*VLOOKUP($C23,MATIERES!$A$2:$F$349,4,0))</f>
        <v/>
      </c>
      <c r="U23" s="364">
        <v>28</v>
      </c>
      <c r="V23" s="365" t="str">
        <f>IF($C23="","",U23*VLOOKUP($C23,MATIERES!$A$2:$F$349,4,0))</f>
        <v/>
      </c>
      <c r="W23" s="364">
        <v>29</v>
      </c>
      <c r="X23" s="365" t="str">
        <f>IF($C23="","",W23*VLOOKUP($C23,MATIERES!$A$2:$F$349,4,0))</f>
        <v/>
      </c>
      <c r="Y23" s="364">
        <v>30</v>
      </c>
      <c r="Z23" s="365" t="str">
        <f>IF($C23="","",Y23*VLOOKUP($C23,MATIERES!$A$2:$F$349,4,0))</f>
        <v/>
      </c>
      <c r="AA23" s="364">
        <v>31</v>
      </c>
      <c r="AB23" s="365" t="str">
        <f>IF($C23="","",AA23*VLOOKUP($C23,MATIERES!$A$2:$F$349,4,0))</f>
        <v/>
      </c>
      <c r="AC23" s="364">
        <v>32</v>
      </c>
      <c r="AD23" s="365" t="str">
        <f>IF($C23="","",AC23*VLOOKUP($C23,MATIERES!$A$2:$F$349,4,0))</f>
        <v/>
      </c>
      <c r="AE23" s="364">
        <v>33</v>
      </c>
      <c r="AF23" s="365" t="str">
        <f>IF($C23="","",AE23*VLOOKUP($C23,MATIERES!$A$2:$F$349,4,0))</f>
        <v/>
      </c>
      <c r="AG23" s="364">
        <v>34</v>
      </c>
      <c r="AH23" s="365" t="str">
        <f>IF($C23="","",AG23*VLOOKUP($C23,MATIERES!$A$2:$F$349,4,0))</f>
        <v/>
      </c>
      <c r="AI23" s="364">
        <v>35</v>
      </c>
      <c r="AJ23" s="365" t="str">
        <f>IF($C23="","",AI23*VLOOKUP($C23,MATIERES!$A$2:$F$349,4,0))</f>
        <v/>
      </c>
      <c r="AK23" s="364">
        <v>36</v>
      </c>
      <c r="AL23" s="365" t="str">
        <f>IF($C23="","",AK23*VLOOKUP($C23,MATIERES!$A$2:$F$349,4,0))</f>
        <v/>
      </c>
      <c r="AM23" s="364">
        <v>37</v>
      </c>
      <c r="AN23" s="365" t="str">
        <f>IF($C23="","",AM23*VLOOKUP($C23,MATIERES!$A$2:$F$349,4,0))</f>
        <v/>
      </c>
    </row>
    <row r="24" spans="1:40" ht="15" customHeight="1" x14ac:dyDescent="0.2">
      <c r="A24" s="1550"/>
      <c r="B24" s="361"/>
      <c r="C24" s="362"/>
      <c r="D24" s="363" t="str">
        <f>IF($C24="","",VLOOKUP($C24,MATIERES!$A$2:$F$227,5,0))</f>
        <v/>
      </c>
      <c r="E24" s="364">
        <v>21</v>
      </c>
      <c r="F24" s="365" t="str">
        <f>IF($C24="","",E24*VLOOKUP($C24,MATIERES!$A$2:$F$349,4,0))</f>
        <v/>
      </c>
      <c r="G24" s="364">
        <v>22</v>
      </c>
      <c r="H24" s="365" t="str">
        <f>IF($C24="","",G24*VLOOKUP($C24,MATIERES!$A$2:$F$349,4,0))</f>
        <v/>
      </c>
      <c r="I24" s="364">
        <v>23</v>
      </c>
      <c r="J24" s="365" t="str">
        <f>IF($C24="","",I24*VLOOKUP($C24,MATIERES!$A$2:$F$349,4,0))</f>
        <v/>
      </c>
      <c r="K24" s="364">
        <v>24</v>
      </c>
      <c r="L24" s="365" t="str">
        <f>IF($C24="","",K24*VLOOKUP($C24,MATIERES!$A$2:$F$349,4,0))</f>
        <v/>
      </c>
      <c r="M24" s="364">
        <v>25</v>
      </c>
      <c r="N24" s="365" t="str">
        <f>IF($C24="","",M24*VLOOKUP($C24,MATIERES!$A$2:$F$349,4,0))</f>
        <v/>
      </c>
      <c r="O24" s="364">
        <v>26</v>
      </c>
      <c r="P24" s="365" t="str">
        <f>IF($C24="","",O24*VLOOKUP($C24,MATIERES!$A$2:$F$349,4,0))</f>
        <v/>
      </c>
      <c r="Q24" s="364">
        <v>27</v>
      </c>
      <c r="R24" s="365" t="str">
        <f>IF($C24="","",Q24*VLOOKUP($C24,MATIERES!$A$2:$F$349,4,0))</f>
        <v/>
      </c>
      <c r="S24" s="364">
        <v>28</v>
      </c>
      <c r="T24" s="365" t="str">
        <f>IF($C24="","",S24*VLOOKUP($C24,MATIERES!$A$2:$F$349,4,0))</f>
        <v/>
      </c>
      <c r="U24" s="364">
        <v>29</v>
      </c>
      <c r="V24" s="365" t="str">
        <f>IF($C24="","",U24*VLOOKUP($C24,MATIERES!$A$2:$F$349,4,0))</f>
        <v/>
      </c>
      <c r="W24" s="364">
        <v>30</v>
      </c>
      <c r="X24" s="365" t="str">
        <f>IF($C24="","",W24*VLOOKUP($C24,MATIERES!$A$2:$F$349,4,0))</f>
        <v/>
      </c>
      <c r="Y24" s="364">
        <v>31</v>
      </c>
      <c r="Z24" s="365" t="str">
        <f>IF($C24="","",Y24*VLOOKUP($C24,MATIERES!$A$2:$F$349,4,0))</f>
        <v/>
      </c>
      <c r="AA24" s="364">
        <v>32</v>
      </c>
      <c r="AB24" s="365" t="str">
        <f>IF($C24="","",AA24*VLOOKUP($C24,MATIERES!$A$2:$F$349,4,0))</f>
        <v/>
      </c>
      <c r="AC24" s="364">
        <v>33</v>
      </c>
      <c r="AD24" s="365" t="str">
        <f>IF($C24="","",AC24*VLOOKUP($C24,MATIERES!$A$2:$F$349,4,0))</f>
        <v/>
      </c>
      <c r="AE24" s="364">
        <v>34</v>
      </c>
      <c r="AF24" s="365" t="str">
        <f>IF($C24="","",AE24*VLOOKUP($C24,MATIERES!$A$2:$F$349,4,0))</f>
        <v/>
      </c>
      <c r="AG24" s="364">
        <v>35</v>
      </c>
      <c r="AH24" s="365" t="str">
        <f>IF($C24="","",AG24*VLOOKUP($C24,MATIERES!$A$2:$F$349,4,0))</f>
        <v/>
      </c>
      <c r="AI24" s="364">
        <v>36</v>
      </c>
      <c r="AJ24" s="365" t="str">
        <f>IF($C24="","",AI24*VLOOKUP($C24,MATIERES!$A$2:$F$349,4,0))</f>
        <v/>
      </c>
      <c r="AK24" s="364">
        <v>37</v>
      </c>
      <c r="AL24" s="365" t="str">
        <f>IF($C24="","",AK24*VLOOKUP($C24,MATIERES!$A$2:$F$349,4,0))</f>
        <v/>
      </c>
      <c r="AM24" s="364">
        <v>38</v>
      </c>
      <c r="AN24" s="365" t="str">
        <f>IF($C24="","",AM24*VLOOKUP($C24,MATIERES!$A$2:$F$349,4,0))</f>
        <v/>
      </c>
    </row>
    <row r="25" spans="1:40" ht="15" customHeight="1" x14ac:dyDescent="0.2">
      <c r="A25" s="1550"/>
      <c r="B25" s="361"/>
      <c r="C25" s="362"/>
      <c r="D25" s="363" t="str">
        <f>IF($C25="","",VLOOKUP($C25,MATIERES!$A$2:$F$227,5,0))</f>
        <v/>
      </c>
      <c r="E25" s="364">
        <v>22</v>
      </c>
      <c r="F25" s="365" t="str">
        <f>IF($C25="","",E25*VLOOKUP($C25,MATIERES!$A$2:$F$349,4,0))</f>
        <v/>
      </c>
      <c r="G25" s="364">
        <v>23</v>
      </c>
      <c r="H25" s="365" t="str">
        <f>IF($C25="","",G25*VLOOKUP($C25,MATIERES!$A$2:$F$349,4,0))</f>
        <v/>
      </c>
      <c r="I25" s="364">
        <v>24</v>
      </c>
      <c r="J25" s="365" t="str">
        <f>IF($C25="","",I25*VLOOKUP($C25,MATIERES!$A$2:$F$349,4,0))</f>
        <v/>
      </c>
      <c r="K25" s="364">
        <v>25</v>
      </c>
      <c r="L25" s="365" t="str">
        <f>IF($C25="","",K25*VLOOKUP($C25,MATIERES!$A$2:$F$349,4,0))</f>
        <v/>
      </c>
      <c r="M25" s="364">
        <v>26</v>
      </c>
      <c r="N25" s="365" t="str">
        <f>IF($C25="","",M25*VLOOKUP($C25,MATIERES!$A$2:$F$349,4,0))</f>
        <v/>
      </c>
      <c r="O25" s="364">
        <v>27</v>
      </c>
      <c r="P25" s="365" t="str">
        <f>IF($C25="","",O25*VLOOKUP($C25,MATIERES!$A$2:$F$349,4,0))</f>
        <v/>
      </c>
      <c r="Q25" s="364">
        <v>28</v>
      </c>
      <c r="R25" s="365" t="str">
        <f>IF($C25="","",Q25*VLOOKUP($C25,MATIERES!$A$2:$F$349,4,0))</f>
        <v/>
      </c>
      <c r="S25" s="364">
        <v>29</v>
      </c>
      <c r="T25" s="365" t="str">
        <f>IF($C25="","",S25*VLOOKUP($C25,MATIERES!$A$2:$F$349,4,0))</f>
        <v/>
      </c>
      <c r="U25" s="364">
        <v>30</v>
      </c>
      <c r="V25" s="365" t="str">
        <f>IF($C25="","",U25*VLOOKUP($C25,MATIERES!$A$2:$F$349,4,0))</f>
        <v/>
      </c>
      <c r="W25" s="364">
        <v>31</v>
      </c>
      <c r="X25" s="365" t="str">
        <f>IF($C25="","",W25*VLOOKUP($C25,MATIERES!$A$2:$F$349,4,0))</f>
        <v/>
      </c>
      <c r="Y25" s="364">
        <v>32</v>
      </c>
      <c r="Z25" s="365" t="str">
        <f>IF($C25="","",Y25*VLOOKUP($C25,MATIERES!$A$2:$F$349,4,0))</f>
        <v/>
      </c>
      <c r="AA25" s="364">
        <v>33</v>
      </c>
      <c r="AB25" s="365" t="str">
        <f>IF($C25="","",AA25*VLOOKUP($C25,MATIERES!$A$2:$F$349,4,0))</f>
        <v/>
      </c>
      <c r="AC25" s="364">
        <v>34</v>
      </c>
      <c r="AD25" s="365" t="str">
        <f>IF($C25="","",AC25*VLOOKUP($C25,MATIERES!$A$2:$F$349,4,0))</f>
        <v/>
      </c>
      <c r="AE25" s="364">
        <v>35</v>
      </c>
      <c r="AF25" s="365" t="str">
        <f>IF($C25="","",AE25*VLOOKUP($C25,MATIERES!$A$2:$F$349,4,0))</f>
        <v/>
      </c>
      <c r="AG25" s="364">
        <v>36</v>
      </c>
      <c r="AH25" s="365" t="str">
        <f>IF($C25="","",AG25*VLOOKUP($C25,MATIERES!$A$2:$F$349,4,0))</f>
        <v/>
      </c>
      <c r="AI25" s="364">
        <v>37</v>
      </c>
      <c r="AJ25" s="365" t="str">
        <f>IF($C25="","",AI25*VLOOKUP($C25,MATIERES!$A$2:$F$349,4,0))</f>
        <v/>
      </c>
      <c r="AK25" s="364">
        <v>38</v>
      </c>
      <c r="AL25" s="365" t="str">
        <f>IF($C25="","",AK25*VLOOKUP($C25,MATIERES!$A$2:$F$349,4,0))</f>
        <v/>
      </c>
      <c r="AM25" s="364">
        <v>39</v>
      </c>
      <c r="AN25" s="365" t="str">
        <f>IF($C25="","",AM25*VLOOKUP($C25,MATIERES!$A$2:$F$349,4,0))</f>
        <v/>
      </c>
    </row>
    <row r="26" spans="1:40" ht="30" customHeight="1" x14ac:dyDescent="0.2">
      <c r="A26" s="366"/>
      <c r="B26" s="367" t="s">
        <v>683</v>
      </c>
      <c r="C26" s="368" t="s">
        <v>446</v>
      </c>
      <c r="D26" s="369" t="s">
        <v>447</v>
      </c>
      <c r="E26" s="370">
        <f>F26*(1+Simulation!$P$11)</f>
        <v>0</v>
      </c>
      <c r="F26" s="371">
        <f>SUM(F4:F25)</f>
        <v>0</v>
      </c>
      <c r="G26" s="370">
        <f>H26*(1+Simulation!$P$11)</f>
        <v>0</v>
      </c>
      <c r="H26" s="371">
        <f>SUM(H4:H25)</f>
        <v>0</v>
      </c>
      <c r="I26" s="370">
        <f>J26*(1+Simulation!$P$11)</f>
        <v>0</v>
      </c>
      <c r="J26" s="371">
        <f>SUM(J4:J25)</f>
        <v>0</v>
      </c>
      <c r="K26" s="370">
        <f>L26*(1+Simulation!$P$11)</f>
        <v>0</v>
      </c>
      <c r="L26" s="371">
        <f>SUM(L4:L25)</f>
        <v>0</v>
      </c>
      <c r="M26" s="370">
        <f>N26*(1+Simulation!$P$11)</f>
        <v>0</v>
      </c>
      <c r="N26" s="371">
        <f>SUM(N4:N25)</f>
        <v>0</v>
      </c>
      <c r="O26" s="370">
        <f>P26*(1+Simulation!$P$11)</f>
        <v>0</v>
      </c>
      <c r="P26" s="371">
        <f>SUM(P4:P25)</f>
        <v>0</v>
      </c>
      <c r="Q26" s="370">
        <f>R26*(1+Simulation!$P$11)</f>
        <v>0</v>
      </c>
      <c r="R26" s="371">
        <f>SUM(R4:R25)</f>
        <v>0</v>
      </c>
      <c r="S26" s="370">
        <f>T26*(1+Simulation!$P$11)</f>
        <v>0</v>
      </c>
      <c r="T26" s="371">
        <f>SUM(T4:T25)</f>
        <v>0</v>
      </c>
      <c r="U26" s="370">
        <f>V26*(1+Simulation!$P$11)</f>
        <v>0</v>
      </c>
      <c r="V26" s="371">
        <f>SUM(V4:V25)</f>
        <v>0</v>
      </c>
      <c r="W26" s="370">
        <f>X26*(1+Simulation!$P$11)</f>
        <v>0</v>
      </c>
      <c r="X26" s="371">
        <f>SUM(X4:X25)</f>
        <v>0</v>
      </c>
      <c r="Y26" s="370">
        <f>Z26*(1+Simulation!$P$11)</f>
        <v>0</v>
      </c>
      <c r="Z26" s="371">
        <f>SUM(Z4:Z25)</f>
        <v>0</v>
      </c>
      <c r="AA26" s="370">
        <f>AB26*(1+Simulation!$P$11)</f>
        <v>0</v>
      </c>
      <c r="AB26" s="371">
        <f>SUM(AB4:AB25)</f>
        <v>0</v>
      </c>
      <c r="AC26" s="370">
        <f>AD26*(1+Simulation!$P$11)</f>
        <v>0</v>
      </c>
      <c r="AD26" s="371">
        <f>SUM(AD4:AD25)</f>
        <v>0</v>
      </c>
      <c r="AE26" s="370">
        <f>AF26*(1+Simulation!$P$11)</f>
        <v>0</v>
      </c>
      <c r="AF26" s="371">
        <f>SUM(AF4:AF25)</f>
        <v>0</v>
      </c>
      <c r="AG26" s="370">
        <f>AH26*(1+Simulation!$P$11)</f>
        <v>0</v>
      </c>
      <c r="AH26" s="371">
        <f>SUM(AH4:AH25)</f>
        <v>0</v>
      </c>
      <c r="AI26" s="370">
        <f>AJ26*(1+Simulation!$P$11)</f>
        <v>0</v>
      </c>
      <c r="AJ26" s="371">
        <f>SUM(AJ4:AJ25)</f>
        <v>0</v>
      </c>
      <c r="AK26" s="370">
        <f>AL26*(1+Simulation!$P$11)</f>
        <v>0</v>
      </c>
      <c r="AL26" s="371">
        <f>SUM(AL4:AL25)</f>
        <v>0</v>
      </c>
      <c r="AM26" s="370">
        <f>AN26*(1+Simulation!$P$11)</f>
        <v>0</v>
      </c>
      <c r="AN26" s="371">
        <f>SUM(AN4:AN25)</f>
        <v>0</v>
      </c>
    </row>
    <row r="27" spans="1:40" ht="15" customHeight="1" x14ac:dyDescent="0.2">
      <c r="A27" s="1553" t="s">
        <v>448</v>
      </c>
      <c r="B27" s="361" t="s">
        <v>1079</v>
      </c>
      <c r="C27" s="362" t="s">
        <v>419</v>
      </c>
      <c r="D27" s="363" t="e">
        <f>IF($C27="","",VLOOKUP($C27,ATELIER!$B$2:$E$109,3,0))</f>
        <v>#N/A</v>
      </c>
      <c r="E27" s="364">
        <v>1</v>
      </c>
      <c r="F27" s="372" t="e">
        <f>IF($C27="","",E27*VLOOKUP($C27,ATELIER!$B$2:$F$109,4,0))</f>
        <v>#N/A</v>
      </c>
      <c r="G27" s="364">
        <v>2</v>
      </c>
      <c r="H27" s="372" t="e">
        <f>IF($C27="","",G27*VLOOKUP($C27,ATELIER!$B$2:$F$109,4,0))</f>
        <v>#N/A</v>
      </c>
      <c r="I27" s="364">
        <v>3</v>
      </c>
      <c r="J27" s="372" t="e">
        <f>IF($C27="","",I27*VLOOKUP($C27,ATELIER!$B$2:$F$109,4,0))</f>
        <v>#N/A</v>
      </c>
      <c r="K27" s="364">
        <v>4</v>
      </c>
      <c r="L27" s="372" t="e">
        <f>IF($C27="","",K27*VLOOKUP($C27,ATELIER!$B$2:$F$109,4,0))</f>
        <v>#N/A</v>
      </c>
      <c r="M27" s="364">
        <v>5</v>
      </c>
      <c r="N27" s="372" t="e">
        <f>IF($C27="","",M27*VLOOKUP($C27,ATELIER!$B$2:$F$109,4,0))</f>
        <v>#N/A</v>
      </c>
      <c r="O27" s="364">
        <v>6</v>
      </c>
      <c r="P27" s="372" t="e">
        <f>IF($C27="","",O27*VLOOKUP($C27,ATELIER!$B$2:$F$109,4,0))</f>
        <v>#N/A</v>
      </c>
      <c r="Q27" s="364">
        <v>7</v>
      </c>
      <c r="R27" s="372" t="e">
        <f>IF($C27="","",Q27*VLOOKUP($C27,ATELIER!$B$2:$F$109,4,0))</f>
        <v>#N/A</v>
      </c>
      <c r="S27" s="364">
        <v>8</v>
      </c>
      <c r="T27" s="372" t="e">
        <f>IF($C27="","",S27*VLOOKUP($C27,ATELIER!$B$2:$F$109,4,0))</f>
        <v>#N/A</v>
      </c>
      <c r="U27" s="364">
        <v>9</v>
      </c>
      <c r="V27" s="372" t="e">
        <f>IF($C27="","",U27*VLOOKUP($C27,ATELIER!$B$2:$F$109,4,0))</f>
        <v>#N/A</v>
      </c>
      <c r="W27" s="364">
        <v>10</v>
      </c>
      <c r="X27" s="372" t="e">
        <f>IF($C27="","",W27*VLOOKUP($C27,ATELIER!$B$2:$F$109,4,0))</f>
        <v>#N/A</v>
      </c>
      <c r="Y27" s="364">
        <v>11</v>
      </c>
      <c r="Z27" s="372" t="e">
        <f>IF($C27="","",Y27*VLOOKUP($C27,ATELIER!$B$2:$F$109,4,0))</f>
        <v>#N/A</v>
      </c>
      <c r="AA27" s="364">
        <v>12</v>
      </c>
      <c r="AB27" s="372" t="e">
        <f>IF($C27="","",AA27*VLOOKUP($C27,ATELIER!$B$2:$F$109,4,0))</f>
        <v>#N/A</v>
      </c>
      <c r="AC27" s="364">
        <v>13</v>
      </c>
      <c r="AD27" s="372" t="e">
        <f>IF($C27="","",AC27*VLOOKUP($C27,ATELIER!$B$2:$F$109,4,0))</f>
        <v>#N/A</v>
      </c>
      <c r="AE27" s="364">
        <v>14</v>
      </c>
      <c r="AF27" s="372" t="e">
        <f>IF($C27="","",AE27*VLOOKUP($C27,ATELIER!$B$2:$F$109,4,0))</f>
        <v>#N/A</v>
      </c>
      <c r="AG27" s="364">
        <v>15</v>
      </c>
      <c r="AH27" s="372" t="e">
        <f>IF($C27="","",AG27*VLOOKUP($C27,ATELIER!$B$2:$F$109,4,0))</f>
        <v>#N/A</v>
      </c>
      <c r="AI27" s="364">
        <v>16</v>
      </c>
      <c r="AJ27" s="372" t="e">
        <f>IF($C27="","",AI27*VLOOKUP($C27,ATELIER!$B$2:$F$109,4,0))</f>
        <v>#N/A</v>
      </c>
      <c r="AK27" s="364">
        <v>17</v>
      </c>
      <c r="AL27" s="372" t="e">
        <f>IF($C27="","",AK27*VLOOKUP($C27,ATELIER!$B$2:$F$109,4,0))</f>
        <v>#N/A</v>
      </c>
      <c r="AM27" s="364">
        <v>18</v>
      </c>
      <c r="AN27" s="372" t="e">
        <f>IF($C27="","",AM27*VLOOKUP($C27,ATELIER!$B$2:$F$109,4,0))</f>
        <v>#N/A</v>
      </c>
    </row>
    <row r="28" spans="1:40" ht="15" customHeight="1" x14ac:dyDescent="0.2">
      <c r="A28" s="1553"/>
      <c r="B28" s="361" t="str">
        <f>IF($C28="","",VLOOKUP($C28,ATELIER!$B$2:$F$109,2,0))</f>
        <v/>
      </c>
      <c r="C28" s="362"/>
      <c r="D28" s="363" t="str">
        <f>IF($C28="","",VLOOKUP($C28,ATELIER!$B$2:$E$109,3,0))</f>
        <v/>
      </c>
      <c r="E28" s="364">
        <v>2</v>
      </c>
      <c r="F28" s="372" t="str">
        <f>IF($C28="","",E28*VLOOKUP($C28,ATELIER!$B$2:$F$109,4,0))</f>
        <v/>
      </c>
      <c r="G28" s="364">
        <v>3</v>
      </c>
      <c r="H28" s="372" t="str">
        <f>IF($C28="","",G28*VLOOKUP($C28,ATELIER!$B$2:$F$109,4,0))</f>
        <v/>
      </c>
      <c r="I28" s="364">
        <v>4</v>
      </c>
      <c r="J28" s="372" t="str">
        <f>IF($C28="","",I28*VLOOKUP($C28,ATELIER!$B$2:$F$109,4,0))</f>
        <v/>
      </c>
      <c r="K28" s="364">
        <v>5</v>
      </c>
      <c r="L28" s="372" t="str">
        <f>IF($C28="","",K28*VLOOKUP($C28,ATELIER!$B$2:$F$109,4,0))</f>
        <v/>
      </c>
      <c r="M28" s="364">
        <v>6</v>
      </c>
      <c r="N28" s="372" t="str">
        <f>IF($C28="","",M28*VLOOKUP($C28,ATELIER!$B$2:$F$109,4,0))</f>
        <v/>
      </c>
      <c r="O28" s="364">
        <v>7</v>
      </c>
      <c r="P28" s="372" t="str">
        <f>IF($C28="","",O28*VLOOKUP($C28,ATELIER!$B$2:$F$109,4,0))</f>
        <v/>
      </c>
      <c r="Q28" s="364">
        <v>8</v>
      </c>
      <c r="R28" s="372" t="str">
        <f>IF($C28="","",Q28*VLOOKUP($C28,ATELIER!$B$2:$F$109,4,0))</f>
        <v/>
      </c>
      <c r="S28" s="364">
        <v>9</v>
      </c>
      <c r="T28" s="372" t="str">
        <f>IF($C28="","",S28*VLOOKUP($C28,ATELIER!$B$2:$F$109,4,0))</f>
        <v/>
      </c>
      <c r="U28" s="364">
        <v>10</v>
      </c>
      <c r="V28" s="372" t="str">
        <f>IF($C28="","",U28*VLOOKUP($C28,ATELIER!$B$2:$F$109,4,0))</f>
        <v/>
      </c>
      <c r="W28" s="364">
        <v>11</v>
      </c>
      <c r="X28" s="372" t="str">
        <f>IF($C28="","",W28*VLOOKUP($C28,ATELIER!$B$2:$F$109,4,0))</f>
        <v/>
      </c>
      <c r="Y28" s="364">
        <v>12</v>
      </c>
      <c r="Z28" s="372" t="str">
        <f>IF($C28="","",Y28*VLOOKUP($C28,ATELIER!$B$2:$F$109,4,0))</f>
        <v/>
      </c>
      <c r="AA28" s="364">
        <v>13</v>
      </c>
      <c r="AB28" s="372" t="str">
        <f>IF($C28="","",AA28*VLOOKUP($C28,ATELIER!$B$2:$F$109,4,0))</f>
        <v/>
      </c>
      <c r="AC28" s="364">
        <v>14</v>
      </c>
      <c r="AD28" s="372" t="str">
        <f>IF($C28="","",AC28*VLOOKUP($C28,ATELIER!$B$2:$F$109,4,0))</f>
        <v/>
      </c>
      <c r="AE28" s="364">
        <v>15</v>
      </c>
      <c r="AF28" s="372" t="str">
        <f>IF($C28="","",AE28*VLOOKUP($C28,ATELIER!$B$2:$F$109,4,0))</f>
        <v/>
      </c>
      <c r="AG28" s="364">
        <v>16</v>
      </c>
      <c r="AH28" s="372" t="str">
        <f>IF($C28="","",AG28*VLOOKUP($C28,ATELIER!$B$2:$F$109,4,0))</f>
        <v/>
      </c>
      <c r="AI28" s="364">
        <v>17</v>
      </c>
      <c r="AJ28" s="372" t="str">
        <f>IF($C28="","",AI28*VLOOKUP($C28,ATELIER!$B$2:$F$109,4,0))</f>
        <v/>
      </c>
      <c r="AK28" s="364">
        <v>18</v>
      </c>
      <c r="AL28" s="372" t="str">
        <f>IF($C28="","",AK28*VLOOKUP($C28,ATELIER!$B$2:$F$109,4,0))</f>
        <v/>
      </c>
      <c r="AM28" s="364">
        <v>19</v>
      </c>
      <c r="AN28" s="372" t="str">
        <f>IF($C28="","",AM28*VLOOKUP($C28,ATELIER!$B$2:$F$109,4,0))</f>
        <v/>
      </c>
    </row>
    <row r="29" spans="1:40" ht="15" customHeight="1" x14ac:dyDescent="0.2">
      <c r="A29" s="1552"/>
      <c r="B29" s="373" t="str">
        <f>IF($C29="","",VLOOKUP($C29,ATELIER!$B$2:$F$109,2,0))</f>
        <v/>
      </c>
      <c r="C29" s="374"/>
      <c r="D29" s="363" t="str">
        <f>IF($C29="","",VLOOKUP($C29,ATELIER!$B$2:$E$109,3,0))</f>
        <v/>
      </c>
      <c r="E29" s="364">
        <v>3</v>
      </c>
      <c r="F29" s="372" t="str">
        <f>IF($C29="","",E29*VLOOKUP($C29,ATELIER!$B$2:$F$109,4,0))</f>
        <v/>
      </c>
      <c r="G29" s="364">
        <v>4</v>
      </c>
      <c r="H29" s="372" t="str">
        <f>IF($C29="","",G29*VLOOKUP($C29,ATELIER!$B$2:$F$109,4,0))</f>
        <v/>
      </c>
      <c r="I29" s="364">
        <v>5</v>
      </c>
      <c r="J29" s="372" t="str">
        <f>IF($C29="","",I29*VLOOKUP($C29,ATELIER!$B$2:$F$109,4,0))</f>
        <v/>
      </c>
      <c r="K29" s="364">
        <v>6</v>
      </c>
      <c r="L29" s="372" t="str">
        <f>IF($C29="","",K29*VLOOKUP($C29,ATELIER!$B$2:$F$109,4,0))</f>
        <v/>
      </c>
      <c r="M29" s="364">
        <v>7</v>
      </c>
      <c r="N29" s="372" t="str">
        <f>IF($C29="","",M29*VLOOKUP($C29,ATELIER!$B$2:$F$109,4,0))</f>
        <v/>
      </c>
      <c r="O29" s="364">
        <v>8</v>
      </c>
      <c r="P29" s="372" t="str">
        <f>IF($C29="","",O29*VLOOKUP($C29,ATELIER!$B$2:$F$109,4,0))</f>
        <v/>
      </c>
      <c r="Q29" s="364">
        <v>9</v>
      </c>
      <c r="R29" s="372" t="str">
        <f>IF($C29="","",Q29*VLOOKUP($C29,ATELIER!$B$2:$F$109,4,0))</f>
        <v/>
      </c>
      <c r="S29" s="364">
        <v>10</v>
      </c>
      <c r="T29" s="372" t="str">
        <f>IF($C29="","",S29*VLOOKUP($C29,ATELIER!$B$2:$F$109,4,0))</f>
        <v/>
      </c>
      <c r="U29" s="364">
        <v>11</v>
      </c>
      <c r="V29" s="372" t="str">
        <f>IF($C29="","",U29*VLOOKUP($C29,ATELIER!$B$2:$F$109,4,0))</f>
        <v/>
      </c>
      <c r="W29" s="364">
        <v>12</v>
      </c>
      <c r="X29" s="372" t="str">
        <f>IF($C29="","",W29*VLOOKUP($C29,ATELIER!$B$2:$F$109,4,0))</f>
        <v/>
      </c>
      <c r="Y29" s="364">
        <v>13</v>
      </c>
      <c r="Z29" s="372" t="str">
        <f>IF($C29="","",Y29*VLOOKUP($C29,ATELIER!$B$2:$F$109,4,0))</f>
        <v/>
      </c>
      <c r="AA29" s="364">
        <v>14</v>
      </c>
      <c r="AB29" s="372" t="str">
        <f>IF($C29="","",AA29*VLOOKUP($C29,ATELIER!$B$2:$F$109,4,0))</f>
        <v/>
      </c>
      <c r="AC29" s="364">
        <v>15</v>
      </c>
      <c r="AD29" s="372" t="str">
        <f>IF($C29="","",AC29*VLOOKUP($C29,ATELIER!$B$2:$F$109,4,0))</f>
        <v/>
      </c>
      <c r="AE29" s="364">
        <v>16</v>
      </c>
      <c r="AF29" s="372" t="str">
        <f>IF($C29="","",AE29*VLOOKUP($C29,ATELIER!$B$2:$F$109,4,0))</f>
        <v/>
      </c>
      <c r="AG29" s="364">
        <v>17</v>
      </c>
      <c r="AH29" s="372" t="str">
        <f>IF($C29="","",AG29*VLOOKUP($C29,ATELIER!$B$2:$F$109,4,0))</f>
        <v/>
      </c>
      <c r="AI29" s="364">
        <v>18</v>
      </c>
      <c r="AJ29" s="372" t="str">
        <f>IF($C29="","",AI29*VLOOKUP($C29,ATELIER!$B$2:$F$109,4,0))</f>
        <v/>
      </c>
      <c r="AK29" s="364">
        <v>19</v>
      </c>
      <c r="AL29" s="372" t="str">
        <f>IF($C29="","",AK29*VLOOKUP($C29,ATELIER!$B$2:$F$109,4,0))</f>
        <v/>
      </c>
      <c r="AM29" s="364">
        <v>20</v>
      </c>
      <c r="AN29" s="372" t="str">
        <f>IF($C29="","",AM29*VLOOKUP($C29,ATELIER!$B$2:$F$109,4,0))</f>
        <v/>
      </c>
    </row>
    <row r="30" spans="1:40" ht="15" customHeight="1" x14ac:dyDescent="0.2">
      <c r="A30" s="1553"/>
      <c r="B30" s="361" t="str">
        <f>IF($C30="","",VLOOKUP($C30,ATELIER!$B$2:$F$109,2,0))</f>
        <v/>
      </c>
      <c r="C30" s="362"/>
      <c r="D30" s="363" t="str">
        <f>IF($C30="","",VLOOKUP($C30,ATELIER!$B$2:$E$109,3,0))</f>
        <v/>
      </c>
      <c r="E30" s="364">
        <v>4</v>
      </c>
      <c r="F30" s="372" t="str">
        <f>IF($C30="","",E30*VLOOKUP($C30,ATELIER!$B$2:$F$109,4,0))</f>
        <v/>
      </c>
      <c r="G30" s="364">
        <v>5</v>
      </c>
      <c r="H30" s="372" t="str">
        <f>IF($C30="","",G30*VLOOKUP($C30,ATELIER!$B$2:$F$109,4,0))</f>
        <v/>
      </c>
      <c r="I30" s="364">
        <v>6</v>
      </c>
      <c r="J30" s="372" t="str">
        <f>IF($C30="","",I30*VLOOKUP($C30,ATELIER!$B$2:$F$109,4,0))</f>
        <v/>
      </c>
      <c r="K30" s="364">
        <v>7</v>
      </c>
      <c r="L30" s="372" t="str">
        <f>IF($C30="","",K30*VLOOKUP($C30,ATELIER!$B$2:$F$109,4,0))</f>
        <v/>
      </c>
      <c r="M30" s="364">
        <v>8</v>
      </c>
      <c r="N30" s="372" t="str">
        <f>IF($C30="","",M30*VLOOKUP($C30,ATELIER!$B$2:$F$109,4,0))</f>
        <v/>
      </c>
      <c r="O30" s="364">
        <v>9</v>
      </c>
      <c r="P30" s="372" t="str">
        <f>IF($C30="","",O30*VLOOKUP($C30,ATELIER!$B$2:$F$109,4,0))</f>
        <v/>
      </c>
      <c r="Q30" s="364">
        <v>10</v>
      </c>
      <c r="R30" s="372" t="str">
        <f>IF($C30="","",Q30*VLOOKUP($C30,ATELIER!$B$2:$F$109,4,0))</f>
        <v/>
      </c>
      <c r="S30" s="364">
        <v>11</v>
      </c>
      <c r="T30" s="372" t="str">
        <f>IF($C30="","",S30*VLOOKUP($C30,ATELIER!$B$2:$F$109,4,0))</f>
        <v/>
      </c>
      <c r="U30" s="364">
        <v>12</v>
      </c>
      <c r="V30" s="372" t="str">
        <f>IF($C30="","",U30*VLOOKUP($C30,ATELIER!$B$2:$F$109,4,0))</f>
        <v/>
      </c>
      <c r="W30" s="364">
        <v>13</v>
      </c>
      <c r="X30" s="372" t="str">
        <f>IF($C30="","",W30*VLOOKUP($C30,ATELIER!$B$2:$F$109,4,0))</f>
        <v/>
      </c>
      <c r="Y30" s="364">
        <v>14</v>
      </c>
      <c r="Z30" s="372" t="str">
        <f>IF($C30="","",Y30*VLOOKUP($C30,ATELIER!$B$2:$F$109,4,0))</f>
        <v/>
      </c>
      <c r="AA30" s="364">
        <v>15</v>
      </c>
      <c r="AB30" s="372" t="str">
        <f>IF($C30="","",AA30*VLOOKUP($C30,ATELIER!$B$2:$F$109,4,0))</f>
        <v/>
      </c>
      <c r="AC30" s="364">
        <v>16</v>
      </c>
      <c r="AD30" s="372" t="str">
        <f>IF($C30="","",AC30*VLOOKUP($C30,ATELIER!$B$2:$F$109,4,0))</f>
        <v/>
      </c>
      <c r="AE30" s="364">
        <v>17</v>
      </c>
      <c r="AF30" s="372" t="str">
        <f>IF($C30="","",AE30*VLOOKUP($C30,ATELIER!$B$2:$F$109,4,0))</f>
        <v/>
      </c>
      <c r="AG30" s="364">
        <v>18</v>
      </c>
      <c r="AH30" s="372" t="str">
        <f>IF($C30="","",AG30*VLOOKUP($C30,ATELIER!$B$2:$F$109,4,0))</f>
        <v/>
      </c>
      <c r="AI30" s="364">
        <v>19</v>
      </c>
      <c r="AJ30" s="372" t="str">
        <f>IF($C30="","",AI30*VLOOKUP($C30,ATELIER!$B$2:$F$109,4,0))</f>
        <v/>
      </c>
      <c r="AK30" s="364">
        <v>20</v>
      </c>
      <c r="AL30" s="372" t="str">
        <f>IF($C30="","",AK30*VLOOKUP($C30,ATELIER!$B$2:$F$109,4,0))</f>
        <v/>
      </c>
      <c r="AM30" s="364">
        <v>21</v>
      </c>
      <c r="AN30" s="372" t="str">
        <f>IF($C30="","",AM30*VLOOKUP($C30,ATELIER!$B$2:$F$109,4,0))</f>
        <v/>
      </c>
    </row>
    <row r="31" spans="1:40" ht="15" customHeight="1" x14ac:dyDescent="0.2">
      <c r="A31" s="1553"/>
      <c r="B31" s="361" t="str">
        <f>IF($C31="","",VLOOKUP($C31,ATELIER!$B$2:$F$109,2,0))</f>
        <v/>
      </c>
      <c r="C31" s="362"/>
      <c r="D31" s="363" t="str">
        <f>IF($C31="","",VLOOKUP($C31,ATELIER!$B$2:$E$109,3,0))</f>
        <v/>
      </c>
      <c r="E31" s="364">
        <v>5</v>
      </c>
      <c r="F31" s="372" t="str">
        <f>IF($C31="","",E31*VLOOKUP($C31,ATELIER!$B$2:$F$109,4,0))</f>
        <v/>
      </c>
      <c r="G31" s="364">
        <v>6</v>
      </c>
      <c r="H31" s="372" t="str">
        <f>IF($C31="","",G31*VLOOKUP($C31,ATELIER!$B$2:$F$109,4,0))</f>
        <v/>
      </c>
      <c r="I31" s="364">
        <v>7</v>
      </c>
      <c r="J31" s="372" t="str">
        <f>IF($C31="","",I31*VLOOKUP($C31,ATELIER!$B$2:$F$109,4,0))</f>
        <v/>
      </c>
      <c r="K31" s="364">
        <v>8</v>
      </c>
      <c r="L31" s="372" t="str">
        <f>IF($C31="","",K31*VLOOKUP($C31,ATELIER!$B$2:$F$109,4,0))</f>
        <v/>
      </c>
      <c r="M31" s="364">
        <v>9</v>
      </c>
      <c r="N31" s="372" t="str">
        <f>IF($C31="","",M31*VLOOKUP($C31,ATELIER!$B$2:$F$109,4,0))</f>
        <v/>
      </c>
      <c r="O31" s="364">
        <v>10</v>
      </c>
      <c r="P31" s="372" t="str">
        <f>IF($C31="","",O31*VLOOKUP($C31,ATELIER!$B$2:$F$109,4,0))</f>
        <v/>
      </c>
      <c r="Q31" s="364">
        <v>11</v>
      </c>
      <c r="R31" s="372" t="str">
        <f>IF($C31="","",Q31*VLOOKUP($C31,ATELIER!$B$2:$F$109,4,0))</f>
        <v/>
      </c>
      <c r="S31" s="364">
        <v>12</v>
      </c>
      <c r="T31" s="372" t="str">
        <f>IF($C31="","",S31*VLOOKUP($C31,ATELIER!$B$2:$F$109,4,0))</f>
        <v/>
      </c>
      <c r="U31" s="364">
        <v>13</v>
      </c>
      <c r="V31" s="372" t="str">
        <f>IF($C31="","",U31*VLOOKUP($C31,ATELIER!$B$2:$F$109,4,0))</f>
        <v/>
      </c>
      <c r="W31" s="364">
        <v>14</v>
      </c>
      <c r="X31" s="372" t="str">
        <f>IF($C31="","",W31*VLOOKUP($C31,ATELIER!$B$2:$F$109,4,0))</f>
        <v/>
      </c>
      <c r="Y31" s="364">
        <v>15</v>
      </c>
      <c r="Z31" s="372" t="str">
        <f>IF($C31="","",Y31*VLOOKUP($C31,ATELIER!$B$2:$F$109,4,0))</f>
        <v/>
      </c>
      <c r="AA31" s="364">
        <v>16</v>
      </c>
      <c r="AB31" s="372" t="str">
        <f>IF($C31="","",AA31*VLOOKUP($C31,ATELIER!$B$2:$F$109,4,0))</f>
        <v/>
      </c>
      <c r="AC31" s="364">
        <v>17</v>
      </c>
      <c r="AD31" s="372" t="str">
        <f>IF($C31="","",AC31*VLOOKUP($C31,ATELIER!$B$2:$F$109,4,0))</f>
        <v/>
      </c>
      <c r="AE31" s="364">
        <v>18</v>
      </c>
      <c r="AF31" s="372" t="str">
        <f>IF($C31="","",AE31*VLOOKUP($C31,ATELIER!$B$2:$F$109,4,0))</f>
        <v/>
      </c>
      <c r="AG31" s="364">
        <v>19</v>
      </c>
      <c r="AH31" s="372" t="str">
        <f>IF($C31="","",AG31*VLOOKUP($C31,ATELIER!$B$2:$F$109,4,0))</f>
        <v/>
      </c>
      <c r="AI31" s="364">
        <v>20</v>
      </c>
      <c r="AJ31" s="372" t="str">
        <f>IF($C31="","",AI31*VLOOKUP($C31,ATELIER!$B$2:$F$109,4,0))</f>
        <v/>
      </c>
      <c r="AK31" s="364">
        <v>21</v>
      </c>
      <c r="AL31" s="372" t="str">
        <f>IF($C31="","",AK31*VLOOKUP($C31,ATELIER!$B$2:$F$109,4,0))</f>
        <v/>
      </c>
      <c r="AM31" s="364">
        <v>22</v>
      </c>
      <c r="AN31" s="372" t="str">
        <f>IF($C31="","",AM31*VLOOKUP($C31,ATELIER!$B$2:$F$109,4,0))</f>
        <v/>
      </c>
    </row>
    <row r="32" spans="1:40" ht="15" customHeight="1" x14ac:dyDescent="0.2">
      <c r="A32" s="1553"/>
      <c r="B32" s="361" t="str">
        <f>IF($C32="","",VLOOKUP($C32,ATELIER!$B$2:$F$109,2,0))</f>
        <v/>
      </c>
      <c r="C32" s="362"/>
      <c r="D32" s="363" t="str">
        <f>IF($C32="","",VLOOKUP($C32,ATELIER!$B$2:$E$109,3,0))</f>
        <v/>
      </c>
      <c r="E32" s="364">
        <v>6</v>
      </c>
      <c r="F32" s="372" t="str">
        <f>IF($C32="","",E32*VLOOKUP($C32,ATELIER!$B$2:$F$109,4,0))</f>
        <v/>
      </c>
      <c r="G32" s="364">
        <v>7</v>
      </c>
      <c r="H32" s="372" t="str">
        <f>IF($C32="","",G32*VLOOKUP($C32,ATELIER!$B$2:$F$109,4,0))</f>
        <v/>
      </c>
      <c r="I32" s="364">
        <v>8</v>
      </c>
      <c r="J32" s="372" t="str">
        <f>IF($C32="","",I32*VLOOKUP($C32,ATELIER!$B$2:$F$109,4,0))</f>
        <v/>
      </c>
      <c r="K32" s="364">
        <v>9</v>
      </c>
      <c r="L32" s="372" t="str">
        <f>IF($C32="","",K32*VLOOKUP($C32,ATELIER!$B$2:$F$109,4,0))</f>
        <v/>
      </c>
      <c r="M32" s="364">
        <v>10</v>
      </c>
      <c r="N32" s="372" t="str">
        <f>IF($C32="","",M32*VLOOKUP($C32,ATELIER!$B$2:$F$109,4,0))</f>
        <v/>
      </c>
      <c r="O32" s="364">
        <v>11</v>
      </c>
      <c r="P32" s="372" t="str">
        <f>IF($C32="","",O32*VLOOKUP($C32,ATELIER!$B$2:$F$109,4,0))</f>
        <v/>
      </c>
      <c r="Q32" s="364">
        <v>12</v>
      </c>
      <c r="R32" s="372" t="str">
        <f>IF($C32="","",Q32*VLOOKUP($C32,ATELIER!$B$2:$F$109,4,0))</f>
        <v/>
      </c>
      <c r="S32" s="364">
        <v>13</v>
      </c>
      <c r="T32" s="372" t="str">
        <f>IF($C32="","",S32*VLOOKUP($C32,ATELIER!$B$2:$F$109,4,0))</f>
        <v/>
      </c>
      <c r="U32" s="364">
        <v>14</v>
      </c>
      <c r="V32" s="372" t="str">
        <f>IF($C32="","",U32*VLOOKUP($C32,ATELIER!$B$2:$F$109,4,0))</f>
        <v/>
      </c>
      <c r="W32" s="364">
        <v>15</v>
      </c>
      <c r="X32" s="372" t="str">
        <f>IF($C32="","",W32*VLOOKUP($C32,ATELIER!$B$2:$F$109,4,0))</f>
        <v/>
      </c>
      <c r="Y32" s="364">
        <v>16</v>
      </c>
      <c r="Z32" s="372" t="str">
        <f>IF($C32="","",Y32*VLOOKUP($C32,ATELIER!$B$2:$F$109,4,0))</f>
        <v/>
      </c>
      <c r="AA32" s="364">
        <v>17</v>
      </c>
      <c r="AB32" s="372" t="str">
        <f>IF($C32="","",AA32*VLOOKUP($C32,ATELIER!$B$2:$F$109,4,0))</f>
        <v/>
      </c>
      <c r="AC32" s="364">
        <v>18</v>
      </c>
      <c r="AD32" s="372" t="str">
        <f>IF($C32="","",AC32*VLOOKUP($C32,ATELIER!$B$2:$F$109,4,0))</f>
        <v/>
      </c>
      <c r="AE32" s="364">
        <v>19</v>
      </c>
      <c r="AF32" s="372" t="str">
        <f>IF($C32="","",AE32*VLOOKUP($C32,ATELIER!$B$2:$F$109,4,0))</f>
        <v/>
      </c>
      <c r="AG32" s="364">
        <v>20</v>
      </c>
      <c r="AH32" s="372" t="str">
        <f>IF($C32="","",AG32*VLOOKUP($C32,ATELIER!$B$2:$F$109,4,0))</f>
        <v/>
      </c>
      <c r="AI32" s="364">
        <v>21</v>
      </c>
      <c r="AJ32" s="372" t="str">
        <f>IF($C32="","",AI32*VLOOKUP($C32,ATELIER!$B$2:$F$109,4,0))</f>
        <v/>
      </c>
      <c r="AK32" s="364">
        <v>22</v>
      </c>
      <c r="AL32" s="372" t="str">
        <f>IF($C32="","",AK32*VLOOKUP($C32,ATELIER!$B$2:$F$109,4,0))</f>
        <v/>
      </c>
      <c r="AM32" s="364">
        <v>23</v>
      </c>
      <c r="AN32" s="372" t="str">
        <f>IF($C32="","",AM32*VLOOKUP($C32,ATELIER!$B$2:$F$109,4,0))</f>
        <v/>
      </c>
    </row>
    <row r="33" spans="1:42" ht="15" customHeight="1" x14ac:dyDescent="0.2">
      <c r="A33" s="1553"/>
      <c r="B33" s="361" t="str">
        <f>IF($C33="","",VLOOKUP($C33,ATELIER!$B$2:$F$109,2,0))</f>
        <v/>
      </c>
      <c r="C33" s="362"/>
      <c r="D33" s="363" t="str">
        <f>IF($C33="","",VLOOKUP($C33,ATELIER!$B$2:$E$109,3,0))</f>
        <v/>
      </c>
      <c r="E33" s="364">
        <v>7</v>
      </c>
      <c r="F33" s="372" t="str">
        <f>IF($C33="","",E33*VLOOKUP($C33,ATELIER!$B$2:$F$109,4,0))</f>
        <v/>
      </c>
      <c r="G33" s="364">
        <v>8</v>
      </c>
      <c r="H33" s="372" t="str">
        <f>IF($C33="","",G33*VLOOKUP($C33,ATELIER!$B$2:$F$109,4,0))</f>
        <v/>
      </c>
      <c r="I33" s="364">
        <v>9</v>
      </c>
      <c r="J33" s="372" t="str">
        <f>IF($C33="","",I33*VLOOKUP($C33,ATELIER!$B$2:$F$109,4,0))</f>
        <v/>
      </c>
      <c r="K33" s="364">
        <v>10</v>
      </c>
      <c r="L33" s="372" t="str">
        <f>IF($C33="","",K33*VLOOKUP($C33,ATELIER!$B$2:$F$109,4,0))</f>
        <v/>
      </c>
      <c r="M33" s="364">
        <v>11</v>
      </c>
      <c r="N33" s="372" t="str">
        <f>IF($C33="","",M33*VLOOKUP($C33,ATELIER!$B$2:$F$109,4,0))</f>
        <v/>
      </c>
      <c r="O33" s="364">
        <v>12</v>
      </c>
      <c r="P33" s="372" t="str">
        <f>IF($C33="","",O33*VLOOKUP($C33,ATELIER!$B$2:$F$109,4,0))</f>
        <v/>
      </c>
      <c r="Q33" s="364">
        <v>13</v>
      </c>
      <c r="R33" s="372" t="str">
        <f>IF($C33="","",Q33*VLOOKUP($C33,ATELIER!$B$2:$F$109,4,0))</f>
        <v/>
      </c>
      <c r="S33" s="364">
        <v>14</v>
      </c>
      <c r="T33" s="372" t="str">
        <f>IF($C33="","",S33*VLOOKUP($C33,ATELIER!$B$2:$F$109,4,0))</f>
        <v/>
      </c>
      <c r="U33" s="364">
        <v>15</v>
      </c>
      <c r="V33" s="372" t="str">
        <f>IF($C33="","",U33*VLOOKUP($C33,ATELIER!$B$2:$F$109,4,0))</f>
        <v/>
      </c>
      <c r="W33" s="364">
        <v>16</v>
      </c>
      <c r="X33" s="372" t="str">
        <f>IF($C33="","",W33*VLOOKUP($C33,ATELIER!$B$2:$F$109,4,0))</f>
        <v/>
      </c>
      <c r="Y33" s="364">
        <v>17</v>
      </c>
      <c r="Z33" s="372" t="str">
        <f>IF($C33="","",Y33*VLOOKUP($C33,ATELIER!$B$2:$F$109,4,0))</f>
        <v/>
      </c>
      <c r="AA33" s="364">
        <v>18</v>
      </c>
      <c r="AB33" s="372" t="str">
        <f>IF($C33="","",AA33*VLOOKUP($C33,ATELIER!$B$2:$F$109,4,0))</f>
        <v/>
      </c>
      <c r="AC33" s="364">
        <v>19</v>
      </c>
      <c r="AD33" s="372" t="str">
        <f>IF($C33="","",AC33*VLOOKUP($C33,ATELIER!$B$2:$F$109,4,0))</f>
        <v/>
      </c>
      <c r="AE33" s="364">
        <v>20</v>
      </c>
      <c r="AF33" s="372" t="str">
        <f>IF($C33="","",AE33*VLOOKUP($C33,ATELIER!$B$2:$F$109,4,0))</f>
        <v/>
      </c>
      <c r="AG33" s="364">
        <v>21</v>
      </c>
      <c r="AH33" s="372" t="str">
        <f>IF($C33="","",AG33*VLOOKUP($C33,ATELIER!$B$2:$F$109,4,0))</f>
        <v/>
      </c>
      <c r="AI33" s="364">
        <v>22</v>
      </c>
      <c r="AJ33" s="372" t="str">
        <f>IF($C33="","",AI33*VLOOKUP($C33,ATELIER!$B$2:$F$109,4,0))</f>
        <v/>
      </c>
      <c r="AK33" s="364">
        <v>23</v>
      </c>
      <c r="AL33" s="372" t="str">
        <f>IF($C33="","",AK33*VLOOKUP($C33,ATELIER!$B$2:$F$109,4,0))</f>
        <v/>
      </c>
      <c r="AM33" s="364">
        <v>24</v>
      </c>
      <c r="AN33" s="372" t="str">
        <f>IF($C33="","",AM33*VLOOKUP($C33,ATELIER!$B$2:$F$109,4,0))</f>
        <v/>
      </c>
    </row>
    <row r="34" spans="1:42" ht="15" customHeight="1" x14ac:dyDescent="0.2">
      <c r="A34" s="1553"/>
      <c r="B34" s="361" t="str">
        <f>IF($C34="","",VLOOKUP($C34,ATELIER!$B$2:$F$109,2,0))</f>
        <v/>
      </c>
      <c r="C34" s="362"/>
      <c r="D34" s="363" t="str">
        <f>IF($C34="","",VLOOKUP($C34,ATELIER!$B$2:$E$109,3,0))</f>
        <v/>
      </c>
      <c r="E34" s="364">
        <v>8</v>
      </c>
      <c r="F34" s="372" t="str">
        <f>IF($C34="","",E34*VLOOKUP($C34,ATELIER!$B$2:$F$109,4,0))</f>
        <v/>
      </c>
      <c r="G34" s="364">
        <v>9</v>
      </c>
      <c r="H34" s="372" t="str">
        <f>IF($C34="","",G34*VLOOKUP($C34,ATELIER!$B$2:$F$109,4,0))</f>
        <v/>
      </c>
      <c r="I34" s="364">
        <v>10</v>
      </c>
      <c r="J34" s="372" t="str">
        <f>IF($C34="","",I34*VLOOKUP($C34,ATELIER!$B$2:$F$109,4,0))</f>
        <v/>
      </c>
      <c r="K34" s="364">
        <v>11</v>
      </c>
      <c r="L34" s="372" t="str">
        <f>IF($C34="","",K34*VLOOKUP($C34,ATELIER!$B$2:$F$109,4,0))</f>
        <v/>
      </c>
      <c r="M34" s="364">
        <v>12</v>
      </c>
      <c r="N34" s="372" t="str">
        <f>IF($C34="","",M34*VLOOKUP($C34,ATELIER!$B$2:$F$109,4,0))</f>
        <v/>
      </c>
      <c r="O34" s="364">
        <v>13</v>
      </c>
      <c r="P34" s="372" t="str">
        <f>IF($C34="","",O34*VLOOKUP($C34,ATELIER!$B$2:$F$109,4,0))</f>
        <v/>
      </c>
      <c r="Q34" s="364">
        <v>14</v>
      </c>
      <c r="R34" s="372" t="str">
        <f>IF($C34="","",Q34*VLOOKUP($C34,ATELIER!$B$2:$F$109,4,0))</f>
        <v/>
      </c>
      <c r="S34" s="364">
        <v>15</v>
      </c>
      <c r="T34" s="372" t="str">
        <f>IF($C34="","",S34*VLOOKUP($C34,ATELIER!$B$2:$F$109,4,0))</f>
        <v/>
      </c>
      <c r="U34" s="364">
        <v>16</v>
      </c>
      <c r="V34" s="372" t="str">
        <f>IF($C34="","",U34*VLOOKUP($C34,ATELIER!$B$2:$F$109,4,0))</f>
        <v/>
      </c>
      <c r="W34" s="364">
        <v>17</v>
      </c>
      <c r="X34" s="372" t="str">
        <f>IF($C34="","",W34*VLOOKUP($C34,ATELIER!$B$2:$F$109,4,0))</f>
        <v/>
      </c>
      <c r="Y34" s="364">
        <v>18</v>
      </c>
      <c r="Z34" s="372" t="str">
        <f>IF($C34="","",Y34*VLOOKUP($C34,ATELIER!$B$2:$F$109,4,0))</f>
        <v/>
      </c>
      <c r="AA34" s="364">
        <v>19</v>
      </c>
      <c r="AB34" s="372" t="str">
        <f>IF($C34="","",AA34*VLOOKUP($C34,ATELIER!$B$2:$F$109,4,0))</f>
        <v/>
      </c>
      <c r="AC34" s="364">
        <v>20</v>
      </c>
      <c r="AD34" s="372" t="str">
        <f>IF($C34="","",AC34*VLOOKUP($C34,ATELIER!$B$2:$F$109,4,0))</f>
        <v/>
      </c>
      <c r="AE34" s="364">
        <v>21</v>
      </c>
      <c r="AF34" s="372" t="str">
        <f>IF($C34="","",AE34*VLOOKUP($C34,ATELIER!$B$2:$F$109,4,0))</f>
        <v/>
      </c>
      <c r="AG34" s="364">
        <v>22</v>
      </c>
      <c r="AH34" s="372" t="str">
        <f>IF($C34="","",AG34*VLOOKUP($C34,ATELIER!$B$2:$F$109,4,0))</f>
        <v/>
      </c>
      <c r="AI34" s="364">
        <v>23</v>
      </c>
      <c r="AJ34" s="372" t="str">
        <f>IF($C34="","",AI34*VLOOKUP($C34,ATELIER!$B$2:$F$109,4,0))</f>
        <v/>
      </c>
      <c r="AK34" s="364">
        <v>24</v>
      </c>
      <c r="AL34" s="372" t="str">
        <f>IF($C34="","",AK34*VLOOKUP($C34,ATELIER!$B$2:$F$109,4,0))</f>
        <v/>
      </c>
      <c r="AM34" s="364">
        <v>25</v>
      </c>
      <c r="AN34" s="372" t="str">
        <f>IF($C34="","",AM34*VLOOKUP($C34,ATELIER!$B$2:$F$109,4,0))</f>
        <v/>
      </c>
      <c r="AO34" s="222"/>
      <c r="AP34" s="223"/>
    </row>
    <row r="35" spans="1:42" ht="15" customHeight="1" x14ac:dyDescent="0.2">
      <c r="A35" s="1553"/>
      <c r="B35" s="361" t="str">
        <f>IF($C35="","",VLOOKUP($C35,ATELIER!$B$2:$F$109,2,0))</f>
        <v/>
      </c>
      <c r="C35" s="362"/>
      <c r="D35" s="363" t="str">
        <f>IF($C35="","",VLOOKUP($C35,ATELIER!$B$2:$E$109,3,0))</f>
        <v/>
      </c>
      <c r="E35" s="364">
        <v>9</v>
      </c>
      <c r="F35" s="372" t="str">
        <f>IF($C35="","",E35*VLOOKUP($C35,ATELIER!$B$2:$F$109,4,0))</f>
        <v/>
      </c>
      <c r="G35" s="364">
        <v>10</v>
      </c>
      <c r="H35" s="372" t="str">
        <f>IF($C35="","",G35*VLOOKUP($C35,ATELIER!$B$2:$F$109,4,0))</f>
        <v/>
      </c>
      <c r="I35" s="364">
        <v>11</v>
      </c>
      <c r="J35" s="372" t="str">
        <f>IF($C35="","",I35*VLOOKUP($C35,ATELIER!$B$2:$F$109,4,0))</f>
        <v/>
      </c>
      <c r="K35" s="364">
        <v>12</v>
      </c>
      <c r="L35" s="372" t="str">
        <f>IF($C35="","",K35*VLOOKUP($C35,ATELIER!$B$2:$F$109,4,0))</f>
        <v/>
      </c>
      <c r="M35" s="364">
        <v>13</v>
      </c>
      <c r="N35" s="372" t="str">
        <f>IF($C35="","",M35*VLOOKUP($C35,ATELIER!$B$2:$F$109,4,0))</f>
        <v/>
      </c>
      <c r="O35" s="364">
        <v>14</v>
      </c>
      <c r="P35" s="372" t="str">
        <f>IF($C35="","",O35*VLOOKUP($C35,ATELIER!$B$2:$F$109,4,0))</f>
        <v/>
      </c>
      <c r="Q35" s="364">
        <v>15</v>
      </c>
      <c r="R35" s="372" t="str">
        <f>IF($C35="","",Q35*VLOOKUP($C35,ATELIER!$B$2:$F$109,4,0))</f>
        <v/>
      </c>
      <c r="S35" s="364">
        <v>16</v>
      </c>
      <c r="T35" s="372" t="str">
        <f>IF($C35="","",S35*VLOOKUP($C35,ATELIER!$B$2:$F$109,4,0))</f>
        <v/>
      </c>
      <c r="U35" s="364">
        <v>17</v>
      </c>
      <c r="V35" s="372" t="str">
        <f>IF($C35="","",U35*VLOOKUP($C35,ATELIER!$B$2:$F$109,4,0))</f>
        <v/>
      </c>
      <c r="W35" s="364">
        <v>18</v>
      </c>
      <c r="X35" s="372" t="str">
        <f>IF($C35="","",W35*VLOOKUP($C35,ATELIER!$B$2:$F$109,4,0))</f>
        <v/>
      </c>
      <c r="Y35" s="364">
        <v>19</v>
      </c>
      <c r="Z35" s="372" t="str">
        <f>IF($C35="","",Y35*VLOOKUP($C35,ATELIER!$B$2:$F$109,4,0))</f>
        <v/>
      </c>
      <c r="AA35" s="364">
        <v>20</v>
      </c>
      <c r="AB35" s="372" t="str">
        <f>IF($C35="","",AA35*VLOOKUP($C35,ATELIER!$B$2:$F$109,4,0))</f>
        <v/>
      </c>
      <c r="AC35" s="364">
        <v>21</v>
      </c>
      <c r="AD35" s="372" t="str">
        <f>IF($C35="","",AC35*VLOOKUP($C35,ATELIER!$B$2:$F$109,4,0))</f>
        <v/>
      </c>
      <c r="AE35" s="364">
        <v>22</v>
      </c>
      <c r="AF35" s="372" t="str">
        <f>IF($C35="","",AE35*VLOOKUP($C35,ATELIER!$B$2:$F$109,4,0))</f>
        <v/>
      </c>
      <c r="AG35" s="364">
        <v>23</v>
      </c>
      <c r="AH35" s="372" t="str">
        <f>IF($C35="","",AG35*VLOOKUP($C35,ATELIER!$B$2:$F$109,4,0))</f>
        <v/>
      </c>
      <c r="AI35" s="364">
        <v>24</v>
      </c>
      <c r="AJ35" s="372" t="str">
        <f>IF($C35="","",AI35*VLOOKUP($C35,ATELIER!$B$2:$F$109,4,0))</f>
        <v/>
      </c>
      <c r="AK35" s="364">
        <v>25</v>
      </c>
      <c r="AL35" s="372" t="str">
        <f>IF($C35="","",AK35*VLOOKUP($C35,ATELIER!$B$2:$F$109,4,0))</f>
        <v/>
      </c>
      <c r="AM35" s="364">
        <v>26</v>
      </c>
      <c r="AN35" s="372" t="str">
        <f>IF($C35="","",AM35*VLOOKUP($C35,ATELIER!$B$2:$F$109,4,0))</f>
        <v/>
      </c>
      <c r="AO35" s="203"/>
      <c r="AP35" s="158"/>
    </row>
    <row r="36" spans="1:42" ht="15" customHeight="1" x14ac:dyDescent="0.2">
      <c r="A36" s="1553"/>
      <c r="B36" s="361" t="str">
        <f>IF($C36="","",VLOOKUP($C36,ATELIER!$B$2:$F$109,2,0))</f>
        <v/>
      </c>
      <c r="C36" s="362"/>
      <c r="D36" s="363" t="str">
        <f>IF($C36="","",VLOOKUP($C36,ATELIER!$B$2:$E$109,3,0))</f>
        <v/>
      </c>
      <c r="E36" s="364">
        <v>10</v>
      </c>
      <c r="F36" s="372" t="str">
        <f>IF($C36="","",E36*VLOOKUP($C36,ATELIER!$B$2:$F$109,4,0))</f>
        <v/>
      </c>
      <c r="G36" s="364">
        <v>11</v>
      </c>
      <c r="H36" s="372" t="str">
        <f>IF($C36="","",G36*VLOOKUP($C36,ATELIER!$B$2:$F$109,4,0))</f>
        <v/>
      </c>
      <c r="I36" s="364">
        <v>12</v>
      </c>
      <c r="J36" s="372" t="str">
        <f>IF($C36="","",I36*VLOOKUP($C36,ATELIER!$B$2:$F$109,4,0))</f>
        <v/>
      </c>
      <c r="K36" s="364">
        <v>13</v>
      </c>
      <c r="L36" s="372" t="str">
        <f>IF($C36="","",K36*VLOOKUP($C36,ATELIER!$B$2:$F$109,4,0))</f>
        <v/>
      </c>
      <c r="M36" s="364">
        <v>14</v>
      </c>
      <c r="N36" s="372" t="str">
        <f>IF($C36="","",M36*VLOOKUP($C36,ATELIER!$B$2:$F$109,4,0))</f>
        <v/>
      </c>
      <c r="O36" s="364">
        <v>15</v>
      </c>
      <c r="P36" s="372" t="str">
        <f>IF($C36="","",O36*VLOOKUP($C36,ATELIER!$B$2:$F$109,4,0))</f>
        <v/>
      </c>
      <c r="Q36" s="364">
        <v>16</v>
      </c>
      <c r="R36" s="372" t="str">
        <f>IF($C36="","",Q36*VLOOKUP($C36,ATELIER!$B$2:$F$109,4,0))</f>
        <v/>
      </c>
      <c r="S36" s="364">
        <v>17</v>
      </c>
      <c r="T36" s="372" t="str">
        <f>IF($C36="","",S36*VLOOKUP($C36,ATELIER!$B$2:$F$109,4,0))</f>
        <v/>
      </c>
      <c r="U36" s="364">
        <v>18</v>
      </c>
      <c r="V36" s="372" t="str">
        <f>IF($C36="","",U36*VLOOKUP($C36,ATELIER!$B$2:$F$109,4,0))</f>
        <v/>
      </c>
      <c r="W36" s="364">
        <v>19</v>
      </c>
      <c r="X36" s="372" t="str">
        <f>IF($C36="","",W36*VLOOKUP($C36,ATELIER!$B$2:$F$109,4,0))</f>
        <v/>
      </c>
      <c r="Y36" s="364">
        <v>20</v>
      </c>
      <c r="Z36" s="372" t="str">
        <f>IF($C36="","",Y36*VLOOKUP($C36,ATELIER!$B$2:$F$109,4,0))</f>
        <v/>
      </c>
      <c r="AA36" s="364">
        <v>21</v>
      </c>
      <c r="AB36" s="372" t="str">
        <f>IF($C36="","",AA36*VLOOKUP($C36,ATELIER!$B$2:$F$109,4,0))</f>
        <v/>
      </c>
      <c r="AC36" s="364">
        <v>22</v>
      </c>
      <c r="AD36" s="372" t="str">
        <f>IF($C36="","",AC36*VLOOKUP($C36,ATELIER!$B$2:$F$109,4,0))</f>
        <v/>
      </c>
      <c r="AE36" s="364">
        <v>23</v>
      </c>
      <c r="AF36" s="372" t="str">
        <f>IF($C36="","",AE36*VLOOKUP($C36,ATELIER!$B$2:$F$109,4,0))</f>
        <v/>
      </c>
      <c r="AG36" s="364">
        <v>24</v>
      </c>
      <c r="AH36" s="372" t="str">
        <f>IF($C36="","",AG36*VLOOKUP($C36,ATELIER!$B$2:$F$109,4,0))</f>
        <v/>
      </c>
      <c r="AI36" s="364">
        <v>25</v>
      </c>
      <c r="AJ36" s="372" t="str">
        <f>IF($C36="","",AI36*VLOOKUP($C36,ATELIER!$B$2:$F$109,4,0))</f>
        <v/>
      </c>
      <c r="AK36" s="364">
        <v>26</v>
      </c>
      <c r="AL36" s="372" t="str">
        <f>IF($C36="","",AK36*VLOOKUP($C36,ATELIER!$B$2:$F$109,4,0))</f>
        <v/>
      </c>
      <c r="AM36" s="364">
        <v>27</v>
      </c>
      <c r="AN36" s="372" t="str">
        <f>IF($C36="","",AM36*VLOOKUP($C36,ATELIER!$B$2:$F$109,4,0))</f>
        <v/>
      </c>
      <c r="AO36" s="203"/>
      <c r="AP36" s="158"/>
    </row>
    <row r="37" spans="1:42" ht="15" customHeight="1" x14ac:dyDescent="0.2">
      <c r="A37" s="1553"/>
      <c r="B37" s="361" t="str">
        <f>IF($C37="","",VLOOKUP($C37,ATELIER!$B$2:$F$109,2,0))</f>
        <v/>
      </c>
      <c r="C37" s="362"/>
      <c r="D37" s="363" t="str">
        <f>IF($C37="","",VLOOKUP($C37,ATELIER!$B$2:$E$109,3,0))</f>
        <v/>
      </c>
      <c r="E37" s="364">
        <v>11</v>
      </c>
      <c r="F37" s="372" t="str">
        <f>IF($C37="","",E37*VLOOKUP($C37,ATELIER!$B$2:$F$109,4,0))</f>
        <v/>
      </c>
      <c r="G37" s="364">
        <v>12</v>
      </c>
      <c r="H37" s="372" t="str">
        <f>IF($C37="","",G37*VLOOKUP($C37,ATELIER!$B$2:$F$109,4,0))</f>
        <v/>
      </c>
      <c r="I37" s="364">
        <v>13</v>
      </c>
      <c r="J37" s="372" t="str">
        <f>IF($C37="","",I37*VLOOKUP($C37,ATELIER!$B$2:$F$109,4,0))</f>
        <v/>
      </c>
      <c r="K37" s="364">
        <v>14</v>
      </c>
      <c r="L37" s="372" t="str">
        <f>IF($C37="","",K37*VLOOKUP($C37,ATELIER!$B$2:$F$109,4,0))</f>
        <v/>
      </c>
      <c r="M37" s="364">
        <v>15</v>
      </c>
      <c r="N37" s="372" t="str">
        <f>IF($C37="","",M37*VLOOKUP($C37,ATELIER!$B$2:$F$109,4,0))</f>
        <v/>
      </c>
      <c r="O37" s="364">
        <v>16</v>
      </c>
      <c r="P37" s="372" t="str">
        <f>IF($C37="","",O37*VLOOKUP($C37,ATELIER!$B$2:$F$109,4,0))</f>
        <v/>
      </c>
      <c r="Q37" s="364">
        <v>17</v>
      </c>
      <c r="R37" s="372" t="str">
        <f>IF($C37="","",Q37*VLOOKUP($C37,ATELIER!$B$2:$F$109,4,0))</f>
        <v/>
      </c>
      <c r="S37" s="364">
        <v>18</v>
      </c>
      <c r="T37" s="372" t="str">
        <f>IF($C37="","",S37*VLOOKUP($C37,ATELIER!$B$2:$F$109,4,0))</f>
        <v/>
      </c>
      <c r="U37" s="364">
        <v>19</v>
      </c>
      <c r="V37" s="372" t="str">
        <f>IF($C37="","",U37*VLOOKUP($C37,ATELIER!$B$2:$F$109,4,0))</f>
        <v/>
      </c>
      <c r="W37" s="364">
        <v>20</v>
      </c>
      <c r="X37" s="372" t="str">
        <f>IF($C37="","",W37*VLOOKUP($C37,ATELIER!$B$2:$F$109,4,0))</f>
        <v/>
      </c>
      <c r="Y37" s="364">
        <v>21</v>
      </c>
      <c r="Z37" s="372" t="str">
        <f>IF($C37="","",Y37*VLOOKUP($C37,ATELIER!$B$2:$F$109,4,0))</f>
        <v/>
      </c>
      <c r="AA37" s="364">
        <v>22</v>
      </c>
      <c r="AB37" s="372" t="str">
        <f>IF($C37="","",AA37*VLOOKUP($C37,ATELIER!$B$2:$F$109,4,0))</f>
        <v/>
      </c>
      <c r="AC37" s="364">
        <v>23</v>
      </c>
      <c r="AD37" s="372" t="str">
        <f>IF($C37="","",AC37*VLOOKUP($C37,ATELIER!$B$2:$F$109,4,0))</f>
        <v/>
      </c>
      <c r="AE37" s="364">
        <v>24</v>
      </c>
      <c r="AF37" s="372" t="str">
        <f>IF($C37="","",AE37*VLOOKUP($C37,ATELIER!$B$2:$F$109,4,0))</f>
        <v/>
      </c>
      <c r="AG37" s="364">
        <v>25</v>
      </c>
      <c r="AH37" s="372" t="str">
        <f>IF($C37="","",AG37*VLOOKUP($C37,ATELIER!$B$2:$F$109,4,0))</f>
        <v/>
      </c>
      <c r="AI37" s="364">
        <v>26</v>
      </c>
      <c r="AJ37" s="372" t="str">
        <f>IF($C37="","",AI37*VLOOKUP($C37,ATELIER!$B$2:$F$109,4,0))</f>
        <v/>
      </c>
      <c r="AK37" s="364">
        <v>27</v>
      </c>
      <c r="AL37" s="372" t="str">
        <f>IF($C37="","",AK37*VLOOKUP($C37,ATELIER!$B$2:$F$109,4,0))</f>
        <v/>
      </c>
      <c r="AM37" s="364">
        <v>28</v>
      </c>
      <c r="AN37" s="372" t="str">
        <f>IF($C37="","",AM37*VLOOKUP($C37,ATELIER!$B$2:$F$109,4,0))</f>
        <v/>
      </c>
      <c r="AO37" s="155"/>
      <c r="AP37" s="155"/>
    </row>
    <row r="38" spans="1:42" ht="35.25" customHeight="1" x14ac:dyDescent="0.2">
      <c r="A38" s="1553"/>
      <c r="B38" s="375" t="s">
        <v>449</v>
      </c>
      <c r="C38" s="376" t="s">
        <v>450</v>
      </c>
      <c r="D38" s="377" t="s">
        <v>451</v>
      </c>
      <c r="E38" s="376" t="e">
        <f>F38*Simulation!$P$8</f>
        <v>#N/A</v>
      </c>
      <c r="F38" s="377" t="e">
        <f>SUM(F27:F37)</f>
        <v>#N/A</v>
      </c>
      <c r="G38" s="376" t="e">
        <f>H38*Simulation!$P$8</f>
        <v>#N/A</v>
      </c>
      <c r="H38" s="377" t="e">
        <f>SUM(H27:H37)</f>
        <v>#N/A</v>
      </c>
      <c r="I38" s="376" t="e">
        <f>J38*Simulation!$P$8</f>
        <v>#N/A</v>
      </c>
      <c r="J38" s="377" t="e">
        <f>SUM(J27:J37)</f>
        <v>#N/A</v>
      </c>
      <c r="K38" s="376" t="e">
        <f>L38*Simulation!$P$8</f>
        <v>#N/A</v>
      </c>
      <c r="L38" s="377" t="e">
        <f>SUM(L27:L37)</f>
        <v>#N/A</v>
      </c>
      <c r="M38" s="376" t="e">
        <f>N38*Simulation!$P$8</f>
        <v>#N/A</v>
      </c>
      <c r="N38" s="377" t="e">
        <f>SUM(N27:N37)</f>
        <v>#N/A</v>
      </c>
      <c r="O38" s="376" t="e">
        <f>P38*Simulation!$P$8</f>
        <v>#N/A</v>
      </c>
      <c r="P38" s="377" t="e">
        <f>SUM(P27:P37)</f>
        <v>#N/A</v>
      </c>
      <c r="Q38" s="376" t="e">
        <f>R38*Simulation!$P$8</f>
        <v>#N/A</v>
      </c>
      <c r="R38" s="377" t="e">
        <f>SUM(R27:R37)</f>
        <v>#N/A</v>
      </c>
      <c r="S38" s="376" t="e">
        <f>T38*Simulation!$P$8</f>
        <v>#N/A</v>
      </c>
      <c r="T38" s="377" t="e">
        <f>SUM(T27:T37)</f>
        <v>#N/A</v>
      </c>
      <c r="U38" s="376" t="e">
        <f>V38*Simulation!$P$8</f>
        <v>#N/A</v>
      </c>
      <c r="V38" s="377" t="e">
        <f>SUM(V27:V37)</f>
        <v>#N/A</v>
      </c>
      <c r="W38" s="376" t="e">
        <f>X38*Simulation!$P$8</f>
        <v>#N/A</v>
      </c>
      <c r="X38" s="377" t="e">
        <f>SUM(X27:X37)</f>
        <v>#N/A</v>
      </c>
      <c r="Y38" s="376" t="e">
        <f>Z38*Simulation!$P$8</f>
        <v>#N/A</v>
      </c>
      <c r="Z38" s="377" t="e">
        <f>SUM(Z27:Z37)</f>
        <v>#N/A</v>
      </c>
      <c r="AA38" s="376" t="e">
        <f>AB38*Simulation!$P$8</f>
        <v>#N/A</v>
      </c>
      <c r="AB38" s="377" t="e">
        <f>SUM(AB27:AB37)</f>
        <v>#N/A</v>
      </c>
      <c r="AC38" s="376" t="e">
        <f>AD38*Simulation!$P$8</f>
        <v>#N/A</v>
      </c>
      <c r="AD38" s="377" t="e">
        <f>SUM(AD27:AD37)</f>
        <v>#N/A</v>
      </c>
      <c r="AE38" s="376" t="e">
        <f>AF38*Simulation!$P$8</f>
        <v>#N/A</v>
      </c>
      <c r="AF38" s="377" t="e">
        <f>SUM(AF27:AF37)</f>
        <v>#N/A</v>
      </c>
      <c r="AG38" s="376" t="e">
        <f>AH38*Simulation!$P$8</f>
        <v>#N/A</v>
      </c>
      <c r="AH38" s="377" t="e">
        <f>SUM(AH27:AH37)</f>
        <v>#N/A</v>
      </c>
      <c r="AI38" s="376" t="e">
        <f>AJ38*Simulation!$P$8</f>
        <v>#N/A</v>
      </c>
      <c r="AJ38" s="377" t="e">
        <f>SUM(AJ27:AJ37)</f>
        <v>#N/A</v>
      </c>
      <c r="AK38" s="376" t="e">
        <f>AL38*Simulation!$P$8</f>
        <v>#N/A</v>
      </c>
      <c r="AL38" s="377" t="e">
        <f>SUM(AL27:AL37)</f>
        <v>#N/A</v>
      </c>
      <c r="AM38" s="376" t="e">
        <f>AN38*Simulation!$P$8</f>
        <v>#N/A</v>
      </c>
      <c r="AN38" s="377" t="e">
        <f>SUM(AN27:AN37)</f>
        <v>#N/A</v>
      </c>
      <c r="AO38" s="224"/>
      <c r="AP38" s="224"/>
    </row>
    <row r="39" spans="1:42" ht="15" customHeight="1" x14ac:dyDescent="0.2">
      <c r="A39" s="1554" t="s">
        <v>452</v>
      </c>
      <c r="B39" s="361" t="s">
        <v>1082</v>
      </c>
      <c r="C39" s="378" t="s">
        <v>378</v>
      </c>
      <c r="D39" s="363" t="str">
        <f>IF(C39="","",VLOOKUP($C39,CHANTIER!$A$2:$C$83,3,0))</f>
        <v>forfait</v>
      </c>
      <c r="E39" s="364">
        <v>1</v>
      </c>
      <c r="F39" s="372">
        <f>IF($C39="","",E39*VLOOKUP($C39,CHANTIER!$A$2:$D$83,4,0))</f>
        <v>0.25</v>
      </c>
      <c r="G39" s="364">
        <v>2</v>
      </c>
      <c r="H39" s="372">
        <f>IF($C39="","",G39*VLOOKUP($C39,CHANTIER!$A$2:$D$83,4,0))</f>
        <v>0.5</v>
      </c>
      <c r="I39" s="364">
        <v>3</v>
      </c>
      <c r="J39" s="372">
        <f>IF($C39="","",I39*VLOOKUP($C39,CHANTIER!$A$2:$D$83,4,0))</f>
        <v>0.75</v>
      </c>
      <c r="K39" s="364">
        <v>4</v>
      </c>
      <c r="L39" s="372">
        <f>IF($C39="","",K39*VLOOKUP($C39,CHANTIER!$A$2:$D$83,4,0))</f>
        <v>1</v>
      </c>
      <c r="M39" s="364">
        <v>5</v>
      </c>
      <c r="N39" s="372">
        <f>IF($C39="","",M39*VLOOKUP($C39,CHANTIER!$A$2:$D$83,4,0))</f>
        <v>1.25</v>
      </c>
      <c r="O39" s="364">
        <v>6</v>
      </c>
      <c r="P39" s="372">
        <f>IF($C39="","",O39*VLOOKUP($C39,CHANTIER!$A$2:$D$83,4,0))</f>
        <v>1.5</v>
      </c>
      <c r="Q39" s="364">
        <v>7</v>
      </c>
      <c r="R39" s="372">
        <f>IF($C39="","",Q39*VLOOKUP($C39,CHANTIER!$A$2:$D$83,4,0))</f>
        <v>1.75</v>
      </c>
      <c r="S39" s="364">
        <v>8</v>
      </c>
      <c r="T39" s="372">
        <f>IF($C39="","",S39*VLOOKUP($C39,CHANTIER!$A$2:$D$83,4,0))</f>
        <v>2</v>
      </c>
      <c r="U39" s="364">
        <v>9</v>
      </c>
      <c r="V39" s="372">
        <f>IF($C39="","",U39*VLOOKUP($C39,CHANTIER!$A$2:$D$83,4,0))</f>
        <v>2.25</v>
      </c>
      <c r="W39" s="364">
        <v>10</v>
      </c>
      <c r="X39" s="372">
        <f>IF($C39="","",W39*VLOOKUP($C39,CHANTIER!$A$2:$D$83,4,0))</f>
        <v>2.5</v>
      </c>
      <c r="Y39" s="364">
        <v>11</v>
      </c>
      <c r="Z39" s="372">
        <f>IF($C39="","",Y39*VLOOKUP($C39,CHANTIER!$A$2:$D$83,4,0))</f>
        <v>2.75</v>
      </c>
      <c r="AA39" s="364">
        <v>12</v>
      </c>
      <c r="AB39" s="372">
        <f>IF($C39="","",AA39*VLOOKUP($C39,CHANTIER!$A$2:$D$83,4,0))</f>
        <v>3</v>
      </c>
      <c r="AC39" s="364">
        <v>13</v>
      </c>
      <c r="AD39" s="372">
        <f>IF($C39="","",AC39*VLOOKUP($C39,CHANTIER!$A$2:$D$83,4,0))</f>
        <v>3.25</v>
      </c>
      <c r="AE39" s="364">
        <v>14</v>
      </c>
      <c r="AF39" s="372">
        <f>IF($C39="","",AE39*VLOOKUP($C39,CHANTIER!$A$2:$D$83,4,0))</f>
        <v>3.5</v>
      </c>
      <c r="AG39" s="364">
        <v>15</v>
      </c>
      <c r="AH39" s="372">
        <f>IF($C39="","",AG39*VLOOKUP($C39,CHANTIER!$A$2:$D$83,4,0))</f>
        <v>3.75</v>
      </c>
      <c r="AI39" s="364">
        <v>16</v>
      </c>
      <c r="AJ39" s="372">
        <f>IF($C39="","",AI39*VLOOKUP($C39,CHANTIER!$A$2:$D$83,4,0))</f>
        <v>4</v>
      </c>
      <c r="AK39" s="364">
        <v>17</v>
      </c>
      <c r="AL39" s="372">
        <f>IF($C39="","",AK39*VLOOKUP($C39,CHANTIER!$A$2:$D$83,4,0))</f>
        <v>4.25</v>
      </c>
      <c r="AM39" s="364">
        <v>18</v>
      </c>
      <c r="AN39" s="372">
        <f>IF($C39="","",AM39*VLOOKUP($C39,CHANTIER!$A$2:$D$83,4,0))</f>
        <v>4.5</v>
      </c>
      <c r="AO39" s="224"/>
      <c r="AP39" s="224"/>
    </row>
    <row r="40" spans="1:42" ht="15" customHeight="1" x14ac:dyDescent="0.2">
      <c r="A40" s="1554"/>
      <c r="B40" s="361"/>
      <c r="C40" s="378"/>
      <c r="D40" s="363" t="str">
        <f>IF(C40="","",VLOOKUP($C40,CHANTIER!$A$2:$C$83,3,0))</f>
        <v/>
      </c>
      <c r="E40" s="364">
        <v>2</v>
      </c>
      <c r="F40" s="372" t="str">
        <f>IF($C40="","",E40*VLOOKUP($C40,CHANTIER!$A$2:$D$83,4,0))</f>
        <v/>
      </c>
      <c r="G40" s="364">
        <v>3</v>
      </c>
      <c r="H40" s="372" t="str">
        <f>IF($C40="","",G40*VLOOKUP($C40,CHANTIER!$A$2:$D$83,4,0))</f>
        <v/>
      </c>
      <c r="I40" s="364">
        <v>4</v>
      </c>
      <c r="J40" s="372" t="str">
        <f>IF($C40="","",I40*VLOOKUP($C40,CHANTIER!$A$2:$D$83,4,0))</f>
        <v/>
      </c>
      <c r="K40" s="364">
        <v>5</v>
      </c>
      <c r="L40" s="372" t="str">
        <f>IF($C40="","",K40*VLOOKUP($C40,CHANTIER!$A$2:$D$83,4,0))</f>
        <v/>
      </c>
      <c r="M40" s="364">
        <v>6</v>
      </c>
      <c r="N40" s="372" t="str">
        <f>IF($C40="","",M40*VLOOKUP($C40,CHANTIER!$A$2:$D$83,4,0))</f>
        <v/>
      </c>
      <c r="O40" s="364">
        <v>7</v>
      </c>
      <c r="P40" s="372" t="str">
        <f>IF($C40="","",O40*VLOOKUP($C40,CHANTIER!$A$2:$D$83,4,0))</f>
        <v/>
      </c>
      <c r="Q40" s="364">
        <v>8</v>
      </c>
      <c r="R40" s="372" t="str">
        <f>IF($C40="","",Q40*VLOOKUP($C40,CHANTIER!$A$2:$D$83,4,0))</f>
        <v/>
      </c>
      <c r="S40" s="364">
        <v>9</v>
      </c>
      <c r="T40" s="372" t="str">
        <f>IF($C40="","",S40*VLOOKUP($C40,CHANTIER!$A$2:$D$83,4,0))</f>
        <v/>
      </c>
      <c r="U40" s="364">
        <v>10</v>
      </c>
      <c r="V40" s="372" t="str">
        <f>IF($C40="","",U40*VLOOKUP($C40,CHANTIER!$A$2:$D$83,4,0))</f>
        <v/>
      </c>
      <c r="W40" s="364">
        <v>11</v>
      </c>
      <c r="X40" s="372" t="str">
        <f>IF($C40="","",W40*VLOOKUP($C40,CHANTIER!$A$2:$D$83,4,0))</f>
        <v/>
      </c>
      <c r="Y40" s="364">
        <v>12</v>
      </c>
      <c r="Z40" s="372" t="str">
        <f>IF($C40="","",Y40*VLOOKUP($C40,CHANTIER!$A$2:$D$83,4,0))</f>
        <v/>
      </c>
      <c r="AA40" s="364">
        <v>13</v>
      </c>
      <c r="AB40" s="372" t="str">
        <f>IF($C40="","",AA40*VLOOKUP($C40,CHANTIER!$A$2:$D$83,4,0))</f>
        <v/>
      </c>
      <c r="AC40" s="364">
        <v>14</v>
      </c>
      <c r="AD40" s="372" t="str">
        <f>IF($C40="","",AC40*VLOOKUP($C40,CHANTIER!$A$2:$D$83,4,0))</f>
        <v/>
      </c>
      <c r="AE40" s="364">
        <v>15</v>
      </c>
      <c r="AF40" s="372" t="str">
        <f>IF($C40="","",AE40*VLOOKUP($C40,CHANTIER!$A$2:$D$83,4,0))</f>
        <v/>
      </c>
      <c r="AG40" s="364">
        <v>16</v>
      </c>
      <c r="AH40" s="372" t="str">
        <f>IF($C40="","",AG40*VLOOKUP($C40,CHANTIER!$A$2:$D$83,4,0))</f>
        <v/>
      </c>
      <c r="AI40" s="364">
        <v>17</v>
      </c>
      <c r="AJ40" s="372" t="str">
        <f>IF($C40="","",AI40*VLOOKUP($C40,CHANTIER!$A$2:$D$83,4,0))</f>
        <v/>
      </c>
      <c r="AK40" s="364">
        <v>18</v>
      </c>
      <c r="AL40" s="372" t="str">
        <f>IF($C40="","",AK40*VLOOKUP($C40,CHANTIER!$A$2:$D$83,4,0))</f>
        <v/>
      </c>
      <c r="AM40" s="364">
        <v>19</v>
      </c>
      <c r="AN40" s="372" t="str">
        <f>IF($C40="","",AM40*VLOOKUP($C40,CHANTIER!$A$2:$D$83,4,0))</f>
        <v/>
      </c>
      <c r="AO40" s="224"/>
      <c r="AP40" s="224"/>
    </row>
    <row r="41" spans="1:42" ht="15" customHeight="1" x14ac:dyDescent="0.2">
      <c r="A41" s="1555"/>
      <c r="B41" s="361"/>
      <c r="C41" s="378"/>
      <c r="D41" s="363" t="str">
        <f>IF(C41="","",VLOOKUP($C41,CHANTIER!$A$2:$C$83,3,0))</f>
        <v/>
      </c>
      <c r="E41" s="364">
        <v>3</v>
      </c>
      <c r="F41" s="372" t="str">
        <f>IF($C41="","",E41*VLOOKUP($C41,CHANTIER!$A$2:$D$83,4,0))</f>
        <v/>
      </c>
      <c r="G41" s="364">
        <v>4</v>
      </c>
      <c r="H41" s="372" t="str">
        <f>IF($C41="","",G41*VLOOKUP($C41,CHANTIER!$A$2:$D$83,4,0))</f>
        <v/>
      </c>
      <c r="I41" s="364">
        <v>5</v>
      </c>
      <c r="J41" s="372" t="str">
        <f>IF($C41="","",I41*VLOOKUP($C41,CHANTIER!$A$2:$D$83,4,0))</f>
        <v/>
      </c>
      <c r="K41" s="364">
        <v>6</v>
      </c>
      <c r="L41" s="372" t="str">
        <f>IF($C41="","",K41*VLOOKUP($C41,CHANTIER!$A$2:$D$83,4,0))</f>
        <v/>
      </c>
      <c r="M41" s="364">
        <v>7</v>
      </c>
      <c r="N41" s="372" t="str">
        <f>IF($C41="","",M41*VLOOKUP($C41,CHANTIER!$A$2:$D$83,4,0))</f>
        <v/>
      </c>
      <c r="O41" s="364">
        <v>8</v>
      </c>
      <c r="P41" s="372" t="str">
        <f>IF($C41="","",O41*VLOOKUP($C41,CHANTIER!$A$2:$D$83,4,0))</f>
        <v/>
      </c>
      <c r="Q41" s="364">
        <v>9</v>
      </c>
      <c r="R41" s="372" t="str">
        <f>IF($C41="","",Q41*VLOOKUP($C41,CHANTIER!$A$2:$D$83,4,0))</f>
        <v/>
      </c>
      <c r="S41" s="364">
        <v>10</v>
      </c>
      <c r="T41" s="372" t="str">
        <f>IF($C41="","",S41*VLOOKUP($C41,CHANTIER!$A$2:$D$83,4,0))</f>
        <v/>
      </c>
      <c r="U41" s="364">
        <v>11</v>
      </c>
      <c r="V41" s="372" t="str">
        <f>IF($C41="","",U41*VLOOKUP($C41,CHANTIER!$A$2:$D$83,4,0))</f>
        <v/>
      </c>
      <c r="W41" s="364">
        <v>12</v>
      </c>
      <c r="X41" s="372" t="str">
        <f>IF($C41="","",W41*VLOOKUP($C41,CHANTIER!$A$2:$D$83,4,0))</f>
        <v/>
      </c>
      <c r="Y41" s="364">
        <v>13</v>
      </c>
      <c r="Z41" s="372" t="str">
        <f>IF($C41="","",Y41*VLOOKUP($C41,CHANTIER!$A$2:$D$83,4,0))</f>
        <v/>
      </c>
      <c r="AA41" s="364">
        <v>14</v>
      </c>
      <c r="AB41" s="372" t="str">
        <f>IF($C41="","",AA41*VLOOKUP($C41,CHANTIER!$A$2:$D$83,4,0))</f>
        <v/>
      </c>
      <c r="AC41" s="364">
        <v>15</v>
      </c>
      <c r="AD41" s="372" t="str">
        <f>IF($C41="","",AC41*VLOOKUP($C41,CHANTIER!$A$2:$D$83,4,0))</f>
        <v/>
      </c>
      <c r="AE41" s="364">
        <v>16</v>
      </c>
      <c r="AF41" s="372" t="str">
        <f>IF($C41="","",AE41*VLOOKUP($C41,CHANTIER!$A$2:$D$83,4,0))</f>
        <v/>
      </c>
      <c r="AG41" s="364">
        <v>17</v>
      </c>
      <c r="AH41" s="372" t="str">
        <f>IF($C41="","",AG41*VLOOKUP($C41,CHANTIER!$A$2:$D$83,4,0))</f>
        <v/>
      </c>
      <c r="AI41" s="364">
        <v>18</v>
      </c>
      <c r="AJ41" s="372" t="str">
        <f>IF($C41="","",AI41*VLOOKUP($C41,CHANTIER!$A$2:$D$83,4,0))</f>
        <v/>
      </c>
      <c r="AK41" s="364">
        <v>19</v>
      </c>
      <c r="AL41" s="372" t="str">
        <f>IF($C41="","",AK41*VLOOKUP($C41,CHANTIER!$A$2:$D$83,4,0))</f>
        <v/>
      </c>
      <c r="AM41" s="364">
        <v>20</v>
      </c>
      <c r="AN41" s="372" t="str">
        <f>IF($C41="","",AM41*VLOOKUP($C41,CHANTIER!$A$2:$D$83,4,0))</f>
        <v/>
      </c>
      <c r="AO41" s="224"/>
      <c r="AP41" s="224"/>
    </row>
    <row r="42" spans="1:42" ht="15" customHeight="1" x14ac:dyDescent="0.2">
      <c r="A42" s="1554"/>
      <c r="B42" s="361"/>
      <c r="C42" s="378"/>
      <c r="D42" s="363" t="str">
        <f>IF(C42="","",VLOOKUP($C42,CHANTIER!$A$2:$C$83,3,0))</f>
        <v/>
      </c>
      <c r="E42" s="364">
        <v>4</v>
      </c>
      <c r="F42" s="372" t="str">
        <f>IF($C42="","",E42*VLOOKUP($C42,CHANTIER!$A$2:$D$83,4,0))</f>
        <v/>
      </c>
      <c r="G42" s="364">
        <v>5</v>
      </c>
      <c r="H42" s="372" t="str">
        <f>IF($C42="","",G42*VLOOKUP($C42,CHANTIER!$A$2:$D$83,4,0))</f>
        <v/>
      </c>
      <c r="I42" s="364">
        <v>6</v>
      </c>
      <c r="J42" s="372" t="str">
        <f>IF($C42="","",I42*VLOOKUP($C42,CHANTIER!$A$2:$D$83,4,0))</f>
        <v/>
      </c>
      <c r="K42" s="364">
        <v>7</v>
      </c>
      <c r="L42" s="372" t="str">
        <f>IF($C42="","",K42*VLOOKUP($C42,CHANTIER!$A$2:$D$83,4,0))</f>
        <v/>
      </c>
      <c r="M42" s="364">
        <v>8</v>
      </c>
      <c r="N42" s="372" t="str">
        <f>IF($C42="","",M42*VLOOKUP($C42,CHANTIER!$A$2:$D$83,4,0))</f>
        <v/>
      </c>
      <c r="O42" s="364">
        <v>9</v>
      </c>
      <c r="P42" s="372" t="str">
        <f>IF($C42="","",O42*VLOOKUP($C42,CHANTIER!$A$2:$D$83,4,0))</f>
        <v/>
      </c>
      <c r="Q42" s="364">
        <v>10</v>
      </c>
      <c r="R42" s="372" t="str">
        <f>IF($C42="","",Q42*VLOOKUP($C42,CHANTIER!$A$2:$D$83,4,0))</f>
        <v/>
      </c>
      <c r="S42" s="364">
        <v>11</v>
      </c>
      <c r="T42" s="372" t="str">
        <f>IF($C42="","",S42*VLOOKUP($C42,CHANTIER!$A$2:$D$83,4,0))</f>
        <v/>
      </c>
      <c r="U42" s="364">
        <v>12</v>
      </c>
      <c r="V42" s="372" t="str">
        <f>IF($C42="","",U42*VLOOKUP($C42,CHANTIER!$A$2:$D$83,4,0))</f>
        <v/>
      </c>
      <c r="W42" s="364">
        <v>13</v>
      </c>
      <c r="X42" s="372" t="str">
        <f>IF($C42="","",W42*VLOOKUP($C42,CHANTIER!$A$2:$D$83,4,0))</f>
        <v/>
      </c>
      <c r="Y42" s="364">
        <v>14</v>
      </c>
      <c r="Z42" s="372" t="str">
        <f>IF($C42="","",Y42*VLOOKUP($C42,CHANTIER!$A$2:$D$83,4,0))</f>
        <v/>
      </c>
      <c r="AA42" s="364">
        <v>15</v>
      </c>
      <c r="AB42" s="372" t="str">
        <f>IF($C42="","",AA42*VLOOKUP($C42,CHANTIER!$A$2:$D$83,4,0))</f>
        <v/>
      </c>
      <c r="AC42" s="364">
        <v>16</v>
      </c>
      <c r="AD42" s="372" t="str">
        <f>IF($C42="","",AC42*VLOOKUP($C42,CHANTIER!$A$2:$D$83,4,0))</f>
        <v/>
      </c>
      <c r="AE42" s="364">
        <v>17</v>
      </c>
      <c r="AF42" s="372" t="str">
        <f>IF($C42="","",AE42*VLOOKUP($C42,CHANTIER!$A$2:$D$83,4,0))</f>
        <v/>
      </c>
      <c r="AG42" s="364">
        <v>18</v>
      </c>
      <c r="AH42" s="372" t="str">
        <f>IF($C42="","",AG42*VLOOKUP($C42,CHANTIER!$A$2:$D$83,4,0))</f>
        <v/>
      </c>
      <c r="AI42" s="364">
        <v>19</v>
      </c>
      <c r="AJ42" s="372" t="str">
        <f>IF($C42="","",AI42*VLOOKUP($C42,CHANTIER!$A$2:$D$83,4,0))</f>
        <v/>
      </c>
      <c r="AK42" s="364">
        <v>20</v>
      </c>
      <c r="AL42" s="372" t="str">
        <f>IF($C42="","",AK42*VLOOKUP($C42,CHANTIER!$A$2:$D$83,4,0))</f>
        <v/>
      </c>
      <c r="AM42" s="364">
        <v>21</v>
      </c>
      <c r="AN42" s="372" t="str">
        <f>IF($C42="","",AM42*VLOOKUP($C42,CHANTIER!$A$2:$D$83,4,0))</f>
        <v/>
      </c>
      <c r="AO42" s="224"/>
      <c r="AP42" s="224"/>
    </row>
    <row r="43" spans="1:42" ht="15" customHeight="1" x14ac:dyDescent="0.2">
      <c r="A43" s="1554"/>
      <c r="B43" s="361"/>
      <c r="C43" s="378"/>
      <c r="D43" s="363" t="str">
        <f>IF(C43="","",VLOOKUP($C43,CHANTIER!$A$2:$C$83,3,0))</f>
        <v/>
      </c>
      <c r="E43" s="364">
        <v>5</v>
      </c>
      <c r="F43" s="372" t="str">
        <f>IF($C43="","",E43*VLOOKUP($C43,CHANTIER!$A$2:$D$83,4,0))</f>
        <v/>
      </c>
      <c r="G43" s="364">
        <v>6</v>
      </c>
      <c r="H43" s="372" t="str">
        <f>IF($C43="","",G43*VLOOKUP($C43,CHANTIER!$A$2:$D$83,4,0))</f>
        <v/>
      </c>
      <c r="I43" s="364">
        <v>7</v>
      </c>
      <c r="J43" s="372" t="str">
        <f>IF($C43="","",I43*VLOOKUP($C43,CHANTIER!$A$2:$D$83,4,0))</f>
        <v/>
      </c>
      <c r="K43" s="364">
        <v>8</v>
      </c>
      <c r="L43" s="372" t="str">
        <f>IF($C43="","",K43*VLOOKUP($C43,CHANTIER!$A$2:$D$83,4,0))</f>
        <v/>
      </c>
      <c r="M43" s="364">
        <v>9</v>
      </c>
      <c r="N43" s="372" t="str">
        <f>IF($C43="","",M43*VLOOKUP($C43,CHANTIER!$A$2:$D$83,4,0))</f>
        <v/>
      </c>
      <c r="O43" s="364">
        <v>10</v>
      </c>
      <c r="P43" s="372" t="str">
        <f>IF($C43="","",O43*VLOOKUP($C43,CHANTIER!$A$2:$D$83,4,0))</f>
        <v/>
      </c>
      <c r="Q43" s="364">
        <v>11</v>
      </c>
      <c r="R43" s="372" t="str">
        <f>IF($C43="","",Q43*VLOOKUP($C43,CHANTIER!$A$2:$D$83,4,0))</f>
        <v/>
      </c>
      <c r="S43" s="364">
        <v>12</v>
      </c>
      <c r="T43" s="372" t="str">
        <f>IF($C43="","",S43*VLOOKUP($C43,CHANTIER!$A$2:$D$83,4,0))</f>
        <v/>
      </c>
      <c r="U43" s="364">
        <v>13</v>
      </c>
      <c r="V43" s="372" t="str">
        <f>IF($C43="","",U43*VLOOKUP($C43,CHANTIER!$A$2:$D$83,4,0))</f>
        <v/>
      </c>
      <c r="W43" s="364">
        <v>14</v>
      </c>
      <c r="X43" s="372" t="str">
        <f>IF($C43="","",W43*VLOOKUP($C43,CHANTIER!$A$2:$D$83,4,0))</f>
        <v/>
      </c>
      <c r="Y43" s="364">
        <v>15</v>
      </c>
      <c r="Z43" s="372" t="str">
        <f>IF($C43="","",Y43*VLOOKUP($C43,CHANTIER!$A$2:$D$83,4,0))</f>
        <v/>
      </c>
      <c r="AA43" s="364">
        <v>16</v>
      </c>
      <c r="AB43" s="372" t="str">
        <f>IF($C43="","",AA43*VLOOKUP($C43,CHANTIER!$A$2:$D$83,4,0))</f>
        <v/>
      </c>
      <c r="AC43" s="364">
        <v>17</v>
      </c>
      <c r="AD43" s="372" t="str">
        <f>IF($C43="","",AC43*VLOOKUP($C43,CHANTIER!$A$2:$D$83,4,0))</f>
        <v/>
      </c>
      <c r="AE43" s="364">
        <v>18</v>
      </c>
      <c r="AF43" s="372" t="str">
        <f>IF($C43="","",AE43*VLOOKUP($C43,CHANTIER!$A$2:$D$83,4,0))</f>
        <v/>
      </c>
      <c r="AG43" s="364">
        <v>19</v>
      </c>
      <c r="AH43" s="372" t="str">
        <f>IF($C43="","",AG43*VLOOKUP($C43,CHANTIER!$A$2:$D$83,4,0))</f>
        <v/>
      </c>
      <c r="AI43" s="364">
        <v>20</v>
      </c>
      <c r="AJ43" s="372" t="str">
        <f>IF($C43="","",AI43*VLOOKUP($C43,CHANTIER!$A$2:$D$83,4,0))</f>
        <v/>
      </c>
      <c r="AK43" s="364">
        <v>21</v>
      </c>
      <c r="AL43" s="372" t="str">
        <f>IF($C43="","",AK43*VLOOKUP($C43,CHANTIER!$A$2:$D$83,4,0))</f>
        <v/>
      </c>
      <c r="AM43" s="364">
        <v>22</v>
      </c>
      <c r="AN43" s="372" t="str">
        <f>IF($C43="","",AM43*VLOOKUP($C43,CHANTIER!$A$2:$D$83,4,0))</f>
        <v/>
      </c>
      <c r="AO43" s="224"/>
      <c r="AP43" s="224"/>
    </row>
    <row r="44" spans="1:42" ht="15" customHeight="1" x14ac:dyDescent="0.2">
      <c r="A44" s="1554"/>
      <c r="B44" s="361"/>
      <c r="C44" s="378"/>
      <c r="D44" s="363" t="str">
        <f>IF(C44="","",VLOOKUP($C44,CHANTIER!$A$2:$C$83,3,0))</f>
        <v/>
      </c>
      <c r="E44" s="364">
        <v>6</v>
      </c>
      <c r="F44" s="372" t="str">
        <f>IF($C44="","",E44*VLOOKUP($C44,CHANTIER!$A$2:$D$83,4,0))</f>
        <v/>
      </c>
      <c r="G44" s="364">
        <v>7</v>
      </c>
      <c r="H44" s="372" t="str">
        <f>IF($C44="","",G44*VLOOKUP($C44,CHANTIER!$A$2:$D$83,4,0))</f>
        <v/>
      </c>
      <c r="I44" s="364">
        <v>8</v>
      </c>
      <c r="J44" s="372" t="str">
        <f>IF($C44="","",I44*VLOOKUP($C44,CHANTIER!$A$2:$D$83,4,0))</f>
        <v/>
      </c>
      <c r="K44" s="364">
        <v>9</v>
      </c>
      <c r="L44" s="372" t="str">
        <f>IF($C44="","",K44*VLOOKUP($C44,CHANTIER!$A$2:$D$83,4,0))</f>
        <v/>
      </c>
      <c r="M44" s="364">
        <v>10</v>
      </c>
      <c r="N44" s="372" t="str">
        <f>IF($C44="","",M44*VLOOKUP($C44,CHANTIER!$A$2:$D$83,4,0))</f>
        <v/>
      </c>
      <c r="O44" s="364">
        <v>11</v>
      </c>
      <c r="P44" s="372" t="str">
        <f>IF($C44="","",O44*VLOOKUP($C44,CHANTIER!$A$2:$D$83,4,0))</f>
        <v/>
      </c>
      <c r="Q44" s="364">
        <v>12</v>
      </c>
      <c r="R44" s="372" t="str">
        <f>IF($C44="","",Q44*VLOOKUP($C44,CHANTIER!$A$2:$D$83,4,0))</f>
        <v/>
      </c>
      <c r="S44" s="364">
        <v>13</v>
      </c>
      <c r="T44" s="372" t="str">
        <f>IF($C44="","",S44*VLOOKUP($C44,CHANTIER!$A$2:$D$83,4,0))</f>
        <v/>
      </c>
      <c r="U44" s="364">
        <v>14</v>
      </c>
      <c r="V44" s="372" t="str">
        <f>IF($C44="","",U44*VLOOKUP($C44,CHANTIER!$A$2:$D$83,4,0))</f>
        <v/>
      </c>
      <c r="W44" s="364">
        <v>15</v>
      </c>
      <c r="X44" s="372" t="str">
        <f>IF($C44="","",W44*VLOOKUP($C44,CHANTIER!$A$2:$D$83,4,0))</f>
        <v/>
      </c>
      <c r="Y44" s="364">
        <v>16</v>
      </c>
      <c r="Z44" s="372" t="str">
        <f>IF($C44="","",Y44*VLOOKUP($C44,CHANTIER!$A$2:$D$83,4,0))</f>
        <v/>
      </c>
      <c r="AA44" s="364">
        <v>17</v>
      </c>
      <c r="AB44" s="372" t="str">
        <f>IF($C44="","",AA44*VLOOKUP($C44,CHANTIER!$A$2:$D$83,4,0))</f>
        <v/>
      </c>
      <c r="AC44" s="364">
        <v>18</v>
      </c>
      <c r="AD44" s="372" t="str">
        <f>IF($C44="","",AC44*VLOOKUP($C44,CHANTIER!$A$2:$D$83,4,0))</f>
        <v/>
      </c>
      <c r="AE44" s="364">
        <v>19</v>
      </c>
      <c r="AF44" s="372" t="str">
        <f>IF($C44="","",AE44*VLOOKUP($C44,CHANTIER!$A$2:$D$83,4,0))</f>
        <v/>
      </c>
      <c r="AG44" s="364">
        <v>20</v>
      </c>
      <c r="AH44" s="372" t="str">
        <f>IF($C44="","",AG44*VLOOKUP($C44,CHANTIER!$A$2:$D$83,4,0))</f>
        <v/>
      </c>
      <c r="AI44" s="364">
        <v>21</v>
      </c>
      <c r="AJ44" s="372" t="str">
        <f>IF($C44="","",AI44*VLOOKUP($C44,CHANTIER!$A$2:$D$83,4,0))</f>
        <v/>
      </c>
      <c r="AK44" s="364">
        <v>22</v>
      </c>
      <c r="AL44" s="372" t="str">
        <f>IF($C44="","",AK44*VLOOKUP($C44,CHANTIER!$A$2:$D$83,4,0))</f>
        <v/>
      </c>
      <c r="AM44" s="364">
        <v>23</v>
      </c>
      <c r="AN44" s="372" t="str">
        <f>IF($C44="","",AM44*VLOOKUP($C44,CHANTIER!$A$2:$D$83,4,0))</f>
        <v/>
      </c>
      <c r="AO44" s="224"/>
      <c r="AP44" s="224"/>
    </row>
    <row r="45" spans="1:42" ht="15" customHeight="1" x14ac:dyDescent="0.2">
      <c r="A45" s="1554"/>
      <c r="B45" s="361"/>
      <c r="C45" s="378"/>
      <c r="D45" s="363" t="str">
        <f>IF(C45="","",VLOOKUP($C45,CHANTIER!$A$2:$C$83,3,0))</f>
        <v/>
      </c>
      <c r="E45" s="364">
        <v>7</v>
      </c>
      <c r="F45" s="372" t="str">
        <f>IF($C45="","",E45*VLOOKUP($C45,CHANTIER!$A$2:$D$83,4,0))</f>
        <v/>
      </c>
      <c r="G45" s="364">
        <v>8</v>
      </c>
      <c r="H45" s="372" t="str">
        <f>IF($C45="","",G45*VLOOKUP($C45,CHANTIER!$A$2:$D$83,4,0))</f>
        <v/>
      </c>
      <c r="I45" s="364">
        <v>9</v>
      </c>
      <c r="J45" s="372" t="str">
        <f>IF($C45="","",I45*VLOOKUP($C45,CHANTIER!$A$2:$D$83,4,0))</f>
        <v/>
      </c>
      <c r="K45" s="364">
        <v>10</v>
      </c>
      <c r="L45" s="372" t="str">
        <f>IF($C45="","",K45*VLOOKUP($C45,CHANTIER!$A$2:$D$83,4,0))</f>
        <v/>
      </c>
      <c r="M45" s="364">
        <v>11</v>
      </c>
      <c r="N45" s="372" t="str">
        <f>IF($C45="","",M45*VLOOKUP($C45,CHANTIER!$A$2:$D$83,4,0))</f>
        <v/>
      </c>
      <c r="O45" s="364">
        <v>12</v>
      </c>
      <c r="P45" s="372" t="str">
        <f>IF($C45="","",O45*VLOOKUP($C45,CHANTIER!$A$2:$D$83,4,0))</f>
        <v/>
      </c>
      <c r="Q45" s="364">
        <v>13</v>
      </c>
      <c r="R45" s="372" t="str">
        <f>IF($C45="","",Q45*VLOOKUP($C45,CHANTIER!$A$2:$D$83,4,0))</f>
        <v/>
      </c>
      <c r="S45" s="364">
        <v>14</v>
      </c>
      <c r="T45" s="372" t="str">
        <f>IF($C45="","",S45*VLOOKUP($C45,CHANTIER!$A$2:$D$83,4,0))</f>
        <v/>
      </c>
      <c r="U45" s="364">
        <v>15</v>
      </c>
      <c r="V45" s="372" t="str">
        <f>IF($C45="","",U45*VLOOKUP($C45,CHANTIER!$A$2:$D$83,4,0))</f>
        <v/>
      </c>
      <c r="W45" s="364">
        <v>16</v>
      </c>
      <c r="X45" s="372" t="str">
        <f>IF($C45="","",W45*VLOOKUP($C45,CHANTIER!$A$2:$D$83,4,0))</f>
        <v/>
      </c>
      <c r="Y45" s="364">
        <v>17</v>
      </c>
      <c r="Z45" s="372" t="str">
        <f>IF($C45="","",Y45*VLOOKUP($C45,CHANTIER!$A$2:$D$83,4,0))</f>
        <v/>
      </c>
      <c r="AA45" s="364">
        <v>18</v>
      </c>
      <c r="AB45" s="372" t="str">
        <f>IF($C45="","",AA45*VLOOKUP($C45,CHANTIER!$A$2:$D$83,4,0))</f>
        <v/>
      </c>
      <c r="AC45" s="364">
        <v>19</v>
      </c>
      <c r="AD45" s="372" t="str">
        <f>IF($C45="","",AC45*VLOOKUP($C45,CHANTIER!$A$2:$D$83,4,0))</f>
        <v/>
      </c>
      <c r="AE45" s="364">
        <v>20</v>
      </c>
      <c r="AF45" s="372" t="str">
        <f>IF($C45="","",AE45*VLOOKUP($C45,CHANTIER!$A$2:$D$83,4,0))</f>
        <v/>
      </c>
      <c r="AG45" s="364">
        <v>21</v>
      </c>
      <c r="AH45" s="372" t="str">
        <f>IF($C45="","",AG45*VLOOKUP($C45,CHANTIER!$A$2:$D$83,4,0))</f>
        <v/>
      </c>
      <c r="AI45" s="364">
        <v>22</v>
      </c>
      <c r="AJ45" s="372" t="str">
        <f>IF($C45="","",AI45*VLOOKUP($C45,CHANTIER!$A$2:$D$83,4,0))</f>
        <v/>
      </c>
      <c r="AK45" s="364">
        <v>23</v>
      </c>
      <c r="AL45" s="372" t="str">
        <f>IF($C45="","",AK45*VLOOKUP($C45,CHANTIER!$A$2:$D$83,4,0))</f>
        <v/>
      </c>
      <c r="AM45" s="364">
        <v>24</v>
      </c>
      <c r="AN45" s="372" t="str">
        <f>IF($C45="","",AM45*VLOOKUP($C45,CHANTIER!$A$2:$D$83,4,0))</f>
        <v/>
      </c>
      <c r="AO45" s="224"/>
      <c r="AP45" s="224"/>
    </row>
    <row r="46" spans="1:42" ht="15" customHeight="1" x14ac:dyDescent="0.2">
      <c r="A46" s="1554"/>
      <c r="B46" s="361"/>
      <c r="C46" s="378"/>
      <c r="D46" s="363" t="str">
        <f>IF(C46="","",VLOOKUP($C46,CHANTIER!$A$2:$C$83,3,0))</f>
        <v/>
      </c>
      <c r="E46" s="364">
        <v>8</v>
      </c>
      <c r="F46" s="372" t="str">
        <f>IF($C46="","",E46*VLOOKUP($C46,CHANTIER!$A$2:$D$83,4,0))</f>
        <v/>
      </c>
      <c r="G46" s="364">
        <v>9</v>
      </c>
      <c r="H46" s="372" t="str">
        <f>IF($C46="","",G46*VLOOKUP($C46,CHANTIER!$A$2:$D$83,4,0))</f>
        <v/>
      </c>
      <c r="I46" s="364">
        <v>10</v>
      </c>
      <c r="J46" s="372" t="str">
        <f>IF($C46="","",I46*VLOOKUP($C46,CHANTIER!$A$2:$D$83,4,0))</f>
        <v/>
      </c>
      <c r="K46" s="364">
        <v>11</v>
      </c>
      <c r="L46" s="372" t="str">
        <f>IF($C46="","",K46*VLOOKUP($C46,CHANTIER!$A$2:$D$83,4,0))</f>
        <v/>
      </c>
      <c r="M46" s="364">
        <v>12</v>
      </c>
      <c r="N46" s="372" t="str">
        <f>IF($C46="","",M46*VLOOKUP($C46,CHANTIER!$A$2:$D$83,4,0))</f>
        <v/>
      </c>
      <c r="O46" s="364">
        <v>13</v>
      </c>
      <c r="P46" s="372" t="str">
        <f>IF($C46="","",O46*VLOOKUP($C46,CHANTIER!$A$2:$D$83,4,0))</f>
        <v/>
      </c>
      <c r="Q46" s="364">
        <v>14</v>
      </c>
      <c r="R46" s="372" t="str">
        <f>IF($C46="","",Q46*VLOOKUP($C46,CHANTIER!$A$2:$D$83,4,0))</f>
        <v/>
      </c>
      <c r="S46" s="364">
        <v>15</v>
      </c>
      <c r="T46" s="372" t="str">
        <f>IF($C46="","",S46*VLOOKUP($C46,CHANTIER!$A$2:$D$83,4,0))</f>
        <v/>
      </c>
      <c r="U46" s="364">
        <v>16</v>
      </c>
      <c r="V46" s="372" t="str">
        <f>IF($C46="","",U46*VLOOKUP($C46,CHANTIER!$A$2:$D$83,4,0))</f>
        <v/>
      </c>
      <c r="W46" s="364">
        <v>17</v>
      </c>
      <c r="X46" s="372" t="str">
        <f>IF($C46="","",W46*VLOOKUP($C46,CHANTIER!$A$2:$D$83,4,0))</f>
        <v/>
      </c>
      <c r="Y46" s="364">
        <v>18</v>
      </c>
      <c r="Z46" s="372" t="str">
        <f>IF($C46="","",Y46*VLOOKUP($C46,CHANTIER!$A$2:$D$83,4,0))</f>
        <v/>
      </c>
      <c r="AA46" s="364">
        <v>19</v>
      </c>
      <c r="AB46" s="372" t="str">
        <f>IF($C46="","",AA46*VLOOKUP($C46,CHANTIER!$A$2:$D$83,4,0))</f>
        <v/>
      </c>
      <c r="AC46" s="364">
        <v>20</v>
      </c>
      <c r="AD46" s="372" t="str">
        <f>IF($C46="","",AC46*VLOOKUP($C46,CHANTIER!$A$2:$D$83,4,0))</f>
        <v/>
      </c>
      <c r="AE46" s="364">
        <v>21</v>
      </c>
      <c r="AF46" s="372" t="str">
        <f>IF($C46="","",AE46*VLOOKUP($C46,CHANTIER!$A$2:$D$83,4,0))</f>
        <v/>
      </c>
      <c r="AG46" s="364">
        <v>22</v>
      </c>
      <c r="AH46" s="372" t="str">
        <f>IF($C46="","",AG46*VLOOKUP($C46,CHANTIER!$A$2:$D$83,4,0))</f>
        <v/>
      </c>
      <c r="AI46" s="364">
        <v>23</v>
      </c>
      <c r="AJ46" s="372" t="str">
        <f>IF($C46="","",AI46*VLOOKUP($C46,CHANTIER!$A$2:$D$83,4,0))</f>
        <v/>
      </c>
      <c r="AK46" s="364">
        <v>24</v>
      </c>
      <c r="AL46" s="372" t="str">
        <f>IF($C46="","",AK46*VLOOKUP($C46,CHANTIER!$A$2:$D$83,4,0))</f>
        <v/>
      </c>
      <c r="AM46" s="364">
        <v>25</v>
      </c>
      <c r="AN46" s="372" t="str">
        <f>IF($C46="","",AM46*VLOOKUP($C46,CHANTIER!$A$2:$D$83,4,0))</f>
        <v/>
      </c>
      <c r="AO46" s="225"/>
      <c r="AP46" s="226"/>
    </row>
    <row r="47" spans="1:42" ht="15" customHeight="1" x14ac:dyDescent="0.2">
      <c r="A47" s="1554"/>
      <c r="B47" s="361"/>
      <c r="C47" s="378"/>
      <c r="D47" s="363" t="str">
        <f>IF(C47="","",VLOOKUP($C47,CHANTIER!$A$2:$C$83,3,0))</f>
        <v/>
      </c>
      <c r="E47" s="364">
        <v>9</v>
      </c>
      <c r="F47" s="372" t="str">
        <f>IF($C47="","",E47*VLOOKUP($C47,CHANTIER!$A$2:$D$83,4,0))</f>
        <v/>
      </c>
      <c r="G47" s="364">
        <v>10</v>
      </c>
      <c r="H47" s="372" t="str">
        <f>IF($C47="","",G47*VLOOKUP($C47,CHANTIER!$A$2:$D$83,4,0))</f>
        <v/>
      </c>
      <c r="I47" s="364">
        <v>11</v>
      </c>
      <c r="J47" s="372" t="str">
        <f>IF($C47="","",I47*VLOOKUP($C47,CHANTIER!$A$2:$D$83,4,0))</f>
        <v/>
      </c>
      <c r="K47" s="364">
        <v>12</v>
      </c>
      <c r="L47" s="372" t="str">
        <f>IF($C47="","",K47*VLOOKUP($C47,CHANTIER!$A$2:$D$83,4,0))</f>
        <v/>
      </c>
      <c r="M47" s="364">
        <v>13</v>
      </c>
      <c r="N47" s="372" t="str">
        <f>IF($C47="","",M47*VLOOKUP($C47,CHANTIER!$A$2:$D$83,4,0))</f>
        <v/>
      </c>
      <c r="O47" s="364">
        <v>14</v>
      </c>
      <c r="P47" s="372" t="str">
        <f>IF($C47="","",O47*VLOOKUP($C47,CHANTIER!$A$2:$D$83,4,0))</f>
        <v/>
      </c>
      <c r="Q47" s="364">
        <v>15</v>
      </c>
      <c r="R47" s="372" t="str">
        <f>IF($C47="","",Q47*VLOOKUP($C47,CHANTIER!$A$2:$D$83,4,0))</f>
        <v/>
      </c>
      <c r="S47" s="364">
        <v>16</v>
      </c>
      <c r="T47" s="372" t="str">
        <f>IF($C47="","",S47*VLOOKUP($C47,CHANTIER!$A$2:$D$83,4,0))</f>
        <v/>
      </c>
      <c r="U47" s="364">
        <v>17</v>
      </c>
      <c r="V47" s="372" t="str">
        <f>IF($C47="","",U47*VLOOKUP($C47,CHANTIER!$A$2:$D$83,4,0))</f>
        <v/>
      </c>
      <c r="W47" s="364">
        <v>18</v>
      </c>
      <c r="X47" s="372" t="str">
        <f>IF($C47="","",W47*VLOOKUP($C47,CHANTIER!$A$2:$D$83,4,0))</f>
        <v/>
      </c>
      <c r="Y47" s="364">
        <v>19</v>
      </c>
      <c r="Z47" s="372" t="str">
        <f>IF($C47="","",Y47*VLOOKUP($C47,CHANTIER!$A$2:$D$83,4,0))</f>
        <v/>
      </c>
      <c r="AA47" s="364">
        <v>20</v>
      </c>
      <c r="AB47" s="372" t="str">
        <f>IF($C47="","",AA47*VLOOKUP($C47,CHANTIER!$A$2:$D$83,4,0))</f>
        <v/>
      </c>
      <c r="AC47" s="364">
        <v>21</v>
      </c>
      <c r="AD47" s="372" t="str">
        <f>IF($C47="","",AC47*VLOOKUP($C47,CHANTIER!$A$2:$D$83,4,0))</f>
        <v/>
      </c>
      <c r="AE47" s="364">
        <v>22</v>
      </c>
      <c r="AF47" s="372" t="str">
        <f>IF($C47="","",AE47*VLOOKUP($C47,CHANTIER!$A$2:$D$83,4,0))</f>
        <v/>
      </c>
      <c r="AG47" s="364">
        <v>23</v>
      </c>
      <c r="AH47" s="372" t="str">
        <f>IF($C47="","",AG47*VLOOKUP($C47,CHANTIER!$A$2:$D$83,4,0))</f>
        <v/>
      </c>
      <c r="AI47" s="364">
        <v>24</v>
      </c>
      <c r="AJ47" s="372" t="str">
        <f>IF($C47="","",AI47*VLOOKUP($C47,CHANTIER!$A$2:$D$83,4,0))</f>
        <v/>
      </c>
      <c r="AK47" s="364">
        <v>25</v>
      </c>
      <c r="AL47" s="372" t="str">
        <f>IF($C47="","",AK47*VLOOKUP($C47,CHANTIER!$A$2:$D$83,4,0))</f>
        <v/>
      </c>
      <c r="AM47" s="364">
        <v>26</v>
      </c>
      <c r="AN47" s="372" t="str">
        <f>IF($C47="","",AM47*VLOOKUP($C47,CHANTIER!$A$2:$D$83,4,0))</f>
        <v/>
      </c>
    </row>
    <row r="48" spans="1:42" ht="15" customHeight="1" x14ac:dyDescent="0.2">
      <c r="A48" s="1554"/>
      <c r="B48" s="361"/>
      <c r="C48" s="378"/>
      <c r="D48" s="363" t="str">
        <f>IF(C48="","",VLOOKUP($C48,CHANTIER!$A$2:$C$83,3,0))</f>
        <v/>
      </c>
      <c r="E48" s="364">
        <v>10</v>
      </c>
      <c r="F48" s="372" t="str">
        <f>IF($C48="","",E48*VLOOKUP($C48,CHANTIER!$A$2:$D$83,4,0))</f>
        <v/>
      </c>
      <c r="G48" s="364">
        <v>11</v>
      </c>
      <c r="H48" s="372" t="str">
        <f>IF($C48="","",G48*VLOOKUP($C48,CHANTIER!$A$2:$D$83,4,0))</f>
        <v/>
      </c>
      <c r="I48" s="364">
        <v>12</v>
      </c>
      <c r="J48" s="372" t="str">
        <f>IF($C48="","",I48*VLOOKUP($C48,CHANTIER!$A$2:$D$83,4,0))</f>
        <v/>
      </c>
      <c r="K48" s="364">
        <v>13</v>
      </c>
      <c r="L48" s="372" t="str">
        <f>IF($C48="","",K48*VLOOKUP($C48,CHANTIER!$A$2:$D$83,4,0))</f>
        <v/>
      </c>
      <c r="M48" s="364">
        <v>14</v>
      </c>
      <c r="N48" s="372" t="str">
        <f>IF($C48="","",M48*VLOOKUP($C48,CHANTIER!$A$2:$D$83,4,0))</f>
        <v/>
      </c>
      <c r="O48" s="364">
        <v>15</v>
      </c>
      <c r="P48" s="372" t="str">
        <f>IF($C48="","",O48*VLOOKUP($C48,CHANTIER!$A$2:$D$83,4,0))</f>
        <v/>
      </c>
      <c r="Q48" s="364">
        <v>16</v>
      </c>
      <c r="R48" s="372" t="str">
        <f>IF($C48="","",Q48*VLOOKUP($C48,CHANTIER!$A$2:$D$83,4,0))</f>
        <v/>
      </c>
      <c r="S48" s="364">
        <v>17</v>
      </c>
      <c r="T48" s="372" t="str">
        <f>IF($C48="","",S48*VLOOKUP($C48,CHANTIER!$A$2:$D$83,4,0))</f>
        <v/>
      </c>
      <c r="U48" s="364">
        <v>18</v>
      </c>
      <c r="V48" s="372" t="str">
        <f>IF($C48="","",U48*VLOOKUP($C48,CHANTIER!$A$2:$D$83,4,0))</f>
        <v/>
      </c>
      <c r="W48" s="364">
        <v>19</v>
      </c>
      <c r="X48" s="372" t="str">
        <f>IF($C48="","",W48*VLOOKUP($C48,CHANTIER!$A$2:$D$83,4,0))</f>
        <v/>
      </c>
      <c r="Y48" s="364">
        <v>20</v>
      </c>
      <c r="Z48" s="372" t="str">
        <f>IF($C48="","",Y48*VLOOKUP($C48,CHANTIER!$A$2:$D$83,4,0))</f>
        <v/>
      </c>
      <c r="AA48" s="364">
        <v>21</v>
      </c>
      <c r="AB48" s="372" t="str">
        <f>IF($C48="","",AA48*VLOOKUP($C48,CHANTIER!$A$2:$D$83,4,0))</f>
        <v/>
      </c>
      <c r="AC48" s="364">
        <v>22</v>
      </c>
      <c r="AD48" s="372" t="str">
        <f>IF($C48="","",AC48*VLOOKUP($C48,CHANTIER!$A$2:$D$83,4,0))</f>
        <v/>
      </c>
      <c r="AE48" s="364">
        <v>23</v>
      </c>
      <c r="AF48" s="372" t="str">
        <f>IF($C48="","",AE48*VLOOKUP($C48,CHANTIER!$A$2:$D$83,4,0))</f>
        <v/>
      </c>
      <c r="AG48" s="364">
        <v>24</v>
      </c>
      <c r="AH48" s="372" t="str">
        <f>IF($C48="","",AG48*VLOOKUP($C48,CHANTIER!$A$2:$D$83,4,0))</f>
        <v/>
      </c>
      <c r="AI48" s="364">
        <v>25</v>
      </c>
      <c r="AJ48" s="372" t="str">
        <f>IF($C48="","",AI48*VLOOKUP($C48,CHANTIER!$A$2:$D$83,4,0))</f>
        <v/>
      </c>
      <c r="AK48" s="364">
        <v>26</v>
      </c>
      <c r="AL48" s="372" t="str">
        <f>IF($C48="","",AK48*VLOOKUP($C48,CHANTIER!$A$2:$D$83,4,0))</f>
        <v/>
      </c>
      <c r="AM48" s="364">
        <v>27</v>
      </c>
      <c r="AN48" s="372" t="str">
        <f>IF($C48="","",AM48*VLOOKUP($C48,CHANTIER!$A$2:$D$83,4,0))</f>
        <v/>
      </c>
    </row>
    <row r="49" spans="1:42" ht="15" customHeight="1" x14ac:dyDescent="0.2">
      <c r="A49" s="1554"/>
      <c r="B49" s="361"/>
      <c r="C49" s="378"/>
      <c r="D49" s="363" t="str">
        <f>IF(C49="","",VLOOKUP($C49,CHANTIER!$A$2:$C$83,3,0))</f>
        <v/>
      </c>
      <c r="E49" s="364">
        <v>11</v>
      </c>
      <c r="F49" s="372" t="str">
        <f>IF($C49="","",E49*VLOOKUP($C49,CHANTIER!$A$2:$D$83,4,0))</f>
        <v/>
      </c>
      <c r="G49" s="364">
        <v>12</v>
      </c>
      <c r="H49" s="372" t="str">
        <f>IF($C49="","",G49*VLOOKUP($C49,CHANTIER!$A$2:$D$83,4,0))</f>
        <v/>
      </c>
      <c r="I49" s="364">
        <v>13</v>
      </c>
      <c r="J49" s="372" t="str">
        <f>IF($C49="","",I49*VLOOKUP($C49,CHANTIER!$A$2:$D$83,4,0))</f>
        <v/>
      </c>
      <c r="K49" s="364">
        <v>14</v>
      </c>
      <c r="L49" s="372" t="str">
        <f>IF($C49="","",K49*VLOOKUP($C49,CHANTIER!$A$2:$D$83,4,0))</f>
        <v/>
      </c>
      <c r="M49" s="364">
        <v>15</v>
      </c>
      <c r="N49" s="372" t="str">
        <f>IF($C49="","",M49*VLOOKUP($C49,CHANTIER!$A$2:$D$83,4,0))</f>
        <v/>
      </c>
      <c r="O49" s="364">
        <v>16</v>
      </c>
      <c r="P49" s="372" t="str">
        <f>IF($C49="","",O49*VLOOKUP($C49,CHANTIER!$A$2:$D$83,4,0))</f>
        <v/>
      </c>
      <c r="Q49" s="364">
        <v>17</v>
      </c>
      <c r="R49" s="372" t="str">
        <f>IF($C49="","",Q49*VLOOKUP($C49,CHANTIER!$A$2:$D$83,4,0))</f>
        <v/>
      </c>
      <c r="S49" s="364">
        <v>18</v>
      </c>
      <c r="T49" s="372" t="str">
        <f>IF($C49="","",S49*VLOOKUP($C49,CHANTIER!$A$2:$D$83,4,0))</f>
        <v/>
      </c>
      <c r="U49" s="364">
        <v>19</v>
      </c>
      <c r="V49" s="372" t="str">
        <f>IF($C49="","",U49*VLOOKUP($C49,CHANTIER!$A$2:$D$83,4,0))</f>
        <v/>
      </c>
      <c r="W49" s="364">
        <v>20</v>
      </c>
      <c r="X49" s="372" t="str">
        <f>IF($C49="","",W49*VLOOKUP($C49,CHANTIER!$A$2:$D$83,4,0))</f>
        <v/>
      </c>
      <c r="Y49" s="364">
        <v>21</v>
      </c>
      <c r="Z49" s="372" t="str">
        <f>IF($C49="","",Y49*VLOOKUP($C49,CHANTIER!$A$2:$D$83,4,0))</f>
        <v/>
      </c>
      <c r="AA49" s="364">
        <v>22</v>
      </c>
      <c r="AB49" s="372" t="str">
        <f>IF($C49="","",AA49*VLOOKUP($C49,CHANTIER!$A$2:$D$83,4,0))</f>
        <v/>
      </c>
      <c r="AC49" s="364">
        <v>23</v>
      </c>
      <c r="AD49" s="372" t="str">
        <f>IF($C49="","",AC49*VLOOKUP($C49,CHANTIER!$A$2:$D$83,4,0))</f>
        <v/>
      </c>
      <c r="AE49" s="364">
        <v>24</v>
      </c>
      <c r="AF49" s="372" t="str">
        <f>IF($C49="","",AE49*VLOOKUP($C49,CHANTIER!$A$2:$D$83,4,0))</f>
        <v/>
      </c>
      <c r="AG49" s="364">
        <v>25</v>
      </c>
      <c r="AH49" s="372" t="str">
        <f>IF($C49="","",AG49*VLOOKUP($C49,CHANTIER!$A$2:$D$83,4,0))</f>
        <v/>
      </c>
      <c r="AI49" s="364">
        <v>26</v>
      </c>
      <c r="AJ49" s="372" t="str">
        <f>IF($C49="","",AI49*VLOOKUP($C49,CHANTIER!$A$2:$D$83,4,0))</f>
        <v/>
      </c>
      <c r="AK49" s="364">
        <v>27</v>
      </c>
      <c r="AL49" s="372" t="str">
        <f>IF($C49="","",AK49*VLOOKUP($C49,CHANTIER!$A$2:$D$83,4,0))</f>
        <v/>
      </c>
      <c r="AM49" s="364">
        <v>28</v>
      </c>
      <c r="AN49" s="372" t="str">
        <f>IF($C49="","",AM49*VLOOKUP($C49,CHANTIER!$A$2:$D$83,4,0))</f>
        <v/>
      </c>
    </row>
    <row r="50" spans="1:42" ht="30.75" customHeight="1" x14ac:dyDescent="0.2">
      <c r="A50" s="1554"/>
      <c r="B50" s="379" t="s">
        <v>453</v>
      </c>
      <c r="C50" s="380" t="s">
        <v>450</v>
      </c>
      <c r="D50" s="381" t="s">
        <v>451</v>
      </c>
      <c r="E50" s="382">
        <f>F50*Simulation!$P$9</f>
        <v>11.25</v>
      </c>
      <c r="F50" s="383">
        <f>SUM(F39:F49)</f>
        <v>0.25</v>
      </c>
      <c r="G50" s="382">
        <f>H50*Simulation!$P$9</f>
        <v>22.5</v>
      </c>
      <c r="H50" s="383">
        <f>SUM(H39:H49)</f>
        <v>0.5</v>
      </c>
      <c r="I50" s="382">
        <f>J50*Simulation!$P$9</f>
        <v>33.75</v>
      </c>
      <c r="J50" s="383">
        <f>SUM(J39:J49)</f>
        <v>0.75</v>
      </c>
      <c r="K50" s="382">
        <f>L50*Simulation!$P$9</f>
        <v>45</v>
      </c>
      <c r="L50" s="383">
        <f>SUM(L39:L49)</f>
        <v>1</v>
      </c>
      <c r="M50" s="382">
        <f>N50*Simulation!$P$9</f>
        <v>56.25</v>
      </c>
      <c r="N50" s="383">
        <f>SUM(N39:N49)</f>
        <v>1.25</v>
      </c>
      <c r="O50" s="382">
        <f>P50*Simulation!$P$9</f>
        <v>67.5</v>
      </c>
      <c r="P50" s="383">
        <f>SUM(P39:P49)</f>
        <v>1.5</v>
      </c>
      <c r="Q50" s="382">
        <f>R50*Simulation!$P$9</f>
        <v>78.75</v>
      </c>
      <c r="R50" s="383">
        <f>SUM(R39:R49)</f>
        <v>1.75</v>
      </c>
      <c r="S50" s="382">
        <f>T50*Simulation!$P$9</f>
        <v>90</v>
      </c>
      <c r="T50" s="383">
        <f>SUM(T39:T49)</f>
        <v>2</v>
      </c>
      <c r="U50" s="382">
        <f>V50*Simulation!$P$9</f>
        <v>101.25</v>
      </c>
      <c r="V50" s="383">
        <f>SUM(V39:V49)</f>
        <v>2.25</v>
      </c>
      <c r="W50" s="382">
        <f>X50*Simulation!$P$9</f>
        <v>112.5</v>
      </c>
      <c r="X50" s="383">
        <f>SUM(X39:X49)</f>
        <v>2.5</v>
      </c>
      <c r="Y50" s="382">
        <f>Z50*Simulation!$P$9</f>
        <v>123.75</v>
      </c>
      <c r="Z50" s="383">
        <f>SUM(Z39:Z49)</f>
        <v>2.75</v>
      </c>
      <c r="AA50" s="382">
        <f>AB50*Simulation!$P$9</f>
        <v>135</v>
      </c>
      <c r="AB50" s="383">
        <f>SUM(AB39:AB49)</f>
        <v>3</v>
      </c>
      <c r="AC50" s="382">
        <f>AD50*Simulation!$P$9</f>
        <v>146.25</v>
      </c>
      <c r="AD50" s="383">
        <f>SUM(AD39:AD49)</f>
        <v>3.25</v>
      </c>
      <c r="AE50" s="382">
        <f>AF50*Simulation!$P$9</f>
        <v>157.5</v>
      </c>
      <c r="AF50" s="383">
        <f>SUM(AF39:AF49)</f>
        <v>3.5</v>
      </c>
      <c r="AG50" s="382">
        <f>AH50*Simulation!$P$9</f>
        <v>168.75</v>
      </c>
      <c r="AH50" s="383">
        <f>SUM(AH39:AH49)</f>
        <v>3.75</v>
      </c>
      <c r="AI50" s="382">
        <f>AJ50*Simulation!$P$9</f>
        <v>180</v>
      </c>
      <c r="AJ50" s="383">
        <f>SUM(AJ39:AJ49)</f>
        <v>4</v>
      </c>
      <c r="AK50" s="382">
        <f>AL50*Simulation!$P$9</f>
        <v>191.25</v>
      </c>
      <c r="AL50" s="383">
        <f>SUM(AL39:AL49)</f>
        <v>4.25</v>
      </c>
      <c r="AM50" s="382">
        <f>AN50*Simulation!$P$9</f>
        <v>202.5</v>
      </c>
      <c r="AN50" s="383">
        <f>SUM(AN39:AN49)</f>
        <v>4.5</v>
      </c>
    </row>
    <row r="51" spans="1:42" ht="15" customHeight="1" x14ac:dyDescent="0.2">
      <c r="A51" s="1559" t="s">
        <v>4</v>
      </c>
      <c r="B51" s="361" t="s">
        <v>371</v>
      </c>
      <c r="C51" s="378" t="s">
        <v>400</v>
      </c>
      <c r="D51" s="363" t="str">
        <f>IF(C51="","",VLOOKUP($C51,MINIPELLE!$A$2:$C$28,3,0))</f>
        <v>cm</v>
      </c>
      <c r="E51" s="364">
        <v>2</v>
      </c>
      <c r="F51" s="372">
        <f>IF($C51="","",E51*VLOOKUP($C51,MINIPELLE!$A$2:$D$28,4,0))</f>
        <v>0.05</v>
      </c>
      <c r="G51" s="364">
        <v>2</v>
      </c>
      <c r="H51" s="372">
        <f>IF($C51="","",G51*VLOOKUP($C51,MINIPELLE!$A$2:$D$28,4,0))</f>
        <v>0.05</v>
      </c>
      <c r="I51" s="364">
        <v>2</v>
      </c>
      <c r="J51" s="372">
        <f>IF($C51="","",I51*VLOOKUP($C51,MINIPELLE!$A$2:$D$28,4,0))</f>
        <v>0.05</v>
      </c>
      <c r="K51" s="364">
        <v>2</v>
      </c>
      <c r="L51" s="372">
        <f>IF($C51="","",K51*VLOOKUP($C51,MINIPELLE!$A$2:$D$28,4,0))</f>
        <v>0.05</v>
      </c>
      <c r="M51" s="364">
        <v>2</v>
      </c>
      <c r="N51" s="372">
        <f>IF($C51="","",M51*VLOOKUP($C51,MINIPELLE!$A$2:$D$28,4,0))</f>
        <v>0.05</v>
      </c>
      <c r="O51" s="364">
        <v>2</v>
      </c>
      <c r="P51" s="372">
        <f>IF($C51="","",O51*VLOOKUP($C51,MINIPELLE!$A$2:$D$28,4,0))</f>
        <v>0.05</v>
      </c>
      <c r="Q51" s="364">
        <v>2</v>
      </c>
      <c r="R51" s="372">
        <f>IF($C51="","",Q51*VLOOKUP($C51,MINIPELLE!$A$2:$D$28,4,0))</f>
        <v>0.05</v>
      </c>
      <c r="S51" s="364">
        <v>2</v>
      </c>
      <c r="T51" s="372">
        <f>IF($C51="","",S51*VLOOKUP($C51,MINIPELLE!$A$2:$D$28,4,0))</f>
        <v>0.05</v>
      </c>
      <c r="U51" s="364">
        <v>2</v>
      </c>
      <c r="V51" s="372">
        <f>IF($C51="","",U51*VLOOKUP($C51,MINIPELLE!$A$2:$D$28,4,0))</f>
        <v>0.05</v>
      </c>
      <c r="W51" s="364">
        <v>2</v>
      </c>
      <c r="X51" s="372">
        <f>IF($C51="","",W51*VLOOKUP($C51,MINIPELLE!$A$2:$D$28,4,0))</f>
        <v>0.05</v>
      </c>
      <c r="Y51" s="364">
        <v>2</v>
      </c>
      <c r="Z51" s="372">
        <f>IF($C51="","",Y51*VLOOKUP($C51,MINIPELLE!$A$2:$D$28,4,0))</f>
        <v>0.05</v>
      </c>
      <c r="AA51" s="364">
        <v>2</v>
      </c>
      <c r="AB51" s="372">
        <f>IF($C51="","",AA51*VLOOKUP($C51,MINIPELLE!$A$2:$D$28,4,0))</f>
        <v>0.05</v>
      </c>
      <c r="AC51" s="364">
        <v>2</v>
      </c>
      <c r="AD51" s="372">
        <f>IF($C51="","",AC51*VLOOKUP($C51,MINIPELLE!$A$2:$D$28,4,0))</f>
        <v>0.05</v>
      </c>
      <c r="AE51" s="364">
        <v>2</v>
      </c>
      <c r="AF51" s="372">
        <f>IF($C51="","",AE51*VLOOKUP($C51,MINIPELLE!$A$2:$D$28,4,0))</f>
        <v>0.05</v>
      </c>
      <c r="AG51" s="364">
        <v>2</v>
      </c>
      <c r="AH51" s="372">
        <f>IF($C51="","",AG51*VLOOKUP($C51,MINIPELLE!$A$2:$D$28,4,0))</f>
        <v>0.05</v>
      </c>
      <c r="AI51" s="364">
        <v>2</v>
      </c>
      <c r="AJ51" s="372">
        <f>IF($C51="","",AI51*VLOOKUP($C51,MINIPELLE!$A$2:$D$28,4,0))</f>
        <v>0.05</v>
      </c>
      <c r="AK51" s="364">
        <v>2</v>
      </c>
      <c r="AL51" s="372">
        <f>IF($C51="","",AK51*VLOOKUP($C51,MINIPELLE!$A$2:$D$28,4,0))</f>
        <v>0.05</v>
      </c>
      <c r="AM51" s="364">
        <v>2</v>
      </c>
      <c r="AN51" s="372">
        <f>IF($C51="","",AM51*VLOOKUP($C51,MINIPELLE!$A$2:$D$28,4,0))</f>
        <v>0.05</v>
      </c>
    </row>
    <row r="52" spans="1:42" ht="15" customHeight="1" x14ac:dyDescent="0.2">
      <c r="A52" s="1560"/>
      <c r="B52" s="361"/>
      <c r="C52" s="378"/>
      <c r="D52" s="363" t="str">
        <f>IF(C52="","",VLOOKUP($C52,MINIPELLE!$A$2:$C$28,3,0))</f>
        <v/>
      </c>
      <c r="E52" s="364">
        <v>3</v>
      </c>
      <c r="F52" s="389" t="str">
        <f>IF($C52="","",E52*VLOOKUP($C52,MINIPELLE!$A$2:$D$28,4,0))</f>
        <v/>
      </c>
      <c r="G52" s="364">
        <v>3</v>
      </c>
      <c r="H52" s="389" t="str">
        <f>IF($C52="","",G52*VLOOKUP($C52,MINIPELLE!$A$2:$D$28,4,0))</f>
        <v/>
      </c>
      <c r="I52" s="364">
        <v>3</v>
      </c>
      <c r="J52" s="389" t="str">
        <f>IF($C52="","",I52*VLOOKUP($C52,MINIPELLE!$A$2:$D$28,4,0))</f>
        <v/>
      </c>
      <c r="K52" s="364">
        <v>3</v>
      </c>
      <c r="L52" s="389" t="str">
        <f>IF($C52="","",K52*VLOOKUP($C52,MINIPELLE!$A$2:$D$28,4,0))</f>
        <v/>
      </c>
      <c r="M52" s="364">
        <v>3</v>
      </c>
      <c r="N52" s="389" t="str">
        <f>IF($C52="","",M52*VLOOKUP($C52,MINIPELLE!$A$2:$D$28,4,0))</f>
        <v/>
      </c>
      <c r="O52" s="364">
        <v>3</v>
      </c>
      <c r="P52" s="389" t="str">
        <f>IF($C52="","",O52*VLOOKUP($C52,MINIPELLE!$A$2:$D$28,4,0))</f>
        <v/>
      </c>
      <c r="Q52" s="364">
        <v>3</v>
      </c>
      <c r="R52" s="389" t="str">
        <f>IF($C52="","",Q52*VLOOKUP($C52,MINIPELLE!$A$2:$D$28,4,0))</f>
        <v/>
      </c>
      <c r="S52" s="364">
        <v>3</v>
      </c>
      <c r="T52" s="389" t="str">
        <f>IF($C52="","",S52*VLOOKUP($C52,MINIPELLE!$A$2:$D$28,4,0))</f>
        <v/>
      </c>
      <c r="U52" s="364">
        <v>3</v>
      </c>
      <c r="V52" s="389" t="str">
        <f>IF($C52="","",U52*VLOOKUP($C52,MINIPELLE!$A$2:$D$28,4,0))</f>
        <v/>
      </c>
      <c r="W52" s="364">
        <v>3</v>
      </c>
      <c r="X52" s="389" t="str">
        <f>IF($C52="","",W52*VLOOKUP($C52,MINIPELLE!$A$2:$D$28,4,0))</f>
        <v/>
      </c>
      <c r="Y52" s="364">
        <v>3</v>
      </c>
      <c r="Z52" s="389" t="str">
        <f>IF($C52="","",Y52*VLOOKUP($C52,MINIPELLE!$A$2:$D$28,4,0))</f>
        <v/>
      </c>
      <c r="AA52" s="364">
        <v>3</v>
      </c>
      <c r="AB52" s="389" t="str">
        <f>IF($C52="","",AA52*VLOOKUP($C52,MINIPELLE!$A$2:$D$28,4,0))</f>
        <v/>
      </c>
      <c r="AC52" s="364">
        <v>3</v>
      </c>
      <c r="AD52" s="389" t="str">
        <f>IF($C52="","",AC52*VLOOKUP($C52,MINIPELLE!$A$2:$D$28,4,0))</f>
        <v/>
      </c>
      <c r="AE52" s="364">
        <v>3</v>
      </c>
      <c r="AF52" s="389" t="str">
        <f>IF($C52="","",AE52*VLOOKUP($C52,MINIPELLE!$A$2:$D$28,4,0))</f>
        <v/>
      </c>
      <c r="AG52" s="364">
        <v>3</v>
      </c>
      <c r="AH52" s="389" t="str">
        <f>IF($C52="","",AG52*VLOOKUP($C52,MINIPELLE!$A$2:$D$28,4,0))</f>
        <v/>
      </c>
      <c r="AI52" s="364">
        <v>3</v>
      </c>
      <c r="AJ52" s="389" t="str">
        <f>IF($C52="","",AI52*VLOOKUP($C52,MINIPELLE!$A$2:$D$28,4,0))</f>
        <v/>
      </c>
      <c r="AK52" s="364">
        <v>3</v>
      </c>
      <c r="AL52" s="389" t="str">
        <f>IF($C52="","",AK52*VLOOKUP($C52,MINIPELLE!$A$2:$D$28,4,0))</f>
        <v/>
      </c>
      <c r="AM52" s="364">
        <v>3</v>
      </c>
      <c r="AN52" s="389" t="str">
        <f>IF($C52="","",AM52*VLOOKUP($C52,MINIPELLE!$A$2:$D$28,4,0))</f>
        <v/>
      </c>
    </row>
    <row r="53" spans="1:42" ht="15" customHeight="1" x14ac:dyDescent="0.2">
      <c r="A53" s="1560"/>
      <c r="B53" s="361"/>
      <c r="C53" s="378"/>
      <c r="D53" s="363" t="str">
        <f>IF(C53="","",VLOOKUP($C53,MINIPELLE!$A$2:$C$28,3,0))</f>
        <v/>
      </c>
      <c r="E53" s="364">
        <v>4</v>
      </c>
      <c r="F53" s="389" t="str">
        <f>IF($C53="","",E53*VLOOKUP($C53,MINIPELLE!$A$2:$D$28,4,0))</f>
        <v/>
      </c>
      <c r="G53" s="364">
        <v>4</v>
      </c>
      <c r="H53" s="389" t="str">
        <f>IF($C53="","",G53*VLOOKUP($C53,MINIPELLE!$A$2:$D$28,4,0))</f>
        <v/>
      </c>
      <c r="I53" s="364">
        <v>4</v>
      </c>
      <c r="J53" s="389" t="str">
        <f>IF($C53="","",I53*VLOOKUP($C53,MINIPELLE!$A$2:$D$28,4,0))</f>
        <v/>
      </c>
      <c r="K53" s="364">
        <v>4</v>
      </c>
      <c r="L53" s="389" t="str">
        <f>IF($C53="","",K53*VLOOKUP($C53,MINIPELLE!$A$2:$D$28,4,0))</f>
        <v/>
      </c>
      <c r="M53" s="364">
        <v>4</v>
      </c>
      <c r="N53" s="389" t="str">
        <f>IF($C53="","",M53*VLOOKUP($C53,MINIPELLE!$A$2:$D$28,4,0))</f>
        <v/>
      </c>
      <c r="O53" s="364">
        <v>4</v>
      </c>
      <c r="P53" s="389" t="str">
        <f>IF($C53="","",O53*VLOOKUP($C53,MINIPELLE!$A$2:$D$28,4,0))</f>
        <v/>
      </c>
      <c r="Q53" s="364">
        <v>4</v>
      </c>
      <c r="R53" s="389" t="str">
        <f>IF($C53="","",Q53*VLOOKUP($C53,MINIPELLE!$A$2:$D$28,4,0))</f>
        <v/>
      </c>
      <c r="S53" s="364">
        <v>4</v>
      </c>
      <c r="T53" s="389" t="str">
        <f>IF($C53="","",S53*VLOOKUP($C53,MINIPELLE!$A$2:$D$28,4,0))</f>
        <v/>
      </c>
      <c r="U53" s="364">
        <v>4</v>
      </c>
      <c r="V53" s="389" t="str">
        <f>IF($C53="","",U53*VLOOKUP($C53,MINIPELLE!$A$2:$D$28,4,0))</f>
        <v/>
      </c>
      <c r="W53" s="364">
        <v>4</v>
      </c>
      <c r="X53" s="389" t="str">
        <f>IF($C53="","",W53*VLOOKUP($C53,MINIPELLE!$A$2:$D$28,4,0))</f>
        <v/>
      </c>
      <c r="Y53" s="364">
        <v>4</v>
      </c>
      <c r="Z53" s="389" t="str">
        <f>IF($C53="","",Y53*VLOOKUP($C53,MINIPELLE!$A$2:$D$28,4,0))</f>
        <v/>
      </c>
      <c r="AA53" s="364">
        <v>4</v>
      </c>
      <c r="AB53" s="389" t="str">
        <f>IF($C53="","",AA53*VLOOKUP($C53,MINIPELLE!$A$2:$D$28,4,0))</f>
        <v/>
      </c>
      <c r="AC53" s="364">
        <v>4</v>
      </c>
      <c r="AD53" s="389" t="str">
        <f>IF($C53="","",AC53*VLOOKUP($C53,MINIPELLE!$A$2:$D$28,4,0))</f>
        <v/>
      </c>
      <c r="AE53" s="364">
        <v>4</v>
      </c>
      <c r="AF53" s="389" t="str">
        <f>IF($C53="","",AE53*VLOOKUP($C53,MINIPELLE!$A$2:$D$28,4,0))</f>
        <v/>
      </c>
      <c r="AG53" s="364">
        <v>4</v>
      </c>
      <c r="AH53" s="389" t="str">
        <f>IF($C53="","",AG53*VLOOKUP($C53,MINIPELLE!$A$2:$D$28,4,0))</f>
        <v/>
      </c>
      <c r="AI53" s="364">
        <v>4</v>
      </c>
      <c r="AJ53" s="389" t="str">
        <f>IF($C53="","",AI53*VLOOKUP($C53,MINIPELLE!$A$2:$D$28,4,0))</f>
        <v/>
      </c>
      <c r="AK53" s="364">
        <v>4</v>
      </c>
      <c r="AL53" s="389" t="str">
        <f>IF($C53="","",AK53*VLOOKUP($C53,MINIPELLE!$A$2:$D$28,4,0))</f>
        <v/>
      </c>
      <c r="AM53" s="364">
        <v>4</v>
      </c>
      <c r="AN53" s="389" t="str">
        <f>IF($C53="","",AM53*VLOOKUP($C53,MINIPELLE!$A$2:$D$28,4,0))</f>
        <v/>
      </c>
    </row>
    <row r="54" spans="1:42" ht="15" customHeight="1" x14ac:dyDescent="0.2">
      <c r="A54" s="1560"/>
      <c r="B54" s="361"/>
      <c r="C54" s="378"/>
      <c r="D54" s="363" t="str">
        <f>IF(C54="","",VLOOKUP($C54,MINIPELLE!$A$2:$C$28,3,0))</f>
        <v/>
      </c>
      <c r="E54" s="364">
        <v>5</v>
      </c>
      <c r="F54" s="389" t="str">
        <f>IF($C54="","",E54*VLOOKUP($C54,MINIPELLE!$A$2:$D$28,4,0))</f>
        <v/>
      </c>
      <c r="G54" s="364">
        <v>5</v>
      </c>
      <c r="H54" s="389" t="str">
        <f>IF($C54="","",G54*VLOOKUP($C54,MINIPELLE!$A$2:$D$28,4,0))</f>
        <v/>
      </c>
      <c r="I54" s="364">
        <v>5</v>
      </c>
      <c r="J54" s="389" t="str">
        <f>IF($C54="","",I54*VLOOKUP($C54,MINIPELLE!$A$2:$D$28,4,0))</f>
        <v/>
      </c>
      <c r="K54" s="364">
        <v>5</v>
      </c>
      <c r="L54" s="389" t="str">
        <f>IF($C54="","",K54*VLOOKUP($C54,MINIPELLE!$A$2:$D$28,4,0))</f>
        <v/>
      </c>
      <c r="M54" s="364">
        <v>5</v>
      </c>
      <c r="N54" s="389" t="str">
        <f>IF($C54="","",M54*VLOOKUP($C54,MINIPELLE!$A$2:$D$28,4,0))</f>
        <v/>
      </c>
      <c r="O54" s="364">
        <v>5</v>
      </c>
      <c r="P54" s="389" t="str">
        <f>IF($C54="","",O54*VLOOKUP($C54,MINIPELLE!$A$2:$D$28,4,0))</f>
        <v/>
      </c>
      <c r="Q54" s="364">
        <v>5</v>
      </c>
      <c r="R54" s="389" t="str">
        <f>IF($C54="","",Q54*VLOOKUP($C54,MINIPELLE!$A$2:$D$28,4,0))</f>
        <v/>
      </c>
      <c r="S54" s="364">
        <v>5</v>
      </c>
      <c r="T54" s="389" t="str">
        <f>IF($C54="","",S54*VLOOKUP($C54,MINIPELLE!$A$2:$D$28,4,0))</f>
        <v/>
      </c>
      <c r="U54" s="364">
        <v>5</v>
      </c>
      <c r="V54" s="389" t="str">
        <f>IF($C54="","",U54*VLOOKUP($C54,MINIPELLE!$A$2:$D$28,4,0))</f>
        <v/>
      </c>
      <c r="W54" s="364">
        <v>5</v>
      </c>
      <c r="X54" s="389" t="str">
        <f>IF($C54="","",W54*VLOOKUP($C54,MINIPELLE!$A$2:$D$28,4,0))</f>
        <v/>
      </c>
      <c r="Y54" s="364">
        <v>5</v>
      </c>
      <c r="Z54" s="389" t="str">
        <f>IF($C54="","",Y54*VLOOKUP($C54,MINIPELLE!$A$2:$D$28,4,0))</f>
        <v/>
      </c>
      <c r="AA54" s="364">
        <v>5</v>
      </c>
      <c r="AB54" s="389" t="str">
        <f>IF($C54="","",AA54*VLOOKUP($C54,MINIPELLE!$A$2:$D$28,4,0))</f>
        <v/>
      </c>
      <c r="AC54" s="364">
        <v>5</v>
      </c>
      <c r="AD54" s="389" t="str">
        <f>IF($C54="","",AC54*VLOOKUP($C54,MINIPELLE!$A$2:$D$28,4,0))</f>
        <v/>
      </c>
      <c r="AE54" s="364">
        <v>5</v>
      </c>
      <c r="AF54" s="389" t="str">
        <f>IF($C54="","",AE54*VLOOKUP($C54,MINIPELLE!$A$2:$D$28,4,0))</f>
        <v/>
      </c>
      <c r="AG54" s="364">
        <v>5</v>
      </c>
      <c r="AH54" s="389" t="str">
        <f>IF($C54="","",AG54*VLOOKUP($C54,MINIPELLE!$A$2:$D$28,4,0))</f>
        <v/>
      </c>
      <c r="AI54" s="364">
        <v>5</v>
      </c>
      <c r="AJ54" s="389" t="str">
        <f>IF($C54="","",AI54*VLOOKUP($C54,MINIPELLE!$A$2:$D$28,4,0))</f>
        <v/>
      </c>
      <c r="AK54" s="364">
        <v>5</v>
      </c>
      <c r="AL54" s="389" t="str">
        <f>IF($C54="","",AK54*VLOOKUP($C54,MINIPELLE!$A$2:$D$28,4,0))</f>
        <v/>
      </c>
      <c r="AM54" s="364">
        <v>5</v>
      </c>
      <c r="AN54" s="389" t="str">
        <f>IF($C54="","",AM54*VLOOKUP($C54,MINIPELLE!$A$2:$D$28,4,0))</f>
        <v/>
      </c>
    </row>
    <row r="55" spans="1:42" ht="15" customHeight="1" x14ac:dyDescent="0.2">
      <c r="A55" s="1560"/>
      <c r="B55" s="361"/>
      <c r="C55" s="378"/>
      <c r="D55" s="363" t="str">
        <f>IF(C55="","",VLOOKUP($C55,MINIPELLE!$A$2:$C$28,3,0))</f>
        <v/>
      </c>
      <c r="E55" s="364">
        <v>6</v>
      </c>
      <c r="F55" s="389" t="str">
        <f>IF($C55="","",E55*VLOOKUP($C55,MINIPELLE!$A$2:$D$28,4,0))</f>
        <v/>
      </c>
      <c r="G55" s="364">
        <v>6</v>
      </c>
      <c r="H55" s="389" t="str">
        <f>IF($C55="","",G55*VLOOKUP($C55,MINIPELLE!$A$2:$D$28,4,0))</f>
        <v/>
      </c>
      <c r="I55" s="364">
        <v>6</v>
      </c>
      <c r="J55" s="389" t="str">
        <f>IF($C55="","",I55*VLOOKUP($C55,MINIPELLE!$A$2:$D$28,4,0))</f>
        <v/>
      </c>
      <c r="K55" s="364">
        <v>6</v>
      </c>
      <c r="L55" s="389" t="str">
        <f>IF($C55="","",K55*VLOOKUP($C55,MINIPELLE!$A$2:$D$28,4,0))</f>
        <v/>
      </c>
      <c r="M55" s="364">
        <v>6</v>
      </c>
      <c r="N55" s="389" t="str">
        <f>IF($C55="","",M55*VLOOKUP($C55,MINIPELLE!$A$2:$D$28,4,0))</f>
        <v/>
      </c>
      <c r="O55" s="364">
        <v>6</v>
      </c>
      <c r="P55" s="389" t="str">
        <f>IF($C55="","",O55*VLOOKUP($C55,MINIPELLE!$A$2:$D$28,4,0))</f>
        <v/>
      </c>
      <c r="Q55" s="364">
        <v>6</v>
      </c>
      <c r="R55" s="389" t="str">
        <f>IF($C55="","",Q55*VLOOKUP($C55,MINIPELLE!$A$2:$D$28,4,0))</f>
        <v/>
      </c>
      <c r="S55" s="364">
        <v>6</v>
      </c>
      <c r="T55" s="389" t="str">
        <f>IF($C55="","",S55*VLOOKUP($C55,MINIPELLE!$A$2:$D$28,4,0))</f>
        <v/>
      </c>
      <c r="U55" s="364">
        <v>6</v>
      </c>
      <c r="V55" s="389" t="str">
        <f>IF($C55="","",U55*VLOOKUP($C55,MINIPELLE!$A$2:$D$28,4,0))</f>
        <v/>
      </c>
      <c r="W55" s="364">
        <v>6</v>
      </c>
      <c r="X55" s="389" t="str">
        <f>IF($C55="","",W55*VLOOKUP($C55,MINIPELLE!$A$2:$D$28,4,0))</f>
        <v/>
      </c>
      <c r="Y55" s="364">
        <v>6</v>
      </c>
      <c r="Z55" s="389" t="str">
        <f>IF($C55="","",Y55*VLOOKUP($C55,MINIPELLE!$A$2:$D$28,4,0))</f>
        <v/>
      </c>
      <c r="AA55" s="364">
        <v>6</v>
      </c>
      <c r="AB55" s="389" t="str">
        <f>IF($C55="","",AA55*VLOOKUP($C55,MINIPELLE!$A$2:$D$28,4,0))</f>
        <v/>
      </c>
      <c r="AC55" s="364">
        <v>6</v>
      </c>
      <c r="AD55" s="389" t="str">
        <f>IF($C55="","",AC55*VLOOKUP($C55,MINIPELLE!$A$2:$D$28,4,0))</f>
        <v/>
      </c>
      <c r="AE55" s="364">
        <v>6</v>
      </c>
      <c r="AF55" s="389" t="str">
        <f>IF($C55="","",AE55*VLOOKUP($C55,MINIPELLE!$A$2:$D$28,4,0))</f>
        <v/>
      </c>
      <c r="AG55" s="364">
        <v>6</v>
      </c>
      <c r="AH55" s="389" t="str">
        <f>IF($C55="","",AG55*VLOOKUP($C55,MINIPELLE!$A$2:$D$28,4,0))</f>
        <v/>
      </c>
      <c r="AI55" s="364">
        <v>6</v>
      </c>
      <c r="AJ55" s="389" t="str">
        <f>IF($C55="","",AI55*VLOOKUP($C55,MINIPELLE!$A$2:$D$28,4,0))</f>
        <v/>
      </c>
      <c r="AK55" s="364">
        <v>6</v>
      </c>
      <c r="AL55" s="389" t="str">
        <f>IF($C55="","",AK55*VLOOKUP($C55,MINIPELLE!$A$2:$D$28,4,0))</f>
        <v/>
      </c>
      <c r="AM55" s="364">
        <v>6</v>
      </c>
      <c r="AN55" s="389" t="str">
        <f>IF($C55="","",AM55*VLOOKUP($C55,MINIPELLE!$A$2:$D$28,4,0))</f>
        <v/>
      </c>
    </row>
    <row r="56" spans="1:42" ht="15" customHeight="1" x14ac:dyDescent="0.2">
      <c r="A56" s="1560"/>
      <c r="B56" s="361"/>
      <c r="C56" s="378"/>
      <c r="D56" s="363" t="str">
        <f>IF(C56="","",VLOOKUP($C56,MINIPELLE!$A$2:$C$28,3,0))</f>
        <v/>
      </c>
      <c r="E56" s="364">
        <v>7</v>
      </c>
      <c r="F56" s="389" t="str">
        <f>IF($C56="","",E56*VLOOKUP($C56,MINIPELLE!$A$2:$D$28,4,0))</f>
        <v/>
      </c>
      <c r="G56" s="364">
        <v>7</v>
      </c>
      <c r="H56" s="389" t="str">
        <f>IF($C56="","",G56*VLOOKUP($C56,MINIPELLE!$A$2:$D$28,4,0))</f>
        <v/>
      </c>
      <c r="I56" s="364">
        <v>7</v>
      </c>
      <c r="J56" s="389" t="str">
        <f>IF($C56="","",I56*VLOOKUP($C56,MINIPELLE!$A$2:$D$28,4,0))</f>
        <v/>
      </c>
      <c r="K56" s="364">
        <v>7</v>
      </c>
      <c r="L56" s="389" t="str">
        <f>IF($C56="","",K56*VLOOKUP($C56,MINIPELLE!$A$2:$D$28,4,0))</f>
        <v/>
      </c>
      <c r="M56" s="364">
        <v>7</v>
      </c>
      <c r="N56" s="389" t="str">
        <f>IF($C56="","",M56*VLOOKUP($C56,MINIPELLE!$A$2:$D$28,4,0))</f>
        <v/>
      </c>
      <c r="O56" s="364">
        <v>7</v>
      </c>
      <c r="P56" s="389" t="str">
        <f>IF($C56="","",O56*VLOOKUP($C56,MINIPELLE!$A$2:$D$28,4,0))</f>
        <v/>
      </c>
      <c r="Q56" s="364">
        <v>7</v>
      </c>
      <c r="R56" s="389" t="str">
        <f>IF($C56="","",Q56*VLOOKUP($C56,MINIPELLE!$A$2:$D$28,4,0))</f>
        <v/>
      </c>
      <c r="S56" s="364">
        <v>7</v>
      </c>
      <c r="T56" s="389" t="str">
        <f>IF($C56="","",S56*VLOOKUP($C56,MINIPELLE!$A$2:$D$28,4,0))</f>
        <v/>
      </c>
      <c r="U56" s="364">
        <v>7</v>
      </c>
      <c r="V56" s="389" t="str">
        <f>IF($C56="","",U56*VLOOKUP($C56,MINIPELLE!$A$2:$D$28,4,0))</f>
        <v/>
      </c>
      <c r="W56" s="364">
        <v>7</v>
      </c>
      <c r="X56" s="389" t="str">
        <f>IF($C56="","",W56*VLOOKUP($C56,MINIPELLE!$A$2:$D$28,4,0))</f>
        <v/>
      </c>
      <c r="Y56" s="364">
        <v>7</v>
      </c>
      <c r="Z56" s="389" t="str">
        <f>IF($C56="","",Y56*VLOOKUP($C56,MINIPELLE!$A$2:$D$28,4,0))</f>
        <v/>
      </c>
      <c r="AA56" s="364">
        <v>7</v>
      </c>
      <c r="AB56" s="389" t="str">
        <f>IF($C56="","",AA56*VLOOKUP($C56,MINIPELLE!$A$2:$D$28,4,0))</f>
        <v/>
      </c>
      <c r="AC56" s="364">
        <v>7</v>
      </c>
      <c r="AD56" s="389" t="str">
        <f>IF($C56="","",AC56*VLOOKUP($C56,MINIPELLE!$A$2:$D$28,4,0))</f>
        <v/>
      </c>
      <c r="AE56" s="364">
        <v>7</v>
      </c>
      <c r="AF56" s="389" t="str">
        <f>IF($C56="","",AE56*VLOOKUP($C56,MINIPELLE!$A$2:$D$28,4,0))</f>
        <v/>
      </c>
      <c r="AG56" s="364">
        <v>7</v>
      </c>
      <c r="AH56" s="389" t="str">
        <f>IF($C56="","",AG56*VLOOKUP($C56,MINIPELLE!$A$2:$D$28,4,0))</f>
        <v/>
      </c>
      <c r="AI56" s="364">
        <v>7</v>
      </c>
      <c r="AJ56" s="389" t="str">
        <f>IF($C56="","",AI56*VLOOKUP($C56,MINIPELLE!$A$2:$D$28,4,0))</f>
        <v/>
      </c>
      <c r="AK56" s="364">
        <v>7</v>
      </c>
      <c r="AL56" s="389" t="str">
        <f>IF($C56="","",AK56*VLOOKUP($C56,MINIPELLE!$A$2:$D$28,4,0))</f>
        <v/>
      </c>
      <c r="AM56" s="364">
        <v>7</v>
      </c>
      <c r="AN56" s="389" t="str">
        <f>IF($C56="","",AM56*VLOOKUP($C56,MINIPELLE!$A$2:$D$28,4,0))</f>
        <v/>
      </c>
    </row>
    <row r="57" spans="1:42" ht="15" customHeight="1" x14ac:dyDescent="0.2">
      <c r="A57" s="1560"/>
      <c r="B57" s="361"/>
      <c r="C57" s="378"/>
      <c r="D57" s="363" t="str">
        <f>IF(C57="","",VLOOKUP($C57,MINIPELLE!$A$2:$C$28,3,0))</f>
        <v/>
      </c>
      <c r="E57" s="364">
        <v>8</v>
      </c>
      <c r="F57" s="389" t="str">
        <f>IF($C57="","",E57*VLOOKUP($C57,MINIPELLE!$A$2:$D$28,4,0))</f>
        <v/>
      </c>
      <c r="G57" s="364">
        <v>8</v>
      </c>
      <c r="H57" s="389" t="str">
        <f>IF($C57="","",G57*VLOOKUP($C57,MINIPELLE!$A$2:$D$28,4,0))</f>
        <v/>
      </c>
      <c r="I57" s="364">
        <v>8</v>
      </c>
      <c r="J57" s="389" t="str">
        <f>IF($C57="","",I57*VLOOKUP($C57,MINIPELLE!$A$2:$D$28,4,0))</f>
        <v/>
      </c>
      <c r="K57" s="364">
        <v>8</v>
      </c>
      <c r="L57" s="389" t="str">
        <f>IF($C57="","",K57*VLOOKUP($C57,MINIPELLE!$A$2:$D$28,4,0))</f>
        <v/>
      </c>
      <c r="M57" s="364">
        <v>8</v>
      </c>
      <c r="N57" s="389" t="str">
        <f>IF($C57="","",M57*VLOOKUP($C57,MINIPELLE!$A$2:$D$28,4,0))</f>
        <v/>
      </c>
      <c r="O57" s="364">
        <v>8</v>
      </c>
      <c r="P57" s="389" t="str">
        <f>IF($C57="","",O57*VLOOKUP($C57,MINIPELLE!$A$2:$D$28,4,0))</f>
        <v/>
      </c>
      <c r="Q57" s="364">
        <v>8</v>
      </c>
      <c r="R57" s="389" t="str">
        <f>IF($C57="","",Q57*VLOOKUP($C57,MINIPELLE!$A$2:$D$28,4,0))</f>
        <v/>
      </c>
      <c r="S57" s="364">
        <v>8</v>
      </c>
      <c r="T57" s="389" t="str">
        <f>IF($C57="","",S57*VLOOKUP($C57,MINIPELLE!$A$2:$D$28,4,0))</f>
        <v/>
      </c>
      <c r="U57" s="364">
        <v>8</v>
      </c>
      <c r="V57" s="389" t="str">
        <f>IF($C57="","",U57*VLOOKUP($C57,MINIPELLE!$A$2:$D$28,4,0))</f>
        <v/>
      </c>
      <c r="W57" s="364">
        <v>8</v>
      </c>
      <c r="X57" s="389" t="str">
        <f>IF($C57="","",W57*VLOOKUP($C57,MINIPELLE!$A$2:$D$28,4,0))</f>
        <v/>
      </c>
      <c r="Y57" s="364">
        <v>8</v>
      </c>
      <c r="Z57" s="389" t="str">
        <f>IF($C57="","",Y57*VLOOKUP($C57,MINIPELLE!$A$2:$D$28,4,0))</f>
        <v/>
      </c>
      <c r="AA57" s="364">
        <v>8</v>
      </c>
      <c r="AB57" s="389" t="str">
        <f>IF($C57="","",AA57*VLOOKUP($C57,MINIPELLE!$A$2:$D$28,4,0))</f>
        <v/>
      </c>
      <c r="AC57" s="364">
        <v>8</v>
      </c>
      <c r="AD57" s="389" t="str">
        <f>IF($C57="","",AC57*VLOOKUP($C57,MINIPELLE!$A$2:$D$28,4,0))</f>
        <v/>
      </c>
      <c r="AE57" s="364">
        <v>8</v>
      </c>
      <c r="AF57" s="389" t="str">
        <f>IF($C57="","",AE57*VLOOKUP($C57,MINIPELLE!$A$2:$D$28,4,0))</f>
        <v/>
      </c>
      <c r="AG57" s="364">
        <v>8</v>
      </c>
      <c r="AH57" s="389" t="str">
        <f>IF($C57="","",AG57*VLOOKUP($C57,MINIPELLE!$A$2:$D$28,4,0))</f>
        <v/>
      </c>
      <c r="AI57" s="364">
        <v>8</v>
      </c>
      <c r="AJ57" s="389" t="str">
        <f>IF($C57="","",AI57*VLOOKUP($C57,MINIPELLE!$A$2:$D$28,4,0))</f>
        <v/>
      </c>
      <c r="AK57" s="364">
        <v>8</v>
      </c>
      <c r="AL57" s="389" t="str">
        <f>IF($C57="","",AK57*VLOOKUP($C57,MINIPELLE!$A$2:$D$28,4,0))</f>
        <v/>
      </c>
      <c r="AM57" s="364">
        <v>8</v>
      </c>
      <c r="AN57" s="389" t="str">
        <f>IF($C57="","",AM57*VLOOKUP($C57,MINIPELLE!$A$2:$D$28,4,0))</f>
        <v/>
      </c>
    </row>
    <row r="58" spans="1:42" ht="15" customHeight="1" x14ac:dyDescent="0.2">
      <c r="A58" s="1560"/>
      <c r="B58" s="361"/>
      <c r="C58" s="378"/>
      <c r="D58" s="363" t="str">
        <f>IF(C58="","",VLOOKUP($C58,MINIPELLE!$A$2:$C$28,3,0))</f>
        <v/>
      </c>
      <c r="E58" s="364">
        <v>9</v>
      </c>
      <c r="F58" s="389" t="str">
        <f>IF($C58="","",E58*VLOOKUP($C58,MINIPELLE!$A$2:$D$28,4,0))</f>
        <v/>
      </c>
      <c r="G58" s="364">
        <v>9</v>
      </c>
      <c r="H58" s="389" t="str">
        <f>IF($C58="","",G58*VLOOKUP($C58,MINIPELLE!$A$2:$D$28,4,0))</f>
        <v/>
      </c>
      <c r="I58" s="364">
        <v>9</v>
      </c>
      <c r="J58" s="389" t="str">
        <f>IF($C58="","",I58*VLOOKUP($C58,MINIPELLE!$A$2:$D$28,4,0))</f>
        <v/>
      </c>
      <c r="K58" s="364">
        <v>9</v>
      </c>
      <c r="L58" s="389" t="str">
        <f>IF($C58="","",K58*VLOOKUP($C58,MINIPELLE!$A$2:$D$28,4,0))</f>
        <v/>
      </c>
      <c r="M58" s="364">
        <v>9</v>
      </c>
      <c r="N58" s="389" t="str">
        <f>IF($C58="","",M58*VLOOKUP($C58,MINIPELLE!$A$2:$D$28,4,0))</f>
        <v/>
      </c>
      <c r="O58" s="364">
        <v>9</v>
      </c>
      <c r="P58" s="389" t="str">
        <f>IF($C58="","",O58*VLOOKUP($C58,MINIPELLE!$A$2:$D$28,4,0))</f>
        <v/>
      </c>
      <c r="Q58" s="364">
        <v>9</v>
      </c>
      <c r="R58" s="389" t="str">
        <f>IF($C58="","",Q58*VLOOKUP($C58,MINIPELLE!$A$2:$D$28,4,0))</f>
        <v/>
      </c>
      <c r="S58" s="364">
        <v>9</v>
      </c>
      <c r="T58" s="389" t="str">
        <f>IF($C58="","",S58*VLOOKUP($C58,MINIPELLE!$A$2:$D$28,4,0))</f>
        <v/>
      </c>
      <c r="U58" s="364">
        <v>9</v>
      </c>
      <c r="V58" s="389" t="str">
        <f>IF($C58="","",U58*VLOOKUP($C58,MINIPELLE!$A$2:$D$28,4,0))</f>
        <v/>
      </c>
      <c r="W58" s="364">
        <v>9</v>
      </c>
      <c r="X58" s="389" t="str">
        <f>IF($C58="","",W58*VLOOKUP($C58,MINIPELLE!$A$2:$D$28,4,0))</f>
        <v/>
      </c>
      <c r="Y58" s="364">
        <v>9</v>
      </c>
      <c r="Z58" s="389" t="str">
        <f>IF($C58="","",Y58*VLOOKUP($C58,MINIPELLE!$A$2:$D$28,4,0))</f>
        <v/>
      </c>
      <c r="AA58" s="364">
        <v>9</v>
      </c>
      <c r="AB58" s="389" t="str">
        <f>IF($C58="","",AA58*VLOOKUP($C58,MINIPELLE!$A$2:$D$28,4,0))</f>
        <v/>
      </c>
      <c r="AC58" s="364">
        <v>9</v>
      </c>
      <c r="AD58" s="389" t="str">
        <f>IF($C58="","",AC58*VLOOKUP($C58,MINIPELLE!$A$2:$D$28,4,0))</f>
        <v/>
      </c>
      <c r="AE58" s="364">
        <v>9</v>
      </c>
      <c r="AF58" s="389" t="str">
        <f>IF($C58="","",AE58*VLOOKUP($C58,MINIPELLE!$A$2:$D$28,4,0))</f>
        <v/>
      </c>
      <c r="AG58" s="364">
        <v>9</v>
      </c>
      <c r="AH58" s="389" t="str">
        <f>IF($C58="","",AG58*VLOOKUP($C58,MINIPELLE!$A$2:$D$28,4,0))</f>
        <v/>
      </c>
      <c r="AI58" s="364">
        <v>9</v>
      </c>
      <c r="AJ58" s="389" t="str">
        <f>IF($C58="","",AI58*VLOOKUP($C58,MINIPELLE!$A$2:$D$28,4,0))</f>
        <v/>
      </c>
      <c r="AK58" s="364">
        <v>9</v>
      </c>
      <c r="AL58" s="389" t="str">
        <f>IF($C58="","",AK58*VLOOKUP($C58,MINIPELLE!$A$2:$D$28,4,0))</f>
        <v/>
      </c>
      <c r="AM58" s="364">
        <v>9</v>
      </c>
      <c r="AN58" s="389" t="str">
        <f>IF($C58="","",AM58*VLOOKUP($C58,MINIPELLE!$A$2:$D$28,4,0))</f>
        <v/>
      </c>
      <c r="AO58" s="223"/>
      <c r="AP58" s="223"/>
    </row>
    <row r="59" spans="1:42" ht="15" customHeight="1" x14ac:dyDescent="0.2">
      <c r="A59" s="1560"/>
      <c r="B59" s="361"/>
      <c r="C59" s="378"/>
      <c r="D59" s="363" t="str">
        <f>IF(C59="","",VLOOKUP($C59,MINIPELLE!$A$2:$C$28,3,0))</f>
        <v/>
      </c>
      <c r="E59" s="364">
        <v>10</v>
      </c>
      <c r="F59" s="389" t="str">
        <f>IF($C59="","",E59*VLOOKUP($C59,MINIPELLE!$A$2:$D$28,4,0))</f>
        <v/>
      </c>
      <c r="G59" s="364">
        <v>10</v>
      </c>
      <c r="H59" s="389" t="str">
        <f>IF($C59="","",G59*VLOOKUP($C59,MINIPELLE!$A$2:$D$28,4,0))</f>
        <v/>
      </c>
      <c r="I59" s="364">
        <v>10</v>
      </c>
      <c r="J59" s="389" t="str">
        <f>IF($C59="","",I59*VLOOKUP($C59,MINIPELLE!$A$2:$D$28,4,0))</f>
        <v/>
      </c>
      <c r="K59" s="364">
        <v>10</v>
      </c>
      <c r="L59" s="389" t="str">
        <f>IF($C59="","",K59*VLOOKUP($C59,MINIPELLE!$A$2:$D$28,4,0))</f>
        <v/>
      </c>
      <c r="M59" s="364">
        <v>10</v>
      </c>
      <c r="N59" s="389" t="str">
        <f>IF($C59="","",M59*VLOOKUP($C59,MINIPELLE!$A$2:$D$28,4,0))</f>
        <v/>
      </c>
      <c r="O59" s="364">
        <v>10</v>
      </c>
      <c r="P59" s="389" t="str">
        <f>IF($C59="","",O59*VLOOKUP($C59,MINIPELLE!$A$2:$D$28,4,0))</f>
        <v/>
      </c>
      <c r="Q59" s="364">
        <v>10</v>
      </c>
      <c r="R59" s="389" t="str">
        <f>IF($C59="","",Q59*VLOOKUP($C59,MINIPELLE!$A$2:$D$28,4,0))</f>
        <v/>
      </c>
      <c r="S59" s="364">
        <v>10</v>
      </c>
      <c r="T59" s="389" t="str">
        <f>IF($C59="","",S59*VLOOKUP($C59,MINIPELLE!$A$2:$D$28,4,0))</f>
        <v/>
      </c>
      <c r="U59" s="364">
        <v>10</v>
      </c>
      <c r="V59" s="389" t="str">
        <f>IF($C59="","",U59*VLOOKUP($C59,MINIPELLE!$A$2:$D$28,4,0))</f>
        <v/>
      </c>
      <c r="W59" s="364">
        <v>10</v>
      </c>
      <c r="X59" s="389" t="str">
        <f>IF($C59="","",W59*VLOOKUP($C59,MINIPELLE!$A$2:$D$28,4,0))</f>
        <v/>
      </c>
      <c r="Y59" s="364">
        <v>10</v>
      </c>
      <c r="Z59" s="389" t="str">
        <f>IF($C59="","",Y59*VLOOKUP($C59,MINIPELLE!$A$2:$D$28,4,0))</f>
        <v/>
      </c>
      <c r="AA59" s="364">
        <v>10</v>
      </c>
      <c r="AB59" s="389" t="str">
        <f>IF($C59="","",AA59*VLOOKUP($C59,MINIPELLE!$A$2:$D$28,4,0))</f>
        <v/>
      </c>
      <c r="AC59" s="364">
        <v>10</v>
      </c>
      <c r="AD59" s="389" t="str">
        <f>IF($C59="","",AC59*VLOOKUP($C59,MINIPELLE!$A$2:$D$28,4,0))</f>
        <v/>
      </c>
      <c r="AE59" s="364">
        <v>10</v>
      </c>
      <c r="AF59" s="389" t="str">
        <f>IF($C59="","",AE59*VLOOKUP($C59,MINIPELLE!$A$2:$D$28,4,0))</f>
        <v/>
      </c>
      <c r="AG59" s="364">
        <v>10</v>
      </c>
      <c r="AH59" s="389" t="str">
        <f>IF($C59="","",AG59*VLOOKUP($C59,MINIPELLE!$A$2:$D$28,4,0))</f>
        <v/>
      </c>
      <c r="AI59" s="364">
        <v>10</v>
      </c>
      <c r="AJ59" s="389" t="str">
        <f>IF($C59="","",AI59*VLOOKUP($C59,MINIPELLE!$A$2:$D$28,4,0))</f>
        <v/>
      </c>
      <c r="AK59" s="364">
        <v>10</v>
      </c>
      <c r="AL59" s="389" t="str">
        <f>IF($C59="","",AK59*VLOOKUP($C59,MINIPELLE!$A$2:$D$28,4,0))</f>
        <v/>
      </c>
      <c r="AM59" s="364">
        <v>10</v>
      </c>
      <c r="AN59" s="389" t="str">
        <f>IF($C59="","",AM59*VLOOKUP($C59,MINIPELLE!$A$2:$D$28,4,0))</f>
        <v/>
      </c>
    </row>
    <row r="60" spans="1:42" ht="15" customHeight="1" x14ac:dyDescent="0.2">
      <c r="A60" s="1560"/>
      <c r="B60" s="361"/>
      <c r="C60" s="378"/>
      <c r="D60" s="363" t="str">
        <f>IF(C60="","",VLOOKUP($C60,MINIPELLE!$A$2:$C$28,3,0))</f>
        <v/>
      </c>
      <c r="E60" s="364">
        <v>11</v>
      </c>
      <c r="F60" s="389" t="str">
        <f>IF($C60="","",E60*VLOOKUP($C60,MINIPELLE!$A$2:$D$28,4,0))</f>
        <v/>
      </c>
      <c r="G60" s="364">
        <v>11</v>
      </c>
      <c r="H60" s="389" t="str">
        <f>IF($C60="","",G60*VLOOKUP($C60,MINIPELLE!$A$2:$D$28,4,0))</f>
        <v/>
      </c>
      <c r="I60" s="364">
        <v>11</v>
      </c>
      <c r="J60" s="389" t="str">
        <f>IF($C60="","",I60*VLOOKUP($C60,MINIPELLE!$A$2:$D$28,4,0))</f>
        <v/>
      </c>
      <c r="K60" s="364">
        <v>11</v>
      </c>
      <c r="L60" s="389" t="str">
        <f>IF($C60="","",K60*VLOOKUP($C60,MINIPELLE!$A$2:$D$28,4,0))</f>
        <v/>
      </c>
      <c r="M60" s="364">
        <v>11</v>
      </c>
      <c r="N60" s="389" t="str">
        <f>IF($C60="","",M60*VLOOKUP($C60,MINIPELLE!$A$2:$D$28,4,0))</f>
        <v/>
      </c>
      <c r="O60" s="364">
        <v>11</v>
      </c>
      <c r="P60" s="389" t="str">
        <f>IF($C60="","",O60*VLOOKUP($C60,MINIPELLE!$A$2:$D$28,4,0))</f>
        <v/>
      </c>
      <c r="Q60" s="364">
        <v>11</v>
      </c>
      <c r="R60" s="389" t="str">
        <f>IF($C60="","",Q60*VLOOKUP($C60,MINIPELLE!$A$2:$D$28,4,0))</f>
        <v/>
      </c>
      <c r="S60" s="364">
        <v>11</v>
      </c>
      <c r="T60" s="389" t="str">
        <f>IF($C60="","",S60*VLOOKUP($C60,MINIPELLE!$A$2:$D$28,4,0))</f>
        <v/>
      </c>
      <c r="U60" s="364">
        <v>11</v>
      </c>
      <c r="V60" s="389" t="str">
        <f>IF($C60="","",U60*VLOOKUP($C60,MINIPELLE!$A$2:$D$28,4,0))</f>
        <v/>
      </c>
      <c r="W60" s="364">
        <v>11</v>
      </c>
      <c r="X60" s="389" t="str">
        <f>IF($C60="","",W60*VLOOKUP($C60,MINIPELLE!$A$2:$D$28,4,0))</f>
        <v/>
      </c>
      <c r="Y60" s="364">
        <v>11</v>
      </c>
      <c r="Z60" s="389" t="str">
        <f>IF($C60="","",Y60*VLOOKUP($C60,MINIPELLE!$A$2:$D$28,4,0))</f>
        <v/>
      </c>
      <c r="AA60" s="364">
        <v>11</v>
      </c>
      <c r="AB60" s="389" t="str">
        <f>IF($C60="","",AA60*VLOOKUP($C60,MINIPELLE!$A$2:$D$28,4,0))</f>
        <v/>
      </c>
      <c r="AC60" s="364">
        <v>11</v>
      </c>
      <c r="AD60" s="389" t="str">
        <f>IF($C60="","",AC60*VLOOKUP($C60,MINIPELLE!$A$2:$D$28,4,0))</f>
        <v/>
      </c>
      <c r="AE60" s="364">
        <v>11</v>
      </c>
      <c r="AF60" s="389" t="str">
        <f>IF($C60="","",AE60*VLOOKUP($C60,MINIPELLE!$A$2:$D$28,4,0))</f>
        <v/>
      </c>
      <c r="AG60" s="364">
        <v>11</v>
      </c>
      <c r="AH60" s="389" t="str">
        <f>IF($C60="","",AG60*VLOOKUP($C60,MINIPELLE!$A$2:$D$28,4,0))</f>
        <v/>
      </c>
      <c r="AI60" s="364">
        <v>11</v>
      </c>
      <c r="AJ60" s="389" t="str">
        <f>IF($C60="","",AI60*VLOOKUP($C60,MINIPELLE!$A$2:$D$28,4,0))</f>
        <v/>
      </c>
      <c r="AK60" s="364">
        <v>11</v>
      </c>
      <c r="AL60" s="389" t="str">
        <f>IF($C60="","",AK60*VLOOKUP($C60,MINIPELLE!$A$2:$D$28,4,0))</f>
        <v/>
      </c>
      <c r="AM60" s="364">
        <v>11</v>
      </c>
      <c r="AN60" s="389" t="str">
        <f>IF($C60="","",AM60*VLOOKUP($C60,MINIPELLE!$A$2:$D$28,4,0))</f>
        <v/>
      </c>
    </row>
    <row r="61" spans="1:42" ht="15" customHeight="1" x14ac:dyDescent="0.2">
      <c r="A61" s="1560"/>
      <c r="B61" s="361"/>
      <c r="C61" s="378"/>
      <c r="D61" s="363" t="str">
        <f>IF(C61="","",VLOOKUP($C61,MINIPELLE!$A$2:$C$28,3,0))</f>
        <v/>
      </c>
      <c r="E61" s="364">
        <v>12</v>
      </c>
      <c r="F61" s="389" t="str">
        <f>IF($C61="","",E61*VLOOKUP($C61,MINIPELLE!$A$2:$D$28,4,0))</f>
        <v/>
      </c>
      <c r="G61" s="364">
        <v>12</v>
      </c>
      <c r="H61" s="389" t="str">
        <f>IF($C61="","",G61*VLOOKUP($C61,MINIPELLE!$A$2:$D$28,4,0))</f>
        <v/>
      </c>
      <c r="I61" s="364">
        <v>12</v>
      </c>
      <c r="J61" s="389" t="str">
        <f>IF($C61="","",I61*VLOOKUP($C61,MINIPELLE!$A$2:$D$28,4,0))</f>
        <v/>
      </c>
      <c r="K61" s="364">
        <v>12</v>
      </c>
      <c r="L61" s="389" t="str">
        <f>IF($C61="","",K61*VLOOKUP($C61,MINIPELLE!$A$2:$D$28,4,0))</f>
        <v/>
      </c>
      <c r="M61" s="364">
        <v>12</v>
      </c>
      <c r="N61" s="389" t="str">
        <f>IF($C61="","",M61*VLOOKUP($C61,MINIPELLE!$A$2:$D$28,4,0))</f>
        <v/>
      </c>
      <c r="O61" s="364">
        <v>12</v>
      </c>
      <c r="P61" s="389" t="str">
        <f>IF($C61="","",O61*VLOOKUP($C61,MINIPELLE!$A$2:$D$28,4,0))</f>
        <v/>
      </c>
      <c r="Q61" s="364">
        <v>12</v>
      </c>
      <c r="R61" s="389" t="str">
        <f>IF($C61="","",Q61*VLOOKUP($C61,MINIPELLE!$A$2:$D$28,4,0))</f>
        <v/>
      </c>
      <c r="S61" s="364">
        <v>12</v>
      </c>
      <c r="T61" s="389" t="str">
        <f>IF($C61="","",S61*VLOOKUP($C61,MINIPELLE!$A$2:$D$28,4,0))</f>
        <v/>
      </c>
      <c r="U61" s="364">
        <v>12</v>
      </c>
      <c r="V61" s="389" t="str">
        <f>IF($C61="","",U61*VLOOKUP($C61,MINIPELLE!$A$2:$D$28,4,0))</f>
        <v/>
      </c>
      <c r="W61" s="364">
        <v>12</v>
      </c>
      <c r="X61" s="389" t="str">
        <f>IF($C61="","",W61*VLOOKUP($C61,MINIPELLE!$A$2:$D$28,4,0))</f>
        <v/>
      </c>
      <c r="Y61" s="364">
        <v>12</v>
      </c>
      <c r="Z61" s="389" t="str">
        <f>IF($C61="","",Y61*VLOOKUP($C61,MINIPELLE!$A$2:$D$28,4,0))</f>
        <v/>
      </c>
      <c r="AA61" s="364">
        <v>12</v>
      </c>
      <c r="AB61" s="389" t="str">
        <f>IF($C61="","",AA61*VLOOKUP($C61,MINIPELLE!$A$2:$D$28,4,0))</f>
        <v/>
      </c>
      <c r="AC61" s="364">
        <v>12</v>
      </c>
      <c r="AD61" s="389" t="str">
        <f>IF($C61="","",AC61*VLOOKUP($C61,MINIPELLE!$A$2:$D$28,4,0))</f>
        <v/>
      </c>
      <c r="AE61" s="364">
        <v>12</v>
      </c>
      <c r="AF61" s="389" t="str">
        <f>IF($C61="","",AE61*VLOOKUP($C61,MINIPELLE!$A$2:$D$28,4,0))</f>
        <v/>
      </c>
      <c r="AG61" s="364">
        <v>12</v>
      </c>
      <c r="AH61" s="389" t="str">
        <f>IF($C61="","",AG61*VLOOKUP($C61,MINIPELLE!$A$2:$D$28,4,0))</f>
        <v/>
      </c>
      <c r="AI61" s="364">
        <v>12</v>
      </c>
      <c r="AJ61" s="389" t="str">
        <f>IF($C61="","",AI61*VLOOKUP($C61,MINIPELLE!$A$2:$D$28,4,0))</f>
        <v/>
      </c>
      <c r="AK61" s="364">
        <v>12</v>
      </c>
      <c r="AL61" s="389" t="str">
        <f>IF($C61="","",AK61*VLOOKUP($C61,MINIPELLE!$A$2:$D$28,4,0))</f>
        <v/>
      </c>
      <c r="AM61" s="364">
        <v>12</v>
      </c>
      <c r="AN61" s="389" t="str">
        <f>IF($C61="","",AM61*VLOOKUP($C61,MINIPELLE!$A$2:$D$28,4,0))</f>
        <v/>
      </c>
    </row>
    <row r="62" spans="1:42" ht="29.25" customHeight="1" x14ac:dyDescent="0.2">
      <c r="A62" s="1560"/>
      <c r="B62" s="384" t="s">
        <v>454</v>
      </c>
      <c r="C62" s="385" t="s">
        <v>455</v>
      </c>
      <c r="D62" s="386" t="s">
        <v>451</v>
      </c>
      <c r="E62" s="387">
        <f>F62*Simulation!$P$10</f>
        <v>4</v>
      </c>
      <c r="F62" s="388">
        <f>SUM(F51:F61)</f>
        <v>0.05</v>
      </c>
      <c r="G62" s="387">
        <f>H62*Simulation!$P$10</f>
        <v>4</v>
      </c>
      <c r="H62" s="388">
        <f>SUM(H51:H61)</f>
        <v>0.05</v>
      </c>
      <c r="I62" s="387">
        <f>J62*Simulation!$P$10</f>
        <v>4</v>
      </c>
      <c r="J62" s="388">
        <f>SUM(J51:J61)</f>
        <v>0.05</v>
      </c>
      <c r="K62" s="387">
        <f>L62*Simulation!$P$10</f>
        <v>4</v>
      </c>
      <c r="L62" s="388">
        <f>SUM(L51:L61)</f>
        <v>0.05</v>
      </c>
      <c r="M62" s="387">
        <f>N62*Simulation!$P$10</f>
        <v>4</v>
      </c>
      <c r="N62" s="388">
        <f>SUM(N51:N61)</f>
        <v>0.05</v>
      </c>
      <c r="O62" s="387">
        <f>P62*Simulation!$P$10</f>
        <v>4</v>
      </c>
      <c r="P62" s="388">
        <f>SUM(P51:P61)</f>
        <v>0.05</v>
      </c>
      <c r="Q62" s="387">
        <f>R62*Simulation!$P$10</f>
        <v>4</v>
      </c>
      <c r="R62" s="388">
        <f>SUM(R51:R61)</f>
        <v>0.05</v>
      </c>
      <c r="S62" s="387">
        <f>T62*Simulation!$P$10</f>
        <v>4</v>
      </c>
      <c r="T62" s="388">
        <f>SUM(T51:T61)</f>
        <v>0.05</v>
      </c>
      <c r="U62" s="387">
        <f>V62*Simulation!$P$10</f>
        <v>4</v>
      </c>
      <c r="V62" s="388">
        <f>SUM(V51:V61)</f>
        <v>0.05</v>
      </c>
      <c r="W62" s="387">
        <f>X62*Simulation!$P$10</f>
        <v>4</v>
      </c>
      <c r="X62" s="388">
        <f>SUM(X51:X61)</f>
        <v>0.05</v>
      </c>
      <c r="Y62" s="387">
        <f>Z62*Simulation!$P$10</f>
        <v>4</v>
      </c>
      <c r="Z62" s="388">
        <f>SUM(Z51:Z61)</f>
        <v>0.05</v>
      </c>
      <c r="AA62" s="387">
        <f>AB62*Simulation!$P$10</f>
        <v>4</v>
      </c>
      <c r="AB62" s="388">
        <f>SUM(AB51:AB61)</f>
        <v>0.05</v>
      </c>
      <c r="AC62" s="387">
        <f>AD62*Simulation!$P$10</f>
        <v>4</v>
      </c>
      <c r="AD62" s="388">
        <f>SUM(AD51:AD61)</f>
        <v>0.05</v>
      </c>
      <c r="AE62" s="387">
        <f>AF62*Simulation!$P$10</f>
        <v>4</v>
      </c>
      <c r="AF62" s="388">
        <f>SUM(AF51:AF61)</f>
        <v>0.05</v>
      </c>
      <c r="AG62" s="387">
        <f>AH62*Simulation!$P$10</f>
        <v>4</v>
      </c>
      <c r="AH62" s="388">
        <f>SUM(AH51:AH61)</f>
        <v>0.05</v>
      </c>
      <c r="AI62" s="387">
        <f>AJ62*Simulation!$P$10</f>
        <v>4</v>
      </c>
      <c r="AJ62" s="388">
        <f>SUM(AJ51:AJ61)</f>
        <v>0.05</v>
      </c>
      <c r="AK62" s="387">
        <f>AL62*Simulation!$P$10</f>
        <v>4</v>
      </c>
      <c r="AL62" s="388">
        <f>SUM(AL51:AL61)</f>
        <v>0.05</v>
      </c>
      <c r="AM62" s="387">
        <f>AN62*Simulation!$P$10</f>
        <v>4</v>
      </c>
      <c r="AN62" s="388">
        <f>SUM(AN51:AN61)</f>
        <v>0.05</v>
      </c>
    </row>
    <row r="63" spans="1:42" x14ac:dyDescent="0.2">
      <c r="A63" s="199"/>
      <c r="B63" s="172"/>
      <c r="C63" s="200"/>
      <c r="D63" s="201"/>
      <c r="E63" s="202"/>
      <c r="F63" s="203"/>
      <c r="G63" s="202"/>
      <c r="H63" s="203"/>
      <c r="I63" s="202"/>
      <c r="J63" s="203"/>
      <c r="K63" s="202"/>
      <c r="L63" s="203"/>
      <c r="M63" s="202"/>
      <c r="N63" s="203"/>
      <c r="O63" s="202"/>
      <c r="P63" s="203"/>
      <c r="Q63" s="202"/>
      <c r="R63" s="203"/>
      <c r="S63" s="202"/>
      <c r="T63" s="203"/>
      <c r="U63" s="202"/>
      <c r="V63" s="203"/>
      <c r="W63" s="202"/>
      <c r="X63" s="203"/>
      <c r="Y63" s="202"/>
      <c r="Z63" s="203"/>
      <c r="AA63" s="202"/>
      <c r="AB63" s="203"/>
      <c r="AC63" s="202"/>
      <c r="AD63" s="203"/>
      <c r="AE63" s="202"/>
      <c r="AF63" s="203"/>
      <c r="AG63" s="202"/>
      <c r="AH63" s="203"/>
      <c r="AI63" s="202"/>
      <c r="AJ63" s="203"/>
      <c r="AK63" s="202"/>
      <c r="AL63" s="203"/>
      <c r="AM63" s="202"/>
      <c r="AN63" s="203"/>
    </row>
    <row r="64" spans="1:42" ht="36" customHeight="1" x14ac:dyDescent="0.2">
      <c r="A64" s="204"/>
      <c r="B64" s="1561" t="s">
        <v>456</v>
      </c>
      <c r="C64" s="1564" t="s">
        <v>445</v>
      </c>
      <c r="D64" s="1564"/>
      <c r="E64" s="1547" t="e">
        <f>E62+E50+E38+E26</f>
        <v>#N/A</v>
      </c>
      <c r="F64" s="1547"/>
      <c r="G64" s="1547" t="e">
        <f>G62+G50+G38+G26</f>
        <v>#N/A</v>
      </c>
      <c r="H64" s="1547"/>
      <c r="I64" s="1547" t="e">
        <f>I62+I50+I38+I26</f>
        <v>#N/A</v>
      </c>
      <c r="J64" s="1547"/>
      <c r="K64" s="1547" t="e">
        <f>K62+K50+K38+K26</f>
        <v>#N/A</v>
      </c>
      <c r="L64" s="1547"/>
      <c r="M64" s="1547" t="e">
        <f>M62+M50+M38+M26</f>
        <v>#N/A</v>
      </c>
      <c r="N64" s="1547"/>
      <c r="O64" s="1547" t="e">
        <f>O62+O50+O38+O26</f>
        <v>#N/A</v>
      </c>
      <c r="P64" s="1547"/>
      <c r="Q64" s="1547" t="e">
        <f>Q62+Q50+Q38+Q26</f>
        <v>#N/A</v>
      </c>
      <c r="R64" s="1547"/>
      <c r="S64" s="1547" t="e">
        <f>S62+S50+S38+S26</f>
        <v>#N/A</v>
      </c>
      <c r="T64" s="1547"/>
      <c r="U64" s="1547" t="e">
        <f>U62+U50+U38+U26</f>
        <v>#N/A</v>
      </c>
      <c r="V64" s="1547"/>
      <c r="W64" s="1547" t="e">
        <f>W62+W50+W38+W26</f>
        <v>#N/A</v>
      </c>
      <c r="X64" s="1547"/>
      <c r="Y64" s="1547" t="e">
        <f>Y62+Y50+Y38+Y26</f>
        <v>#N/A</v>
      </c>
      <c r="Z64" s="1547"/>
      <c r="AA64" s="1547" t="e">
        <f>AA62+AA50+AA38+AA26</f>
        <v>#N/A</v>
      </c>
      <c r="AB64" s="1547"/>
      <c r="AC64" s="1547" t="e">
        <f>AC62+AC50+AC38+AC26</f>
        <v>#N/A</v>
      </c>
      <c r="AD64" s="1547"/>
      <c r="AE64" s="1547" t="e">
        <f>AE62+AE50+AE38+AE26</f>
        <v>#N/A</v>
      </c>
      <c r="AF64" s="1547"/>
      <c r="AG64" s="1547" t="e">
        <f>AG62+AG50+AG38+AG26</f>
        <v>#N/A</v>
      </c>
      <c r="AH64" s="1547"/>
      <c r="AI64" s="1547" t="e">
        <f>AI62+AI50+AI38+AI26</f>
        <v>#N/A</v>
      </c>
      <c r="AJ64" s="1547"/>
      <c r="AK64" s="1547" t="e">
        <f>AK62+AK50+AK38+AK26</f>
        <v>#N/A</v>
      </c>
      <c r="AL64" s="1547"/>
      <c r="AM64" s="1547" t="e">
        <f>AM62+AM50+AM38+AM26</f>
        <v>#N/A</v>
      </c>
      <c r="AN64" s="1547"/>
    </row>
    <row r="65" spans="1:42" ht="18" customHeight="1" x14ac:dyDescent="0.2">
      <c r="A65" s="154"/>
      <c r="B65" s="1562"/>
      <c r="C65" s="1565" t="s">
        <v>457</v>
      </c>
      <c r="D65" s="1565"/>
      <c r="E65" s="149">
        <f>E26-F26</f>
        <v>0</v>
      </c>
      <c r="F65" s="207" t="e">
        <f>E65/E$64</f>
        <v>#N/A</v>
      </c>
      <c r="G65" s="149">
        <f>G26-H26</f>
        <v>0</v>
      </c>
      <c r="H65" s="207" t="e">
        <f>G65/G$64</f>
        <v>#N/A</v>
      </c>
      <c r="I65" s="149">
        <f>I26-J26</f>
        <v>0</v>
      </c>
      <c r="J65" s="207" t="e">
        <f>I65/I$64</f>
        <v>#N/A</v>
      </c>
      <c r="K65" s="149">
        <f>K26-L26</f>
        <v>0</v>
      </c>
      <c r="L65" s="207" t="e">
        <f>K65/K$64</f>
        <v>#N/A</v>
      </c>
      <c r="M65" s="149">
        <f>M26-N26</f>
        <v>0</v>
      </c>
      <c r="N65" s="207" t="e">
        <f>M65/M$64</f>
        <v>#N/A</v>
      </c>
      <c r="O65" s="149">
        <f>O26-P26</f>
        <v>0</v>
      </c>
      <c r="P65" s="207" t="e">
        <f>O65/O$64</f>
        <v>#N/A</v>
      </c>
      <c r="Q65" s="149">
        <f>Q26-R26</f>
        <v>0</v>
      </c>
      <c r="R65" s="207" t="e">
        <f>Q65/Q$64</f>
        <v>#N/A</v>
      </c>
      <c r="S65" s="149">
        <f>S26-T26</f>
        <v>0</v>
      </c>
      <c r="T65" s="207" t="e">
        <f>S65/S$64</f>
        <v>#N/A</v>
      </c>
      <c r="U65" s="149">
        <f>U26-V26</f>
        <v>0</v>
      </c>
      <c r="V65" s="207" t="e">
        <f>U65/U$64</f>
        <v>#N/A</v>
      </c>
      <c r="W65" s="149">
        <f>W26-X26</f>
        <v>0</v>
      </c>
      <c r="X65" s="207" t="e">
        <f>W65/W$64</f>
        <v>#N/A</v>
      </c>
      <c r="Y65" s="149">
        <f>Y26-Z26</f>
        <v>0</v>
      </c>
      <c r="Z65" s="207" t="e">
        <f>Y65/Y$64</f>
        <v>#N/A</v>
      </c>
      <c r="AA65" s="149">
        <f>AA26-AB26</f>
        <v>0</v>
      </c>
      <c r="AB65" s="207" t="e">
        <f>AA65/AA$64</f>
        <v>#N/A</v>
      </c>
      <c r="AC65" s="149">
        <f>AC26-AD26</f>
        <v>0</v>
      </c>
      <c r="AD65" s="207" t="e">
        <f>AC65/AC$64</f>
        <v>#N/A</v>
      </c>
      <c r="AE65" s="149">
        <f>AE26-AF26</f>
        <v>0</v>
      </c>
      <c r="AF65" s="207" t="e">
        <f>AE65/AE$64</f>
        <v>#N/A</v>
      </c>
      <c r="AG65" s="149">
        <f>AG26-AH26</f>
        <v>0</v>
      </c>
      <c r="AH65" s="207" t="e">
        <f>AG65/AG$64</f>
        <v>#N/A</v>
      </c>
      <c r="AI65" s="149">
        <f>AI26-AJ26</f>
        <v>0</v>
      </c>
      <c r="AJ65" s="207" t="e">
        <f>AI65/AI$64</f>
        <v>#N/A</v>
      </c>
      <c r="AK65" s="149">
        <f>AK26-AL26</f>
        <v>0</v>
      </c>
      <c r="AL65" s="207" t="e">
        <f>AK65/AK$64</f>
        <v>#N/A</v>
      </c>
      <c r="AM65" s="149">
        <f>AM26-AN26</f>
        <v>0</v>
      </c>
      <c r="AN65" s="207" t="e">
        <f>AM65/AM$64</f>
        <v>#N/A</v>
      </c>
    </row>
    <row r="66" spans="1:42" ht="18" customHeight="1" x14ac:dyDescent="0.2">
      <c r="A66" s="154"/>
      <c r="B66" s="1562"/>
      <c r="C66" s="1565" t="s">
        <v>9</v>
      </c>
      <c r="D66" s="1565"/>
      <c r="E66" s="149">
        <f>E26</f>
        <v>0</v>
      </c>
      <c r="F66" s="207" t="e">
        <f>E66/E$64</f>
        <v>#N/A</v>
      </c>
      <c r="G66" s="149">
        <f>G26</f>
        <v>0</v>
      </c>
      <c r="H66" s="207" t="e">
        <f>G66/G$64</f>
        <v>#N/A</v>
      </c>
      <c r="I66" s="149">
        <f>I26</f>
        <v>0</v>
      </c>
      <c r="J66" s="207" t="e">
        <f>I66/I$64</f>
        <v>#N/A</v>
      </c>
      <c r="K66" s="149">
        <f>K26</f>
        <v>0</v>
      </c>
      <c r="L66" s="207" t="e">
        <f>K66/K$64</f>
        <v>#N/A</v>
      </c>
      <c r="M66" s="149">
        <f>M26</f>
        <v>0</v>
      </c>
      <c r="N66" s="207" t="e">
        <f>M66/M$64</f>
        <v>#N/A</v>
      </c>
      <c r="O66" s="149">
        <f>O26</f>
        <v>0</v>
      </c>
      <c r="P66" s="207" t="e">
        <f>O66/O$64</f>
        <v>#N/A</v>
      </c>
      <c r="Q66" s="149">
        <f>Q26</f>
        <v>0</v>
      </c>
      <c r="R66" s="207" t="e">
        <f>Q66/Q$64</f>
        <v>#N/A</v>
      </c>
      <c r="S66" s="149">
        <f>S26</f>
        <v>0</v>
      </c>
      <c r="T66" s="207" t="e">
        <f>S66/S$64</f>
        <v>#N/A</v>
      </c>
      <c r="U66" s="149">
        <f>U26</f>
        <v>0</v>
      </c>
      <c r="V66" s="207" t="e">
        <f>U66/U$64</f>
        <v>#N/A</v>
      </c>
      <c r="W66" s="149">
        <f>W26</f>
        <v>0</v>
      </c>
      <c r="X66" s="207" t="e">
        <f>W66/W$64</f>
        <v>#N/A</v>
      </c>
      <c r="Y66" s="149">
        <f>Y26</f>
        <v>0</v>
      </c>
      <c r="Z66" s="207" t="e">
        <f>Y66/Y$64</f>
        <v>#N/A</v>
      </c>
      <c r="AA66" s="149">
        <f>AA26</f>
        <v>0</v>
      </c>
      <c r="AB66" s="207" t="e">
        <f>AA66/AA$64</f>
        <v>#N/A</v>
      </c>
      <c r="AC66" s="149">
        <f>AC26</f>
        <v>0</v>
      </c>
      <c r="AD66" s="207" t="e">
        <f>AC66/AC$64</f>
        <v>#N/A</v>
      </c>
      <c r="AE66" s="149">
        <f>AE26</f>
        <v>0</v>
      </c>
      <c r="AF66" s="207" t="e">
        <f>AE66/AE$64</f>
        <v>#N/A</v>
      </c>
      <c r="AG66" s="149">
        <f>AG26</f>
        <v>0</v>
      </c>
      <c r="AH66" s="207" t="e">
        <f>AG66/AG$64</f>
        <v>#N/A</v>
      </c>
      <c r="AI66" s="149">
        <f>AI26</f>
        <v>0</v>
      </c>
      <c r="AJ66" s="207" t="e">
        <f>AI66/AI$64</f>
        <v>#N/A</v>
      </c>
      <c r="AK66" s="149">
        <f>AK26</f>
        <v>0</v>
      </c>
      <c r="AL66" s="207" t="e">
        <f>AK66/AK$64</f>
        <v>#N/A</v>
      </c>
      <c r="AM66" s="149">
        <f>AM26</f>
        <v>0</v>
      </c>
      <c r="AN66" s="207" t="e">
        <f>AM66/AM$64</f>
        <v>#N/A</v>
      </c>
    </row>
    <row r="67" spans="1:42" ht="18" customHeight="1" x14ac:dyDescent="0.2">
      <c r="A67" s="154"/>
      <c r="B67" s="1562"/>
      <c r="C67" s="1565" t="s">
        <v>458</v>
      </c>
      <c r="D67" s="1565"/>
      <c r="E67" s="149" t="e">
        <f>E38</f>
        <v>#N/A</v>
      </c>
      <c r="F67" s="207" t="e">
        <f>E67/E$64</f>
        <v>#N/A</v>
      </c>
      <c r="G67" s="149" t="e">
        <f>G38</f>
        <v>#N/A</v>
      </c>
      <c r="H67" s="207" t="e">
        <f>G67/G$64</f>
        <v>#N/A</v>
      </c>
      <c r="I67" s="149" t="e">
        <f>I38</f>
        <v>#N/A</v>
      </c>
      <c r="J67" s="207" t="e">
        <f>I67/I$64</f>
        <v>#N/A</v>
      </c>
      <c r="K67" s="149" t="e">
        <f>K38</f>
        <v>#N/A</v>
      </c>
      <c r="L67" s="207" t="e">
        <f>K67/K$64</f>
        <v>#N/A</v>
      </c>
      <c r="M67" s="149" t="e">
        <f>M38</f>
        <v>#N/A</v>
      </c>
      <c r="N67" s="207" t="e">
        <f>M67/M$64</f>
        <v>#N/A</v>
      </c>
      <c r="O67" s="149" t="e">
        <f>O38</f>
        <v>#N/A</v>
      </c>
      <c r="P67" s="207" t="e">
        <f>O67/O$64</f>
        <v>#N/A</v>
      </c>
      <c r="Q67" s="149" t="e">
        <f>Q38</f>
        <v>#N/A</v>
      </c>
      <c r="R67" s="207" t="e">
        <f>Q67/Q$64</f>
        <v>#N/A</v>
      </c>
      <c r="S67" s="149" t="e">
        <f>S38</f>
        <v>#N/A</v>
      </c>
      <c r="T67" s="207" t="e">
        <f>S67/S$64</f>
        <v>#N/A</v>
      </c>
      <c r="U67" s="149" t="e">
        <f>U38</f>
        <v>#N/A</v>
      </c>
      <c r="V67" s="207" t="e">
        <f>U67/U$64</f>
        <v>#N/A</v>
      </c>
      <c r="W67" s="149" t="e">
        <f>W38</f>
        <v>#N/A</v>
      </c>
      <c r="X67" s="207" t="e">
        <f>W67/W$64</f>
        <v>#N/A</v>
      </c>
      <c r="Y67" s="149" t="e">
        <f>Y38</f>
        <v>#N/A</v>
      </c>
      <c r="Z67" s="207" t="e">
        <f>Y67/Y$64</f>
        <v>#N/A</v>
      </c>
      <c r="AA67" s="149" t="e">
        <f>AA38</f>
        <v>#N/A</v>
      </c>
      <c r="AB67" s="207" t="e">
        <f>AA67/AA$64</f>
        <v>#N/A</v>
      </c>
      <c r="AC67" s="149" t="e">
        <f>AC38</f>
        <v>#N/A</v>
      </c>
      <c r="AD67" s="207" t="e">
        <f>AC67/AC$64</f>
        <v>#N/A</v>
      </c>
      <c r="AE67" s="149" t="e">
        <f>AE38</f>
        <v>#N/A</v>
      </c>
      <c r="AF67" s="207" t="e">
        <f>AE67/AE$64</f>
        <v>#N/A</v>
      </c>
      <c r="AG67" s="149" t="e">
        <f>AG38</f>
        <v>#N/A</v>
      </c>
      <c r="AH67" s="207" t="e">
        <f>AG67/AG$64</f>
        <v>#N/A</v>
      </c>
      <c r="AI67" s="149" t="e">
        <f>AI38</f>
        <v>#N/A</v>
      </c>
      <c r="AJ67" s="207" t="e">
        <f>AI67/AI$64</f>
        <v>#N/A</v>
      </c>
      <c r="AK67" s="149" t="e">
        <f>AK38</f>
        <v>#N/A</v>
      </c>
      <c r="AL67" s="207" t="e">
        <f>AK67/AK$64</f>
        <v>#N/A</v>
      </c>
      <c r="AM67" s="149" t="e">
        <f>AM38</f>
        <v>#N/A</v>
      </c>
      <c r="AN67" s="207" t="e">
        <f>AM67/AM$64</f>
        <v>#N/A</v>
      </c>
    </row>
    <row r="68" spans="1:42" ht="18" customHeight="1" x14ac:dyDescent="0.2">
      <c r="A68" s="154"/>
      <c r="B68" s="1562"/>
      <c r="C68" s="1565" t="s">
        <v>459</v>
      </c>
      <c r="D68" s="1565"/>
      <c r="E68" s="149">
        <f>E50</f>
        <v>11.25</v>
      </c>
      <c r="F68" s="207" t="e">
        <f>E68/E$64</f>
        <v>#N/A</v>
      </c>
      <c r="G68" s="149">
        <f>G50</f>
        <v>22.5</v>
      </c>
      <c r="H68" s="207" t="e">
        <f>G68/G$64</f>
        <v>#N/A</v>
      </c>
      <c r="I68" s="149">
        <f>I50</f>
        <v>33.75</v>
      </c>
      <c r="J68" s="207" t="e">
        <f>I68/I$64</f>
        <v>#N/A</v>
      </c>
      <c r="K68" s="149">
        <f>K50</f>
        <v>45</v>
      </c>
      <c r="L68" s="207" t="e">
        <f>K68/K$64</f>
        <v>#N/A</v>
      </c>
      <c r="M68" s="149">
        <f>M50</f>
        <v>56.25</v>
      </c>
      <c r="N68" s="207" t="e">
        <f>M68/M$64</f>
        <v>#N/A</v>
      </c>
      <c r="O68" s="149">
        <f>O50</f>
        <v>67.5</v>
      </c>
      <c r="P68" s="207" t="e">
        <f>O68/O$64</f>
        <v>#N/A</v>
      </c>
      <c r="Q68" s="149">
        <f>Q50</f>
        <v>78.75</v>
      </c>
      <c r="R68" s="207" t="e">
        <f>Q68/Q$64</f>
        <v>#N/A</v>
      </c>
      <c r="S68" s="149">
        <f>S50</f>
        <v>90</v>
      </c>
      <c r="T68" s="207" t="e">
        <f>S68/S$64</f>
        <v>#N/A</v>
      </c>
      <c r="U68" s="149">
        <f>U50</f>
        <v>101.25</v>
      </c>
      <c r="V68" s="207" t="e">
        <f>U68/U$64</f>
        <v>#N/A</v>
      </c>
      <c r="W68" s="149">
        <f>W50</f>
        <v>112.5</v>
      </c>
      <c r="X68" s="207" t="e">
        <f>W68/W$64</f>
        <v>#N/A</v>
      </c>
      <c r="Y68" s="149">
        <f>Y50</f>
        <v>123.75</v>
      </c>
      <c r="Z68" s="207" t="e">
        <f>Y68/Y$64</f>
        <v>#N/A</v>
      </c>
      <c r="AA68" s="149">
        <f>AA50</f>
        <v>135</v>
      </c>
      <c r="AB68" s="207" t="e">
        <f>AA68/AA$64</f>
        <v>#N/A</v>
      </c>
      <c r="AC68" s="149">
        <f>AC50</f>
        <v>146.25</v>
      </c>
      <c r="AD68" s="207" t="e">
        <f>AC68/AC$64</f>
        <v>#N/A</v>
      </c>
      <c r="AE68" s="149">
        <f>AE50</f>
        <v>157.5</v>
      </c>
      <c r="AF68" s="207" t="e">
        <f>AE68/AE$64</f>
        <v>#N/A</v>
      </c>
      <c r="AG68" s="149">
        <f>AG50</f>
        <v>168.75</v>
      </c>
      <c r="AH68" s="207" t="e">
        <f>AG68/AG$64</f>
        <v>#N/A</v>
      </c>
      <c r="AI68" s="149">
        <f>AI50</f>
        <v>180</v>
      </c>
      <c r="AJ68" s="207" t="e">
        <f>AI68/AI$64</f>
        <v>#N/A</v>
      </c>
      <c r="AK68" s="149">
        <f>AK50</f>
        <v>191.25</v>
      </c>
      <c r="AL68" s="207" t="e">
        <f>AK68/AK$64</f>
        <v>#N/A</v>
      </c>
      <c r="AM68" s="149">
        <f>AM50</f>
        <v>202.5</v>
      </c>
      <c r="AN68" s="207" t="e">
        <f>AM68/AM$64</f>
        <v>#N/A</v>
      </c>
    </row>
    <row r="69" spans="1:42" ht="18" customHeight="1" x14ac:dyDescent="0.2">
      <c r="A69" s="154"/>
      <c r="B69" s="1563"/>
      <c r="C69" s="1565" t="s">
        <v>5</v>
      </c>
      <c r="D69" s="1565"/>
      <c r="E69" s="149">
        <f>E62</f>
        <v>4</v>
      </c>
      <c r="F69" s="207" t="e">
        <f>E69/E$64</f>
        <v>#N/A</v>
      </c>
      <c r="G69" s="149">
        <f>G62</f>
        <v>4</v>
      </c>
      <c r="H69" s="207" t="e">
        <f>G69/G$64</f>
        <v>#N/A</v>
      </c>
      <c r="I69" s="149">
        <f>I62</f>
        <v>4</v>
      </c>
      <c r="J69" s="207" t="e">
        <f>I69/I$64</f>
        <v>#N/A</v>
      </c>
      <c r="K69" s="149">
        <f>K62</f>
        <v>4</v>
      </c>
      <c r="L69" s="207" t="e">
        <f>K69/K$64</f>
        <v>#N/A</v>
      </c>
      <c r="M69" s="149">
        <f>M62</f>
        <v>4</v>
      </c>
      <c r="N69" s="207" t="e">
        <f>M69/M$64</f>
        <v>#N/A</v>
      </c>
      <c r="O69" s="149">
        <f>O62</f>
        <v>4</v>
      </c>
      <c r="P69" s="207" t="e">
        <f>O69/O$64</f>
        <v>#N/A</v>
      </c>
      <c r="Q69" s="149">
        <f>Q62</f>
        <v>4</v>
      </c>
      <c r="R69" s="207" t="e">
        <f>Q69/Q$64</f>
        <v>#N/A</v>
      </c>
      <c r="S69" s="149">
        <f>S62</f>
        <v>4</v>
      </c>
      <c r="T69" s="207" t="e">
        <f>S69/S$64</f>
        <v>#N/A</v>
      </c>
      <c r="U69" s="149">
        <f>U62</f>
        <v>4</v>
      </c>
      <c r="V69" s="207" t="e">
        <f>U69/U$64</f>
        <v>#N/A</v>
      </c>
      <c r="W69" s="149">
        <f>W62</f>
        <v>4</v>
      </c>
      <c r="X69" s="207" t="e">
        <f>W69/W$64</f>
        <v>#N/A</v>
      </c>
      <c r="Y69" s="149">
        <f>Y62</f>
        <v>4</v>
      </c>
      <c r="Z69" s="207" t="e">
        <f>Y69/Y$64</f>
        <v>#N/A</v>
      </c>
      <c r="AA69" s="149">
        <f>AA62</f>
        <v>4</v>
      </c>
      <c r="AB69" s="207" t="e">
        <f>AA69/AA$64</f>
        <v>#N/A</v>
      </c>
      <c r="AC69" s="149">
        <f>AC62</f>
        <v>4</v>
      </c>
      <c r="AD69" s="207" t="e">
        <f>AC69/AC$64</f>
        <v>#N/A</v>
      </c>
      <c r="AE69" s="149">
        <f>AE62</f>
        <v>4</v>
      </c>
      <c r="AF69" s="207" t="e">
        <f>AE69/AE$64</f>
        <v>#N/A</v>
      </c>
      <c r="AG69" s="149">
        <f>AG62</f>
        <v>4</v>
      </c>
      <c r="AH69" s="207" t="e">
        <f>AG69/AG$64</f>
        <v>#N/A</v>
      </c>
      <c r="AI69" s="149">
        <f>AI62</f>
        <v>4</v>
      </c>
      <c r="AJ69" s="207" t="e">
        <f>AI69/AI$64</f>
        <v>#N/A</v>
      </c>
      <c r="AK69" s="149">
        <f>AK62</f>
        <v>4</v>
      </c>
      <c r="AL69" s="207" t="e">
        <f>AK69/AK$64</f>
        <v>#N/A</v>
      </c>
      <c r="AM69" s="149">
        <f>AM62</f>
        <v>4</v>
      </c>
      <c r="AN69" s="207" t="e">
        <f>AM69/AM$64</f>
        <v>#N/A</v>
      </c>
    </row>
    <row r="70" spans="1:42" x14ac:dyDescent="0.2">
      <c r="A70" s="154"/>
      <c r="B70" s="172"/>
      <c r="C70" s="154"/>
      <c r="D70" s="227"/>
      <c r="E70" s="154"/>
      <c r="F70" s="154"/>
      <c r="G70" s="154"/>
      <c r="H70" s="154"/>
      <c r="I70" s="154"/>
      <c r="J70" s="154"/>
      <c r="K70" s="154"/>
      <c r="L70" s="154"/>
      <c r="M70" s="154"/>
      <c r="N70" s="154"/>
      <c r="O70" s="154"/>
      <c r="P70" s="154"/>
      <c r="Q70" s="228"/>
      <c r="R70" s="229"/>
      <c r="S70" s="154"/>
      <c r="T70" s="230"/>
      <c r="U70" s="154"/>
      <c r="V70" s="154"/>
      <c r="W70" s="154"/>
      <c r="X70" s="154"/>
      <c r="Y70" s="154"/>
      <c r="Z70" s="154"/>
      <c r="AA70" s="154"/>
      <c r="AB70" s="154"/>
      <c r="AC70" s="154"/>
      <c r="AD70" s="154"/>
      <c r="AE70" s="154"/>
      <c r="AF70" s="154"/>
      <c r="AG70" s="154"/>
      <c r="AH70" s="154"/>
      <c r="AI70" s="154"/>
      <c r="AJ70" s="154"/>
      <c r="AK70" s="154"/>
      <c r="AL70" s="154"/>
      <c r="AM70" s="154"/>
      <c r="AN70" s="154"/>
      <c r="AO70" s="154"/>
      <c r="AP70" s="154"/>
    </row>
    <row r="71" spans="1:42" ht="36" x14ac:dyDescent="0.2">
      <c r="A71" s="154"/>
      <c r="B71" s="1375" t="s">
        <v>1462</v>
      </c>
      <c r="C71" s="1568" t="s">
        <v>1463</v>
      </c>
      <c r="D71" s="1569"/>
      <c r="E71" s="149" t="e">
        <f>(VLOOKUP("Prix HT",$C$1:$N$64,E$1,0))-(VLOOKUP("Non margé",$D$1:$N$64,E$1,0))</f>
        <v>#N/A</v>
      </c>
      <c r="F71" s="207" t="e">
        <f>E71/VLOOKUP("Prix HT",$C$1:$N$64,E$1,0)</f>
        <v>#N/A</v>
      </c>
      <c r="G71" s="149" t="e">
        <f>(VLOOKUP("Prix HT",$C$1:$N$64,G$1,0))-(VLOOKUP("Non margé",$D$1:$N$64,G$1,0))</f>
        <v>#N/A</v>
      </c>
      <c r="H71" s="207" t="e">
        <f>G71/VLOOKUP("Prix HT",$C$1:$N$64,G$1,0)</f>
        <v>#N/A</v>
      </c>
      <c r="I71" s="149" t="e">
        <f>(VLOOKUP("Prix HT",$C$1:$N$64,I$1,0))-(VLOOKUP("Non margé",$D$1:$N$64,I$1,0))</f>
        <v>#N/A</v>
      </c>
      <c r="J71" s="207" t="e">
        <f>I71/VLOOKUP("Prix HT",$C$1:$N$64,I$1,0)</f>
        <v>#N/A</v>
      </c>
      <c r="K71" s="149" t="e">
        <f>(VLOOKUP("Prix HT",$C$1:$N$64,K$1,0))-(VLOOKUP("Non margé",$D$1:$N$64,K$1,0))</f>
        <v>#N/A</v>
      </c>
      <c r="L71" s="207" t="e">
        <f>K71/VLOOKUP("Prix HT",$C$1:$N$64,K$1,0)</f>
        <v>#N/A</v>
      </c>
      <c r="M71" s="149" t="e">
        <f>(VLOOKUP("Prix HT",$C$1:$N$64,M$1,0))-(VLOOKUP("Non margé",$D$1:$N$64,M$1,0))</f>
        <v>#N/A</v>
      </c>
      <c r="N71" s="207" t="e">
        <f>M71/VLOOKUP("Prix HT",$C$1:$N$64,M$1,0)</f>
        <v>#N/A</v>
      </c>
      <c r="O71" s="149" t="e">
        <f>(VLOOKUP("Prix HT",$C$1:$AN$64,O$1,0))-(VLOOKUP("Non margé",$D$1:$AN$64,O$1,0))</f>
        <v>#N/A</v>
      </c>
      <c r="P71" s="207" t="e">
        <f>O71/VLOOKUP("Prix HT",$C$1:$AN$64,O$1,0)</f>
        <v>#N/A</v>
      </c>
      <c r="Q71" s="149" t="e">
        <f>(VLOOKUP("Prix HT",$C$1:$AN$64,Q$1,0))-(VLOOKUP("Non margé",$D$1:$AN$64,Q$1,0))</f>
        <v>#N/A</v>
      </c>
      <c r="R71" s="207" t="e">
        <f>Q71/VLOOKUP("Prix HT",$C$1:$AN$64,Q$1,0)</f>
        <v>#N/A</v>
      </c>
      <c r="S71" s="149" t="e">
        <f>(VLOOKUP("Prix HT",$C$1:$AN$64,S$1,0))-(VLOOKUP("Non margé",$D$1:$AN$64,S$1,0))</f>
        <v>#N/A</v>
      </c>
      <c r="T71" s="207" t="e">
        <f>S71/VLOOKUP("Prix HT",$C$1:$AN$64,S$1,0)</f>
        <v>#N/A</v>
      </c>
      <c r="U71" s="149" t="e">
        <f>(VLOOKUP("Prix HT",$C$1:$AN$64,U$1,0))-(VLOOKUP("Non margé",$D$1:$AN$64,U$1,0))</f>
        <v>#N/A</v>
      </c>
      <c r="V71" s="207" t="e">
        <f>U71/VLOOKUP("Prix HT",$C$1:$AN$64,U$1,0)</f>
        <v>#N/A</v>
      </c>
      <c r="W71" s="149" t="e">
        <f>(VLOOKUP("Prix HT",$C$1:$AN$64,W$1,0))-(VLOOKUP("Non margé",$D$1:$AN$64,W$1,0))</f>
        <v>#N/A</v>
      </c>
      <c r="X71" s="207" t="e">
        <f>W71/VLOOKUP("Prix HT",$C$1:$AN$64,W$1,0)</f>
        <v>#N/A</v>
      </c>
      <c r="Y71" s="149" t="e">
        <f>(VLOOKUP("Prix HT",$C$1:$AN$64,Y$1,0))-(VLOOKUP("Non margé",$D$1:$AN$64,Y$1,0))</f>
        <v>#N/A</v>
      </c>
      <c r="Z71" s="207" t="e">
        <f>Y71/VLOOKUP("Prix HT",$C$1:$AN$64,Y$1,0)</f>
        <v>#N/A</v>
      </c>
      <c r="AA71" s="149" t="e">
        <f>(VLOOKUP("Prix HT",$C$1:$AN$64,AA$1,0))-(VLOOKUP("Non margé",$D$1:$AN$64,AA$1,0))</f>
        <v>#N/A</v>
      </c>
      <c r="AB71" s="207" t="e">
        <f>AA71/VLOOKUP("Prix HT",$C$1:$AN$64,AA$1,0)</f>
        <v>#N/A</v>
      </c>
      <c r="AC71" s="149" t="e">
        <f>(VLOOKUP("Prix HT",$C$1:$AN$64,AC$1,0))-(VLOOKUP("Non margé",$D$1:$AN$64,AC$1,0))</f>
        <v>#N/A</v>
      </c>
      <c r="AD71" s="207" t="e">
        <f>AC71/VLOOKUP("Prix HT",$C$1:$AN$64,AC$1,0)</f>
        <v>#N/A</v>
      </c>
      <c r="AE71" s="149" t="e">
        <f>(VLOOKUP("Prix HT",$C$1:$AN$64,AE$1,0))-(VLOOKUP("Non margé",$D$1:$AN$64,AE$1,0))</f>
        <v>#N/A</v>
      </c>
      <c r="AF71" s="207" t="e">
        <f>AE71/VLOOKUP("Prix HT",$C$1:$AN$64,AE$1,0)</f>
        <v>#N/A</v>
      </c>
      <c r="AG71" s="149" t="e">
        <f>(VLOOKUP("Prix HT",$C$1:$AN$64,AG$1,0))-(VLOOKUP("Non margé",$D$1:$AN$64,AG$1,0))</f>
        <v>#N/A</v>
      </c>
      <c r="AH71" s="207" t="e">
        <f>AG71/VLOOKUP("Prix HT",$C$1:$AN$64,AG$1,0)</f>
        <v>#N/A</v>
      </c>
      <c r="AI71" s="149" t="e">
        <f>(VLOOKUP("Prix HT",$C$1:$AN$64,AI$1,0))-(VLOOKUP("Non margé",$D$1:$AN$64,AI$1,0))</f>
        <v>#N/A</v>
      </c>
      <c r="AJ71" s="207" t="e">
        <f>AI71/VLOOKUP("Prix HT",$C$1:$AN$64,AI$1,0)</f>
        <v>#N/A</v>
      </c>
      <c r="AK71" s="149" t="e">
        <f>(VLOOKUP("Prix HT",$C$1:$AN$64,AK$1,0))-(VLOOKUP("Non margé",$D$1:$AN$64,AK$1,0))</f>
        <v>#N/A</v>
      </c>
      <c r="AL71" s="207" t="e">
        <f>AK71/VLOOKUP("Prix HT",$C$1:$AN$64,AK$1,0)</f>
        <v>#N/A</v>
      </c>
      <c r="AM71" s="149" t="e">
        <f>(VLOOKUP("Prix HT",$C$1:$AN$64,AM$1,0))-(VLOOKUP("Non margé",$D$1:$AN$64,AM$1,0))</f>
        <v>#N/A</v>
      </c>
      <c r="AN71" s="207" t="e">
        <f>AM71/VLOOKUP("Prix HT",$C$1:$AN$64,AM$1,0)</f>
        <v>#N/A</v>
      </c>
      <c r="AO71" s="154"/>
      <c r="AP71" s="154"/>
    </row>
  </sheetData>
  <mergeCells count="42">
    <mergeCell ref="C71:D71"/>
    <mergeCell ref="AE2:AF2"/>
    <mergeCell ref="B2:B3"/>
    <mergeCell ref="C2:C3"/>
    <mergeCell ref="E2:F2"/>
    <mergeCell ref="G2:H2"/>
    <mergeCell ref="I2:J2"/>
    <mergeCell ref="K2:L2"/>
    <mergeCell ref="M2:N2"/>
    <mergeCell ref="O2:P2"/>
    <mergeCell ref="Q2:R2"/>
    <mergeCell ref="S2:T2"/>
    <mergeCell ref="U2:V2"/>
    <mergeCell ref="C69:D69"/>
    <mergeCell ref="E64:F64"/>
    <mergeCell ref="G64:H64"/>
    <mergeCell ref="A4:A25"/>
    <mergeCell ref="A27:A38"/>
    <mergeCell ref="A39:A50"/>
    <mergeCell ref="A51:A62"/>
    <mergeCell ref="B64:B69"/>
    <mergeCell ref="AM64:AN64"/>
    <mergeCell ref="Q64:R64"/>
    <mergeCell ref="S64:T64"/>
    <mergeCell ref="U64:V64"/>
    <mergeCell ref="W64:X64"/>
    <mergeCell ref="Y64:Z64"/>
    <mergeCell ref="AA64:AB64"/>
    <mergeCell ref="AC64:AD64"/>
    <mergeCell ref="AE64:AF64"/>
    <mergeCell ref="AG64:AH64"/>
    <mergeCell ref="AI64:AJ64"/>
    <mergeCell ref="K64:L64"/>
    <mergeCell ref="M64:N64"/>
    <mergeCell ref="O64:P64"/>
    <mergeCell ref="C64:D64"/>
    <mergeCell ref="AK64:AL64"/>
    <mergeCell ref="C65:D65"/>
    <mergeCell ref="C66:D66"/>
    <mergeCell ref="C67:D67"/>
    <mergeCell ref="C68:D68"/>
    <mergeCell ref="I64:J64"/>
  </mergeCells>
  <dataValidations count="8">
    <dataValidation type="list" allowBlank="1" showInputMessage="1" showErrorMessage="1" promptTitle="MINIPELLE" prompt="choisir catégorie" sqref="B51:B61" xr:uid="{00000000-0002-0000-2000-000000000000}">
      <formula1>CATEGORIE_MP</formula1>
    </dataValidation>
    <dataValidation type="list" allowBlank="1" showInputMessage="1" promptTitle="MINIPELLE" prompt="choisir la prestation" sqref="C51:C61" xr:uid="{00000000-0002-0000-2000-000001000000}">
      <formula1>INDIRECT(B51)</formula1>
    </dataValidation>
    <dataValidation type="list" allowBlank="1" showInputMessage="1" showErrorMessage="1" promptTitle="Catégorie MOC" prompt="choisir" sqref="B39:B48" xr:uid="{00000000-0002-0000-2000-000002000000}">
      <formula1>CATEGORIE_MOC</formula1>
    </dataValidation>
    <dataValidation type="list" allowBlank="1" showInputMessage="1" promptTitle="Main d'oeuvre CHANTIER" prompt="choisir la prestation" sqref="C39:C49" xr:uid="{00000000-0002-0000-2000-000003000000}">
      <formula1>INDIRECT(B39)</formula1>
    </dataValidation>
    <dataValidation type="list" allowBlank="1" showInputMessage="1" showErrorMessage="1" promptTitle="MO ATELIER" prompt="choisir catégorie" sqref="B27" xr:uid="{00000000-0002-0000-2000-000004000000}">
      <formula1>CATEGORIE_MOA</formula1>
    </dataValidation>
    <dataValidation type="list" allowBlank="1" showInputMessage="1" showErrorMessage="1" promptTitle="Main d'oeuvre ATELIER" prompt="choisir la prestation" sqref="C27" xr:uid="{00000000-0002-0000-2000-000005000000}">
      <formula1>INDIRECT(B27)</formula1>
    </dataValidation>
    <dataValidation type="list" allowBlank="1" showInputMessage="1" showErrorMessage="1" promptTitle="MATIERES" prompt="choisir catégorie" sqref="B4:B25" xr:uid="{00000000-0002-0000-2000-000006000000}">
      <formula1>MOA_ALIM</formula1>
    </dataValidation>
    <dataValidation type="list" allowBlank="1" showInputMessage="1" showErrorMessage="1" promptTitle="MATIERES" prompt="choisir le produit" sqref="C4:C25" xr:uid="{00000000-0002-0000-2000-000007000000}">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ErrorMessage="1" xr:uid="{00000000-0002-0000-2000-000008000000}">
          <x14:formula1>
            <xm:f>ATELIER!$B$2:$B$109</xm:f>
          </x14:formula1>
          <xm:sqref>C28:C37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published="0" codeName="Feuil34"/>
  <dimension ref="A1:AP72"/>
  <sheetViews>
    <sheetView workbookViewId="0">
      <selection activeCell="A72" sqref="A72:XFD76"/>
    </sheetView>
  </sheetViews>
  <sheetFormatPr baseColWidth="10" defaultRowHeight="18" x14ac:dyDescent="0.2"/>
  <cols>
    <col min="1" max="1" width="18.125" style="210" customWidth="1"/>
    <col min="2" max="2" width="22.5" style="233"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40" width="10" style="135" customWidth="1"/>
    <col min="41" max="42" width="11.5" style="135" customWidth="1"/>
    <col min="43" max="810" width="11.5" customWidth="1"/>
  </cols>
  <sheetData>
    <row r="1" spans="1:42"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s="535" t="s">
        <v>467</v>
      </c>
      <c r="AO1" s="535"/>
      <c r="AP1" s="535"/>
    </row>
    <row r="2" spans="1:42" ht="35.1" customHeight="1" x14ac:dyDescent="0.2">
      <c r="A2" s="174"/>
      <c r="B2" s="1572" t="s">
        <v>968</v>
      </c>
      <c r="C2" s="1574" t="s">
        <v>468</v>
      </c>
      <c r="D2" s="115" t="s">
        <v>203</v>
      </c>
      <c r="E2" s="1571">
        <v>2</v>
      </c>
      <c r="F2" s="1571"/>
      <c r="G2" s="1571">
        <v>3</v>
      </c>
      <c r="H2" s="1571"/>
      <c r="I2" s="1571">
        <v>4</v>
      </c>
      <c r="J2" s="1571"/>
      <c r="K2" s="1571">
        <v>5</v>
      </c>
      <c r="L2" s="1571"/>
      <c r="M2" s="1571">
        <v>6</v>
      </c>
      <c r="N2" s="1571"/>
      <c r="O2" s="1571">
        <v>7</v>
      </c>
      <c r="P2" s="1571"/>
      <c r="Q2" s="1571">
        <v>8</v>
      </c>
      <c r="R2" s="1571"/>
      <c r="S2" s="1571">
        <v>9</v>
      </c>
      <c r="T2" s="1571"/>
      <c r="U2" s="1571">
        <v>10</v>
      </c>
      <c r="V2" s="1571"/>
      <c r="W2" s="218">
        <v>12</v>
      </c>
      <c r="X2" s="213" t="s">
        <v>469</v>
      </c>
      <c r="Y2" s="213">
        <v>12</v>
      </c>
      <c r="Z2" s="214" t="s">
        <v>470</v>
      </c>
      <c r="AA2" s="218">
        <v>14</v>
      </c>
      <c r="AB2" s="213" t="s">
        <v>471</v>
      </c>
      <c r="AC2" s="218">
        <v>14</v>
      </c>
      <c r="AD2" s="213" t="s">
        <v>472</v>
      </c>
      <c r="AE2" s="1571">
        <v>16</v>
      </c>
      <c r="AF2" s="1571"/>
      <c r="AG2" s="218">
        <v>18</v>
      </c>
      <c r="AH2" s="213" t="s">
        <v>473</v>
      </c>
      <c r="AI2" s="218">
        <v>18</v>
      </c>
      <c r="AJ2" s="213" t="s">
        <v>474</v>
      </c>
      <c r="AK2" s="218">
        <v>20</v>
      </c>
      <c r="AL2" s="213" t="s">
        <v>475</v>
      </c>
      <c r="AM2" s="218">
        <v>20</v>
      </c>
      <c r="AN2" s="213" t="s">
        <v>476</v>
      </c>
      <c r="AO2" s="178"/>
      <c r="AP2" s="178"/>
    </row>
    <row r="3" spans="1:42" ht="35.1" customHeight="1" x14ac:dyDescent="0.2">
      <c r="A3" s="174"/>
      <c r="B3" s="1573"/>
      <c r="C3" s="1574"/>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303" t="s">
        <v>477</v>
      </c>
      <c r="AO3" s="178"/>
      <c r="AP3" s="178"/>
    </row>
    <row r="4" spans="1:42" ht="15" customHeight="1" x14ac:dyDescent="0.2">
      <c r="A4" s="1549" t="s">
        <v>1078</v>
      </c>
      <c r="B4" s="361" t="s">
        <v>1065</v>
      </c>
      <c r="C4" s="362"/>
      <c r="D4" s="363" t="str">
        <f>IF($C4="","",VLOOKUP($C4,MATIERES!$A$2:$F$227,5,0))</f>
        <v/>
      </c>
      <c r="E4" s="364">
        <v>1</v>
      </c>
      <c r="F4" s="365" t="str">
        <f>IF($C4="","",E4*VLOOKUP($C4,MATIERES!$A$2:$F$349,4,0))</f>
        <v/>
      </c>
      <c r="G4" s="364">
        <v>2</v>
      </c>
      <c r="H4" s="365" t="str">
        <f>IF($C4="","",G4*VLOOKUP($C4,MATIERES!$A$2:$F$349,4,0))</f>
        <v/>
      </c>
      <c r="I4" s="364">
        <v>3</v>
      </c>
      <c r="J4" s="365" t="str">
        <f>IF($C4="","",I4*VLOOKUP($C4,MATIERES!$A$2:$F$349,4,0))</f>
        <v/>
      </c>
      <c r="K4" s="364">
        <v>4</v>
      </c>
      <c r="L4" s="365" t="str">
        <f>IF($C4="","",K4*VLOOKUP($C4,MATIERES!$A$2:$F$349,4,0))</f>
        <v/>
      </c>
      <c r="M4" s="364">
        <v>5</v>
      </c>
      <c r="N4" s="365" t="str">
        <f>IF($C4="","",M4*VLOOKUP($C4,MATIERES!$A$2:$F$349,4,0))</f>
        <v/>
      </c>
      <c r="O4" s="364">
        <v>6</v>
      </c>
      <c r="P4" s="365" t="str">
        <f>IF($C4="","",O4*VLOOKUP($C4,MATIERES!$A$2:$F$349,4,0))</f>
        <v/>
      </c>
      <c r="Q4" s="364">
        <v>7</v>
      </c>
      <c r="R4" s="365" t="str">
        <f>IF($C4="","",Q4*VLOOKUP($C4,MATIERES!$A$2:$F$349,4,0))</f>
        <v/>
      </c>
      <c r="S4" s="364">
        <v>8</v>
      </c>
      <c r="T4" s="365" t="str">
        <f>IF($C4="","",S4*VLOOKUP($C4,MATIERES!$A$2:$F$349,4,0))</f>
        <v/>
      </c>
      <c r="U4" s="364">
        <v>9</v>
      </c>
      <c r="V4" s="365" t="str">
        <f>IF($C4="","",U4*VLOOKUP($C4,MATIERES!$A$2:$F$349,4,0))</f>
        <v/>
      </c>
      <c r="W4" s="364">
        <v>10</v>
      </c>
      <c r="X4" s="365" t="str">
        <f>IF($C4="","",W4*VLOOKUP($C4,MATIERES!$A$2:$F$349,4,0))</f>
        <v/>
      </c>
      <c r="Y4" s="364">
        <v>11</v>
      </c>
      <c r="Z4" s="365" t="str">
        <f>IF($C4="","",Y4*VLOOKUP($C4,MATIERES!$A$2:$F$349,4,0))</f>
        <v/>
      </c>
      <c r="AA4" s="364">
        <v>12</v>
      </c>
      <c r="AB4" s="365" t="str">
        <f>IF($C4="","",AA4*VLOOKUP($C4,MATIERES!$A$2:$F$349,4,0))</f>
        <v/>
      </c>
      <c r="AC4" s="364">
        <v>13</v>
      </c>
      <c r="AD4" s="365" t="str">
        <f>IF($C4="","",AC4*VLOOKUP($C4,MATIERES!$A$2:$F$349,4,0))</f>
        <v/>
      </c>
      <c r="AE4" s="364">
        <v>14</v>
      </c>
      <c r="AF4" s="365" t="str">
        <f>IF($C4="","",AE4*VLOOKUP($C4,MATIERES!$A$2:$F$349,4,0))</f>
        <v/>
      </c>
      <c r="AG4" s="364">
        <v>15</v>
      </c>
      <c r="AH4" s="365" t="str">
        <f>IF($C4="","",AG4*VLOOKUP($C4,MATIERES!$A$2:$F$349,4,0))</f>
        <v/>
      </c>
      <c r="AI4" s="364">
        <v>16</v>
      </c>
      <c r="AJ4" s="365" t="str">
        <f>IF($C4="","",AI4*VLOOKUP($C4,MATIERES!$A$2:$F$349,4,0))</f>
        <v/>
      </c>
      <c r="AK4" s="364">
        <v>17</v>
      </c>
      <c r="AL4" s="365" t="str">
        <f>IF($C4="","",AK4*VLOOKUP($C4,MATIERES!$A$2:$F$349,4,0))</f>
        <v/>
      </c>
      <c r="AM4" s="364">
        <v>18</v>
      </c>
      <c r="AN4" s="365" t="str">
        <f>IF($C4="","",AM4*VLOOKUP($C4,MATIERES!$A$2:$F$349,4,0))</f>
        <v/>
      </c>
    </row>
    <row r="5" spans="1:42" ht="15" customHeight="1" x14ac:dyDescent="0.2">
      <c r="A5" s="1550"/>
      <c r="B5" s="361"/>
      <c r="C5" s="362"/>
      <c r="D5" s="363" t="str">
        <f>IF($C5="","",VLOOKUP($C5,MATIERES!$A$2:$F$227,5,0))</f>
        <v/>
      </c>
      <c r="E5" s="364">
        <v>2</v>
      </c>
      <c r="F5" s="365" t="str">
        <f>IF($C5="","",E5*VLOOKUP($C5,MATIERES!$A$2:$F$349,4,0))</f>
        <v/>
      </c>
      <c r="G5" s="364">
        <v>3</v>
      </c>
      <c r="H5" s="365" t="str">
        <f>IF($C5="","",G5*VLOOKUP($C5,MATIERES!$A$2:$F$349,4,0))</f>
        <v/>
      </c>
      <c r="I5" s="364">
        <v>4</v>
      </c>
      <c r="J5" s="365" t="str">
        <f>IF($C5="","",I5*VLOOKUP($C5,MATIERES!$A$2:$F$349,4,0))</f>
        <v/>
      </c>
      <c r="K5" s="364">
        <v>5</v>
      </c>
      <c r="L5" s="365" t="str">
        <f>IF($C5="","",K5*VLOOKUP($C5,MATIERES!$A$2:$F$349,4,0))</f>
        <v/>
      </c>
      <c r="M5" s="364">
        <v>6</v>
      </c>
      <c r="N5" s="365" t="str">
        <f>IF($C5="","",M5*VLOOKUP($C5,MATIERES!$A$2:$F$349,4,0))</f>
        <v/>
      </c>
      <c r="O5" s="364">
        <v>7</v>
      </c>
      <c r="P5" s="365" t="str">
        <f>IF($C5="","",O5*VLOOKUP($C5,MATIERES!$A$2:$F$349,4,0))</f>
        <v/>
      </c>
      <c r="Q5" s="364">
        <v>8</v>
      </c>
      <c r="R5" s="365" t="str">
        <f>IF($C5="","",Q5*VLOOKUP($C5,MATIERES!$A$2:$F$349,4,0))</f>
        <v/>
      </c>
      <c r="S5" s="364">
        <v>9</v>
      </c>
      <c r="T5" s="365" t="str">
        <f>IF($C5="","",S5*VLOOKUP($C5,MATIERES!$A$2:$F$349,4,0))</f>
        <v/>
      </c>
      <c r="U5" s="364">
        <v>10</v>
      </c>
      <c r="V5" s="365" t="str">
        <f>IF($C5="","",U5*VLOOKUP($C5,MATIERES!$A$2:$F$349,4,0))</f>
        <v/>
      </c>
      <c r="W5" s="364">
        <v>11</v>
      </c>
      <c r="X5" s="365" t="str">
        <f>IF($C5="","",W5*VLOOKUP($C5,MATIERES!$A$2:$F$349,4,0))</f>
        <v/>
      </c>
      <c r="Y5" s="364">
        <v>12</v>
      </c>
      <c r="Z5" s="365" t="str">
        <f>IF($C5="","",Y5*VLOOKUP($C5,MATIERES!$A$2:$F$349,4,0))</f>
        <v/>
      </c>
      <c r="AA5" s="364">
        <v>13</v>
      </c>
      <c r="AB5" s="365" t="str">
        <f>IF($C5="","",AA5*VLOOKUP($C5,MATIERES!$A$2:$F$349,4,0))</f>
        <v/>
      </c>
      <c r="AC5" s="364">
        <v>14</v>
      </c>
      <c r="AD5" s="365" t="str">
        <f>IF($C5="","",AC5*VLOOKUP($C5,MATIERES!$A$2:$F$349,4,0))</f>
        <v/>
      </c>
      <c r="AE5" s="364">
        <v>15</v>
      </c>
      <c r="AF5" s="365" t="str">
        <f>IF($C5="","",AE5*VLOOKUP($C5,MATIERES!$A$2:$F$349,4,0))</f>
        <v/>
      </c>
      <c r="AG5" s="364">
        <v>16</v>
      </c>
      <c r="AH5" s="365" t="str">
        <f>IF($C5="","",AG5*VLOOKUP($C5,MATIERES!$A$2:$F$349,4,0))</f>
        <v/>
      </c>
      <c r="AI5" s="364">
        <v>17</v>
      </c>
      <c r="AJ5" s="365" t="str">
        <f>IF($C5="","",AI5*VLOOKUP($C5,MATIERES!$A$2:$F$349,4,0))</f>
        <v/>
      </c>
      <c r="AK5" s="364">
        <v>18</v>
      </c>
      <c r="AL5" s="365" t="str">
        <f>IF($C5="","",AK5*VLOOKUP($C5,MATIERES!$A$2:$F$349,4,0))</f>
        <v/>
      </c>
      <c r="AM5" s="364">
        <v>19</v>
      </c>
      <c r="AN5" s="365" t="str">
        <f>IF($C5="","",AM5*VLOOKUP($C5,MATIERES!$A$2:$F$349,4,0))</f>
        <v/>
      </c>
    </row>
    <row r="6" spans="1:42" ht="15" customHeight="1" x14ac:dyDescent="0.2">
      <c r="A6" s="1550"/>
      <c r="B6" s="361"/>
      <c r="C6" s="362"/>
      <c r="D6" s="363" t="str">
        <f>IF($C6="","",VLOOKUP($C6,MATIERES!$A$2:$F$227,5,0))</f>
        <v/>
      </c>
      <c r="E6" s="364">
        <v>3</v>
      </c>
      <c r="F6" s="365" t="str">
        <f>IF($C6="","",E6*VLOOKUP($C6,MATIERES!$A$2:$F$349,4,0))</f>
        <v/>
      </c>
      <c r="G6" s="364">
        <v>4</v>
      </c>
      <c r="H6" s="365" t="str">
        <f>IF($C6="","",G6*VLOOKUP($C6,MATIERES!$A$2:$F$349,4,0))</f>
        <v/>
      </c>
      <c r="I6" s="364">
        <v>5</v>
      </c>
      <c r="J6" s="365" t="str">
        <f>IF($C6="","",I6*VLOOKUP($C6,MATIERES!$A$2:$F$349,4,0))</f>
        <v/>
      </c>
      <c r="K6" s="364">
        <v>6</v>
      </c>
      <c r="L6" s="365" t="str">
        <f>IF($C6="","",K6*VLOOKUP($C6,MATIERES!$A$2:$F$349,4,0))</f>
        <v/>
      </c>
      <c r="M6" s="364">
        <v>7</v>
      </c>
      <c r="N6" s="365" t="str">
        <f>IF($C6="","",M6*VLOOKUP($C6,MATIERES!$A$2:$F$349,4,0))</f>
        <v/>
      </c>
      <c r="O6" s="364">
        <v>8</v>
      </c>
      <c r="P6" s="365" t="str">
        <f>IF($C6="","",O6*VLOOKUP($C6,MATIERES!$A$2:$F$349,4,0))</f>
        <v/>
      </c>
      <c r="Q6" s="364">
        <v>9</v>
      </c>
      <c r="R6" s="365" t="str">
        <f>IF($C6="","",Q6*VLOOKUP($C6,MATIERES!$A$2:$F$349,4,0))</f>
        <v/>
      </c>
      <c r="S6" s="364">
        <v>10</v>
      </c>
      <c r="T6" s="365" t="str">
        <f>IF($C6="","",S6*VLOOKUP($C6,MATIERES!$A$2:$F$349,4,0))</f>
        <v/>
      </c>
      <c r="U6" s="364">
        <v>11</v>
      </c>
      <c r="V6" s="365" t="str">
        <f>IF($C6="","",U6*VLOOKUP($C6,MATIERES!$A$2:$F$349,4,0))</f>
        <v/>
      </c>
      <c r="W6" s="364">
        <v>12</v>
      </c>
      <c r="X6" s="365" t="str">
        <f>IF($C6="","",W6*VLOOKUP($C6,MATIERES!$A$2:$F$349,4,0))</f>
        <v/>
      </c>
      <c r="Y6" s="364">
        <v>13</v>
      </c>
      <c r="Z6" s="365" t="str">
        <f>IF($C6="","",Y6*VLOOKUP($C6,MATIERES!$A$2:$F$349,4,0))</f>
        <v/>
      </c>
      <c r="AA6" s="364">
        <v>14</v>
      </c>
      <c r="AB6" s="365" t="str">
        <f>IF($C6="","",AA6*VLOOKUP($C6,MATIERES!$A$2:$F$349,4,0))</f>
        <v/>
      </c>
      <c r="AC6" s="364">
        <v>15</v>
      </c>
      <c r="AD6" s="365" t="str">
        <f>IF($C6="","",AC6*VLOOKUP($C6,MATIERES!$A$2:$F$349,4,0))</f>
        <v/>
      </c>
      <c r="AE6" s="364">
        <v>16</v>
      </c>
      <c r="AF6" s="365" t="str">
        <f>IF($C6="","",AE6*VLOOKUP($C6,MATIERES!$A$2:$F$349,4,0))</f>
        <v/>
      </c>
      <c r="AG6" s="364">
        <v>17</v>
      </c>
      <c r="AH6" s="365" t="str">
        <f>IF($C6="","",AG6*VLOOKUP($C6,MATIERES!$A$2:$F$349,4,0))</f>
        <v/>
      </c>
      <c r="AI6" s="364">
        <v>18</v>
      </c>
      <c r="AJ6" s="365" t="str">
        <f>IF($C6="","",AI6*VLOOKUP($C6,MATIERES!$A$2:$F$349,4,0))</f>
        <v/>
      </c>
      <c r="AK6" s="364">
        <v>19</v>
      </c>
      <c r="AL6" s="365" t="str">
        <f>IF($C6="","",AK6*VLOOKUP($C6,MATIERES!$A$2:$F$349,4,0))</f>
        <v/>
      </c>
      <c r="AM6" s="364">
        <v>20</v>
      </c>
      <c r="AN6" s="365" t="str">
        <f>IF($C6="","",AM6*VLOOKUP($C6,MATIERES!$A$2:$F$349,4,0))</f>
        <v/>
      </c>
    </row>
    <row r="7" spans="1:42" ht="15" customHeight="1" x14ac:dyDescent="0.2">
      <c r="A7" s="1550"/>
      <c r="B7" s="361"/>
      <c r="C7" s="362"/>
      <c r="D7" s="363" t="str">
        <f>IF($C7="","",VLOOKUP($C7,MATIERES!$A$2:$F$227,5,0))</f>
        <v/>
      </c>
      <c r="E7" s="364">
        <v>4</v>
      </c>
      <c r="F7" s="365" t="str">
        <f>IF($C7="","",E7*VLOOKUP($C7,MATIERES!$A$2:$F$349,4,0))</f>
        <v/>
      </c>
      <c r="G7" s="364">
        <v>5</v>
      </c>
      <c r="H7" s="365" t="str">
        <f>IF($C7="","",G7*VLOOKUP($C7,MATIERES!$A$2:$F$349,4,0))</f>
        <v/>
      </c>
      <c r="I7" s="364">
        <v>6</v>
      </c>
      <c r="J7" s="365" t="str">
        <f>IF($C7="","",I7*VLOOKUP($C7,MATIERES!$A$2:$F$349,4,0))</f>
        <v/>
      </c>
      <c r="K7" s="364">
        <v>7</v>
      </c>
      <c r="L7" s="365" t="str">
        <f>IF($C7="","",K7*VLOOKUP($C7,MATIERES!$A$2:$F$349,4,0))</f>
        <v/>
      </c>
      <c r="M7" s="364">
        <v>8</v>
      </c>
      <c r="N7" s="365" t="str">
        <f>IF($C7="","",M7*VLOOKUP($C7,MATIERES!$A$2:$F$349,4,0))</f>
        <v/>
      </c>
      <c r="O7" s="364">
        <v>9</v>
      </c>
      <c r="P7" s="365" t="str">
        <f>IF($C7="","",O7*VLOOKUP($C7,MATIERES!$A$2:$F$349,4,0))</f>
        <v/>
      </c>
      <c r="Q7" s="364">
        <v>10</v>
      </c>
      <c r="R7" s="365" t="str">
        <f>IF($C7="","",Q7*VLOOKUP($C7,MATIERES!$A$2:$F$349,4,0))</f>
        <v/>
      </c>
      <c r="S7" s="364">
        <v>11</v>
      </c>
      <c r="T7" s="365" t="str">
        <f>IF($C7="","",S7*VLOOKUP($C7,MATIERES!$A$2:$F$349,4,0))</f>
        <v/>
      </c>
      <c r="U7" s="364">
        <v>12</v>
      </c>
      <c r="V7" s="365" t="str">
        <f>IF($C7="","",U7*VLOOKUP($C7,MATIERES!$A$2:$F$349,4,0))</f>
        <v/>
      </c>
      <c r="W7" s="364">
        <v>13</v>
      </c>
      <c r="X7" s="365" t="str">
        <f>IF($C7="","",W7*VLOOKUP($C7,MATIERES!$A$2:$F$349,4,0))</f>
        <v/>
      </c>
      <c r="Y7" s="364">
        <v>14</v>
      </c>
      <c r="Z7" s="365" t="str">
        <f>IF($C7="","",Y7*VLOOKUP($C7,MATIERES!$A$2:$F$349,4,0))</f>
        <v/>
      </c>
      <c r="AA7" s="364">
        <v>15</v>
      </c>
      <c r="AB7" s="365" t="str">
        <f>IF($C7="","",AA7*VLOOKUP($C7,MATIERES!$A$2:$F$349,4,0))</f>
        <v/>
      </c>
      <c r="AC7" s="364">
        <v>16</v>
      </c>
      <c r="AD7" s="365" t="str">
        <f>IF($C7="","",AC7*VLOOKUP($C7,MATIERES!$A$2:$F$349,4,0))</f>
        <v/>
      </c>
      <c r="AE7" s="364">
        <v>17</v>
      </c>
      <c r="AF7" s="365" t="str">
        <f>IF($C7="","",AE7*VLOOKUP($C7,MATIERES!$A$2:$F$349,4,0))</f>
        <v/>
      </c>
      <c r="AG7" s="364">
        <v>18</v>
      </c>
      <c r="AH7" s="365" t="str">
        <f>IF($C7="","",AG7*VLOOKUP($C7,MATIERES!$A$2:$F$349,4,0))</f>
        <v/>
      </c>
      <c r="AI7" s="364">
        <v>19</v>
      </c>
      <c r="AJ7" s="365" t="str">
        <f>IF($C7="","",AI7*VLOOKUP($C7,MATIERES!$A$2:$F$349,4,0))</f>
        <v/>
      </c>
      <c r="AK7" s="364">
        <v>20</v>
      </c>
      <c r="AL7" s="365" t="str">
        <f>IF($C7="","",AK7*VLOOKUP($C7,MATIERES!$A$2:$F$349,4,0))</f>
        <v/>
      </c>
      <c r="AM7" s="364">
        <v>21</v>
      </c>
      <c r="AN7" s="365" t="str">
        <f>IF($C7="","",AM7*VLOOKUP($C7,MATIERES!$A$2:$F$349,4,0))</f>
        <v/>
      </c>
    </row>
    <row r="8" spans="1:42" ht="15" customHeight="1" x14ac:dyDescent="0.2">
      <c r="A8" s="1550"/>
      <c r="B8" s="361"/>
      <c r="C8" s="362"/>
      <c r="D8" s="363" t="str">
        <f>IF($C8="","",VLOOKUP($C8,MATIERES!$A$2:$F$227,5,0))</f>
        <v/>
      </c>
      <c r="E8" s="364">
        <v>5</v>
      </c>
      <c r="F8" s="365" t="str">
        <f>IF($C8="","",E8*VLOOKUP($C8,MATIERES!$A$2:$F$349,4,0))</f>
        <v/>
      </c>
      <c r="G8" s="364">
        <v>6</v>
      </c>
      <c r="H8" s="365" t="str">
        <f>IF($C8="","",G8*VLOOKUP($C8,MATIERES!$A$2:$F$349,4,0))</f>
        <v/>
      </c>
      <c r="I8" s="364">
        <v>7</v>
      </c>
      <c r="J8" s="365" t="str">
        <f>IF($C8="","",I8*VLOOKUP($C8,MATIERES!$A$2:$F$349,4,0))</f>
        <v/>
      </c>
      <c r="K8" s="364">
        <v>8</v>
      </c>
      <c r="L8" s="365" t="str">
        <f>IF($C8="","",K8*VLOOKUP($C8,MATIERES!$A$2:$F$349,4,0))</f>
        <v/>
      </c>
      <c r="M8" s="364">
        <v>9</v>
      </c>
      <c r="N8" s="365" t="str">
        <f>IF($C8="","",M8*VLOOKUP($C8,MATIERES!$A$2:$F$349,4,0))</f>
        <v/>
      </c>
      <c r="O8" s="364">
        <v>10</v>
      </c>
      <c r="P8" s="365" t="str">
        <f>IF($C8="","",O8*VLOOKUP($C8,MATIERES!$A$2:$F$349,4,0))</f>
        <v/>
      </c>
      <c r="Q8" s="364">
        <v>11</v>
      </c>
      <c r="R8" s="365" t="str">
        <f>IF($C8="","",Q8*VLOOKUP($C8,MATIERES!$A$2:$F$349,4,0))</f>
        <v/>
      </c>
      <c r="S8" s="364">
        <v>12</v>
      </c>
      <c r="T8" s="365" t="str">
        <f>IF($C8="","",S8*VLOOKUP($C8,MATIERES!$A$2:$F$349,4,0))</f>
        <v/>
      </c>
      <c r="U8" s="364">
        <v>13</v>
      </c>
      <c r="V8" s="365" t="str">
        <f>IF($C8="","",U8*VLOOKUP($C8,MATIERES!$A$2:$F$349,4,0))</f>
        <v/>
      </c>
      <c r="W8" s="364">
        <v>14</v>
      </c>
      <c r="X8" s="365" t="str">
        <f>IF($C8="","",W8*VLOOKUP($C8,MATIERES!$A$2:$F$349,4,0))</f>
        <v/>
      </c>
      <c r="Y8" s="364">
        <v>15</v>
      </c>
      <c r="Z8" s="365" t="str">
        <f>IF($C8="","",Y8*VLOOKUP($C8,MATIERES!$A$2:$F$349,4,0))</f>
        <v/>
      </c>
      <c r="AA8" s="364">
        <v>16</v>
      </c>
      <c r="AB8" s="365" t="str">
        <f>IF($C8="","",AA8*VLOOKUP($C8,MATIERES!$A$2:$F$349,4,0))</f>
        <v/>
      </c>
      <c r="AC8" s="364">
        <v>17</v>
      </c>
      <c r="AD8" s="365" t="str">
        <f>IF($C8="","",AC8*VLOOKUP($C8,MATIERES!$A$2:$F$349,4,0))</f>
        <v/>
      </c>
      <c r="AE8" s="364">
        <v>18</v>
      </c>
      <c r="AF8" s="365" t="str">
        <f>IF($C8="","",AE8*VLOOKUP($C8,MATIERES!$A$2:$F$349,4,0))</f>
        <v/>
      </c>
      <c r="AG8" s="364">
        <v>19</v>
      </c>
      <c r="AH8" s="365" t="str">
        <f>IF($C8="","",AG8*VLOOKUP($C8,MATIERES!$A$2:$F$349,4,0))</f>
        <v/>
      </c>
      <c r="AI8" s="364">
        <v>20</v>
      </c>
      <c r="AJ8" s="365" t="str">
        <f>IF($C8="","",AI8*VLOOKUP($C8,MATIERES!$A$2:$F$349,4,0))</f>
        <v/>
      </c>
      <c r="AK8" s="364">
        <v>21</v>
      </c>
      <c r="AL8" s="365" t="str">
        <f>IF($C8="","",AK8*VLOOKUP($C8,MATIERES!$A$2:$F$349,4,0))</f>
        <v/>
      </c>
      <c r="AM8" s="364">
        <v>22</v>
      </c>
      <c r="AN8" s="365" t="str">
        <f>IF($C8="","",AM8*VLOOKUP($C8,MATIERES!$A$2:$F$349,4,0))</f>
        <v/>
      </c>
    </row>
    <row r="9" spans="1:42" ht="15" customHeight="1" x14ac:dyDescent="0.2">
      <c r="A9" s="1550"/>
      <c r="B9" s="361"/>
      <c r="C9" s="362"/>
      <c r="D9" s="363" t="str">
        <f>IF($C9="","",VLOOKUP($C9,MATIERES!$A$2:$F$227,5,0))</f>
        <v/>
      </c>
      <c r="E9" s="364">
        <v>6</v>
      </c>
      <c r="F9" s="365" t="str">
        <f>IF($C9="","",E9*VLOOKUP($C9,MATIERES!$A$2:$F$349,4,0))</f>
        <v/>
      </c>
      <c r="G9" s="364">
        <v>7</v>
      </c>
      <c r="H9" s="365" t="str">
        <f>IF($C9="","",G9*VLOOKUP($C9,MATIERES!$A$2:$F$349,4,0))</f>
        <v/>
      </c>
      <c r="I9" s="364">
        <v>8</v>
      </c>
      <c r="J9" s="365" t="str">
        <f>IF($C9="","",I9*VLOOKUP($C9,MATIERES!$A$2:$F$349,4,0))</f>
        <v/>
      </c>
      <c r="K9" s="364">
        <v>9</v>
      </c>
      <c r="L9" s="365" t="str">
        <f>IF($C9="","",K9*VLOOKUP($C9,MATIERES!$A$2:$F$349,4,0))</f>
        <v/>
      </c>
      <c r="M9" s="364">
        <v>10</v>
      </c>
      <c r="N9" s="365" t="str">
        <f>IF($C9="","",M9*VLOOKUP($C9,MATIERES!$A$2:$F$349,4,0))</f>
        <v/>
      </c>
      <c r="O9" s="364">
        <v>11</v>
      </c>
      <c r="P9" s="365" t="str">
        <f>IF($C9="","",O9*VLOOKUP($C9,MATIERES!$A$2:$F$349,4,0))</f>
        <v/>
      </c>
      <c r="Q9" s="364">
        <v>12</v>
      </c>
      <c r="R9" s="365" t="str">
        <f>IF($C9="","",Q9*VLOOKUP($C9,MATIERES!$A$2:$F$349,4,0))</f>
        <v/>
      </c>
      <c r="S9" s="364">
        <v>13</v>
      </c>
      <c r="T9" s="365" t="str">
        <f>IF($C9="","",S9*VLOOKUP($C9,MATIERES!$A$2:$F$349,4,0))</f>
        <v/>
      </c>
      <c r="U9" s="364">
        <v>14</v>
      </c>
      <c r="V9" s="365" t="str">
        <f>IF($C9="","",U9*VLOOKUP($C9,MATIERES!$A$2:$F$349,4,0))</f>
        <v/>
      </c>
      <c r="W9" s="364">
        <v>15</v>
      </c>
      <c r="X9" s="365" t="str">
        <f>IF($C9="","",W9*VLOOKUP($C9,MATIERES!$A$2:$F$349,4,0))</f>
        <v/>
      </c>
      <c r="Y9" s="364">
        <v>16</v>
      </c>
      <c r="Z9" s="365" t="str">
        <f>IF($C9="","",Y9*VLOOKUP($C9,MATIERES!$A$2:$F$349,4,0))</f>
        <v/>
      </c>
      <c r="AA9" s="364">
        <v>17</v>
      </c>
      <c r="AB9" s="365" t="str">
        <f>IF($C9="","",AA9*VLOOKUP($C9,MATIERES!$A$2:$F$349,4,0))</f>
        <v/>
      </c>
      <c r="AC9" s="364">
        <v>18</v>
      </c>
      <c r="AD9" s="365" t="str">
        <f>IF($C9="","",AC9*VLOOKUP($C9,MATIERES!$A$2:$F$349,4,0))</f>
        <v/>
      </c>
      <c r="AE9" s="364">
        <v>19</v>
      </c>
      <c r="AF9" s="365" t="str">
        <f>IF($C9="","",AE9*VLOOKUP($C9,MATIERES!$A$2:$F$349,4,0))</f>
        <v/>
      </c>
      <c r="AG9" s="364">
        <v>20</v>
      </c>
      <c r="AH9" s="365" t="str">
        <f>IF($C9="","",AG9*VLOOKUP($C9,MATIERES!$A$2:$F$349,4,0))</f>
        <v/>
      </c>
      <c r="AI9" s="364">
        <v>21</v>
      </c>
      <c r="AJ9" s="365" t="str">
        <f>IF($C9="","",AI9*VLOOKUP($C9,MATIERES!$A$2:$F$349,4,0))</f>
        <v/>
      </c>
      <c r="AK9" s="364">
        <v>22</v>
      </c>
      <c r="AL9" s="365" t="str">
        <f>IF($C9="","",AK9*VLOOKUP($C9,MATIERES!$A$2:$F$349,4,0))</f>
        <v/>
      </c>
      <c r="AM9" s="364">
        <v>23</v>
      </c>
      <c r="AN9" s="365" t="str">
        <f>IF($C9="","",AM9*VLOOKUP($C9,MATIERES!$A$2:$F$349,4,0))</f>
        <v/>
      </c>
    </row>
    <row r="10" spans="1:42" ht="15" customHeight="1" x14ac:dyDescent="0.2">
      <c r="A10" s="1550"/>
      <c r="B10" s="361"/>
      <c r="C10" s="362"/>
      <c r="D10" s="363" t="str">
        <f>IF($C10="","",VLOOKUP($C10,MATIERES!$A$2:$F$227,5,0))</f>
        <v/>
      </c>
      <c r="E10" s="364">
        <v>7</v>
      </c>
      <c r="F10" s="365" t="str">
        <f>IF($C10="","",E10*VLOOKUP($C10,MATIERES!$A$2:$F$349,4,0))</f>
        <v/>
      </c>
      <c r="G10" s="364">
        <v>8</v>
      </c>
      <c r="H10" s="365" t="str">
        <f>IF($C10="","",G10*VLOOKUP($C10,MATIERES!$A$2:$F$349,4,0))</f>
        <v/>
      </c>
      <c r="I10" s="364">
        <v>9</v>
      </c>
      <c r="J10" s="365" t="str">
        <f>IF($C10="","",I10*VLOOKUP($C10,MATIERES!$A$2:$F$349,4,0))</f>
        <v/>
      </c>
      <c r="K10" s="364">
        <v>10</v>
      </c>
      <c r="L10" s="365" t="str">
        <f>IF($C10="","",K10*VLOOKUP($C10,MATIERES!$A$2:$F$349,4,0))</f>
        <v/>
      </c>
      <c r="M10" s="364">
        <v>11</v>
      </c>
      <c r="N10" s="365" t="str">
        <f>IF($C10="","",M10*VLOOKUP($C10,MATIERES!$A$2:$F$349,4,0))</f>
        <v/>
      </c>
      <c r="O10" s="364">
        <v>12</v>
      </c>
      <c r="P10" s="365" t="str">
        <f>IF($C10="","",O10*VLOOKUP($C10,MATIERES!$A$2:$F$349,4,0))</f>
        <v/>
      </c>
      <c r="Q10" s="364">
        <v>13</v>
      </c>
      <c r="R10" s="365" t="str">
        <f>IF($C10="","",Q10*VLOOKUP($C10,MATIERES!$A$2:$F$349,4,0))</f>
        <v/>
      </c>
      <c r="S10" s="364">
        <v>14</v>
      </c>
      <c r="T10" s="365" t="str">
        <f>IF($C10="","",S10*VLOOKUP($C10,MATIERES!$A$2:$F$349,4,0))</f>
        <v/>
      </c>
      <c r="U10" s="364">
        <v>15</v>
      </c>
      <c r="V10" s="365" t="str">
        <f>IF($C10="","",U10*VLOOKUP($C10,MATIERES!$A$2:$F$349,4,0))</f>
        <v/>
      </c>
      <c r="W10" s="364">
        <v>16</v>
      </c>
      <c r="X10" s="365" t="str">
        <f>IF($C10="","",W10*VLOOKUP($C10,MATIERES!$A$2:$F$349,4,0))</f>
        <v/>
      </c>
      <c r="Y10" s="364">
        <v>17</v>
      </c>
      <c r="Z10" s="365" t="str">
        <f>IF($C10="","",Y10*VLOOKUP($C10,MATIERES!$A$2:$F$349,4,0))</f>
        <v/>
      </c>
      <c r="AA10" s="364">
        <v>18</v>
      </c>
      <c r="AB10" s="365" t="str">
        <f>IF($C10="","",AA10*VLOOKUP($C10,MATIERES!$A$2:$F$349,4,0))</f>
        <v/>
      </c>
      <c r="AC10" s="364">
        <v>19</v>
      </c>
      <c r="AD10" s="365" t="str">
        <f>IF($C10="","",AC10*VLOOKUP($C10,MATIERES!$A$2:$F$349,4,0))</f>
        <v/>
      </c>
      <c r="AE10" s="364">
        <v>20</v>
      </c>
      <c r="AF10" s="365" t="str">
        <f>IF($C10="","",AE10*VLOOKUP($C10,MATIERES!$A$2:$F$349,4,0))</f>
        <v/>
      </c>
      <c r="AG10" s="364">
        <v>21</v>
      </c>
      <c r="AH10" s="365" t="str">
        <f>IF($C10="","",AG10*VLOOKUP($C10,MATIERES!$A$2:$F$349,4,0))</f>
        <v/>
      </c>
      <c r="AI10" s="364">
        <v>22</v>
      </c>
      <c r="AJ10" s="365" t="str">
        <f>IF($C10="","",AI10*VLOOKUP($C10,MATIERES!$A$2:$F$349,4,0))</f>
        <v/>
      </c>
      <c r="AK10" s="364">
        <v>23</v>
      </c>
      <c r="AL10" s="365" t="str">
        <f>IF($C10="","",AK10*VLOOKUP($C10,MATIERES!$A$2:$F$349,4,0))</f>
        <v/>
      </c>
      <c r="AM10" s="364">
        <v>24</v>
      </c>
      <c r="AN10" s="365" t="str">
        <f>IF($C10="","",AM10*VLOOKUP($C10,MATIERES!$A$2:$F$349,4,0))</f>
        <v/>
      </c>
    </row>
    <row r="11" spans="1:42" ht="15" customHeight="1" x14ac:dyDescent="0.2">
      <c r="A11" s="1550"/>
      <c r="B11" s="361"/>
      <c r="C11" s="362"/>
      <c r="D11" s="363" t="str">
        <f>IF($C11="","",VLOOKUP($C11,MATIERES!$A$2:$F$227,5,0))</f>
        <v/>
      </c>
      <c r="E11" s="364">
        <v>8</v>
      </c>
      <c r="F11" s="365" t="str">
        <f>IF($C11="","",E11*VLOOKUP($C11,MATIERES!$A$2:$F$349,4,0))</f>
        <v/>
      </c>
      <c r="G11" s="364">
        <v>9</v>
      </c>
      <c r="H11" s="365" t="str">
        <f>IF($C11="","",G11*VLOOKUP($C11,MATIERES!$A$2:$F$349,4,0))</f>
        <v/>
      </c>
      <c r="I11" s="364">
        <v>10</v>
      </c>
      <c r="J11" s="365" t="str">
        <f>IF($C11="","",I11*VLOOKUP($C11,MATIERES!$A$2:$F$349,4,0))</f>
        <v/>
      </c>
      <c r="K11" s="364">
        <v>11</v>
      </c>
      <c r="L11" s="365" t="str">
        <f>IF($C11="","",K11*VLOOKUP($C11,MATIERES!$A$2:$F$349,4,0))</f>
        <v/>
      </c>
      <c r="M11" s="364">
        <v>12</v>
      </c>
      <c r="N11" s="365" t="str">
        <f>IF($C11="","",M11*VLOOKUP($C11,MATIERES!$A$2:$F$349,4,0))</f>
        <v/>
      </c>
      <c r="O11" s="364">
        <v>13</v>
      </c>
      <c r="P11" s="365" t="str">
        <f>IF($C11="","",O11*VLOOKUP($C11,MATIERES!$A$2:$F$349,4,0))</f>
        <v/>
      </c>
      <c r="Q11" s="364">
        <v>14</v>
      </c>
      <c r="R11" s="365" t="str">
        <f>IF($C11="","",Q11*VLOOKUP($C11,MATIERES!$A$2:$F$349,4,0))</f>
        <v/>
      </c>
      <c r="S11" s="364">
        <v>15</v>
      </c>
      <c r="T11" s="365" t="str">
        <f>IF($C11="","",S11*VLOOKUP($C11,MATIERES!$A$2:$F$349,4,0))</f>
        <v/>
      </c>
      <c r="U11" s="364">
        <v>16</v>
      </c>
      <c r="V11" s="365" t="str">
        <f>IF($C11="","",U11*VLOOKUP($C11,MATIERES!$A$2:$F$349,4,0))</f>
        <v/>
      </c>
      <c r="W11" s="364">
        <v>17</v>
      </c>
      <c r="X11" s="365" t="str">
        <f>IF($C11="","",W11*VLOOKUP($C11,MATIERES!$A$2:$F$349,4,0))</f>
        <v/>
      </c>
      <c r="Y11" s="364">
        <v>18</v>
      </c>
      <c r="Z11" s="365" t="str">
        <f>IF($C11="","",Y11*VLOOKUP($C11,MATIERES!$A$2:$F$349,4,0))</f>
        <v/>
      </c>
      <c r="AA11" s="364">
        <v>19</v>
      </c>
      <c r="AB11" s="365" t="str">
        <f>IF($C11="","",AA11*VLOOKUP($C11,MATIERES!$A$2:$F$349,4,0))</f>
        <v/>
      </c>
      <c r="AC11" s="364">
        <v>20</v>
      </c>
      <c r="AD11" s="365" t="str">
        <f>IF($C11="","",AC11*VLOOKUP($C11,MATIERES!$A$2:$F$349,4,0))</f>
        <v/>
      </c>
      <c r="AE11" s="364">
        <v>21</v>
      </c>
      <c r="AF11" s="365" t="str">
        <f>IF($C11="","",AE11*VLOOKUP($C11,MATIERES!$A$2:$F$349,4,0))</f>
        <v/>
      </c>
      <c r="AG11" s="364">
        <v>22</v>
      </c>
      <c r="AH11" s="365" t="str">
        <f>IF($C11="","",AG11*VLOOKUP($C11,MATIERES!$A$2:$F$349,4,0))</f>
        <v/>
      </c>
      <c r="AI11" s="364">
        <v>23</v>
      </c>
      <c r="AJ11" s="365" t="str">
        <f>IF($C11="","",AI11*VLOOKUP($C11,MATIERES!$A$2:$F$349,4,0))</f>
        <v/>
      </c>
      <c r="AK11" s="364">
        <v>24</v>
      </c>
      <c r="AL11" s="365" t="str">
        <f>IF($C11="","",AK11*VLOOKUP($C11,MATIERES!$A$2:$F$349,4,0))</f>
        <v/>
      </c>
      <c r="AM11" s="364">
        <v>25</v>
      </c>
      <c r="AN11" s="365" t="str">
        <f>IF($C11="","",AM11*VLOOKUP($C11,MATIERES!$A$2:$F$349,4,0))</f>
        <v/>
      </c>
    </row>
    <row r="12" spans="1:42" ht="15" customHeight="1" x14ac:dyDescent="0.2">
      <c r="A12" s="1550"/>
      <c r="B12" s="361"/>
      <c r="C12" s="362"/>
      <c r="D12" s="363" t="str">
        <f>IF($C12="","",VLOOKUP($C12,MATIERES!$A$2:$F$227,5,0))</f>
        <v/>
      </c>
      <c r="E12" s="364">
        <v>9</v>
      </c>
      <c r="F12" s="365" t="str">
        <f>IF($C12="","",E12*VLOOKUP($C12,MATIERES!$A$2:$F$349,4,0))</f>
        <v/>
      </c>
      <c r="G12" s="364">
        <v>10</v>
      </c>
      <c r="H12" s="365" t="str">
        <f>IF($C12="","",G12*VLOOKUP($C12,MATIERES!$A$2:$F$349,4,0))</f>
        <v/>
      </c>
      <c r="I12" s="364">
        <v>11</v>
      </c>
      <c r="J12" s="365" t="str">
        <f>IF($C12="","",I12*VLOOKUP($C12,MATIERES!$A$2:$F$349,4,0))</f>
        <v/>
      </c>
      <c r="K12" s="364">
        <v>12</v>
      </c>
      <c r="L12" s="365" t="str">
        <f>IF($C12="","",K12*VLOOKUP($C12,MATIERES!$A$2:$F$349,4,0))</f>
        <v/>
      </c>
      <c r="M12" s="364">
        <v>13</v>
      </c>
      <c r="N12" s="365" t="str">
        <f>IF($C12="","",M12*VLOOKUP($C12,MATIERES!$A$2:$F$349,4,0))</f>
        <v/>
      </c>
      <c r="O12" s="364">
        <v>14</v>
      </c>
      <c r="P12" s="365" t="str">
        <f>IF($C12="","",O12*VLOOKUP($C12,MATIERES!$A$2:$F$349,4,0))</f>
        <v/>
      </c>
      <c r="Q12" s="364">
        <v>15</v>
      </c>
      <c r="R12" s="365" t="str">
        <f>IF($C12="","",Q12*VLOOKUP($C12,MATIERES!$A$2:$F$349,4,0))</f>
        <v/>
      </c>
      <c r="S12" s="364">
        <v>16</v>
      </c>
      <c r="T12" s="365" t="str">
        <f>IF($C12="","",S12*VLOOKUP($C12,MATIERES!$A$2:$F$349,4,0))</f>
        <v/>
      </c>
      <c r="U12" s="364">
        <v>17</v>
      </c>
      <c r="V12" s="365" t="str">
        <f>IF($C12="","",U12*VLOOKUP($C12,MATIERES!$A$2:$F$349,4,0))</f>
        <v/>
      </c>
      <c r="W12" s="364">
        <v>18</v>
      </c>
      <c r="X12" s="365" t="str">
        <f>IF($C12="","",W12*VLOOKUP($C12,MATIERES!$A$2:$F$349,4,0))</f>
        <v/>
      </c>
      <c r="Y12" s="364">
        <v>19</v>
      </c>
      <c r="Z12" s="365" t="str">
        <f>IF($C12="","",Y12*VLOOKUP($C12,MATIERES!$A$2:$F$349,4,0))</f>
        <v/>
      </c>
      <c r="AA12" s="364">
        <v>20</v>
      </c>
      <c r="AB12" s="365" t="str">
        <f>IF($C12="","",AA12*VLOOKUP($C12,MATIERES!$A$2:$F$349,4,0))</f>
        <v/>
      </c>
      <c r="AC12" s="364">
        <v>21</v>
      </c>
      <c r="AD12" s="365" t="str">
        <f>IF($C12="","",AC12*VLOOKUP($C12,MATIERES!$A$2:$F$349,4,0))</f>
        <v/>
      </c>
      <c r="AE12" s="364">
        <v>22</v>
      </c>
      <c r="AF12" s="365" t="str">
        <f>IF($C12="","",AE12*VLOOKUP($C12,MATIERES!$A$2:$F$349,4,0))</f>
        <v/>
      </c>
      <c r="AG12" s="364">
        <v>23</v>
      </c>
      <c r="AH12" s="365" t="str">
        <f>IF($C12="","",AG12*VLOOKUP($C12,MATIERES!$A$2:$F$349,4,0))</f>
        <v/>
      </c>
      <c r="AI12" s="364">
        <v>24</v>
      </c>
      <c r="AJ12" s="365" t="str">
        <f>IF($C12="","",AI12*VLOOKUP($C12,MATIERES!$A$2:$F$349,4,0))</f>
        <v/>
      </c>
      <c r="AK12" s="364">
        <v>25</v>
      </c>
      <c r="AL12" s="365" t="str">
        <f>IF($C12="","",AK12*VLOOKUP($C12,MATIERES!$A$2:$F$349,4,0))</f>
        <v/>
      </c>
      <c r="AM12" s="364">
        <v>26</v>
      </c>
      <c r="AN12" s="365" t="str">
        <f>IF($C12="","",AM12*VLOOKUP($C12,MATIERES!$A$2:$F$349,4,0))</f>
        <v/>
      </c>
    </row>
    <row r="13" spans="1:42" ht="15" customHeight="1" x14ac:dyDescent="0.2">
      <c r="A13" s="1550"/>
      <c r="B13" s="361"/>
      <c r="C13" s="362"/>
      <c r="D13" s="363" t="str">
        <f>IF($C13="","",VLOOKUP($C13,MATIERES!$A$2:$F$227,5,0))</f>
        <v/>
      </c>
      <c r="E13" s="364">
        <v>10</v>
      </c>
      <c r="F13" s="365" t="str">
        <f>IF($C13="","",E13*VLOOKUP($C13,MATIERES!$A$2:$F$349,4,0))</f>
        <v/>
      </c>
      <c r="G13" s="364">
        <v>11</v>
      </c>
      <c r="H13" s="365" t="str">
        <f>IF($C13="","",G13*VLOOKUP($C13,MATIERES!$A$2:$F$349,4,0))</f>
        <v/>
      </c>
      <c r="I13" s="364">
        <v>12</v>
      </c>
      <c r="J13" s="365" t="str">
        <f>IF($C13="","",I13*VLOOKUP($C13,MATIERES!$A$2:$F$349,4,0))</f>
        <v/>
      </c>
      <c r="K13" s="364">
        <v>13</v>
      </c>
      <c r="L13" s="365" t="str">
        <f>IF($C13="","",K13*VLOOKUP($C13,MATIERES!$A$2:$F$349,4,0))</f>
        <v/>
      </c>
      <c r="M13" s="364">
        <v>14</v>
      </c>
      <c r="N13" s="365" t="str">
        <f>IF($C13="","",M13*VLOOKUP($C13,MATIERES!$A$2:$F$349,4,0))</f>
        <v/>
      </c>
      <c r="O13" s="364">
        <v>15</v>
      </c>
      <c r="P13" s="365" t="str">
        <f>IF($C13="","",O13*VLOOKUP($C13,MATIERES!$A$2:$F$349,4,0))</f>
        <v/>
      </c>
      <c r="Q13" s="364">
        <v>16</v>
      </c>
      <c r="R13" s="365" t="str">
        <f>IF($C13="","",Q13*VLOOKUP($C13,MATIERES!$A$2:$F$349,4,0))</f>
        <v/>
      </c>
      <c r="S13" s="364">
        <v>17</v>
      </c>
      <c r="T13" s="365" t="str">
        <f>IF($C13="","",S13*VLOOKUP($C13,MATIERES!$A$2:$F$349,4,0))</f>
        <v/>
      </c>
      <c r="U13" s="364">
        <v>18</v>
      </c>
      <c r="V13" s="365" t="str">
        <f>IF($C13="","",U13*VLOOKUP($C13,MATIERES!$A$2:$F$349,4,0))</f>
        <v/>
      </c>
      <c r="W13" s="364">
        <v>19</v>
      </c>
      <c r="X13" s="365" t="str">
        <f>IF($C13="","",W13*VLOOKUP($C13,MATIERES!$A$2:$F$349,4,0))</f>
        <v/>
      </c>
      <c r="Y13" s="364">
        <v>20</v>
      </c>
      <c r="Z13" s="365" t="str">
        <f>IF($C13="","",Y13*VLOOKUP($C13,MATIERES!$A$2:$F$349,4,0))</f>
        <v/>
      </c>
      <c r="AA13" s="364">
        <v>21</v>
      </c>
      <c r="AB13" s="365" t="str">
        <f>IF($C13="","",AA13*VLOOKUP($C13,MATIERES!$A$2:$F$349,4,0))</f>
        <v/>
      </c>
      <c r="AC13" s="364">
        <v>22</v>
      </c>
      <c r="AD13" s="365" t="str">
        <f>IF($C13="","",AC13*VLOOKUP($C13,MATIERES!$A$2:$F$349,4,0))</f>
        <v/>
      </c>
      <c r="AE13" s="364">
        <v>23</v>
      </c>
      <c r="AF13" s="365" t="str">
        <f>IF($C13="","",AE13*VLOOKUP($C13,MATIERES!$A$2:$F$349,4,0))</f>
        <v/>
      </c>
      <c r="AG13" s="364">
        <v>24</v>
      </c>
      <c r="AH13" s="365" t="str">
        <f>IF($C13="","",AG13*VLOOKUP($C13,MATIERES!$A$2:$F$349,4,0))</f>
        <v/>
      </c>
      <c r="AI13" s="364">
        <v>25</v>
      </c>
      <c r="AJ13" s="365" t="str">
        <f>IF($C13="","",AI13*VLOOKUP($C13,MATIERES!$A$2:$F$349,4,0))</f>
        <v/>
      </c>
      <c r="AK13" s="364">
        <v>26</v>
      </c>
      <c r="AL13" s="365" t="str">
        <f>IF($C13="","",AK13*VLOOKUP($C13,MATIERES!$A$2:$F$349,4,0))</f>
        <v/>
      </c>
      <c r="AM13" s="364">
        <v>27</v>
      </c>
      <c r="AN13" s="365" t="str">
        <f>IF($C13="","",AM13*VLOOKUP($C13,MATIERES!$A$2:$F$349,4,0))</f>
        <v/>
      </c>
      <c r="AO13" s="186"/>
    </row>
    <row r="14" spans="1:42" ht="15" customHeight="1" x14ac:dyDescent="0.2">
      <c r="A14" s="1550"/>
      <c r="B14" s="361"/>
      <c r="C14" s="362"/>
      <c r="D14" s="363" t="str">
        <f>IF($C14="","",VLOOKUP($C14,MATIERES!$A$2:$F$227,5,0))</f>
        <v/>
      </c>
      <c r="E14" s="364">
        <v>11</v>
      </c>
      <c r="F14" s="365" t="str">
        <f>IF($C14="","",E14*VLOOKUP($C14,MATIERES!$A$2:$F$349,4,0))</f>
        <v/>
      </c>
      <c r="G14" s="364">
        <v>12</v>
      </c>
      <c r="H14" s="365" t="str">
        <f>IF($C14="","",G14*VLOOKUP($C14,MATIERES!$A$2:$F$349,4,0))</f>
        <v/>
      </c>
      <c r="I14" s="364">
        <v>13</v>
      </c>
      <c r="J14" s="365" t="str">
        <f>IF($C14="","",I14*VLOOKUP($C14,MATIERES!$A$2:$F$349,4,0))</f>
        <v/>
      </c>
      <c r="K14" s="364">
        <v>14</v>
      </c>
      <c r="L14" s="365" t="str">
        <f>IF($C14="","",K14*VLOOKUP($C14,MATIERES!$A$2:$F$349,4,0))</f>
        <v/>
      </c>
      <c r="M14" s="364">
        <v>15</v>
      </c>
      <c r="N14" s="365" t="str">
        <f>IF($C14="","",M14*VLOOKUP($C14,MATIERES!$A$2:$F$349,4,0))</f>
        <v/>
      </c>
      <c r="O14" s="364">
        <v>16</v>
      </c>
      <c r="P14" s="365" t="str">
        <f>IF($C14="","",O14*VLOOKUP($C14,MATIERES!$A$2:$F$349,4,0))</f>
        <v/>
      </c>
      <c r="Q14" s="364">
        <v>17</v>
      </c>
      <c r="R14" s="365" t="str">
        <f>IF($C14="","",Q14*VLOOKUP($C14,MATIERES!$A$2:$F$349,4,0))</f>
        <v/>
      </c>
      <c r="S14" s="364">
        <v>18</v>
      </c>
      <c r="T14" s="365" t="str">
        <f>IF($C14="","",S14*VLOOKUP($C14,MATIERES!$A$2:$F$349,4,0))</f>
        <v/>
      </c>
      <c r="U14" s="364">
        <v>19</v>
      </c>
      <c r="V14" s="365" t="str">
        <f>IF($C14="","",U14*VLOOKUP($C14,MATIERES!$A$2:$F$349,4,0))</f>
        <v/>
      </c>
      <c r="W14" s="364">
        <v>20</v>
      </c>
      <c r="X14" s="365" t="str">
        <f>IF($C14="","",W14*VLOOKUP($C14,MATIERES!$A$2:$F$349,4,0))</f>
        <v/>
      </c>
      <c r="Y14" s="364">
        <v>21</v>
      </c>
      <c r="Z14" s="365" t="str">
        <f>IF($C14="","",Y14*VLOOKUP($C14,MATIERES!$A$2:$F$349,4,0))</f>
        <v/>
      </c>
      <c r="AA14" s="364">
        <v>22</v>
      </c>
      <c r="AB14" s="365" t="str">
        <f>IF($C14="","",AA14*VLOOKUP($C14,MATIERES!$A$2:$F$349,4,0))</f>
        <v/>
      </c>
      <c r="AC14" s="364">
        <v>23</v>
      </c>
      <c r="AD14" s="365" t="str">
        <f>IF($C14="","",AC14*VLOOKUP($C14,MATIERES!$A$2:$F$349,4,0))</f>
        <v/>
      </c>
      <c r="AE14" s="364">
        <v>24</v>
      </c>
      <c r="AF14" s="365" t="str">
        <f>IF($C14="","",AE14*VLOOKUP($C14,MATIERES!$A$2:$F$349,4,0))</f>
        <v/>
      </c>
      <c r="AG14" s="364">
        <v>25</v>
      </c>
      <c r="AH14" s="365" t="str">
        <f>IF($C14="","",AG14*VLOOKUP($C14,MATIERES!$A$2:$F$349,4,0))</f>
        <v/>
      </c>
      <c r="AI14" s="364">
        <v>26</v>
      </c>
      <c r="AJ14" s="365" t="str">
        <f>IF($C14="","",AI14*VLOOKUP($C14,MATIERES!$A$2:$F$349,4,0))</f>
        <v/>
      </c>
      <c r="AK14" s="364">
        <v>27</v>
      </c>
      <c r="AL14" s="365" t="str">
        <f>IF($C14="","",AK14*VLOOKUP($C14,MATIERES!$A$2:$F$349,4,0))</f>
        <v/>
      </c>
      <c r="AM14" s="364">
        <v>28</v>
      </c>
      <c r="AN14" s="365" t="str">
        <f>IF($C14="","",AM14*VLOOKUP($C14,MATIERES!$A$2:$F$349,4,0))</f>
        <v/>
      </c>
    </row>
    <row r="15" spans="1:42" ht="15" customHeight="1" x14ac:dyDescent="0.2">
      <c r="A15" s="1550"/>
      <c r="B15" s="361"/>
      <c r="C15" s="362"/>
      <c r="D15" s="363" t="str">
        <f>IF($C15="","",VLOOKUP($C15,MATIERES!$A$2:$F$227,5,0))</f>
        <v/>
      </c>
      <c r="E15" s="364">
        <v>12</v>
      </c>
      <c r="F15" s="365" t="str">
        <f>IF($C15="","",E15*VLOOKUP($C15,MATIERES!$A$2:$F$349,4,0))</f>
        <v/>
      </c>
      <c r="G15" s="364">
        <v>13</v>
      </c>
      <c r="H15" s="365" t="str">
        <f>IF($C15="","",G15*VLOOKUP($C15,MATIERES!$A$2:$F$349,4,0))</f>
        <v/>
      </c>
      <c r="I15" s="364">
        <v>14</v>
      </c>
      <c r="J15" s="365" t="str">
        <f>IF($C15="","",I15*VLOOKUP($C15,MATIERES!$A$2:$F$349,4,0))</f>
        <v/>
      </c>
      <c r="K15" s="364">
        <v>15</v>
      </c>
      <c r="L15" s="365" t="str">
        <f>IF($C15="","",K15*VLOOKUP($C15,MATIERES!$A$2:$F$349,4,0))</f>
        <v/>
      </c>
      <c r="M15" s="364">
        <v>16</v>
      </c>
      <c r="N15" s="365" t="str">
        <f>IF($C15="","",M15*VLOOKUP($C15,MATIERES!$A$2:$F$349,4,0))</f>
        <v/>
      </c>
      <c r="O15" s="364">
        <v>17</v>
      </c>
      <c r="P15" s="365" t="str">
        <f>IF($C15="","",O15*VLOOKUP($C15,MATIERES!$A$2:$F$349,4,0))</f>
        <v/>
      </c>
      <c r="Q15" s="364">
        <v>18</v>
      </c>
      <c r="R15" s="365" t="str">
        <f>IF($C15="","",Q15*VLOOKUP($C15,MATIERES!$A$2:$F$349,4,0))</f>
        <v/>
      </c>
      <c r="S15" s="364">
        <v>19</v>
      </c>
      <c r="T15" s="365" t="str">
        <f>IF($C15="","",S15*VLOOKUP($C15,MATIERES!$A$2:$F$349,4,0))</f>
        <v/>
      </c>
      <c r="U15" s="364">
        <v>20</v>
      </c>
      <c r="V15" s="365" t="str">
        <f>IF($C15="","",U15*VLOOKUP($C15,MATIERES!$A$2:$F$349,4,0))</f>
        <v/>
      </c>
      <c r="W15" s="364">
        <v>21</v>
      </c>
      <c r="X15" s="365" t="str">
        <f>IF($C15="","",W15*VLOOKUP($C15,MATIERES!$A$2:$F$349,4,0))</f>
        <v/>
      </c>
      <c r="Y15" s="364">
        <v>22</v>
      </c>
      <c r="Z15" s="365" t="str">
        <f>IF($C15="","",Y15*VLOOKUP($C15,MATIERES!$A$2:$F$349,4,0))</f>
        <v/>
      </c>
      <c r="AA15" s="364">
        <v>23</v>
      </c>
      <c r="AB15" s="365" t="str">
        <f>IF($C15="","",AA15*VLOOKUP($C15,MATIERES!$A$2:$F$349,4,0))</f>
        <v/>
      </c>
      <c r="AC15" s="364">
        <v>24</v>
      </c>
      <c r="AD15" s="365" t="str">
        <f>IF($C15="","",AC15*VLOOKUP($C15,MATIERES!$A$2:$F$349,4,0))</f>
        <v/>
      </c>
      <c r="AE15" s="364">
        <v>25</v>
      </c>
      <c r="AF15" s="365" t="str">
        <f>IF($C15="","",AE15*VLOOKUP($C15,MATIERES!$A$2:$F$349,4,0))</f>
        <v/>
      </c>
      <c r="AG15" s="364">
        <v>26</v>
      </c>
      <c r="AH15" s="365" t="str">
        <f>IF($C15="","",AG15*VLOOKUP($C15,MATIERES!$A$2:$F$349,4,0))</f>
        <v/>
      </c>
      <c r="AI15" s="364">
        <v>27</v>
      </c>
      <c r="AJ15" s="365" t="str">
        <f>IF($C15="","",AI15*VLOOKUP($C15,MATIERES!$A$2:$F$349,4,0))</f>
        <v/>
      </c>
      <c r="AK15" s="364">
        <v>28</v>
      </c>
      <c r="AL15" s="365" t="str">
        <f>IF($C15="","",AK15*VLOOKUP($C15,MATIERES!$A$2:$F$349,4,0))</f>
        <v/>
      </c>
      <c r="AM15" s="364">
        <v>29</v>
      </c>
      <c r="AN15" s="365" t="str">
        <f>IF($C15="","",AM15*VLOOKUP($C15,MATIERES!$A$2:$F$349,4,0))</f>
        <v/>
      </c>
    </row>
    <row r="16" spans="1:42" ht="15" customHeight="1" x14ac:dyDescent="0.2">
      <c r="A16" s="1550"/>
      <c r="B16" s="361"/>
      <c r="C16" s="362"/>
      <c r="D16" s="363" t="str">
        <f>IF($C16="","",VLOOKUP($C16,MATIERES!$A$2:$F$227,5,0))</f>
        <v/>
      </c>
      <c r="E16" s="364">
        <v>13</v>
      </c>
      <c r="F16" s="365" t="str">
        <f>IF($C16="","",E16*VLOOKUP($C16,MATIERES!$A$2:$F$349,4,0))</f>
        <v/>
      </c>
      <c r="G16" s="364">
        <v>14</v>
      </c>
      <c r="H16" s="365" t="str">
        <f>IF($C16="","",G16*VLOOKUP($C16,MATIERES!$A$2:$F$349,4,0))</f>
        <v/>
      </c>
      <c r="I16" s="364">
        <v>15</v>
      </c>
      <c r="J16" s="365" t="str">
        <f>IF($C16="","",I16*VLOOKUP($C16,MATIERES!$A$2:$F$349,4,0))</f>
        <v/>
      </c>
      <c r="K16" s="364">
        <v>16</v>
      </c>
      <c r="L16" s="365" t="str">
        <f>IF($C16="","",K16*VLOOKUP($C16,MATIERES!$A$2:$F$349,4,0))</f>
        <v/>
      </c>
      <c r="M16" s="364">
        <v>17</v>
      </c>
      <c r="N16" s="365" t="str">
        <f>IF($C16="","",M16*VLOOKUP($C16,MATIERES!$A$2:$F$349,4,0))</f>
        <v/>
      </c>
      <c r="O16" s="364">
        <v>18</v>
      </c>
      <c r="P16" s="365" t="str">
        <f>IF($C16="","",O16*VLOOKUP($C16,MATIERES!$A$2:$F$349,4,0))</f>
        <v/>
      </c>
      <c r="Q16" s="364">
        <v>19</v>
      </c>
      <c r="R16" s="365" t="str">
        <f>IF($C16="","",Q16*VLOOKUP($C16,MATIERES!$A$2:$F$349,4,0))</f>
        <v/>
      </c>
      <c r="S16" s="364">
        <v>20</v>
      </c>
      <c r="T16" s="365" t="str">
        <f>IF($C16="","",S16*VLOOKUP($C16,MATIERES!$A$2:$F$349,4,0))</f>
        <v/>
      </c>
      <c r="U16" s="364">
        <v>21</v>
      </c>
      <c r="V16" s="365" t="str">
        <f>IF($C16="","",U16*VLOOKUP($C16,MATIERES!$A$2:$F$349,4,0))</f>
        <v/>
      </c>
      <c r="W16" s="364">
        <v>22</v>
      </c>
      <c r="X16" s="365" t="str">
        <f>IF($C16="","",W16*VLOOKUP($C16,MATIERES!$A$2:$F$349,4,0))</f>
        <v/>
      </c>
      <c r="Y16" s="364">
        <v>23</v>
      </c>
      <c r="Z16" s="365" t="str">
        <f>IF($C16="","",Y16*VLOOKUP($C16,MATIERES!$A$2:$F$349,4,0))</f>
        <v/>
      </c>
      <c r="AA16" s="364">
        <v>24</v>
      </c>
      <c r="AB16" s="365" t="str">
        <f>IF($C16="","",AA16*VLOOKUP($C16,MATIERES!$A$2:$F$349,4,0))</f>
        <v/>
      </c>
      <c r="AC16" s="364">
        <v>25</v>
      </c>
      <c r="AD16" s="365" t="str">
        <f>IF($C16="","",AC16*VLOOKUP($C16,MATIERES!$A$2:$F$349,4,0))</f>
        <v/>
      </c>
      <c r="AE16" s="364">
        <v>26</v>
      </c>
      <c r="AF16" s="365" t="str">
        <f>IF($C16="","",AE16*VLOOKUP($C16,MATIERES!$A$2:$F$349,4,0))</f>
        <v/>
      </c>
      <c r="AG16" s="364">
        <v>27</v>
      </c>
      <c r="AH16" s="365" t="str">
        <f>IF($C16="","",AG16*VLOOKUP($C16,MATIERES!$A$2:$F$349,4,0))</f>
        <v/>
      </c>
      <c r="AI16" s="364">
        <v>28</v>
      </c>
      <c r="AJ16" s="365" t="str">
        <f>IF($C16="","",AI16*VLOOKUP($C16,MATIERES!$A$2:$F$349,4,0))</f>
        <v/>
      </c>
      <c r="AK16" s="364">
        <v>29</v>
      </c>
      <c r="AL16" s="365" t="str">
        <f>IF($C16="","",AK16*VLOOKUP($C16,MATIERES!$A$2:$F$349,4,0))</f>
        <v/>
      </c>
      <c r="AM16" s="364">
        <v>30</v>
      </c>
      <c r="AN16" s="365" t="str">
        <f>IF($C16="","",AM16*VLOOKUP($C16,MATIERES!$A$2:$F$349,4,0))</f>
        <v/>
      </c>
    </row>
    <row r="17" spans="1:40" ht="15" customHeight="1" x14ac:dyDescent="0.2">
      <c r="A17" s="1551"/>
      <c r="B17" s="361"/>
      <c r="C17" s="362"/>
      <c r="D17" s="363" t="str">
        <f>IF($C17="","",VLOOKUP($C17,MATIERES!$A$2:$F$227,5,0))</f>
        <v/>
      </c>
      <c r="E17" s="364">
        <v>14</v>
      </c>
      <c r="F17" s="365" t="str">
        <f>IF($C17="","",E17*VLOOKUP($C17,MATIERES!$A$2:$F$349,4,0))</f>
        <v/>
      </c>
      <c r="G17" s="364">
        <v>15</v>
      </c>
      <c r="H17" s="365" t="str">
        <f>IF($C17="","",G17*VLOOKUP($C17,MATIERES!$A$2:$F$349,4,0))</f>
        <v/>
      </c>
      <c r="I17" s="364">
        <v>16</v>
      </c>
      <c r="J17" s="365" t="str">
        <f>IF($C17="","",I17*VLOOKUP($C17,MATIERES!$A$2:$F$349,4,0))</f>
        <v/>
      </c>
      <c r="K17" s="364">
        <v>17</v>
      </c>
      <c r="L17" s="365" t="str">
        <f>IF($C17="","",K17*VLOOKUP($C17,MATIERES!$A$2:$F$349,4,0))</f>
        <v/>
      </c>
      <c r="M17" s="364">
        <v>18</v>
      </c>
      <c r="N17" s="365" t="str">
        <f>IF($C17="","",M17*VLOOKUP($C17,MATIERES!$A$2:$F$349,4,0))</f>
        <v/>
      </c>
      <c r="O17" s="364">
        <v>19</v>
      </c>
      <c r="P17" s="365" t="str">
        <f>IF($C17="","",O17*VLOOKUP($C17,MATIERES!$A$2:$F$349,4,0))</f>
        <v/>
      </c>
      <c r="Q17" s="364">
        <v>20</v>
      </c>
      <c r="R17" s="365" t="str">
        <f>IF($C17="","",Q17*VLOOKUP($C17,MATIERES!$A$2:$F$349,4,0))</f>
        <v/>
      </c>
      <c r="S17" s="364">
        <v>21</v>
      </c>
      <c r="T17" s="365" t="str">
        <f>IF($C17="","",S17*VLOOKUP($C17,MATIERES!$A$2:$F$349,4,0))</f>
        <v/>
      </c>
      <c r="U17" s="364">
        <v>22</v>
      </c>
      <c r="V17" s="365" t="str">
        <f>IF($C17="","",U17*VLOOKUP($C17,MATIERES!$A$2:$F$349,4,0))</f>
        <v/>
      </c>
      <c r="W17" s="364">
        <v>23</v>
      </c>
      <c r="X17" s="365" t="str">
        <f>IF($C17="","",W17*VLOOKUP($C17,MATIERES!$A$2:$F$349,4,0))</f>
        <v/>
      </c>
      <c r="Y17" s="364">
        <v>24</v>
      </c>
      <c r="Z17" s="365" t="str">
        <f>IF($C17="","",Y17*VLOOKUP($C17,MATIERES!$A$2:$F$349,4,0))</f>
        <v/>
      </c>
      <c r="AA17" s="364">
        <v>25</v>
      </c>
      <c r="AB17" s="365" t="str">
        <f>IF($C17="","",AA17*VLOOKUP($C17,MATIERES!$A$2:$F$349,4,0))</f>
        <v/>
      </c>
      <c r="AC17" s="364">
        <v>26</v>
      </c>
      <c r="AD17" s="365" t="str">
        <f>IF($C17="","",AC17*VLOOKUP($C17,MATIERES!$A$2:$F$349,4,0))</f>
        <v/>
      </c>
      <c r="AE17" s="364">
        <v>27</v>
      </c>
      <c r="AF17" s="365" t="str">
        <f>IF($C17="","",AE17*VLOOKUP($C17,MATIERES!$A$2:$F$349,4,0))</f>
        <v/>
      </c>
      <c r="AG17" s="364">
        <v>28</v>
      </c>
      <c r="AH17" s="365" t="str">
        <f>IF($C17="","",AG17*VLOOKUP($C17,MATIERES!$A$2:$F$349,4,0))</f>
        <v/>
      </c>
      <c r="AI17" s="364">
        <v>29</v>
      </c>
      <c r="AJ17" s="365" t="str">
        <f>IF($C17="","",AI17*VLOOKUP($C17,MATIERES!$A$2:$F$349,4,0))</f>
        <v/>
      </c>
      <c r="AK17" s="364">
        <v>30</v>
      </c>
      <c r="AL17" s="365" t="str">
        <f>IF($C17="","",AK17*VLOOKUP($C17,MATIERES!$A$2:$F$349,4,0))</f>
        <v/>
      </c>
      <c r="AM17" s="364">
        <v>31</v>
      </c>
      <c r="AN17" s="365" t="str">
        <f>IF($C17="","",AM17*VLOOKUP($C17,MATIERES!$A$2:$F$349,4,0))</f>
        <v/>
      </c>
    </row>
    <row r="18" spans="1:40" ht="15" customHeight="1" x14ac:dyDescent="0.2">
      <c r="A18" s="1550"/>
      <c r="B18" s="361"/>
      <c r="C18" s="362"/>
      <c r="D18" s="363" t="str">
        <f>IF($C18="","",VLOOKUP($C18,MATIERES!$A$2:$F$227,5,0))</f>
        <v/>
      </c>
      <c r="E18" s="364">
        <v>15</v>
      </c>
      <c r="F18" s="365" t="str">
        <f>IF($C18="","",E18*VLOOKUP($C18,MATIERES!$A$2:$F$349,4,0))</f>
        <v/>
      </c>
      <c r="G18" s="364">
        <v>16</v>
      </c>
      <c r="H18" s="365" t="str">
        <f>IF($C18="","",G18*VLOOKUP($C18,MATIERES!$A$2:$F$349,4,0))</f>
        <v/>
      </c>
      <c r="I18" s="364">
        <v>17</v>
      </c>
      <c r="J18" s="365" t="str">
        <f>IF($C18="","",I18*VLOOKUP($C18,MATIERES!$A$2:$F$349,4,0))</f>
        <v/>
      </c>
      <c r="K18" s="364">
        <v>18</v>
      </c>
      <c r="L18" s="365" t="str">
        <f>IF($C18="","",K18*VLOOKUP($C18,MATIERES!$A$2:$F$349,4,0))</f>
        <v/>
      </c>
      <c r="M18" s="364">
        <v>19</v>
      </c>
      <c r="N18" s="365" t="str">
        <f>IF($C18="","",M18*VLOOKUP($C18,MATIERES!$A$2:$F$349,4,0))</f>
        <v/>
      </c>
      <c r="O18" s="364">
        <v>20</v>
      </c>
      <c r="P18" s="365" t="str">
        <f>IF($C18="","",O18*VLOOKUP($C18,MATIERES!$A$2:$F$349,4,0))</f>
        <v/>
      </c>
      <c r="Q18" s="364">
        <v>21</v>
      </c>
      <c r="R18" s="365" t="str">
        <f>IF($C18="","",Q18*VLOOKUP($C18,MATIERES!$A$2:$F$349,4,0))</f>
        <v/>
      </c>
      <c r="S18" s="364">
        <v>22</v>
      </c>
      <c r="T18" s="365" t="str">
        <f>IF($C18="","",S18*VLOOKUP($C18,MATIERES!$A$2:$F$349,4,0))</f>
        <v/>
      </c>
      <c r="U18" s="364">
        <v>23</v>
      </c>
      <c r="V18" s="365" t="str">
        <f>IF($C18="","",U18*VLOOKUP($C18,MATIERES!$A$2:$F$349,4,0))</f>
        <v/>
      </c>
      <c r="W18" s="364">
        <v>24</v>
      </c>
      <c r="X18" s="365" t="str">
        <f>IF($C18="","",W18*VLOOKUP($C18,MATIERES!$A$2:$F$349,4,0))</f>
        <v/>
      </c>
      <c r="Y18" s="364">
        <v>25</v>
      </c>
      <c r="Z18" s="365" t="str">
        <f>IF($C18="","",Y18*VLOOKUP($C18,MATIERES!$A$2:$F$349,4,0))</f>
        <v/>
      </c>
      <c r="AA18" s="364">
        <v>26</v>
      </c>
      <c r="AB18" s="365" t="str">
        <f>IF($C18="","",AA18*VLOOKUP($C18,MATIERES!$A$2:$F$349,4,0))</f>
        <v/>
      </c>
      <c r="AC18" s="364">
        <v>27</v>
      </c>
      <c r="AD18" s="365" t="str">
        <f>IF($C18="","",AC18*VLOOKUP($C18,MATIERES!$A$2:$F$349,4,0))</f>
        <v/>
      </c>
      <c r="AE18" s="364">
        <v>28</v>
      </c>
      <c r="AF18" s="365" t="str">
        <f>IF($C18="","",AE18*VLOOKUP($C18,MATIERES!$A$2:$F$349,4,0))</f>
        <v/>
      </c>
      <c r="AG18" s="364">
        <v>29</v>
      </c>
      <c r="AH18" s="365" t="str">
        <f>IF($C18="","",AG18*VLOOKUP($C18,MATIERES!$A$2:$F$349,4,0))</f>
        <v/>
      </c>
      <c r="AI18" s="364">
        <v>30</v>
      </c>
      <c r="AJ18" s="365" t="str">
        <f>IF($C18="","",AI18*VLOOKUP($C18,MATIERES!$A$2:$F$349,4,0))</f>
        <v/>
      </c>
      <c r="AK18" s="364">
        <v>31</v>
      </c>
      <c r="AL18" s="365" t="str">
        <f>IF($C18="","",AK18*VLOOKUP($C18,MATIERES!$A$2:$F$349,4,0))</f>
        <v/>
      </c>
      <c r="AM18" s="364">
        <v>32</v>
      </c>
      <c r="AN18" s="365" t="str">
        <f>IF($C18="","",AM18*VLOOKUP($C18,MATIERES!$A$2:$F$349,4,0))</f>
        <v/>
      </c>
    </row>
    <row r="19" spans="1:40" ht="15" customHeight="1" x14ac:dyDescent="0.2">
      <c r="A19" s="1550"/>
      <c r="B19" s="361"/>
      <c r="C19" s="362"/>
      <c r="D19" s="363" t="str">
        <f>IF($C19="","",VLOOKUP($C19,MATIERES!$A$2:$F$227,5,0))</f>
        <v/>
      </c>
      <c r="E19" s="364">
        <v>16</v>
      </c>
      <c r="F19" s="365" t="str">
        <f>IF($C19="","",E19*VLOOKUP($C19,MATIERES!$A$2:$F$349,4,0))</f>
        <v/>
      </c>
      <c r="G19" s="364">
        <v>17</v>
      </c>
      <c r="H19" s="365" t="str">
        <f>IF($C19="","",G19*VLOOKUP($C19,MATIERES!$A$2:$F$349,4,0))</f>
        <v/>
      </c>
      <c r="I19" s="364">
        <v>18</v>
      </c>
      <c r="J19" s="365" t="str">
        <f>IF($C19="","",I19*VLOOKUP($C19,MATIERES!$A$2:$F$349,4,0))</f>
        <v/>
      </c>
      <c r="K19" s="364">
        <v>19</v>
      </c>
      <c r="L19" s="365" t="str">
        <f>IF($C19="","",K19*VLOOKUP($C19,MATIERES!$A$2:$F$349,4,0))</f>
        <v/>
      </c>
      <c r="M19" s="364">
        <v>20</v>
      </c>
      <c r="N19" s="365" t="str">
        <f>IF($C19="","",M19*VLOOKUP($C19,MATIERES!$A$2:$F$349,4,0))</f>
        <v/>
      </c>
      <c r="O19" s="364">
        <v>21</v>
      </c>
      <c r="P19" s="365" t="str">
        <f>IF($C19="","",O19*VLOOKUP($C19,MATIERES!$A$2:$F$349,4,0))</f>
        <v/>
      </c>
      <c r="Q19" s="364">
        <v>22</v>
      </c>
      <c r="R19" s="365" t="str">
        <f>IF($C19="","",Q19*VLOOKUP($C19,MATIERES!$A$2:$F$349,4,0))</f>
        <v/>
      </c>
      <c r="S19" s="364">
        <v>23</v>
      </c>
      <c r="T19" s="365" t="str">
        <f>IF($C19="","",S19*VLOOKUP($C19,MATIERES!$A$2:$F$349,4,0))</f>
        <v/>
      </c>
      <c r="U19" s="364">
        <v>24</v>
      </c>
      <c r="V19" s="365" t="str">
        <f>IF($C19="","",U19*VLOOKUP($C19,MATIERES!$A$2:$F$349,4,0))</f>
        <v/>
      </c>
      <c r="W19" s="364">
        <v>25</v>
      </c>
      <c r="X19" s="365" t="str">
        <f>IF($C19="","",W19*VLOOKUP($C19,MATIERES!$A$2:$F$349,4,0))</f>
        <v/>
      </c>
      <c r="Y19" s="364">
        <v>26</v>
      </c>
      <c r="Z19" s="365" t="str">
        <f>IF($C19="","",Y19*VLOOKUP($C19,MATIERES!$A$2:$F$349,4,0))</f>
        <v/>
      </c>
      <c r="AA19" s="364">
        <v>27</v>
      </c>
      <c r="AB19" s="365" t="str">
        <f>IF($C19="","",AA19*VLOOKUP($C19,MATIERES!$A$2:$F$349,4,0))</f>
        <v/>
      </c>
      <c r="AC19" s="364">
        <v>28</v>
      </c>
      <c r="AD19" s="365" t="str">
        <f>IF($C19="","",AC19*VLOOKUP($C19,MATIERES!$A$2:$F$349,4,0))</f>
        <v/>
      </c>
      <c r="AE19" s="364">
        <v>29</v>
      </c>
      <c r="AF19" s="365" t="str">
        <f>IF($C19="","",AE19*VLOOKUP($C19,MATIERES!$A$2:$F$349,4,0))</f>
        <v/>
      </c>
      <c r="AG19" s="364">
        <v>30</v>
      </c>
      <c r="AH19" s="365" t="str">
        <f>IF($C19="","",AG19*VLOOKUP($C19,MATIERES!$A$2:$F$349,4,0))</f>
        <v/>
      </c>
      <c r="AI19" s="364">
        <v>31</v>
      </c>
      <c r="AJ19" s="365" t="str">
        <f>IF($C19="","",AI19*VLOOKUP($C19,MATIERES!$A$2:$F$349,4,0))</f>
        <v/>
      </c>
      <c r="AK19" s="364">
        <v>32</v>
      </c>
      <c r="AL19" s="365" t="str">
        <f>IF($C19="","",AK19*VLOOKUP($C19,MATIERES!$A$2:$F$349,4,0))</f>
        <v/>
      </c>
      <c r="AM19" s="364">
        <v>33</v>
      </c>
      <c r="AN19" s="365" t="str">
        <f>IF($C19="","",AM19*VLOOKUP($C19,MATIERES!$A$2:$F$349,4,0))</f>
        <v/>
      </c>
    </row>
    <row r="20" spans="1:40" ht="15" customHeight="1" x14ac:dyDescent="0.2">
      <c r="A20" s="1550"/>
      <c r="B20" s="361"/>
      <c r="C20" s="362"/>
      <c r="D20" s="363" t="str">
        <f>IF($C20="","",VLOOKUP($C20,MATIERES!$A$2:$F$227,5,0))</f>
        <v/>
      </c>
      <c r="E20" s="364">
        <v>17</v>
      </c>
      <c r="F20" s="365" t="str">
        <f>IF($C20="","",E20*VLOOKUP($C20,MATIERES!$A$2:$F$349,4,0))</f>
        <v/>
      </c>
      <c r="G20" s="364">
        <v>18</v>
      </c>
      <c r="H20" s="365" t="str">
        <f>IF($C20="","",G20*VLOOKUP($C20,MATIERES!$A$2:$F$349,4,0))</f>
        <v/>
      </c>
      <c r="I20" s="364">
        <v>19</v>
      </c>
      <c r="J20" s="365" t="str">
        <f>IF($C20="","",I20*VLOOKUP($C20,MATIERES!$A$2:$F$349,4,0))</f>
        <v/>
      </c>
      <c r="K20" s="364">
        <v>20</v>
      </c>
      <c r="L20" s="365" t="str">
        <f>IF($C20="","",K20*VLOOKUP($C20,MATIERES!$A$2:$F$349,4,0))</f>
        <v/>
      </c>
      <c r="M20" s="364">
        <v>21</v>
      </c>
      <c r="N20" s="365" t="str">
        <f>IF($C20="","",M20*VLOOKUP($C20,MATIERES!$A$2:$F$349,4,0))</f>
        <v/>
      </c>
      <c r="O20" s="364">
        <v>22</v>
      </c>
      <c r="P20" s="365" t="str">
        <f>IF($C20="","",O20*VLOOKUP($C20,MATIERES!$A$2:$F$349,4,0))</f>
        <v/>
      </c>
      <c r="Q20" s="364">
        <v>23</v>
      </c>
      <c r="R20" s="365" t="str">
        <f>IF($C20="","",Q20*VLOOKUP($C20,MATIERES!$A$2:$F$349,4,0))</f>
        <v/>
      </c>
      <c r="S20" s="364">
        <v>24</v>
      </c>
      <c r="T20" s="365" t="str">
        <f>IF($C20="","",S20*VLOOKUP($C20,MATIERES!$A$2:$F$349,4,0))</f>
        <v/>
      </c>
      <c r="U20" s="364">
        <v>25</v>
      </c>
      <c r="V20" s="365" t="str">
        <f>IF($C20="","",U20*VLOOKUP($C20,MATIERES!$A$2:$F$349,4,0))</f>
        <v/>
      </c>
      <c r="W20" s="364">
        <v>26</v>
      </c>
      <c r="X20" s="365" t="str">
        <f>IF($C20="","",W20*VLOOKUP($C20,MATIERES!$A$2:$F$349,4,0))</f>
        <v/>
      </c>
      <c r="Y20" s="364">
        <v>27</v>
      </c>
      <c r="Z20" s="365" t="str">
        <f>IF($C20="","",Y20*VLOOKUP($C20,MATIERES!$A$2:$F$349,4,0))</f>
        <v/>
      </c>
      <c r="AA20" s="364">
        <v>28</v>
      </c>
      <c r="AB20" s="365" t="str">
        <f>IF($C20="","",AA20*VLOOKUP($C20,MATIERES!$A$2:$F$349,4,0))</f>
        <v/>
      </c>
      <c r="AC20" s="364">
        <v>29</v>
      </c>
      <c r="AD20" s="365" t="str">
        <f>IF($C20="","",AC20*VLOOKUP($C20,MATIERES!$A$2:$F$349,4,0))</f>
        <v/>
      </c>
      <c r="AE20" s="364">
        <v>30</v>
      </c>
      <c r="AF20" s="365" t="str">
        <f>IF($C20="","",AE20*VLOOKUP($C20,MATIERES!$A$2:$F$349,4,0))</f>
        <v/>
      </c>
      <c r="AG20" s="364">
        <v>31</v>
      </c>
      <c r="AH20" s="365" t="str">
        <f>IF($C20="","",AG20*VLOOKUP($C20,MATIERES!$A$2:$F$349,4,0))</f>
        <v/>
      </c>
      <c r="AI20" s="364">
        <v>32</v>
      </c>
      <c r="AJ20" s="365" t="str">
        <f>IF($C20="","",AI20*VLOOKUP($C20,MATIERES!$A$2:$F$349,4,0))</f>
        <v/>
      </c>
      <c r="AK20" s="364">
        <v>33</v>
      </c>
      <c r="AL20" s="365" t="str">
        <f>IF($C20="","",AK20*VLOOKUP($C20,MATIERES!$A$2:$F$349,4,0))</f>
        <v/>
      </c>
      <c r="AM20" s="364">
        <v>34</v>
      </c>
      <c r="AN20" s="365" t="str">
        <f>IF($C20="","",AM20*VLOOKUP($C20,MATIERES!$A$2:$F$349,4,0))</f>
        <v/>
      </c>
    </row>
    <row r="21" spans="1:40" ht="15" customHeight="1" x14ac:dyDescent="0.2">
      <c r="A21" s="1550"/>
      <c r="B21" s="361"/>
      <c r="C21" s="362"/>
      <c r="D21" s="363" t="str">
        <f>IF($C21="","",VLOOKUP($C21,MATIERES!$A$2:$F$227,5,0))</f>
        <v/>
      </c>
      <c r="E21" s="364">
        <v>18</v>
      </c>
      <c r="F21" s="365" t="str">
        <f>IF($C21="","",E21*VLOOKUP($C21,MATIERES!$A$2:$F$349,4,0))</f>
        <v/>
      </c>
      <c r="G21" s="364">
        <v>19</v>
      </c>
      <c r="H21" s="365" t="str">
        <f>IF($C21="","",G21*VLOOKUP($C21,MATIERES!$A$2:$F$349,4,0))</f>
        <v/>
      </c>
      <c r="I21" s="364">
        <v>20</v>
      </c>
      <c r="J21" s="365" t="str">
        <f>IF($C21="","",I21*VLOOKUP($C21,MATIERES!$A$2:$F$349,4,0))</f>
        <v/>
      </c>
      <c r="K21" s="364">
        <v>21</v>
      </c>
      <c r="L21" s="365" t="str">
        <f>IF($C21="","",K21*VLOOKUP($C21,MATIERES!$A$2:$F$349,4,0))</f>
        <v/>
      </c>
      <c r="M21" s="364">
        <v>22</v>
      </c>
      <c r="N21" s="365" t="str">
        <f>IF($C21="","",M21*VLOOKUP($C21,MATIERES!$A$2:$F$349,4,0))</f>
        <v/>
      </c>
      <c r="O21" s="364">
        <v>23</v>
      </c>
      <c r="P21" s="365" t="str">
        <f>IF($C21="","",O21*VLOOKUP($C21,MATIERES!$A$2:$F$349,4,0))</f>
        <v/>
      </c>
      <c r="Q21" s="364">
        <v>24</v>
      </c>
      <c r="R21" s="365" t="str">
        <f>IF($C21="","",Q21*VLOOKUP($C21,MATIERES!$A$2:$F$349,4,0))</f>
        <v/>
      </c>
      <c r="S21" s="364">
        <v>25</v>
      </c>
      <c r="T21" s="365" t="str">
        <f>IF($C21="","",S21*VLOOKUP($C21,MATIERES!$A$2:$F$349,4,0))</f>
        <v/>
      </c>
      <c r="U21" s="364">
        <v>26</v>
      </c>
      <c r="V21" s="365" t="str">
        <f>IF($C21="","",U21*VLOOKUP($C21,MATIERES!$A$2:$F$349,4,0))</f>
        <v/>
      </c>
      <c r="W21" s="364">
        <v>27</v>
      </c>
      <c r="X21" s="365" t="str">
        <f>IF($C21="","",W21*VLOOKUP($C21,MATIERES!$A$2:$F$349,4,0))</f>
        <v/>
      </c>
      <c r="Y21" s="364">
        <v>28</v>
      </c>
      <c r="Z21" s="365" t="str">
        <f>IF($C21="","",Y21*VLOOKUP($C21,MATIERES!$A$2:$F$349,4,0))</f>
        <v/>
      </c>
      <c r="AA21" s="364">
        <v>29</v>
      </c>
      <c r="AB21" s="365" t="str">
        <f>IF($C21="","",AA21*VLOOKUP($C21,MATIERES!$A$2:$F$349,4,0))</f>
        <v/>
      </c>
      <c r="AC21" s="364">
        <v>30</v>
      </c>
      <c r="AD21" s="365" t="str">
        <f>IF($C21="","",AC21*VLOOKUP($C21,MATIERES!$A$2:$F$349,4,0))</f>
        <v/>
      </c>
      <c r="AE21" s="364">
        <v>31</v>
      </c>
      <c r="AF21" s="365" t="str">
        <f>IF($C21="","",AE21*VLOOKUP($C21,MATIERES!$A$2:$F$349,4,0))</f>
        <v/>
      </c>
      <c r="AG21" s="364">
        <v>32</v>
      </c>
      <c r="AH21" s="365" t="str">
        <f>IF($C21="","",AG21*VLOOKUP($C21,MATIERES!$A$2:$F$349,4,0))</f>
        <v/>
      </c>
      <c r="AI21" s="364">
        <v>33</v>
      </c>
      <c r="AJ21" s="365" t="str">
        <f>IF($C21="","",AI21*VLOOKUP($C21,MATIERES!$A$2:$F$349,4,0))</f>
        <v/>
      </c>
      <c r="AK21" s="364">
        <v>34</v>
      </c>
      <c r="AL21" s="365" t="str">
        <f>IF($C21="","",AK21*VLOOKUP($C21,MATIERES!$A$2:$F$349,4,0))</f>
        <v/>
      </c>
      <c r="AM21" s="364">
        <v>35</v>
      </c>
      <c r="AN21" s="365" t="str">
        <f>IF($C21="","",AM21*VLOOKUP($C21,MATIERES!$A$2:$F$349,4,0))</f>
        <v/>
      </c>
    </row>
    <row r="22" spans="1:40" ht="15" customHeight="1" x14ac:dyDescent="0.2">
      <c r="A22" s="1550"/>
      <c r="B22" s="361"/>
      <c r="C22" s="362"/>
      <c r="D22" s="363" t="str">
        <f>IF($C22="","",VLOOKUP($C22,MATIERES!$A$2:$F$227,5,0))</f>
        <v/>
      </c>
      <c r="E22" s="364">
        <v>19</v>
      </c>
      <c r="F22" s="365" t="str">
        <f>IF($C22="","",E22*VLOOKUP($C22,MATIERES!$A$2:$F$349,4,0))</f>
        <v/>
      </c>
      <c r="G22" s="364">
        <v>20</v>
      </c>
      <c r="H22" s="365" t="str">
        <f>IF($C22="","",G22*VLOOKUP($C22,MATIERES!$A$2:$F$349,4,0))</f>
        <v/>
      </c>
      <c r="I22" s="364">
        <v>21</v>
      </c>
      <c r="J22" s="365" t="str">
        <f>IF($C22="","",I22*VLOOKUP($C22,MATIERES!$A$2:$F$349,4,0))</f>
        <v/>
      </c>
      <c r="K22" s="364">
        <v>22</v>
      </c>
      <c r="L22" s="365" t="str">
        <f>IF($C22="","",K22*VLOOKUP($C22,MATIERES!$A$2:$F$349,4,0))</f>
        <v/>
      </c>
      <c r="M22" s="364">
        <v>23</v>
      </c>
      <c r="N22" s="365" t="str">
        <f>IF($C22="","",M22*VLOOKUP($C22,MATIERES!$A$2:$F$349,4,0))</f>
        <v/>
      </c>
      <c r="O22" s="364">
        <v>24</v>
      </c>
      <c r="P22" s="365" t="str">
        <f>IF($C22="","",O22*VLOOKUP($C22,MATIERES!$A$2:$F$349,4,0))</f>
        <v/>
      </c>
      <c r="Q22" s="364">
        <v>25</v>
      </c>
      <c r="R22" s="365" t="str">
        <f>IF($C22="","",Q22*VLOOKUP($C22,MATIERES!$A$2:$F$349,4,0))</f>
        <v/>
      </c>
      <c r="S22" s="364">
        <v>26</v>
      </c>
      <c r="T22" s="365" t="str">
        <f>IF($C22="","",S22*VLOOKUP($C22,MATIERES!$A$2:$F$349,4,0))</f>
        <v/>
      </c>
      <c r="U22" s="364">
        <v>27</v>
      </c>
      <c r="V22" s="365" t="str">
        <f>IF($C22="","",U22*VLOOKUP($C22,MATIERES!$A$2:$F$349,4,0))</f>
        <v/>
      </c>
      <c r="W22" s="364">
        <v>28</v>
      </c>
      <c r="X22" s="365" t="str">
        <f>IF($C22="","",W22*VLOOKUP($C22,MATIERES!$A$2:$F$349,4,0))</f>
        <v/>
      </c>
      <c r="Y22" s="364">
        <v>29</v>
      </c>
      <c r="Z22" s="365" t="str">
        <f>IF($C22="","",Y22*VLOOKUP($C22,MATIERES!$A$2:$F$349,4,0))</f>
        <v/>
      </c>
      <c r="AA22" s="364">
        <v>30</v>
      </c>
      <c r="AB22" s="365" t="str">
        <f>IF($C22="","",AA22*VLOOKUP($C22,MATIERES!$A$2:$F$349,4,0))</f>
        <v/>
      </c>
      <c r="AC22" s="364">
        <v>31</v>
      </c>
      <c r="AD22" s="365" t="str">
        <f>IF($C22="","",AC22*VLOOKUP($C22,MATIERES!$A$2:$F$349,4,0))</f>
        <v/>
      </c>
      <c r="AE22" s="364">
        <v>32</v>
      </c>
      <c r="AF22" s="365" t="str">
        <f>IF($C22="","",AE22*VLOOKUP($C22,MATIERES!$A$2:$F$349,4,0))</f>
        <v/>
      </c>
      <c r="AG22" s="364">
        <v>33</v>
      </c>
      <c r="AH22" s="365" t="str">
        <f>IF($C22="","",AG22*VLOOKUP($C22,MATIERES!$A$2:$F$349,4,0))</f>
        <v/>
      </c>
      <c r="AI22" s="364">
        <v>34</v>
      </c>
      <c r="AJ22" s="365" t="str">
        <f>IF($C22="","",AI22*VLOOKUP($C22,MATIERES!$A$2:$F$349,4,0))</f>
        <v/>
      </c>
      <c r="AK22" s="364">
        <v>35</v>
      </c>
      <c r="AL22" s="365" t="str">
        <f>IF($C22="","",AK22*VLOOKUP($C22,MATIERES!$A$2:$F$349,4,0))</f>
        <v/>
      </c>
      <c r="AM22" s="364">
        <v>36</v>
      </c>
      <c r="AN22" s="365" t="str">
        <f>IF($C22="","",AM22*VLOOKUP($C22,MATIERES!$A$2:$F$349,4,0))</f>
        <v/>
      </c>
    </row>
    <row r="23" spans="1:40" ht="15" customHeight="1" x14ac:dyDescent="0.2">
      <c r="A23" s="1550"/>
      <c r="B23" s="361"/>
      <c r="C23" s="362"/>
      <c r="D23" s="363" t="str">
        <f>IF($C23="","",VLOOKUP($C23,MATIERES!$A$2:$F$227,5,0))</f>
        <v/>
      </c>
      <c r="E23" s="364">
        <v>20</v>
      </c>
      <c r="F23" s="365" t="str">
        <f>IF($C23="","",E23*VLOOKUP($C23,MATIERES!$A$2:$F$349,4,0))</f>
        <v/>
      </c>
      <c r="G23" s="364">
        <v>21</v>
      </c>
      <c r="H23" s="365" t="str">
        <f>IF($C23="","",G23*VLOOKUP($C23,MATIERES!$A$2:$F$349,4,0))</f>
        <v/>
      </c>
      <c r="I23" s="364">
        <v>22</v>
      </c>
      <c r="J23" s="365" t="str">
        <f>IF($C23="","",I23*VLOOKUP($C23,MATIERES!$A$2:$F$349,4,0))</f>
        <v/>
      </c>
      <c r="K23" s="364">
        <v>23</v>
      </c>
      <c r="L23" s="365" t="str">
        <f>IF($C23="","",K23*VLOOKUP($C23,MATIERES!$A$2:$F$349,4,0))</f>
        <v/>
      </c>
      <c r="M23" s="364">
        <v>24</v>
      </c>
      <c r="N23" s="365" t="str">
        <f>IF($C23="","",M23*VLOOKUP($C23,MATIERES!$A$2:$F$349,4,0))</f>
        <v/>
      </c>
      <c r="O23" s="364">
        <v>25</v>
      </c>
      <c r="P23" s="365" t="str">
        <f>IF($C23="","",O23*VLOOKUP($C23,MATIERES!$A$2:$F$349,4,0))</f>
        <v/>
      </c>
      <c r="Q23" s="364">
        <v>26</v>
      </c>
      <c r="R23" s="365" t="str">
        <f>IF($C23="","",Q23*VLOOKUP($C23,MATIERES!$A$2:$F$349,4,0))</f>
        <v/>
      </c>
      <c r="S23" s="364">
        <v>27</v>
      </c>
      <c r="T23" s="365" t="str">
        <f>IF($C23="","",S23*VLOOKUP($C23,MATIERES!$A$2:$F$349,4,0))</f>
        <v/>
      </c>
      <c r="U23" s="364">
        <v>28</v>
      </c>
      <c r="V23" s="365" t="str">
        <f>IF($C23="","",U23*VLOOKUP($C23,MATIERES!$A$2:$F$349,4,0))</f>
        <v/>
      </c>
      <c r="W23" s="364">
        <v>29</v>
      </c>
      <c r="X23" s="365" t="str">
        <f>IF($C23="","",W23*VLOOKUP($C23,MATIERES!$A$2:$F$349,4,0))</f>
        <v/>
      </c>
      <c r="Y23" s="364">
        <v>30</v>
      </c>
      <c r="Z23" s="365" t="str">
        <f>IF($C23="","",Y23*VLOOKUP($C23,MATIERES!$A$2:$F$349,4,0))</f>
        <v/>
      </c>
      <c r="AA23" s="364">
        <v>31</v>
      </c>
      <c r="AB23" s="365" t="str">
        <f>IF($C23="","",AA23*VLOOKUP($C23,MATIERES!$A$2:$F$349,4,0))</f>
        <v/>
      </c>
      <c r="AC23" s="364">
        <v>32</v>
      </c>
      <c r="AD23" s="365" t="str">
        <f>IF($C23="","",AC23*VLOOKUP($C23,MATIERES!$A$2:$F$349,4,0))</f>
        <v/>
      </c>
      <c r="AE23" s="364">
        <v>33</v>
      </c>
      <c r="AF23" s="365" t="str">
        <f>IF($C23="","",AE23*VLOOKUP($C23,MATIERES!$A$2:$F$349,4,0))</f>
        <v/>
      </c>
      <c r="AG23" s="364">
        <v>34</v>
      </c>
      <c r="AH23" s="365" t="str">
        <f>IF($C23="","",AG23*VLOOKUP($C23,MATIERES!$A$2:$F$349,4,0))</f>
        <v/>
      </c>
      <c r="AI23" s="364">
        <v>35</v>
      </c>
      <c r="AJ23" s="365" t="str">
        <f>IF($C23="","",AI23*VLOOKUP($C23,MATIERES!$A$2:$F$349,4,0))</f>
        <v/>
      </c>
      <c r="AK23" s="364">
        <v>36</v>
      </c>
      <c r="AL23" s="365" t="str">
        <f>IF($C23="","",AK23*VLOOKUP($C23,MATIERES!$A$2:$F$349,4,0))</f>
        <v/>
      </c>
      <c r="AM23" s="364">
        <v>37</v>
      </c>
      <c r="AN23" s="365" t="str">
        <f>IF($C23="","",AM23*VLOOKUP($C23,MATIERES!$A$2:$F$349,4,0))</f>
        <v/>
      </c>
    </row>
    <row r="24" spans="1:40" ht="15" customHeight="1" x14ac:dyDescent="0.2">
      <c r="A24" s="1550"/>
      <c r="B24" s="361"/>
      <c r="C24" s="362"/>
      <c r="D24" s="363" t="str">
        <f>IF($C24="","",VLOOKUP($C24,MATIERES!$A$2:$F$227,5,0))</f>
        <v/>
      </c>
      <c r="E24" s="364">
        <v>21</v>
      </c>
      <c r="F24" s="365" t="str">
        <f>IF($C24="","",E24*VLOOKUP($C24,MATIERES!$A$2:$F$349,4,0))</f>
        <v/>
      </c>
      <c r="G24" s="364">
        <v>22</v>
      </c>
      <c r="H24" s="365" t="str">
        <f>IF($C24="","",G24*VLOOKUP($C24,MATIERES!$A$2:$F$349,4,0))</f>
        <v/>
      </c>
      <c r="I24" s="364">
        <v>23</v>
      </c>
      <c r="J24" s="365" t="str">
        <f>IF($C24="","",I24*VLOOKUP($C24,MATIERES!$A$2:$F$349,4,0))</f>
        <v/>
      </c>
      <c r="K24" s="364">
        <v>24</v>
      </c>
      <c r="L24" s="365" t="str">
        <f>IF($C24="","",K24*VLOOKUP($C24,MATIERES!$A$2:$F$349,4,0))</f>
        <v/>
      </c>
      <c r="M24" s="364">
        <v>25</v>
      </c>
      <c r="N24" s="365" t="str">
        <f>IF($C24="","",M24*VLOOKUP($C24,MATIERES!$A$2:$F$349,4,0))</f>
        <v/>
      </c>
      <c r="O24" s="364">
        <v>26</v>
      </c>
      <c r="P24" s="365" t="str">
        <f>IF($C24="","",O24*VLOOKUP($C24,MATIERES!$A$2:$F$349,4,0))</f>
        <v/>
      </c>
      <c r="Q24" s="364">
        <v>27</v>
      </c>
      <c r="R24" s="365" t="str">
        <f>IF($C24="","",Q24*VLOOKUP($C24,MATIERES!$A$2:$F$349,4,0))</f>
        <v/>
      </c>
      <c r="S24" s="364">
        <v>28</v>
      </c>
      <c r="T24" s="365" t="str">
        <f>IF($C24="","",S24*VLOOKUP($C24,MATIERES!$A$2:$F$349,4,0))</f>
        <v/>
      </c>
      <c r="U24" s="364">
        <v>29</v>
      </c>
      <c r="V24" s="365" t="str">
        <f>IF($C24="","",U24*VLOOKUP($C24,MATIERES!$A$2:$F$349,4,0))</f>
        <v/>
      </c>
      <c r="W24" s="364">
        <v>30</v>
      </c>
      <c r="X24" s="365" t="str">
        <f>IF($C24="","",W24*VLOOKUP($C24,MATIERES!$A$2:$F$349,4,0))</f>
        <v/>
      </c>
      <c r="Y24" s="364">
        <v>31</v>
      </c>
      <c r="Z24" s="365" t="str">
        <f>IF($C24="","",Y24*VLOOKUP($C24,MATIERES!$A$2:$F$349,4,0))</f>
        <v/>
      </c>
      <c r="AA24" s="364">
        <v>32</v>
      </c>
      <c r="AB24" s="365" t="str">
        <f>IF($C24="","",AA24*VLOOKUP($C24,MATIERES!$A$2:$F$349,4,0))</f>
        <v/>
      </c>
      <c r="AC24" s="364">
        <v>33</v>
      </c>
      <c r="AD24" s="365" t="str">
        <f>IF($C24="","",AC24*VLOOKUP($C24,MATIERES!$A$2:$F$349,4,0))</f>
        <v/>
      </c>
      <c r="AE24" s="364">
        <v>34</v>
      </c>
      <c r="AF24" s="365" t="str">
        <f>IF($C24="","",AE24*VLOOKUP($C24,MATIERES!$A$2:$F$349,4,0))</f>
        <v/>
      </c>
      <c r="AG24" s="364">
        <v>35</v>
      </c>
      <c r="AH24" s="365" t="str">
        <f>IF($C24="","",AG24*VLOOKUP($C24,MATIERES!$A$2:$F$349,4,0))</f>
        <v/>
      </c>
      <c r="AI24" s="364">
        <v>36</v>
      </c>
      <c r="AJ24" s="365" t="str">
        <f>IF($C24="","",AI24*VLOOKUP($C24,MATIERES!$A$2:$F$349,4,0))</f>
        <v/>
      </c>
      <c r="AK24" s="364">
        <v>37</v>
      </c>
      <c r="AL24" s="365" t="str">
        <f>IF($C24="","",AK24*VLOOKUP($C24,MATIERES!$A$2:$F$349,4,0))</f>
        <v/>
      </c>
      <c r="AM24" s="364">
        <v>38</v>
      </c>
      <c r="AN24" s="365" t="str">
        <f>IF($C24="","",AM24*VLOOKUP($C24,MATIERES!$A$2:$F$349,4,0))</f>
        <v/>
      </c>
    </row>
    <row r="25" spans="1:40" ht="15" customHeight="1" x14ac:dyDescent="0.2">
      <c r="A25" s="1550"/>
      <c r="B25" s="361"/>
      <c r="C25" s="362"/>
      <c r="D25" s="363" t="str">
        <f>IF($C25="","",VLOOKUP($C25,MATIERES!$A$2:$F$227,5,0))</f>
        <v/>
      </c>
      <c r="E25" s="364">
        <v>22</v>
      </c>
      <c r="F25" s="365" t="str">
        <f>IF($C25="","",E25*VLOOKUP($C25,MATIERES!$A$2:$F$349,4,0))</f>
        <v/>
      </c>
      <c r="G25" s="364">
        <v>23</v>
      </c>
      <c r="H25" s="365" t="str">
        <f>IF($C25="","",G25*VLOOKUP($C25,MATIERES!$A$2:$F$349,4,0))</f>
        <v/>
      </c>
      <c r="I25" s="364">
        <v>24</v>
      </c>
      <c r="J25" s="365" t="str">
        <f>IF($C25="","",I25*VLOOKUP($C25,MATIERES!$A$2:$F$349,4,0))</f>
        <v/>
      </c>
      <c r="K25" s="364">
        <v>25</v>
      </c>
      <c r="L25" s="365" t="str">
        <f>IF($C25="","",K25*VLOOKUP($C25,MATIERES!$A$2:$F$349,4,0))</f>
        <v/>
      </c>
      <c r="M25" s="364">
        <v>26</v>
      </c>
      <c r="N25" s="365" t="str">
        <f>IF($C25="","",M25*VLOOKUP($C25,MATIERES!$A$2:$F$349,4,0))</f>
        <v/>
      </c>
      <c r="O25" s="364">
        <v>27</v>
      </c>
      <c r="P25" s="365" t="str">
        <f>IF($C25="","",O25*VLOOKUP($C25,MATIERES!$A$2:$F$349,4,0))</f>
        <v/>
      </c>
      <c r="Q25" s="364">
        <v>28</v>
      </c>
      <c r="R25" s="365" t="str">
        <f>IF($C25="","",Q25*VLOOKUP($C25,MATIERES!$A$2:$F$349,4,0))</f>
        <v/>
      </c>
      <c r="S25" s="364">
        <v>29</v>
      </c>
      <c r="T25" s="365" t="str">
        <f>IF($C25="","",S25*VLOOKUP($C25,MATIERES!$A$2:$F$349,4,0))</f>
        <v/>
      </c>
      <c r="U25" s="364">
        <v>30</v>
      </c>
      <c r="V25" s="365" t="str">
        <f>IF($C25="","",U25*VLOOKUP($C25,MATIERES!$A$2:$F$349,4,0))</f>
        <v/>
      </c>
      <c r="W25" s="364">
        <v>31</v>
      </c>
      <c r="X25" s="365" t="str">
        <f>IF($C25="","",W25*VLOOKUP($C25,MATIERES!$A$2:$F$349,4,0))</f>
        <v/>
      </c>
      <c r="Y25" s="364">
        <v>32</v>
      </c>
      <c r="Z25" s="365" t="str">
        <f>IF($C25="","",Y25*VLOOKUP($C25,MATIERES!$A$2:$F$349,4,0))</f>
        <v/>
      </c>
      <c r="AA25" s="364">
        <v>33</v>
      </c>
      <c r="AB25" s="365" t="str">
        <f>IF($C25="","",AA25*VLOOKUP($C25,MATIERES!$A$2:$F$349,4,0))</f>
        <v/>
      </c>
      <c r="AC25" s="364">
        <v>34</v>
      </c>
      <c r="AD25" s="365" t="str">
        <f>IF($C25="","",AC25*VLOOKUP($C25,MATIERES!$A$2:$F$349,4,0))</f>
        <v/>
      </c>
      <c r="AE25" s="364">
        <v>35</v>
      </c>
      <c r="AF25" s="365" t="str">
        <f>IF($C25="","",AE25*VLOOKUP($C25,MATIERES!$A$2:$F$349,4,0))</f>
        <v/>
      </c>
      <c r="AG25" s="364">
        <v>36</v>
      </c>
      <c r="AH25" s="365" t="str">
        <f>IF($C25="","",AG25*VLOOKUP($C25,MATIERES!$A$2:$F$349,4,0))</f>
        <v/>
      </c>
      <c r="AI25" s="364">
        <v>37</v>
      </c>
      <c r="AJ25" s="365" t="str">
        <f>IF($C25="","",AI25*VLOOKUP($C25,MATIERES!$A$2:$F$349,4,0))</f>
        <v/>
      </c>
      <c r="AK25" s="364">
        <v>38</v>
      </c>
      <c r="AL25" s="365" t="str">
        <f>IF($C25="","",AK25*VLOOKUP($C25,MATIERES!$A$2:$F$349,4,0))</f>
        <v/>
      </c>
      <c r="AM25" s="364">
        <v>39</v>
      </c>
      <c r="AN25" s="365" t="str">
        <f>IF($C25="","",AM25*VLOOKUP($C25,MATIERES!$A$2:$F$349,4,0))</f>
        <v/>
      </c>
    </row>
    <row r="26" spans="1:40" ht="30" customHeight="1" x14ac:dyDescent="0.2">
      <c r="A26" s="366"/>
      <c r="B26" s="367" t="s">
        <v>683</v>
      </c>
      <c r="C26" s="368" t="s">
        <v>446</v>
      </c>
      <c r="D26" s="369" t="s">
        <v>447</v>
      </c>
      <c r="E26" s="370">
        <f>F26*(1+Simulation!$P$11)</f>
        <v>0</v>
      </c>
      <c r="F26" s="371">
        <f>SUM(F4:F25)</f>
        <v>0</v>
      </c>
      <c r="G26" s="370">
        <f>H26*(1+Simulation!$P$11)</f>
        <v>0</v>
      </c>
      <c r="H26" s="371">
        <f>SUM(H4:H25)</f>
        <v>0</v>
      </c>
      <c r="I26" s="370">
        <f>J26*(1+Simulation!$P$11)</f>
        <v>0</v>
      </c>
      <c r="J26" s="371">
        <f>SUM(J4:J25)</f>
        <v>0</v>
      </c>
      <c r="K26" s="370">
        <f>L26*(1+Simulation!$P$11)</f>
        <v>0</v>
      </c>
      <c r="L26" s="371">
        <f>SUM(L4:L25)</f>
        <v>0</v>
      </c>
      <c r="M26" s="370">
        <f>N26*(1+Simulation!$P$11)</f>
        <v>0</v>
      </c>
      <c r="N26" s="371">
        <f>SUM(N4:N25)</f>
        <v>0</v>
      </c>
      <c r="O26" s="370">
        <f>P26*(1+Simulation!$P$11)</f>
        <v>0</v>
      </c>
      <c r="P26" s="371">
        <f>SUM(P4:P25)</f>
        <v>0</v>
      </c>
      <c r="Q26" s="370">
        <f>R26*(1+Simulation!$P$11)</f>
        <v>0</v>
      </c>
      <c r="R26" s="371">
        <f>SUM(R4:R25)</f>
        <v>0</v>
      </c>
      <c r="S26" s="370">
        <f>T26*(1+Simulation!$P$11)</f>
        <v>0</v>
      </c>
      <c r="T26" s="371">
        <f>SUM(T4:T25)</f>
        <v>0</v>
      </c>
      <c r="U26" s="370">
        <f>V26*(1+Simulation!$P$11)</f>
        <v>0</v>
      </c>
      <c r="V26" s="371">
        <f>SUM(V4:V25)</f>
        <v>0</v>
      </c>
      <c r="W26" s="370">
        <f>X26*(1+Simulation!$P$11)</f>
        <v>0</v>
      </c>
      <c r="X26" s="371">
        <f>SUM(X4:X25)</f>
        <v>0</v>
      </c>
      <c r="Y26" s="370">
        <f>Z26*(1+Simulation!$P$11)</f>
        <v>0</v>
      </c>
      <c r="Z26" s="371">
        <f>SUM(Z4:Z25)</f>
        <v>0</v>
      </c>
      <c r="AA26" s="370">
        <f>AB26*(1+Simulation!$P$11)</f>
        <v>0</v>
      </c>
      <c r="AB26" s="371">
        <f>SUM(AB4:AB25)</f>
        <v>0</v>
      </c>
      <c r="AC26" s="370">
        <f>AD26*(1+Simulation!$P$11)</f>
        <v>0</v>
      </c>
      <c r="AD26" s="371">
        <f>SUM(AD4:AD25)</f>
        <v>0</v>
      </c>
      <c r="AE26" s="370">
        <f>AF26*(1+Simulation!$P$11)</f>
        <v>0</v>
      </c>
      <c r="AF26" s="371">
        <f>SUM(AF4:AF25)</f>
        <v>0</v>
      </c>
      <c r="AG26" s="370">
        <f>AH26*(1+Simulation!$P$11)</f>
        <v>0</v>
      </c>
      <c r="AH26" s="371">
        <f>SUM(AH4:AH25)</f>
        <v>0</v>
      </c>
      <c r="AI26" s="370">
        <f>AJ26*(1+Simulation!$P$11)</f>
        <v>0</v>
      </c>
      <c r="AJ26" s="371">
        <f>SUM(AJ4:AJ25)</f>
        <v>0</v>
      </c>
      <c r="AK26" s="370">
        <f>AL26*(1+Simulation!$P$11)</f>
        <v>0</v>
      </c>
      <c r="AL26" s="371">
        <f>SUM(AL4:AL25)</f>
        <v>0</v>
      </c>
      <c r="AM26" s="370">
        <f>AN26*(1+Simulation!$P$11)</f>
        <v>0</v>
      </c>
      <c r="AN26" s="371">
        <f>SUM(AN4:AN25)</f>
        <v>0</v>
      </c>
    </row>
    <row r="27" spans="1:40" ht="15" customHeight="1" x14ac:dyDescent="0.2">
      <c r="A27" s="1553" t="s">
        <v>448</v>
      </c>
      <c r="B27" s="361" t="s">
        <v>1079</v>
      </c>
      <c r="C27" s="362" t="s">
        <v>419</v>
      </c>
      <c r="D27" s="363" t="e">
        <f>IF($C27="","",VLOOKUP($C27,ATELIER!$B$2:$E$109,3,0))</f>
        <v>#N/A</v>
      </c>
      <c r="E27" s="364">
        <v>1</v>
      </c>
      <c r="F27" s="372" t="e">
        <f>IF($C27="","",E27*VLOOKUP($C27,ATELIER!$B$2:$F$109,4,0))</f>
        <v>#N/A</v>
      </c>
      <c r="G27" s="364">
        <v>2</v>
      </c>
      <c r="H27" s="372" t="e">
        <f>IF($C27="","",G27*VLOOKUP($C27,ATELIER!$B$2:$F$109,4,0))</f>
        <v>#N/A</v>
      </c>
      <c r="I27" s="364">
        <v>3</v>
      </c>
      <c r="J27" s="372" t="e">
        <f>IF($C27="","",I27*VLOOKUP($C27,ATELIER!$B$2:$F$109,4,0))</f>
        <v>#N/A</v>
      </c>
      <c r="K27" s="364">
        <v>4</v>
      </c>
      <c r="L27" s="372" t="e">
        <f>IF($C27="","",K27*VLOOKUP($C27,ATELIER!$B$2:$F$109,4,0))</f>
        <v>#N/A</v>
      </c>
      <c r="M27" s="364">
        <v>5</v>
      </c>
      <c r="N27" s="372" t="e">
        <f>IF($C27="","",M27*VLOOKUP($C27,ATELIER!$B$2:$F$109,4,0))</f>
        <v>#N/A</v>
      </c>
      <c r="O27" s="364">
        <v>6</v>
      </c>
      <c r="P27" s="372" t="e">
        <f>IF($C27="","",O27*VLOOKUP($C27,ATELIER!$B$2:$F$109,4,0))</f>
        <v>#N/A</v>
      </c>
      <c r="Q27" s="364">
        <v>7</v>
      </c>
      <c r="R27" s="372" t="e">
        <f>IF($C27="","",Q27*VLOOKUP($C27,ATELIER!$B$2:$F$109,4,0))</f>
        <v>#N/A</v>
      </c>
      <c r="S27" s="364">
        <v>8</v>
      </c>
      <c r="T27" s="372" t="e">
        <f>IF($C27="","",S27*VLOOKUP($C27,ATELIER!$B$2:$F$109,4,0))</f>
        <v>#N/A</v>
      </c>
      <c r="U27" s="364">
        <v>9</v>
      </c>
      <c r="V27" s="372" t="e">
        <f>IF($C27="","",U27*VLOOKUP($C27,ATELIER!$B$2:$F$109,4,0))</f>
        <v>#N/A</v>
      </c>
      <c r="W27" s="364">
        <v>10</v>
      </c>
      <c r="X27" s="372" t="e">
        <f>IF($C27="","",W27*VLOOKUP($C27,ATELIER!$B$2:$F$109,4,0))</f>
        <v>#N/A</v>
      </c>
      <c r="Y27" s="364">
        <v>11</v>
      </c>
      <c r="Z27" s="372" t="e">
        <f>IF($C27="","",Y27*VLOOKUP($C27,ATELIER!$B$2:$F$109,4,0))</f>
        <v>#N/A</v>
      </c>
      <c r="AA27" s="364">
        <v>12</v>
      </c>
      <c r="AB27" s="372" t="e">
        <f>IF($C27="","",AA27*VLOOKUP($C27,ATELIER!$B$2:$F$109,4,0))</f>
        <v>#N/A</v>
      </c>
      <c r="AC27" s="364">
        <v>13</v>
      </c>
      <c r="AD27" s="372" t="e">
        <f>IF($C27="","",AC27*VLOOKUP($C27,ATELIER!$B$2:$F$109,4,0))</f>
        <v>#N/A</v>
      </c>
      <c r="AE27" s="364">
        <v>14</v>
      </c>
      <c r="AF27" s="372" t="e">
        <f>IF($C27="","",AE27*VLOOKUP($C27,ATELIER!$B$2:$F$109,4,0))</f>
        <v>#N/A</v>
      </c>
      <c r="AG27" s="364">
        <v>15</v>
      </c>
      <c r="AH27" s="372" t="e">
        <f>IF($C27="","",AG27*VLOOKUP($C27,ATELIER!$B$2:$F$109,4,0))</f>
        <v>#N/A</v>
      </c>
      <c r="AI27" s="364">
        <v>16</v>
      </c>
      <c r="AJ27" s="372" t="e">
        <f>IF($C27="","",AI27*VLOOKUP($C27,ATELIER!$B$2:$F$109,4,0))</f>
        <v>#N/A</v>
      </c>
      <c r="AK27" s="364">
        <v>17</v>
      </c>
      <c r="AL27" s="372" t="e">
        <f>IF($C27="","",AK27*VLOOKUP($C27,ATELIER!$B$2:$F$109,4,0))</f>
        <v>#N/A</v>
      </c>
      <c r="AM27" s="364">
        <v>18</v>
      </c>
      <c r="AN27" s="372" t="e">
        <f>IF($C27="","",AM27*VLOOKUP($C27,ATELIER!$B$2:$F$109,4,0))</f>
        <v>#N/A</v>
      </c>
    </row>
    <row r="28" spans="1:40" ht="15" customHeight="1" x14ac:dyDescent="0.2">
      <c r="A28" s="1553"/>
      <c r="B28" s="361" t="str">
        <f>IF($C28="","",VLOOKUP($C28,ATELIER!$B$2:$F$109,2,0))</f>
        <v/>
      </c>
      <c r="C28" s="362"/>
      <c r="D28" s="363" t="str">
        <f>IF($C28="","",VLOOKUP($C28,ATELIER!$B$2:$E$109,3,0))</f>
        <v/>
      </c>
      <c r="E28" s="364">
        <v>2</v>
      </c>
      <c r="F28" s="372" t="str">
        <f>IF($C28="","",E28*VLOOKUP($C28,ATELIER!$B$2:$F$109,4,0))</f>
        <v/>
      </c>
      <c r="G28" s="364">
        <v>3</v>
      </c>
      <c r="H28" s="372" t="str">
        <f>IF($C28="","",G28*VLOOKUP($C28,ATELIER!$B$2:$F$109,4,0))</f>
        <v/>
      </c>
      <c r="I28" s="364">
        <v>4</v>
      </c>
      <c r="J28" s="372" t="str">
        <f>IF($C28="","",I28*VLOOKUP($C28,ATELIER!$B$2:$F$109,4,0))</f>
        <v/>
      </c>
      <c r="K28" s="364">
        <v>5</v>
      </c>
      <c r="L28" s="372" t="str">
        <f>IF($C28="","",K28*VLOOKUP($C28,ATELIER!$B$2:$F$109,4,0))</f>
        <v/>
      </c>
      <c r="M28" s="364">
        <v>6</v>
      </c>
      <c r="N28" s="372" t="str">
        <f>IF($C28="","",M28*VLOOKUP($C28,ATELIER!$B$2:$F$109,4,0))</f>
        <v/>
      </c>
      <c r="O28" s="364">
        <v>7</v>
      </c>
      <c r="P28" s="372" t="str">
        <f>IF($C28="","",O28*VLOOKUP($C28,ATELIER!$B$2:$F$109,4,0))</f>
        <v/>
      </c>
      <c r="Q28" s="364">
        <v>8</v>
      </c>
      <c r="R28" s="372" t="str">
        <f>IF($C28="","",Q28*VLOOKUP($C28,ATELIER!$B$2:$F$109,4,0))</f>
        <v/>
      </c>
      <c r="S28" s="364">
        <v>9</v>
      </c>
      <c r="T28" s="372" t="str">
        <f>IF($C28="","",S28*VLOOKUP($C28,ATELIER!$B$2:$F$109,4,0))</f>
        <v/>
      </c>
      <c r="U28" s="364">
        <v>10</v>
      </c>
      <c r="V28" s="372" t="str">
        <f>IF($C28="","",U28*VLOOKUP($C28,ATELIER!$B$2:$F$109,4,0))</f>
        <v/>
      </c>
      <c r="W28" s="364">
        <v>11</v>
      </c>
      <c r="X28" s="372" t="str">
        <f>IF($C28="","",W28*VLOOKUP($C28,ATELIER!$B$2:$F$109,4,0))</f>
        <v/>
      </c>
      <c r="Y28" s="364">
        <v>12</v>
      </c>
      <c r="Z28" s="372" t="str">
        <f>IF($C28="","",Y28*VLOOKUP($C28,ATELIER!$B$2:$F$109,4,0))</f>
        <v/>
      </c>
      <c r="AA28" s="364">
        <v>13</v>
      </c>
      <c r="AB28" s="372" t="str">
        <f>IF($C28="","",AA28*VLOOKUP($C28,ATELIER!$B$2:$F$109,4,0))</f>
        <v/>
      </c>
      <c r="AC28" s="364">
        <v>14</v>
      </c>
      <c r="AD28" s="372" t="str">
        <f>IF($C28="","",AC28*VLOOKUP($C28,ATELIER!$B$2:$F$109,4,0))</f>
        <v/>
      </c>
      <c r="AE28" s="364">
        <v>15</v>
      </c>
      <c r="AF28" s="372" t="str">
        <f>IF($C28="","",AE28*VLOOKUP($C28,ATELIER!$B$2:$F$109,4,0))</f>
        <v/>
      </c>
      <c r="AG28" s="364">
        <v>16</v>
      </c>
      <c r="AH28" s="372" t="str">
        <f>IF($C28="","",AG28*VLOOKUP($C28,ATELIER!$B$2:$F$109,4,0))</f>
        <v/>
      </c>
      <c r="AI28" s="364">
        <v>17</v>
      </c>
      <c r="AJ28" s="372" t="str">
        <f>IF($C28="","",AI28*VLOOKUP($C28,ATELIER!$B$2:$F$109,4,0))</f>
        <v/>
      </c>
      <c r="AK28" s="364">
        <v>18</v>
      </c>
      <c r="AL28" s="372" t="str">
        <f>IF($C28="","",AK28*VLOOKUP($C28,ATELIER!$B$2:$F$109,4,0))</f>
        <v/>
      </c>
      <c r="AM28" s="364">
        <v>19</v>
      </c>
      <c r="AN28" s="372" t="str">
        <f>IF($C28="","",AM28*VLOOKUP($C28,ATELIER!$B$2:$F$109,4,0))</f>
        <v/>
      </c>
    </row>
    <row r="29" spans="1:40" ht="15" customHeight="1" x14ac:dyDescent="0.2">
      <c r="A29" s="1552"/>
      <c r="B29" s="373" t="str">
        <f>IF($C29="","",VLOOKUP($C29,ATELIER!$B$2:$F$109,2,0))</f>
        <v/>
      </c>
      <c r="C29" s="374"/>
      <c r="D29" s="363" t="str">
        <f>IF($C29="","",VLOOKUP($C29,ATELIER!$B$2:$E$109,3,0))</f>
        <v/>
      </c>
      <c r="E29" s="364">
        <v>3</v>
      </c>
      <c r="F29" s="372" t="str">
        <f>IF($C29="","",E29*VLOOKUP($C29,ATELIER!$B$2:$F$109,4,0))</f>
        <v/>
      </c>
      <c r="G29" s="364">
        <v>4</v>
      </c>
      <c r="H29" s="372" t="str">
        <f>IF($C29="","",G29*VLOOKUP($C29,ATELIER!$B$2:$F$109,4,0))</f>
        <v/>
      </c>
      <c r="I29" s="364">
        <v>5</v>
      </c>
      <c r="J29" s="372" t="str">
        <f>IF($C29="","",I29*VLOOKUP($C29,ATELIER!$B$2:$F$109,4,0))</f>
        <v/>
      </c>
      <c r="K29" s="364">
        <v>6</v>
      </c>
      <c r="L29" s="372" t="str">
        <f>IF($C29="","",K29*VLOOKUP($C29,ATELIER!$B$2:$F$109,4,0))</f>
        <v/>
      </c>
      <c r="M29" s="364">
        <v>7</v>
      </c>
      <c r="N29" s="372" t="str">
        <f>IF($C29="","",M29*VLOOKUP($C29,ATELIER!$B$2:$F$109,4,0))</f>
        <v/>
      </c>
      <c r="O29" s="364">
        <v>8</v>
      </c>
      <c r="P29" s="372" t="str">
        <f>IF($C29="","",O29*VLOOKUP($C29,ATELIER!$B$2:$F$109,4,0))</f>
        <v/>
      </c>
      <c r="Q29" s="364">
        <v>9</v>
      </c>
      <c r="R29" s="372" t="str">
        <f>IF($C29="","",Q29*VLOOKUP($C29,ATELIER!$B$2:$F$109,4,0))</f>
        <v/>
      </c>
      <c r="S29" s="364">
        <v>10</v>
      </c>
      <c r="T29" s="372" t="str">
        <f>IF($C29="","",S29*VLOOKUP($C29,ATELIER!$B$2:$F$109,4,0))</f>
        <v/>
      </c>
      <c r="U29" s="364">
        <v>11</v>
      </c>
      <c r="V29" s="372" t="str">
        <f>IF($C29="","",U29*VLOOKUP($C29,ATELIER!$B$2:$F$109,4,0))</f>
        <v/>
      </c>
      <c r="W29" s="364">
        <v>12</v>
      </c>
      <c r="X29" s="372" t="str">
        <f>IF($C29="","",W29*VLOOKUP($C29,ATELIER!$B$2:$F$109,4,0))</f>
        <v/>
      </c>
      <c r="Y29" s="364">
        <v>13</v>
      </c>
      <c r="Z29" s="372" t="str">
        <f>IF($C29="","",Y29*VLOOKUP($C29,ATELIER!$B$2:$F$109,4,0))</f>
        <v/>
      </c>
      <c r="AA29" s="364">
        <v>14</v>
      </c>
      <c r="AB29" s="372" t="str">
        <f>IF($C29="","",AA29*VLOOKUP($C29,ATELIER!$B$2:$F$109,4,0))</f>
        <v/>
      </c>
      <c r="AC29" s="364">
        <v>15</v>
      </c>
      <c r="AD29" s="372" t="str">
        <f>IF($C29="","",AC29*VLOOKUP($C29,ATELIER!$B$2:$F$109,4,0))</f>
        <v/>
      </c>
      <c r="AE29" s="364">
        <v>16</v>
      </c>
      <c r="AF29" s="372" t="str">
        <f>IF($C29="","",AE29*VLOOKUP($C29,ATELIER!$B$2:$F$109,4,0))</f>
        <v/>
      </c>
      <c r="AG29" s="364">
        <v>17</v>
      </c>
      <c r="AH29" s="372" t="str">
        <f>IF($C29="","",AG29*VLOOKUP($C29,ATELIER!$B$2:$F$109,4,0))</f>
        <v/>
      </c>
      <c r="AI29" s="364">
        <v>18</v>
      </c>
      <c r="AJ29" s="372" t="str">
        <f>IF($C29="","",AI29*VLOOKUP($C29,ATELIER!$B$2:$F$109,4,0))</f>
        <v/>
      </c>
      <c r="AK29" s="364">
        <v>19</v>
      </c>
      <c r="AL29" s="372" t="str">
        <f>IF($C29="","",AK29*VLOOKUP($C29,ATELIER!$B$2:$F$109,4,0))</f>
        <v/>
      </c>
      <c r="AM29" s="364">
        <v>20</v>
      </c>
      <c r="AN29" s="372" t="str">
        <f>IF($C29="","",AM29*VLOOKUP($C29,ATELIER!$B$2:$F$109,4,0))</f>
        <v/>
      </c>
    </row>
    <row r="30" spans="1:40" ht="15" customHeight="1" x14ac:dyDescent="0.2">
      <c r="A30" s="1553"/>
      <c r="B30" s="361" t="str">
        <f>IF($C30="","",VLOOKUP($C30,ATELIER!$B$2:$F$109,2,0))</f>
        <v/>
      </c>
      <c r="C30" s="362"/>
      <c r="D30" s="363" t="str">
        <f>IF($C30="","",VLOOKUP($C30,ATELIER!$B$2:$E$109,3,0))</f>
        <v/>
      </c>
      <c r="E30" s="364">
        <v>4</v>
      </c>
      <c r="F30" s="372" t="str">
        <f>IF($C30="","",E30*VLOOKUP($C30,ATELIER!$B$2:$F$109,4,0))</f>
        <v/>
      </c>
      <c r="G30" s="364">
        <v>5</v>
      </c>
      <c r="H30" s="372" t="str">
        <f>IF($C30="","",G30*VLOOKUP($C30,ATELIER!$B$2:$F$109,4,0))</f>
        <v/>
      </c>
      <c r="I30" s="364">
        <v>6</v>
      </c>
      <c r="J30" s="372" t="str">
        <f>IF($C30="","",I30*VLOOKUP($C30,ATELIER!$B$2:$F$109,4,0))</f>
        <v/>
      </c>
      <c r="K30" s="364">
        <v>7</v>
      </c>
      <c r="L30" s="372" t="str">
        <f>IF($C30="","",K30*VLOOKUP($C30,ATELIER!$B$2:$F$109,4,0))</f>
        <v/>
      </c>
      <c r="M30" s="364">
        <v>8</v>
      </c>
      <c r="N30" s="372" t="str">
        <f>IF($C30="","",M30*VLOOKUP($C30,ATELIER!$B$2:$F$109,4,0))</f>
        <v/>
      </c>
      <c r="O30" s="364">
        <v>9</v>
      </c>
      <c r="P30" s="372" t="str">
        <f>IF($C30="","",O30*VLOOKUP($C30,ATELIER!$B$2:$F$109,4,0))</f>
        <v/>
      </c>
      <c r="Q30" s="364">
        <v>10</v>
      </c>
      <c r="R30" s="372" t="str">
        <f>IF($C30="","",Q30*VLOOKUP($C30,ATELIER!$B$2:$F$109,4,0))</f>
        <v/>
      </c>
      <c r="S30" s="364">
        <v>11</v>
      </c>
      <c r="T30" s="372" t="str">
        <f>IF($C30="","",S30*VLOOKUP($C30,ATELIER!$B$2:$F$109,4,0))</f>
        <v/>
      </c>
      <c r="U30" s="364">
        <v>12</v>
      </c>
      <c r="V30" s="372" t="str">
        <f>IF($C30="","",U30*VLOOKUP($C30,ATELIER!$B$2:$F$109,4,0))</f>
        <v/>
      </c>
      <c r="W30" s="364">
        <v>13</v>
      </c>
      <c r="X30" s="372" t="str">
        <f>IF($C30="","",W30*VLOOKUP($C30,ATELIER!$B$2:$F$109,4,0))</f>
        <v/>
      </c>
      <c r="Y30" s="364">
        <v>14</v>
      </c>
      <c r="Z30" s="372" t="str">
        <f>IF($C30="","",Y30*VLOOKUP($C30,ATELIER!$B$2:$F$109,4,0))</f>
        <v/>
      </c>
      <c r="AA30" s="364">
        <v>15</v>
      </c>
      <c r="AB30" s="372" t="str">
        <f>IF($C30="","",AA30*VLOOKUP($C30,ATELIER!$B$2:$F$109,4,0))</f>
        <v/>
      </c>
      <c r="AC30" s="364">
        <v>16</v>
      </c>
      <c r="AD30" s="372" t="str">
        <f>IF($C30="","",AC30*VLOOKUP($C30,ATELIER!$B$2:$F$109,4,0))</f>
        <v/>
      </c>
      <c r="AE30" s="364">
        <v>17</v>
      </c>
      <c r="AF30" s="372" t="str">
        <f>IF($C30="","",AE30*VLOOKUP($C30,ATELIER!$B$2:$F$109,4,0))</f>
        <v/>
      </c>
      <c r="AG30" s="364">
        <v>18</v>
      </c>
      <c r="AH30" s="372" t="str">
        <f>IF($C30="","",AG30*VLOOKUP($C30,ATELIER!$B$2:$F$109,4,0))</f>
        <v/>
      </c>
      <c r="AI30" s="364">
        <v>19</v>
      </c>
      <c r="AJ30" s="372" t="str">
        <f>IF($C30="","",AI30*VLOOKUP($C30,ATELIER!$B$2:$F$109,4,0))</f>
        <v/>
      </c>
      <c r="AK30" s="364">
        <v>20</v>
      </c>
      <c r="AL30" s="372" t="str">
        <f>IF($C30="","",AK30*VLOOKUP($C30,ATELIER!$B$2:$F$109,4,0))</f>
        <v/>
      </c>
      <c r="AM30" s="364">
        <v>21</v>
      </c>
      <c r="AN30" s="372" t="str">
        <f>IF($C30="","",AM30*VLOOKUP($C30,ATELIER!$B$2:$F$109,4,0))</f>
        <v/>
      </c>
    </row>
    <row r="31" spans="1:40" ht="15" customHeight="1" x14ac:dyDescent="0.2">
      <c r="A31" s="1553"/>
      <c r="B31" s="361" t="str">
        <f>IF($C31="","",VLOOKUP($C31,ATELIER!$B$2:$F$109,2,0))</f>
        <v/>
      </c>
      <c r="C31" s="362"/>
      <c r="D31" s="363" t="str">
        <f>IF($C31="","",VLOOKUP($C31,ATELIER!$B$2:$E$109,3,0))</f>
        <v/>
      </c>
      <c r="E31" s="364">
        <v>5</v>
      </c>
      <c r="F31" s="372" t="str">
        <f>IF($C31="","",E31*VLOOKUP($C31,ATELIER!$B$2:$F$109,4,0))</f>
        <v/>
      </c>
      <c r="G31" s="364">
        <v>6</v>
      </c>
      <c r="H31" s="372" t="str">
        <f>IF($C31="","",G31*VLOOKUP($C31,ATELIER!$B$2:$F$109,4,0))</f>
        <v/>
      </c>
      <c r="I31" s="364">
        <v>7</v>
      </c>
      <c r="J31" s="372" t="str">
        <f>IF($C31="","",I31*VLOOKUP($C31,ATELIER!$B$2:$F$109,4,0))</f>
        <v/>
      </c>
      <c r="K31" s="364">
        <v>8</v>
      </c>
      <c r="L31" s="372" t="str">
        <f>IF($C31="","",K31*VLOOKUP($C31,ATELIER!$B$2:$F$109,4,0))</f>
        <v/>
      </c>
      <c r="M31" s="364">
        <v>9</v>
      </c>
      <c r="N31" s="372" t="str">
        <f>IF($C31="","",M31*VLOOKUP($C31,ATELIER!$B$2:$F$109,4,0))</f>
        <v/>
      </c>
      <c r="O31" s="364">
        <v>10</v>
      </c>
      <c r="P31" s="372" t="str">
        <f>IF($C31="","",O31*VLOOKUP($C31,ATELIER!$B$2:$F$109,4,0))</f>
        <v/>
      </c>
      <c r="Q31" s="364">
        <v>11</v>
      </c>
      <c r="R31" s="372" t="str">
        <f>IF($C31="","",Q31*VLOOKUP($C31,ATELIER!$B$2:$F$109,4,0))</f>
        <v/>
      </c>
      <c r="S31" s="364">
        <v>12</v>
      </c>
      <c r="T31" s="372" t="str">
        <f>IF($C31="","",S31*VLOOKUP($C31,ATELIER!$B$2:$F$109,4,0))</f>
        <v/>
      </c>
      <c r="U31" s="364">
        <v>13</v>
      </c>
      <c r="V31" s="372" t="str">
        <f>IF($C31="","",U31*VLOOKUP($C31,ATELIER!$B$2:$F$109,4,0))</f>
        <v/>
      </c>
      <c r="W31" s="364">
        <v>14</v>
      </c>
      <c r="X31" s="372" t="str">
        <f>IF($C31="","",W31*VLOOKUP($C31,ATELIER!$B$2:$F$109,4,0))</f>
        <v/>
      </c>
      <c r="Y31" s="364">
        <v>15</v>
      </c>
      <c r="Z31" s="372" t="str">
        <f>IF($C31="","",Y31*VLOOKUP($C31,ATELIER!$B$2:$F$109,4,0))</f>
        <v/>
      </c>
      <c r="AA31" s="364">
        <v>16</v>
      </c>
      <c r="AB31" s="372" t="str">
        <f>IF($C31="","",AA31*VLOOKUP($C31,ATELIER!$B$2:$F$109,4,0))</f>
        <v/>
      </c>
      <c r="AC31" s="364">
        <v>17</v>
      </c>
      <c r="AD31" s="372" t="str">
        <f>IF($C31="","",AC31*VLOOKUP($C31,ATELIER!$B$2:$F$109,4,0))</f>
        <v/>
      </c>
      <c r="AE31" s="364">
        <v>18</v>
      </c>
      <c r="AF31" s="372" t="str">
        <f>IF($C31="","",AE31*VLOOKUP($C31,ATELIER!$B$2:$F$109,4,0))</f>
        <v/>
      </c>
      <c r="AG31" s="364">
        <v>19</v>
      </c>
      <c r="AH31" s="372" t="str">
        <f>IF($C31="","",AG31*VLOOKUP($C31,ATELIER!$B$2:$F$109,4,0))</f>
        <v/>
      </c>
      <c r="AI31" s="364">
        <v>20</v>
      </c>
      <c r="AJ31" s="372" t="str">
        <f>IF($C31="","",AI31*VLOOKUP($C31,ATELIER!$B$2:$F$109,4,0))</f>
        <v/>
      </c>
      <c r="AK31" s="364">
        <v>21</v>
      </c>
      <c r="AL31" s="372" t="str">
        <f>IF($C31="","",AK31*VLOOKUP($C31,ATELIER!$B$2:$F$109,4,0))</f>
        <v/>
      </c>
      <c r="AM31" s="364">
        <v>22</v>
      </c>
      <c r="AN31" s="372" t="str">
        <f>IF($C31="","",AM31*VLOOKUP($C31,ATELIER!$B$2:$F$109,4,0))</f>
        <v/>
      </c>
    </row>
    <row r="32" spans="1:40" ht="15" customHeight="1" x14ac:dyDescent="0.2">
      <c r="A32" s="1553"/>
      <c r="B32" s="361" t="str">
        <f>IF($C32="","",VLOOKUP($C32,ATELIER!$B$2:$F$109,2,0))</f>
        <v/>
      </c>
      <c r="C32" s="362"/>
      <c r="D32" s="363" t="str">
        <f>IF($C32="","",VLOOKUP($C32,ATELIER!$B$2:$E$109,3,0))</f>
        <v/>
      </c>
      <c r="E32" s="364">
        <v>6</v>
      </c>
      <c r="F32" s="372" t="str">
        <f>IF($C32="","",E32*VLOOKUP($C32,ATELIER!$B$2:$F$109,4,0))</f>
        <v/>
      </c>
      <c r="G32" s="364">
        <v>7</v>
      </c>
      <c r="H32" s="372" t="str">
        <f>IF($C32="","",G32*VLOOKUP($C32,ATELIER!$B$2:$F$109,4,0))</f>
        <v/>
      </c>
      <c r="I32" s="364">
        <v>8</v>
      </c>
      <c r="J32" s="372" t="str">
        <f>IF($C32="","",I32*VLOOKUP($C32,ATELIER!$B$2:$F$109,4,0))</f>
        <v/>
      </c>
      <c r="K32" s="364">
        <v>9</v>
      </c>
      <c r="L32" s="372" t="str">
        <f>IF($C32="","",K32*VLOOKUP($C32,ATELIER!$B$2:$F$109,4,0))</f>
        <v/>
      </c>
      <c r="M32" s="364">
        <v>10</v>
      </c>
      <c r="N32" s="372" t="str">
        <f>IF($C32="","",M32*VLOOKUP($C32,ATELIER!$B$2:$F$109,4,0))</f>
        <v/>
      </c>
      <c r="O32" s="364">
        <v>11</v>
      </c>
      <c r="P32" s="372" t="str">
        <f>IF($C32="","",O32*VLOOKUP($C32,ATELIER!$B$2:$F$109,4,0))</f>
        <v/>
      </c>
      <c r="Q32" s="364">
        <v>12</v>
      </c>
      <c r="R32" s="372" t="str">
        <f>IF($C32="","",Q32*VLOOKUP($C32,ATELIER!$B$2:$F$109,4,0))</f>
        <v/>
      </c>
      <c r="S32" s="364">
        <v>13</v>
      </c>
      <c r="T32" s="372" t="str">
        <f>IF($C32="","",S32*VLOOKUP($C32,ATELIER!$B$2:$F$109,4,0))</f>
        <v/>
      </c>
      <c r="U32" s="364">
        <v>14</v>
      </c>
      <c r="V32" s="372" t="str">
        <f>IF($C32="","",U32*VLOOKUP($C32,ATELIER!$B$2:$F$109,4,0))</f>
        <v/>
      </c>
      <c r="W32" s="364">
        <v>15</v>
      </c>
      <c r="X32" s="372" t="str">
        <f>IF($C32="","",W32*VLOOKUP($C32,ATELIER!$B$2:$F$109,4,0))</f>
        <v/>
      </c>
      <c r="Y32" s="364">
        <v>16</v>
      </c>
      <c r="Z32" s="372" t="str">
        <f>IF($C32="","",Y32*VLOOKUP($C32,ATELIER!$B$2:$F$109,4,0))</f>
        <v/>
      </c>
      <c r="AA32" s="364">
        <v>17</v>
      </c>
      <c r="AB32" s="372" t="str">
        <f>IF($C32="","",AA32*VLOOKUP($C32,ATELIER!$B$2:$F$109,4,0))</f>
        <v/>
      </c>
      <c r="AC32" s="364">
        <v>18</v>
      </c>
      <c r="AD32" s="372" t="str">
        <f>IF($C32="","",AC32*VLOOKUP($C32,ATELIER!$B$2:$F$109,4,0))</f>
        <v/>
      </c>
      <c r="AE32" s="364">
        <v>19</v>
      </c>
      <c r="AF32" s="372" t="str">
        <f>IF($C32="","",AE32*VLOOKUP($C32,ATELIER!$B$2:$F$109,4,0))</f>
        <v/>
      </c>
      <c r="AG32" s="364">
        <v>20</v>
      </c>
      <c r="AH32" s="372" t="str">
        <f>IF($C32="","",AG32*VLOOKUP($C32,ATELIER!$B$2:$F$109,4,0))</f>
        <v/>
      </c>
      <c r="AI32" s="364">
        <v>21</v>
      </c>
      <c r="AJ32" s="372" t="str">
        <f>IF($C32="","",AI32*VLOOKUP($C32,ATELIER!$B$2:$F$109,4,0))</f>
        <v/>
      </c>
      <c r="AK32" s="364">
        <v>22</v>
      </c>
      <c r="AL32" s="372" t="str">
        <f>IF($C32="","",AK32*VLOOKUP($C32,ATELIER!$B$2:$F$109,4,0))</f>
        <v/>
      </c>
      <c r="AM32" s="364">
        <v>23</v>
      </c>
      <c r="AN32" s="372" t="str">
        <f>IF($C32="","",AM32*VLOOKUP($C32,ATELIER!$B$2:$F$109,4,0))</f>
        <v/>
      </c>
    </row>
    <row r="33" spans="1:42" ht="15" customHeight="1" x14ac:dyDescent="0.2">
      <c r="A33" s="1553"/>
      <c r="B33" s="361" t="str">
        <f>IF($C33="","",VLOOKUP($C33,ATELIER!$B$2:$F$109,2,0))</f>
        <v/>
      </c>
      <c r="C33" s="362"/>
      <c r="D33" s="363" t="str">
        <f>IF($C33="","",VLOOKUP($C33,ATELIER!$B$2:$E$109,3,0))</f>
        <v/>
      </c>
      <c r="E33" s="364">
        <v>7</v>
      </c>
      <c r="F33" s="372" t="str">
        <f>IF($C33="","",E33*VLOOKUP($C33,ATELIER!$B$2:$F$109,4,0))</f>
        <v/>
      </c>
      <c r="G33" s="364">
        <v>8</v>
      </c>
      <c r="H33" s="372" t="str">
        <f>IF($C33="","",G33*VLOOKUP($C33,ATELIER!$B$2:$F$109,4,0))</f>
        <v/>
      </c>
      <c r="I33" s="364">
        <v>9</v>
      </c>
      <c r="J33" s="372" t="str">
        <f>IF($C33="","",I33*VLOOKUP($C33,ATELIER!$B$2:$F$109,4,0))</f>
        <v/>
      </c>
      <c r="K33" s="364">
        <v>10</v>
      </c>
      <c r="L33" s="372" t="str">
        <f>IF($C33="","",K33*VLOOKUP($C33,ATELIER!$B$2:$F$109,4,0))</f>
        <v/>
      </c>
      <c r="M33" s="364">
        <v>11</v>
      </c>
      <c r="N33" s="372" t="str">
        <f>IF($C33="","",M33*VLOOKUP($C33,ATELIER!$B$2:$F$109,4,0))</f>
        <v/>
      </c>
      <c r="O33" s="364">
        <v>12</v>
      </c>
      <c r="P33" s="372" t="str">
        <f>IF($C33="","",O33*VLOOKUP($C33,ATELIER!$B$2:$F$109,4,0))</f>
        <v/>
      </c>
      <c r="Q33" s="364">
        <v>13</v>
      </c>
      <c r="R33" s="372" t="str">
        <f>IF($C33="","",Q33*VLOOKUP($C33,ATELIER!$B$2:$F$109,4,0))</f>
        <v/>
      </c>
      <c r="S33" s="364">
        <v>14</v>
      </c>
      <c r="T33" s="372" t="str">
        <f>IF($C33="","",S33*VLOOKUP($C33,ATELIER!$B$2:$F$109,4,0))</f>
        <v/>
      </c>
      <c r="U33" s="364">
        <v>15</v>
      </c>
      <c r="V33" s="372" t="str">
        <f>IF($C33="","",U33*VLOOKUP($C33,ATELIER!$B$2:$F$109,4,0))</f>
        <v/>
      </c>
      <c r="W33" s="364">
        <v>16</v>
      </c>
      <c r="X33" s="372" t="str">
        <f>IF($C33="","",W33*VLOOKUP($C33,ATELIER!$B$2:$F$109,4,0))</f>
        <v/>
      </c>
      <c r="Y33" s="364">
        <v>17</v>
      </c>
      <c r="Z33" s="372" t="str">
        <f>IF($C33="","",Y33*VLOOKUP($C33,ATELIER!$B$2:$F$109,4,0))</f>
        <v/>
      </c>
      <c r="AA33" s="364">
        <v>18</v>
      </c>
      <c r="AB33" s="372" t="str">
        <f>IF($C33="","",AA33*VLOOKUP($C33,ATELIER!$B$2:$F$109,4,0))</f>
        <v/>
      </c>
      <c r="AC33" s="364">
        <v>19</v>
      </c>
      <c r="AD33" s="372" t="str">
        <f>IF($C33="","",AC33*VLOOKUP($C33,ATELIER!$B$2:$F$109,4,0))</f>
        <v/>
      </c>
      <c r="AE33" s="364">
        <v>20</v>
      </c>
      <c r="AF33" s="372" t="str">
        <f>IF($C33="","",AE33*VLOOKUP($C33,ATELIER!$B$2:$F$109,4,0))</f>
        <v/>
      </c>
      <c r="AG33" s="364">
        <v>21</v>
      </c>
      <c r="AH33" s="372" t="str">
        <f>IF($C33="","",AG33*VLOOKUP($C33,ATELIER!$B$2:$F$109,4,0))</f>
        <v/>
      </c>
      <c r="AI33" s="364">
        <v>22</v>
      </c>
      <c r="AJ33" s="372" t="str">
        <f>IF($C33="","",AI33*VLOOKUP($C33,ATELIER!$B$2:$F$109,4,0))</f>
        <v/>
      </c>
      <c r="AK33" s="364">
        <v>23</v>
      </c>
      <c r="AL33" s="372" t="str">
        <f>IF($C33="","",AK33*VLOOKUP($C33,ATELIER!$B$2:$F$109,4,0))</f>
        <v/>
      </c>
      <c r="AM33" s="364">
        <v>24</v>
      </c>
      <c r="AN33" s="372" t="str">
        <f>IF($C33="","",AM33*VLOOKUP($C33,ATELIER!$B$2:$F$109,4,0))</f>
        <v/>
      </c>
    </row>
    <row r="34" spans="1:42" ht="15" customHeight="1" x14ac:dyDescent="0.2">
      <c r="A34" s="1553"/>
      <c r="B34" s="361" t="str">
        <f>IF($C34="","",VLOOKUP($C34,ATELIER!$B$2:$F$109,2,0))</f>
        <v/>
      </c>
      <c r="C34" s="362"/>
      <c r="D34" s="363" t="str">
        <f>IF($C34="","",VLOOKUP($C34,ATELIER!$B$2:$E$109,3,0))</f>
        <v/>
      </c>
      <c r="E34" s="364">
        <v>8</v>
      </c>
      <c r="F34" s="372" t="str">
        <f>IF($C34="","",E34*VLOOKUP($C34,ATELIER!$B$2:$F$109,4,0))</f>
        <v/>
      </c>
      <c r="G34" s="364">
        <v>9</v>
      </c>
      <c r="H34" s="372" t="str">
        <f>IF($C34="","",G34*VLOOKUP($C34,ATELIER!$B$2:$F$109,4,0))</f>
        <v/>
      </c>
      <c r="I34" s="364">
        <v>10</v>
      </c>
      <c r="J34" s="372" t="str">
        <f>IF($C34="","",I34*VLOOKUP($C34,ATELIER!$B$2:$F$109,4,0))</f>
        <v/>
      </c>
      <c r="K34" s="364">
        <v>11</v>
      </c>
      <c r="L34" s="372" t="str">
        <f>IF($C34="","",K34*VLOOKUP($C34,ATELIER!$B$2:$F$109,4,0))</f>
        <v/>
      </c>
      <c r="M34" s="364">
        <v>12</v>
      </c>
      <c r="N34" s="372" t="str">
        <f>IF($C34="","",M34*VLOOKUP($C34,ATELIER!$B$2:$F$109,4,0))</f>
        <v/>
      </c>
      <c r="O34" s="364">
        <v>13</v>
      </c>
      <c r="P34" s="372" t="str">
        <f>IF($C34="","",O34*VLOOKUP($C34,ATELIER!$B$2:$F$109,4,0))</f>
        <v/>
      </c>
      <c r="Q34" s="364">
        <v>14</v>
      </c>
      <c r="R34" s="372" t="str">
        <f>IF($C34="","",Q34*VLOOKUP($C34,ATELIER!$B$2:$F$109,4,0))</f>
        <v/>
      </c>
      <c r="S34" s="364">
        <v>15</v>
      </c>
      <c r="T34" s="372" t="str">
        <f>IF($C34="","",S34*VLOOKUP($C34,ATELIER!$B$2:$F$109,4,0))</f>
        <v/>
      </c>
      <c r="U34" s="364">
        <v>16</v>
      </c>
      <c r="V34" s="372" t="str">
        <f>IF($C34="","",U34*VLOOKUP($C34,ATELIER!$B$2:$F$109,4,0))</f>
        <v/>
      </c>
      <c r="W34" s="364">
        <v>17</v>
      </c>
      <c r="X34" s="372" t="str">
        <f>IF($C34="","",W34*VLOOKUP($C34,ATELIER!$B$2:$F$109,4,0))</f>
        <v/>
      </c>
      <c r="Y34" s="364">
        <v>18</v>
      </c>
      <c r="Z34" s="372" t="str">
        <f>IF($C34="","",Y34*VLOOKUP($C34,ATELIER!$B$2:$F$109,4,0))</f>
        <v/>
      </c>
      <c r="AA34" s="364">
        <v>19</v>
      </c>
      <c r="AB34" s="372" t="str">
        <f>IF($C34="","",AA34*VLOOKUP($C34,ATELIER!$B$2:$F$109,4,0))</f>
        <v/>
      </c>
      <c r="AC34" s="364">
        <v>20</v>
      </c>
      <c r="AD34" s="372" t="str">
        <f>IF($C34="","",AC34*VLOOKUP($C34,ATELIER!$B$2:$F$109,4,0))</f>
        <v/>
      </c>
      <c r="AE34" s="364">
        <v>21</v>
      </c>
      <c r="AF34" s="372" t="str">
        <f>IF($C34="","",AE34*VLOOKUP($C34,ATELIER!$B$2:$F$109,4,0))</f>
        <v/>
      </c>
      <c r="AG34" s="364">
        <v>22</v>
      </c>
      <c r="AH34" s="372" t="str">
        <f>IF($C34="","",AG34*VLOOKUP($C34,ATELIER!$B$2:$F$109,4,0))</f>
        <v/>
      </c>
      <c r="AI34" s="364">
        <v>23</v>
      </c>
      <c r="AJ34" s="372" t="str">
        <f>IF($C34="","",AI34*VLOOKUP($C34,ATELIER!$B$2:$F$109,4,0))</f>
        <v/>
      </c>
      <c r="AK34" s="364">
        <v>24</v>
      </c>
      <c r="AL34" s="372" t="str">
        <f>IF($C34="","",AK34*VLOOKUP($C34,ATELIER!$B$2:$F$109,4,0))</f>
        <v/>
      </c>
      <c r="AM34" s="364">
        <v>25</v>
      </c>
      <c r="AN34" s="372" t="str">
        <f>IF($C34="","",AM34*VLOOKUP($C34,ATELIER!$B$2:$F$109,4,0))</f>
        <v/>
      </c>
      <c r="AO34" s="222"/>
      <c r="AP34" s="223"/>
    </row>
    <row r="35" spans="1:42" ht="15" customHeight="1" x14ac:dyDescent="0.2">
      <c r="A35" s="1553"/>
      <c r="B35" s="361" t="str">
        <f>IF($C35="","",VLOOKUP($C35,ATELIER!$B$2:$F$109,2,0))</f>
        <v/>
      </c>
      <c r="C35" s="362"/>
      <c r="D35" s="363" t="str">
        <f>IF($C35="","",VLOOKUP($C35,ATELIER!$B$2:$E$109,3,0))</f>
        <v/>
      </c>
      <c r="E35" s="364">
        <v>9</v>
      </c>
      <c r="F35" s="372" t="str">
        <f>IF($C35="","",E35*VLOOKUP($C35,ATELIER!$B$2:$F$109,4,0))</f>
        <v/>
      </c>
      <c r="G35" s="364">
        <v>10</v>
      </c>
      <c r="H35" s="372" t="str">
        <f>IF($C35="","",G35*VLOOKUP($C35,ATELIER!$B$2:$F$109,4,0))</f>
        <v/>
      </c>
      <c r="I35" s="364">
        <v>11</v>
      </c>
      <c r="J35" s="372" t="str">
        <f>IF($C35="","",I35*VLOOKUP($C35,ATELIER!$B$2:$F$109,4,0))</f>
        <v/>
      </c>
      <c r="K35" s="364">
        <v>12</v>
      </c>
      <c r="L35" s="372" t="str">
        <f>IF($C35="","",K35*VLOOKUP($C35,ATELIER!$B$2:$F$109,4,0))</f>
        <v/>
      </c>
      <c r="M35" s="364">
        <v>13</v>
      </c>
      <c r="N35" s="372" t="str">
        <f>IF($C35="","",M35*VLOOKUP($C35,ATELIER!$B$2:$F$109,4,0))</f>
        <v/>
      </c>
      <c r="O35" s="364">
        <v>14</v>
      </c>
      <c r="P35" s="372" t="str">
        <f>IF($C35="","",O35*VLOOKUP($C35,ATELIER!$B$2:$F$109,4,0))</f>
        <v/>
      </c>
      <c r="Q35" s="364">
        <v>15</v>
      </c>
      <c r="R35" s="372" t="str">
        <f>IF($C35="","",Q35*VLOOKUP($C35,ATELIER!$B$2:$F$109,4,0))</f>
        <v/>
      </c>
      <c r="S35" s="364">
        <v>16</v>
      </c>
      <c r="T35" s="372" t="str">
        <f>IF($C35="","",S35*VLOOKUP($C35,ATELIER!$B$2:$F$109,4,0))</f>
        <v/>
      </c>
      <c r="U35" s="364">
        <v>17</v>
      </c>
      <c r="V35" s="372" t="str">
        <f>IF($C35="","",U35*VLOOKUP($C35,ATELIER!$B$2:$F$109,4,0))</f>
        <v/>
      </c>
      <c r="W35" s="364">
        <v>18</v>
      </c>
      <c r="X35" s="372" t="str">
        <f>IF($C35="","",W35*VLOOKUP($C35,ATELIER!$B$2:$F$109,4,0))</f>
        <v/>
      </c>
      <c r="Y35" s="364">
        <v>19</v>
      </c>
      <c r="Z35" s="372" t="str">
        <f>IF($C35="","",Y35*VLOOKUP($C35,ATELIER!$B$2:$F$109,4,0))</f>
        <v/>
      </c>
      <c r="AA35" s="364">
        <v>20</v>
      </c>
      <c r="AB35" s="372" t="str">
        <f>IF($C35="","",AA35*VLOOKUP($C35,ATELIER!$B$2:$F$109,4,0))</f>
        <v/>
      </c>
      <c r="AC35" s="364">
        <v>21</v>
      </c>
      <c r="AD35" s="372" t="str">
        <f>IF($C35="","",AC35*VLOOKUP($C35,ATELIER!$B$2:$F$109,4,0))</f>
        <v/>
      </c>
      <c r="AE35" s="364">
        <v>22</v>
      </c>
      <c r="AF35" s="372" t="str">
        <f>IF($C35="","",AE35*VLOOKUP($C35,ATELIER!$B$2:$F$109,4,0))</f>
        <v/>
      </c>
      <c r="AG35" s="364">
        <v>23</v>
      </c>
      <c r="AH35" s="372" t="str">
        <f>IF($C35="","",AG35*VLOOKUP($C35,ATELIER!$B$2:$F$109,4,0))</f>
        <v/>
      </c>
      <c r="AI35" s="364">
        <v>24</v>
      </c>
      <c r="AJ35" s="372" t="str">
        <f>IF($C35="","",AI35*VLOOKUP($C35,ATELIER!$B$2:$F$109,4,0))</f>
        <v/>
      </c>
      <c r="AK35" s="364">
        <v>25</v>
      </c>
      <c r="AL35" s="372" t="str">
        <f>IF($C35="","",AK35*VLOOKUP($C35,ATELIER!$B$2:$F$109,4,0))</f>
        <v/>
      </c>
      <c r="AM35" s="364">
        <v>26</v>
      </c>
      <c r="AN35" s="372" t="str">
        <f>IF($C35="","",AM35*VLOOKUP($C35,ATELIER!$B$2:$F$109,4,0))</f>
        <v/>
      </c>
      <c r="AO35" s="203"/>
      <c r="AP35" s="158"/>
    </row>
    <row r="36" spans="1:42" ht="15" customHeight="1" x14ac:dyDescent="0.2">
      <c r="A36" s="1553"/>
      <c r="B36" s="361" t="str">
        <f>IF($C36="","",VLOOKUP($C36,ATELIER!$B$2:$F$109,2,0))</f>
        <v/>
      </c>
      <c r="C36" s="362"/>
      <c r="D36" s="363" t="str">
        <f>IF($C36="","",VLOOKUP($C36,ATELIER!$B$2:$E$109,3,0))</f>
        <v/>
      </c>
      <c r="E36" s="364">
        <v>10</v>
      </c>
      <c r="F36" s="372" t="str">
        <f>IF($C36="","",E36*VLOOKUP($C36,ATELIER!$B$2:$F$109,4,0))</f>
        <v/>
      </c>
      <c r="G36" s="364">
        <v>11</v>
      </c>
      <c r="H36" s="372" t="str">
        <f>IF($C36="","",G36*VLOOKUP($C36,ATELIER!$B$2:$F$109,4,0))</f>
        <v/>
      </c>
      <c r="I36" s="364">
        <v>12</v>
      </c>
      <c r="J36" s="372" t="str">
        <f>IF($C36="","",I36*VLOOKUP($C36,ATELIER!$B$2:$F$109,4,0))</f>
        <v/>
      </c>
      <c r="K36" s="364">
        <v>13</v>
      </c>
      <c r="L36" s="372" t="str">
        <f>IF($C36="","",K36*VLOOKUP($C36,ATELIER!$B$2:$F$109,4,0))</f>
        <v/>
      </c>
      <c r="M36" s="364">
        <v>14</v>
      </c>
      <c r="N36" s="372" t="str">
        <f>IF($C36="","",M36*VLOOKUP($C36,ATELIER!$B$2:$F$109,4,0))</f>
        <v/>
      </c>
      <c r="O36" s="364">
        <v>15</v>
      </c>
      <c r="P36" s="372" t="str">
        <f>IF($C36="","",O36*VLOOKUP($C36,ATELIER!$B$2:$F$109,4,0))</f>
        <v/>
      </c>
      <c r="Q36" s="364">
        <v>16</v>
      </c>
      <c r="R36" s="372" t="str">
        <f>IF($C36="","",Q36*VLOOKUP($C36,ATELIER!$B$2:$F$109,4,0))</f>
        <v/>
      </c>
      <c r="S36" s="364">
        <v>17</v>
      </c>
      <c r="T36" s="372" t="str">
        <f>IF($C36="","",S36*VLOOKUP($C36,ATELIER!$B$2:$F$109,4,0))</f>
        <v/>
      </c>
      <c r="U36" s="364">
        <v>18</v>
      </c>
      <c r="V36" s="372" t="str">
        <f>IF($C36="","",U36*VLOOKUP($C36,ATELIER!$B$2:$F$109,4,0))</f>
        <v/>
      </c>
      <c r="W36" s="364">
        <v>19</v>
      </c>
      <c r="X36" s="372" t="str">
        <f>IF($C36="","",W36*VLOOKUP($C36,ATELIER!$B$2:$F$109,4,0))</f>
        <v/>
      </c>
      <c r="Y36" s="364">
        <v>20</v>
      </c>
      <c r="Z36" s="372" t="str">
        <f>IF($C36="","",Y36*VLOOKUP($C36,ATELIER!$B$2:$F$109,4,0))</f>
        <v/>
      </c>
      <c r="AA36" s="364">
        <v>21</v>
      </c>
      <c r="AB36" s="372" t="str">
        <f>IF($C36="","",AA36*VLOOKUP($C36,ATELIER!$B$2:$F$109,4,0))</f>
        <v/>
      </c>
      <c r="AC36" s="364">
        <v>22</v>
      </c>
      <c r="AD36" s="372" t="str">
        <f>IF($C36="","",AC36*VLOOKUP($C36,ATELIER!$B$2:$F$109,4,0))</f>
        <v/>
      </c>
      <c r="AE36" s="364">
        <v>23</v>
      </c>
      <c r="AF36" s="372" t="str">
        <f>IF($C36="","",AE36*VLOOKUP($C36,ATELIER!$B$2:$F$109,4,0))</f>
        <v/>
      </c>
      <c r="AG36" s="364">
        <v>24</v>
      </c>
      <c r="AH36" s="372" t="str">
        <f>IF($C36="","",AG36*VLOOKUP($C36,ATELIER!$B$2:$F$109,4,0))</f>
        <v/>
      </c>
      <c r="AI36" s="364">
        <v>25</v>
      </c>
      <c r="AJ36" s="372" t="str">
        <f>IF($C36="","",AI36*VLOOKUP($C36,ATELIER!$B$2:$F$109,4,0))</f>
        <v/>
      </c>
      <c r="AK36" s="364">
        <v>26</v>
      </c>
      <c r="AL36" s="372" t="str">
        <f>IF($C36="","",AK36*VLOOKUP($C36,ATELIER!$B$2:$F$109,4,0))</f>
        <v/>
      </c>
      <c r="AM36" s="364">
        <v>27</v>
      </c>
      <c r="AN36" s="372" t="str">
        <f>IF($C36="","",AM36*VLOOKUP($C36,ATELIER!$B$2:$F$109,4,0))</f>
        <v/>
      </c>
      <c r="AO36" s="203"/>
      <c r="AP36" s="158"/>
    </row>
    <row r="37" spans="1:42" ht="15" customHeight="1" x14ac:dyDescent="0.2">
      <c r="A37" s="1553"/>
      <c r="B37" s="361" t="str">
        <f>IF($C37="","",VLOOKUP($C37,ATELIER!$B$2:$F$109,2,0))</f>
        <v/>
      </c>
      <c r="C37" s="362"/>
      <c r="D37" s="363" t="str">
        <f>IF($C37="","",VLOOKUP($C37,ATELIER!$B$2:$E$109,3,0))</f>
        <v/>
      </c>
      <c r="E37" s="364">
        <v>11</v>
      </c>
      <c r="F37" s="372" t="str">
        <f>IF($C37="","",E37*VLOOKUP($C37,ATELIER!$B$2:$F$109,4,0))</f>
        <v/>
      </c>
      <c r="G37" s="364">
        <v>12</v>
      </c>
      <c r="H37" s="372" t="str">
        <f>IF($C37="","",G37*VLOOKUP($C37,ATELIER!$B$2:$F$109,4,0))</f>
        <v/>
      </c>
      <c r="I37" s="364">
        <v>13</v>
      </c>
      <c r="J37" s="372" t="str">
        <f>IF($C37="","",I37*VLOOKUP($C37,ATELIER!$B$2:$F$109,4,0))</f>
        <v/>
      </c>
      <c r="K37" s="364">
        <v>14</v>
      </c>
      <c r="L37" s="372" t="str">
        <f>IF($C37="","",K37*VLOOKUP($C37,ATELIER!$B$2:$F$109,4,0))</f>
        <v/>
      </c>
      <c r="M37" s="364">
        <v>15</v>
      </c>
      <c r="N37" s="372" t="str">
        <f>IF($C37="","",M37*VLOOKUP($C37,ATELIER!$B$2:$F$109,4,0))</f>
        <v/>
      </c>
      <c r="O37" s="364">
        <v>16</v>
      </c>
      <c r="P37" s="372" t="str">
        <f>IF($C37="","",O37*VLOOKUP($C37,ATELIER!$B$2:$F$109,4,0))</f>
        <v/>
      </c>
      <c r="Q37" s="364">
        <v>17</v>
      </c>
      <c r="R37" s="372" t="str">
        <f>IF($C37="","",Q37*VLOOKUP($C37,ATELIER!$B$2:$F$109,4,0))</f>
        <v/>
      </c>
      <c r="S37" s="364">
        <v>18</v>
      </c>
      <c r="T37" s="372" t="str">
        <f>IF($C37="","",S37*VLOOKUP($C37,ATELIER!$B$2:$F$109,4,0))</f>
        <v/>
      </c>
      <c r="U37" s="364">
        <v>19</v>
      </c>
      <c r="V37" s="372" t="str">
        <f>IF($C37="","",U37*VLOOKUP($C37,ATELIER!$B$2:$F$109,4,0))</f>
        <v/>
      </c>
      <c r="W37" s="364">
        <v>20</v>
      </c>
      <c r="X37" s="372" t="str">
        <f>IF($C37="","",W37*VLOOKUP($C37,ATELIER!$B$2:$F$109,4,0))</f>
        <v/>
      </c>
      <c r="Y37" s="364">
        <v>21</v>
      </c>
      <c r="Z37" s="372" t="str">
        <f>IF($C37="","",Y37*VLOOKUP($C37,ATELIER!$B$2:$F$109,4,0))</f>
        <v/>
      </c>
      <c r="AA37" s="364">
        <v>22</v>
      </c>
      <c r="AB37" s="372" t="str">
        <f>IF($C37="","",AA37*VLOOKUP($C37,ATELIER!$B$2:$F$109,4,0))</f>
        <v/>
      </c>
      <c r="AC37" s="364">
        <v>23</v>
      </c>
      <c r="AD37" s="372" t="str">
        <f>IF($C37="","",AC37*VLOOKUP($C37,ATELIER!$B$2:$F$109,4,0))</f>
        <v/>
      </c>
      <c r="AE37" s="364">
        <v>24</v>
      </c>
      <c r="AF37" s="372" t="str">
        <f>IF($C37="","",AE37*VLOOKUP($C37,ATELIER!$B$2:$F$109,4,0))</f>
        <v/>
      </c>
      <c r="AG37" s="364">
        <v>25</v>
      </c>
      <c r="AH37" s="372" t="str">
        <f>IF($C37="","",AG37*VLOOKUP($C37,ATELIER!$B$2:$F$109,4,0))</f>
        <v/>
      </c>
      <c r="AI37" s="364">
        <v>26</v>
      </c>
      <c r="AJ37" s="372" t="str">
        <f>IF($C37="","",AI37*VLOOKUP($C37,ATELIER!$B$2:$F$109,4,0))</f>
        <v/>
      </c>
      <c r="AK37" s="364">
        <v>27</v>
      </c>
      <c r="AL37" s="372" t="str">
        <f>IF($C37="","",AK37*VLOOKUP($C37,ATELIER!$B$2:$F$109,4,0))</f>
        <v/>
      </c>
      <c r="AM37" s="364">
        <v>28</v>
      </c>
      <c r="AN37" s="372" t="str">
        <f>IF($C37="","",AM37*VLOOKUP($C37,ATELIER!$B$2:$F$109,4,0))</f>
        <v/>
      </c>
      <c r="AO37" s="155"/>
      <c r="AP37" s="155"/>
    </row>
    <row r="38" spans="1:42" ht="35.25" customHeight="1" x14ac:dyDescent="0.2">
      <c r="A38" s="1553"/>
      <c r="B38" s="375" t="s">
        <v>449</v>
      </c>
      <c r="C38" s="376" t="s">
        <v>450</v>
      </c>
      <c r="D38" s="377" t="s">
        <v>451</v>
      </c>
      <c r="E38" s="376" t="e">
        <f>F38*Simulation!$P$8</f>
        <v>#N/A</v>
      </c>
      <c r="F38" s="377" t="e">
        <f>SUM(F27:F37)</f>
        <v>#N/A</v>
      </c>
      <c r="G38" s="376" t="e">
        <f>H38*Simulation!$P$8</f>
        <v>#N/A</v>
      </c>
      <c r="H38" s="377" t="e">
        <f>SUM(H27:H37)</f>
        <v>#N/A</v>
      </c>
      <c r="I38" s="376" t="e">
        <f>J38*Simulation!$P$8</f>
        <v>#N/A</v>
      </c>
      <c r="J38" s="377" t="e">
        <f>SUM(J27:J37)</f>
        <v>#N/A</v>
      </c>
      <c r="K38" s="376" t="e">
        <f>L38*Simulation!$P$8</f>
        <v>#N/A</v>
      </c>
      <c r="L38" s="377" t="e">
        <f>SUM(L27:L37)</f>
        <v>#N/A</v>
      </c>
      <c r="M38" s="376" t="e">
        <f>N38*Simulation!$P$8</f>
        <v>#N/A</v>
      </c>
      <c r="N38" s="377" t="e">
        <f>SUM(N27:N37)</f>
        <v>#N/A</v>
      </c>
      <c r="O38" s="376" t="e">
        <f>P38*Simulation!$P$8</f>
        <v>#N/A</v>
      </c>
      <c r="P38" s="377" t="e">
        <f>SUM(P27:P37)</f>
        <v>#N/A</v>
      </c>
      <c r="Q38" s="376" t="e">
        <f>R38*Simulation!$P$8</f>
        <v>#N/A</v>
      </c>
      <c r="R38" s="377" t="e">
        <f>SUM(R27:R37)</f>
        <v>#N/A</v>
      </c>
      <c r="S38" s="376" t="e">
        <f>T38*Simulation!$P$8</f>
        <v>#N/A</v>
      </c>
      <c r="T38" s="377" t="e">
        <f>SUM(T27:T37)</f>
        <v>#N/A</v>
      </c>
      <c r="U38" s="376" t="e">
        <f>V38*Simulation!$P$8</f>
        <v>#N/A</v>
      </c>
      <c r="V38" s="377" t="e">
        <f>SUM(V27:V37)</f>
        <v>#N/A</v>
      </c>
      <c r="W38" s="376" t="e">
        <f>X38*Simulation!$P$8</f>
        <v>#N/A</v>
      </c>
      <c r="X38" s="377" t="e">
        <f>SUM(X27:X37)</f>
        <v>#N/A</v>
      </c>
      <c r="Y38" s="376" t="e">
        <f>Z38*Simulation!$P$8</f>
        <v>#N/A</v>
      </c>
      <c r="Z38" s="377" t="e">
        <f>SUM(Z27:Z37)</f>
        <v>#N/A</v>
      </c>
      <c r="AA38" s="376" t="e">
        <f>AB38*Simulation!$P$8</f>
        <v>#N/A</v>
      </c>
      <c r="AB38" s="377" t="e">
        <f>SUM(AB27:AB37)</f>
        <v>#N/A</v>
      </c>
      <c r="AC38" s="376" t="e">
        <f>AD38*Simulation!$P$8</f>
        <v>#N/A</v>
      </c>
      <c r="AD38" s="377" t="e">
        <f>SUM(AD27:AD37)</f>
        <v>#N/A</v>
      </c>
      <c r="AE38" s="376" t="e">
        <f>AF38*Simulation!$P$8</f>
        <v>#N/A</v>
      </c>
      <c r="AF38" s="377" t="e">
        <f>SUM(AF27:AF37)</f>
        <v>#N/A</v>
      </c>
      <c r="AG38" s="376" t="e">
        <f>AH38*Simulation!$P$8</f>
        <v>#N/A</v>
      </c>
      <c r="AH38" s="377" t="e">
        <f>SUM(AH27:AH37)</f>
        <v>#N/A</v>
      </c>
      <c r="AI38" s="376" t="e">
        <f>AJ38*Simulation!$P$8</f>
        <v>#N/A</v>
      </c>
      <c r="AJ38" s="377" t="e">
        <f>SUM(AJ27:AJ37)</f>
        <v>#N/A</v>
      </c>
      <c r="AK38" s="376" t="e">
        <f>AL38*Simulation!$P$8</f>
        <v>#N/A</v>
      </c>
      <c r="AL38" s="377" t="e">
        <f>SUM(AL27:AL37)</f>
        <v>#N/A</v>
      </c>
      <c r="AM38" s="376" t="e">
        <f>AN38*Simulation!$P$8</f>
        <v>#N/A</v>
      </c>
      <c r="AN38" s="377" t="e">
        <f>SUM(AN27:AN37)</f>
        <v>#N/A</v>
      </c>
      <c r="AO38" s="224"/>
      <c r="AP38" s="224"/>
    </row>
    <row r="39" spans="1:42" ht="15" customHeight="1" x14ac:dyDescent="0.2">
      <c r="A39" s="1554" t="s">
        <v>452</v>
      </c>
      <c r="B39" s="361" t="s">
        <v>1082</v>
      </c>
      <c r="C39" s="378" t="s">
        <v>378</v>
      </c>
      <c r="D39" s="363" t="str">
        <f>IF(C39="","",VLOOKUP($C39,CHANTIER!$A$2:$C$83,3,0))</f>
        <v>forfait</v>
      </c>
      <c r="E39" s="364">
        <v>1</v>
      </c>
      <c r="F39" s="372">
        <f>IF($C39="","",E39*VLOOKUP($C39,CHANTIER!$A$2:$D$83,4,0))</f>
        <v>0.25</v>
      </c>
      <c r="G39" s="364">
        <v>2</v>
      </c>
      <c r="H39" s="372">
        <f>IF($C39="","",G39*VLOOKUP($C39,CHANTIER!$A$2:$D$83,4,0))</f>
        <v>0.5</v>
      </c>
      <c r="I39" s="364">
        <v>3</v>
      </c>
      <c r="J39" s="372">
        <f>IF($C39="","",I39*VLOOKUP($C39,CHANTIER!$A$2:$D$83,4,0))</f>
        <v>0.75</v>
      </c>
      <c r="K39" s="364">
        <v>4</v>
      </c>
      <c r="L39" s="372">
        <f>IF($C39="","",K39*VLOOKUP($C39,CHANTIER!$A$2:$D$83,4,0))</f>
        <v>1</v>
      </c>
      <c r="M39" s="364">
        <v>5</v>
      </c>
      <c r="N39" s="372">
        <f>IF($C39="","",M39*VLOOKUP($C39,CHANTIER!$A$2:$D$83,4,0))</f>
        <v>1.25</v>
      </c>
      <c r="O39" s="364">
        <v>6</v>
      </c>
      <c r="P39" s="372">
        <f>IF($C39="","",O39*VLOOKUP($C39,CHANTIER!$A$2:$D$83,4,0))</f>
        <v>1.5</v>
      </c>
      <c r="Q39" s="364">
        <v>7</v>
      </c>
      <c r="R39" s="372">
        <f>IF($C39="","",Q39*VLOOKUP($C39,CHANTIER!$A$2:$D$83,4,0))</f>
        <v>1.75</v>
      </c>
      <c r="S39" s="364">
        <v>8</v>
      </c>
      <c r="T39" s="372">
        <f>IF($C39="","",S39*VLOOKUP($C39,CHANTIER!$A$2:$D$83,4,0))</f>
        <v>2</v>
      </c>
      <c r="U39" s="364">
        <v>9</v>
      </c>
      <c r="V39" s="372">
        <f>IF($C39="","",U39*VLOOKUP($C39,CHANTIER!$A$2:$D$83,4,0))</f>
        <v>2.25</v>
      </c>
      <c r="W39" s="364">
        <v>10</v>
      </c>
      <c r="X39" s="372">
        <f>IF($C39="","",W39*VLOOKUP($C39,CHANTIER!$A$2:$D$83,4,0))</f>
        <v>2.5</v>
      </c>
      <c r="Y39" s="364">
        <v>11</v>
      </c>
      <c r="Z39" s="372">
        <f>IF($C39="","",Y39*VLOOKUP($C39,CHANTIER!$A$2:$D$83,4,0))</f>
        <v>2.75</v>
      </c>
      <c r="AA39" s="364">
        <v>12</v>
      </c>
      <c r="AB39" s="372">
        <f>IF($C39="","",AA39*VLOOKUP($C39,CHANTIER!$A$2:$D$83,4,0))</f>
        <v>3</v>
      </c>
      <c r="AC39" s="364">
        <v>13</v>
      </c>
      <c r="AD39" s="372">
        <f>IF($C39="","",AC39*VLOOKUP($C39,CHANTIER!$A$2:$D$83,4,0))</f>
        <v>3.25</v>
      </c>
      <c r="AE39" s="364">
        <v>14</v>
      </c>
      <c r="AF39" s="372">
        <f>IF($C39="","",AE39*VLOOKUP($C39,CHANTIER!$A$2:$D$83,4,0))</f>
        <v>3.5</v>
      </c>
      <c r="AG39" s="364">
        <v>15</v>
      </c>
      <c r="AH39" s="372">
        <f>IF($C39="","",AG39*VLOOKUP($C39,CHANTIER!$A$2:$D$83,4,0))</f>
        <v>3.75</v>
      </c>
      <c r="AI39" s="364">
        <v>16</v>
      </c>
      <c r="AJ39" s="372">
        <f>IF($C39="","",AI39*VLOOKUP($C39,CHANTIER!$A$2:$D$83,4,0))</f>
        <v>4</v>
      </c>
      <c r="AK39" s="364">
        <v>17</v>
      </c>
      <c r="AL39" s="372">
        <f>IF($C39="","",AK39*VLOOKUP($C39,CHANTIER!$A$2:$D$83,4,0))</f>
        <v>4.25</v>
      </c>
      <c r="AM39" s="364">
        <v>18</v>
      </c>
      <c r="AN39" s="372">
        <f>IF($C39="","",AM39*VLOOKUP($C39,CHANTIER!$A$2:$D$83,4,0))</f>
        <v>4.5</v>
      </c>
      <c r="AO39" s="224"/>
      <c r="AP39" s="224"/>
    </row>
    <row r="40" spans="1:42" ht="15" customHeight="1" x14ac:dyDescent="0.2">
      <c r="A40" s="1554"/>
      <c r="B40" s="361"/>
      <c r="C40" s="378"/>
      <c r="D40" s="363" t="str">
        <f>IF(C40="","",VLOOKUP($C40,CHANTIER!$A$2:$C$83,3,0))</f>
        <v/>
      </c>
      <c r="E40" s="364">
        <v>2</v>
      </c>
      <c r="F40" s="372" t="str">
        <f>IF($C40="","",E40*VLOOKUP($C40,CHANTIER!$A$2:$D$83,4,0))</f>
        <v/>
      </c>
      <c r="G40" s="364">
        <v>3</v>
      </c>
      <c r="H40" s="372" t="str">
        <f>IF($C40="","",G40*VLOOKUP($C40,CHANTIER!$A$2:$D$83,4,0))</f>
        <v/>
      </c>
      <c r="I40" s="364">
        <v>4</v>
      </c>
      <c r="J40" s="372" t="str">
        <f>IF($C40="","",I40*VLOOKUP($C40,CHANTIER!$A$2:$D$83,4,0))</f>
        <v/>
      </c>
      <c r="K40" s="364">
        <v>5</v>
      </c>
      <c r="L40" s="372" t="str">
        <f>IF($C40="","",K40*VLOOKUP($C40,CHANTIER!$A$2:$D$83,4,0))</f>
        <v/>
      </c>
      <c r="M40" s="364">
        <v>6</v>
      </c>
      <c r="N40" s="372" t="str">
        <f>IF($C40="","",M40*VLOOKUP($C40,CHANTIER!$A$2:$D$83,4,0))</f>
        <v/>
      </c>
      <c r="O40" s="364">
        <v>7</v>
      </c>
      <c r="P40" s="372" t="str">
        <f>IF($C40="","",O40*VLOOKUP($C40,CHANTIER!$A$2:$D$83,4,0))</f>
        <v/>
      </c>
      <c r="Q40" s="364">
        <v>8</v>
      </c>
      <c r="R40" s="372" t="str">
        <f>IF($C40="","",Q40*VLOOKUP($C40,CHANTIER!$A$2:$D$83,4,0))</f>
        <v/>
      </c>
      <c r="S40" s="364">
        <v>9</v>
      </c>
      <c r="T40" s="372" t="str">
        <f>IF($C40="","",S40*VLOOKUP($C40,CHANTIER!$A$2:$D$83,4,0))</f>
        <v/>
      </c>
      <c r="U40" s="364">
        <v>10</v>
      </c>
      <c r="V40" s="372" t="str">
        <f>IF($C40="","",U40*VLOOKUP($C40,CHANTIER!$A$2:$D$83,4,0))</f>
        <v/>
      </c>
      <c r="W40" s="364">
        <v>11</v>
      </c>
      <c r="X40" s="372" t="str">
        <f>IF($C40="","",W40*VLOOKUP($C40,CHANTIER!$A$2:$D$83,4,0))</f>
        <v/>
      </c>
      <c r="Y40" s="364">
        <v>12</v>
      </c>
      <c r="Z40" s="372" t="str">
        <f>IF($C40="","",Y40*VLOOKUP($C40,CHANTIER!$A$2:$D$83,4,0))</f>
        <v/>
      </c>
      <c r="AA40" s="364">
        <v>13</v>
      </c>
      <c r="AB40" s="372" t="str">
        <f>IF($C40="","",AA40*VLOOKUP($C40,CHANTIER!$A$2:$D$83,4,0))</f>
        <v/>
      </c>
      <c r="AC40" s="364">
        <v>14</v>
      </c>
      <c r="AD40" s="372" t="str">
        <f>IF($C40="","",AC40*VLOOKUP($C40,CHANTIER!$A$2:$D$83,4,0))</f>
        <v/>
      </c>
      <c r="AE40" s="364">
        <v>15</v>
      </c>
      <c r="AF40" s="372" t="str">
        <f>IF($C40="","",AE40*VLOOKUP($C40,CHANTIER!$A$2:$D$83,4,0))</f>
        <v/>
      </c>
      <c r="AG40" s="364">
        <v>16</v>
      </c>
      <c r="AH40" s="372" t="str">
        <f>IF($C40="","",AG40*VLOOKUP($C40,CHANTIER!$A$2:$D$83,4,0))</f>
        <v/>
      </c>
      <c r="AI40" s="364">
        <v>17</v>
      </c>
      <c r="AJ40" s="372" t="str">
        <f>IF($C40="","",AI40*VLOOKUP($C40,CHANTIER!$A$2:$D$83,4,0))</f>
        <v/>
      </c>
      <c r="AK40" s="364">
        <v>18</v>
      </c>
      <c r="AL40" s="372" t="str">
        <f>IF($C40="","",AK40*VLOOKUP($C40,CHANTIER!$A$2:$D$83,4,0))</f>
        <v/>
      </c>
      <c r="AM40" s="364">
        <v>19</v>
      </c>
      <c r="AN40" s="372" t="str">
        <f>IF($C40="","",AM40*VLOOKUP($C40,CHANTIER!$A$2:$D$83,4,0))</f>
        <v/>
      </c>
      <c r="AO40" s="224"/>
      <c r="AP40" s="224"/>
    </row>
    <row r="41" spans="1:42" ht="15" customHeight="1" x14ac:dyDescent="0.2">
      <c r="A41" s="1555"/>
      <c r="B41" s="361"/>
      <c r="C41" s="378"/>
      <c r="D41" s="363" t="str">
        <f>IF(C41="","",VLOOKUP($C41,CHANTIER!$A$2:$C$83,3,0))</f>
        <v/>
      </c>
      <c r="E41" s="364">
        <v>3</v>
      </c>
      <c r="F41" s="372" t="str">
        <f>IF($C41="","",E41*VLOOKUP($C41,CHANTIER!$A$2:$D$83,4,0))</f>
        <v/>
      </c>
      <c r="G41" s="364">
        <v>4</v>
      </c>
      <c r="H41" s="372" t="str">
        <f>IF($C41="","",G41*VLOOKUP($C41,CHANTIER!$A$2:$D$83,4,0))</f>
        <v/>
      </c>
      <c r="I41" s="364">
        <v>5</v>
      </c>
      <c r="J41" s="372" t="str">
        <f>IF($C41="","",I41*VLOOKUP($C41,CHANTIER!$A$2:$D$83,4,0))</f>
        <v/>
      </c>
      <c r="K41" s="364">
        <v>6</v>
      </c>
      <c r="L41" s="372" t="str">
        <f>IF($C41="","",K41*VLOOKUP($C41,CHANTIER!$A$2:$D$83,4,0))</f>
        <v/>
      </c>
      <c r="M41" s="364">
        <v>7</v>
      </c>
      <c r="N41" s="372" t="str">
        <f>IF($C41="","",M41*VLOOKUP($C41,CHANTIER!$A$2:$D$83,4,0))</f>
        <v/>
      </c>
      <c r="O41" s="364">
        <v>8</v>
      </c>
      <c r="P41" s="372" t="str">
        <f>IF($C41="","",O41*VLOOKUP($C41,CHANTIER!$A$2:$D$83,4,0))</f>
        <v/>
      </c>
      <c r="Q41" s="364">
        <v>9</v>
      </c>
      <c r="R41" s="372" t="str">
        <f>IF($C41="","",Q41*VLOOKUP($C41,CHANTIER!$A$2:$D$83,4,0))</f>
        <v/>
      </c>
      <c r="S41" s="364">
        <v>10</v>
      </c>
      <c r="T41" s="372" t="str">
        <f>IF($C41="","",S41*VLOOKUP($C41,CHANTIER!$A$2:$D$83,4,0))</f>
        <v/>
      </c>
      <c r="U41" s="364">
        <v>11</v>
      </c>
      <c r="V41" s="372" t="str">
        <f>IF($C41="","",U41*VLOOKUP($C41,CHANTIER!$A$2:$D$83,4,0))</f>
        <v/>
      </c>
      <c r="W41" s="364">
        <v>12</v>
      </c>
      <c r="X41" s="372" t="str">
        <f>IF($C41="","",W41*VLOOKUP($C41,CHANTIER!$A$2:$D$83,4,0))</f>
        <v/>
      </c>
      <c r="Y41" s="364">
        <v>13</v>
      </c>
      <c r="Z41" s="372" t="str">
        <f>IF($C41="","",Y41*VLOOKUP($C41,CHANTIER!$A$2:$D$83,4,0))</f>
        <v/>
      </c>
      <c r="AA41" s="364">
        <v>14</v>
      </c>
      <c r="AB41" s="372" t="str">
        <f>IF($C41="","",AA41*VLOOKUP($C41,CHANTIER!$A$2:$D$83,4,0))</f>
        <v/>
      </c>
      <c r="AC41" s="364">
        <v>15</v>
      </c>
      <c r="AD41" s="372" t="str">
        <f>IF($C41="","",AC41*VLOOKUP($C41,CHANTIER!$A$2:$D$83,4,0))</f>
        <v/>
      </c>
      <c r="AE41" s="364">
        <v>16</v>
      </c>
      <c r="AF41" s="372" t="str">
        <f>IF($C41="","",AE41*VLOOKUP($C41,CHANTIER!$A$2:$D$83,4,0))</f>
        <v/>
      </c>
      <c r="AG41" s="364">
        <v>17</v>
      </c>
      <c r="AH41" s="372" t="str">
        <f>IF($C41="","",AG41*VLOOKUP($C41,CHANTIER!$A$2:$D$83,4,0))</f>
        <v/>
      </c>
      <c r="AI41" s="364">
        <v>18</v>
      </c>
      <c r="AJ41" s="372" t="str">
        <f>IF($C41="","",AI41*VLOOKUP($C41,CHANTIER!$A$2:$D$83,4,0))</f>
        <v/>
      </c>
      <c r="AK41" s="364">
        <v>19</v>
      </c>
      <c r="AL41" s="372" t="str">
        <f>IF($C41="","",AK41*VLOOKUP($C41,CHANTIER!$A$2:$D$83,4,0))</f>
        <v/>
      </c>
      <c r="AM41" s="364">
        <v>20</v>
      </c>
      <c r="AN41" s="372" t="str">
        <f>IF($C41="","",AM41*VLOOKUP($C41,CHANTIER!$A$2:$D$83,4,0))</f>
        <v/>
      </c>
      <c r="AO41" s="224"/>
      <c r="AP41" s="224"/>
    </row>
    <row r="42" spans="1:42" ht="15" customHeight="1" x14ac:dyDescent="0.2">
      <c r="A42" s="1554"/>
      <c r="B42" s="361"/>
      <c r="C42" s="378"/>
      <c r="D42" s="363" t="str">
        <f>IF(C42="","",VLOOKUP($C42,CHANTIER!$A$2:$C$83,3,0))</f>
        <v/>
      </c>
      <c r="E42" s="364">
        <v>4</v>
      </c>
      <c r="F42" s="372" t="str">
        <f>IF($C42="","",E42*VLOOKUP($C42,CHANTIER!$A$2:$D$83,4,0))</f>
        <v/>
      </c>
      <c r="G42" s="364">
        <v>5</v>
      </c>
      <c r="H42" s="372" t="str">
        <f>IF($C42="","",G42*VLOOKUP($C42,CHANTIER!$A$2:$D$83,4,0))</f>
        <v/>
      </c>
      <c r="I42" s="364">
        <v>6</v>
      </c>
      <c r="J42" s="372" t="str">
        <f>IF($C42="","",I42*VLOOKUP($C42,CHANTIER!$A$2:$D$83,4,0))</f>
        <v/>
      </c>
      <c r="K42" s="364">
        <v>7</v>
      </c>
      <c r="L42" s="372" t="str">
        <f>IF($C42="","",K42*VLOOKUP($C42,CHANTIER!$A$2:$D$83,4,0))</f>
        <v/>
      </c>
      <c r="M42" s="364">
        <v>8</v>
      </c>
      <c r="N42" s="372" t="str">
        <f>IF($C42="","",M42*VLOOKUP($C42,CHANTIER!$A$2:$D$83,4,0))</f>
        <v/>
      </c>
      <c r="O42" s="364">
        <v>9</v>
      </c>
      <c r="P42" s="372" t="str">
        <f>IF($C42="","",O42*VLOOKUP($C42,CHANTIER!$A$2:$D$83,4,0))</f>
        <v/>
      </c>
      <c r="Q42" s="364">
        <v>10</v>
      </c>
      <c r="R42" s="372" t="str">
        <f>IF($C42="","",Q42*VLOOKUP($C42,CHANTIER!$A$2:$D$83,4,0))</f>
        <v/>
      </c>
      <c r="S42" s="364">
        <v>11</v>
      </c>
      <c r="T42" s="372" t="str">
        <f>IF($C42="","",S42*VLOOKUP($C42,CHANTIER!$A$2:$D$83,4,0))</f>
        <v/>
      </c>
      <c r="U42" s="364">
        <v>12</v>
      </c>
      <c r="V42" s="372" t="str">
        <f>IF($C42="","",U42*VLOOKUP($C42,CHANTIER!$A$2:$D$83,4,0))</f>
        <v/>
      </c>
      <c r="W42" s="364">
        <v>13</v>
      </c>
      <c r="X42" s="372" t="str">
        <f>IF($C42="","",W42*VLOOKUP($C42,CHANTIER!$A$2:$D$83,4,0))</f>
        <v/>
      </c>
      <c r="Y42" s="364">
        <v>14</v>
      </c>
      <c r="Z42" s="372" t="str">
        <f>IF($C42="","",Y42*VLOOKUP($C42,CHANTIER!$A$2:$D$83,4,0))</f>
        <v/>
      </c>
      <c r="AA42" s="364">
        <v>15</v>
      </c>
      <c r="AB42" s="372" t="str">
        <f>IF($C42="","",AA42*VLOOKUP($C42,CHANTIER!$A$2:$D$83,4,0))</f>
        <v/>
      </c>
      <c r="AC42" s="364">
        <v>16</v>
      </c>
      <c r="AD42" s="372" t="str">
        <f>IF($C42="","",AC42*VLOOKUP($C42,CHANTIER!$A$2:$D$83,4,0))</f>
        <v/>
      </c>
      <c r="AE42" s="364">
        <v>17</v>
      </c>
      <c r="AF42" s="372" t="str">
        <f>IF($C42="","",AE42*VLOOKUP($C42,CHANTIER!$A$2:$D$83,4,0))</f>
        <v/>
      </c>
      <c r="AG42" s="364">
        <v>18</v>
      </c>
      <c r="AH42" s="372" t="str">
        <f>IF($C42="","",AG42*VLOOKUP($C42,CHANTIER!$A$2:$D$83,4,0))</f>
        <v/>
      </c>
      <c r="AI42" s="364">
        <v>19</v>
      </c>
      <c r="AJ42" s="372" t="str">
        <f>IF($C42="","",AI42*VLOOKUP($C42,CHANTIER!$A$2:$D$83,4,0))</f>
        <v/>
      </c>
      <c r="AK42" s="364">
        <v>20</v>
      </c>
      <c r="AL42" s="372" t="str">
        <f>IF($C42="","",AK42*VLOOKUP($C42,CHANTIER!$A$2:$D$83,4,0))</f>
        <v/>
      </c>
      <c r="AM42" s="364">
        <v>21</v>
      </c>
      <c r="AN42" s="372" t="str">
        <f>IF($C42="","",AM42*VLOOKUP($C42,CHANTIER!$A$2:$D$83,4,0))</f>
        <v/>
      </c>
      <c r="AO42" s="224"/>
      <c r="AP42" s="224"/>
    </row>
    <row r="43" spans="1:42" ht="15" customHeight="1" x14ac:dyDescent="0.2">
      <c r="A43" s="1554"/>
      <c r="B43" s="361"/>
      <c r="C43" s="378"/>
      <c r="D43" s="363" t="str">
        <f>IF(C43="","",VLOOKUP($C43,CHANTIER!$A$2:$C$83,3,0))</f>
        <v/>
      </c>
      <c r="E43" s="364">
        <v>5</v>
      </c>
      <c r="F43" s="372" t="str">
        <f>IF($C43="","",E43*VLOOKUP($C43,CHANTIER!$A$2:$D$83,4,0))</f>
        <v/>
      </c>
      <c r="G43" s="364">
        <v>6</v>
      </c>
      <c r="H43" s="372" t="str">
        <f>IF($C43="","",G43*VLOOKUP($C43,CHANTIER!$A$2:$D$83,4,0))</f>
        <v/>
      </c>
      <c r="I43" s="364">
        <v>7</v>
      </c>
      <c r="J43" s="372" t="str">
        <f>IF($C43="","",I43*VLOOKUP($C43,CHANTIER!$A$2:$D$83,4,0))</f>
        <v/>
      </c>
      <c r="K43" s="364">
        <v>8</v>
      </c>
      <c r="L43" s="372" t="str">
        <f>IF($C43="","",K43*VLOOKUP($C43,CHANTIER!$A$2:$D$83,4,0))</f>
        <v/>
      </c>
      <c r="M43" s="364">
        <v>9</v>
      </c>
      <c r="N43" s="372" t="str">
        <f>IF($C43="","",M43*VLOOKUP($C43,CHANTIER!$A$2:$D$83,4,0))</f>
        <v/>
      </c>
      <c r="O43" s="364">
        <v>10</v>
      </c>
      <c r="P43" s="372" t="str">
        <f>IF($C43="","",O43*VLOOKUP($C43,CHANTIER!$A$2:$D$83,4,0))</f>
        <v/>
      </c>
      <c r="Q43" s="364">
        <v>11</v>
      </c>
      <c r="R43" s="372" t="str">
        <f>IF($C43="","",Q43*VLOOKUP($C43,CHANTIER!$A$2:$D$83,4,0))</f>
        <v/>
      </c>
      <c r="S43" s="364">
        <v>12</v>
      </c>
      <c r="T43" s="372" t="str">
        <f>IF($C43="","",S43*VLOOKUP($C43,CHANTIER!$A$2:$D$83,4,0))</f>
        <v/>
      </c>
      <c r="U43" s="364">
        <v>13</v>
      </c>
      <c r="V43" s="372" t="str">
        <f>IF($C43="","",U43*VLOOKUP($C43,CHANTIER!$A$2:$D$83,4,0))</f>
        <v/>
      </c>
      <c r="W43" s="364">
        <v>14</v>
      </c>
      <c r="X43" s="372" t="str">
        <f>IF($C43="","",W43*VLOOKUP($C43,CHANTIER!$A$2:$D$83,4,0))</f>
        <v/>
      </c>
      <c r="Y43" s="364">
        <v>15</v>
      </c>
      <c r="Z43" s="372" t="str">
        <f>IF($C43="","",Y43*VLOOKUP($C43,CHANTIER!$A$2:$D$83,4,0))</f>
        <v/>
      </c>
      <c r="AA43" s="364">
        <v>16</v>
      </c>
      <c r="AB43" s="372" t="str">
        <f>IF($C43="","",AA43*VLOOKUP($C43,CHANTIER!$A$2:$D$83,4,0))</f>
        <v/>
      </c>
      <c r="AC43" s="364">
        <v>17</v>
      </c>
      <c r="AD43" s="372" t="str">
        <f>IF($C43="","",AC43*VLOOKUP($C43,CHANTIER!$A$2:$D$83,4,0))</f>
        <v/>
      </c>
      <c r="AE43" s="364">
        <v>18</v>
      </c>
      <c r="AF43" s="372" t="str">
        <f>IF($C43="","",AE43*VLOOKUP($C43,CHANTIER!$A$2:$D$83,4,0))</f>
        <v/>
      </c>
      <c r="AG43" s="364">
        <v>19</v>
      </c>
      <c r="AH43" s="372" t="str">
        <f>IF($C43="","",AG43*VLOOKUP($C43,CHANTIER!$A$2:$D$83,4,0))</f>
        <v/>
      </c>
      <c r="AI43" s="364">
        <v>20</v>
      </c>
      <c r="AJ43" s="372" t="str">
        <f>IF($C43="","",AI43*VLOOKUP($C43,CHANTIER!$A$2:$D$83,4,0))</f>
        <v/>
      </c>
      <c r="AK43" s="364">
        <v>21</v>
      </c>
      <c r="AL43" s="372" t="str">
        <f>IF($C43="","",AK43*VLOOKUP($C43,CHANTIER!$A$2:$D$83,4,0))</f>
        <v/>
      </c>
      <c r="AM43" s="364">
        <v>22</v>
      </c>
      <c r="AN43" s="372" t="str">
        <f>IF($C43="","",AM43*VLOOKUP($C43,CHANTIER!$A$2:$D$83,4,0))</f>
        <v/>
      </c>
      <c r="AO43" s="224"/>
      <c r="AP43" s="224"/>
    </row>
    <row r="44" spans="1:42" ht="15" customHeight="1" x14ac:dyDescent="0.2">
      <c r="A44" s="1554"/>
      <c r="B44" s="361"/>
      <c r="C44" s="378"/>
      <c r="D44" s="363" t="str">
        <f>IF(C44="","",VLOOKUP($C44,CHANTIER!$A$2:$C$83,3,0))</f>
        <v/>
      </c>
      <c r="E44" s="364">
        <v>6</v>
      </c>
      <c r="F44" s="372" t="str">
        <f>IF($C44="","",E44*VLOOKUP($C44,CHANTIER!$A$2:$D$83,4,0))</f>
        <v/>
      </c>
      <c r="G44" s="364">
        <v>7</v>
      </c>
      <c r="H44" s="372" t="str">
        <f>IF($C44="","",G44*VLOOKUP($C44,CHANTIER!$A$2:$D$83,4,0))</f>
        <v/>
      </c>
      <c r="I44" s="364">
        <v>8</v>
      </c>
      <c r="J44" s="372" t="str">
        <f>IF($C44="","",I44*VLOOKUP($C44,CHANTIER!$A$2:$D$83,4,0))</f>
        <v/>
      </c>
      <c r="K44" s="364">
        <v>9</v>
      </c>
      <c r="L44" s="372" t="str">
        <f>IF($C44="","",K44*VLOOKUP($C44,CHANTIER!$A$2:$D$83,4,0))</f>
        <v/>
      </c>
      <c r="M44" s="364">
        <v>10</v>
      </c>
      <c r="N44" s="372" t="str">
        <f>IF($C44="","",M44*VLOOKUP($C44,CHANTIER!$A$2:$D$83,4,0))</f>
        <v/>
      </c>
      <c r="O44" s="364">
        <v>11</v>
      </c>
      <c r="P44" s="372" t="str">
        <f>IF($C44="","",O44*VLOOKUP($C44,CHANTIER!$A$2:$D$83,4,0))</f>
        <v/>
      </c>
      <c r="Q44" s="364">
        <v>12</v>
      </c>
      <c r="R44" s="372" t="str">
        <f>IF($C44="","",Q44*VLOOKUP($C44,CHANTIER!$A$2:$D$83,4,0))</f>
        <v/>
      </c>
      <c r="S44" s="364">
        <v>13</v>
      </c>
      <c r="T44" s="372" t="str">
        <f>IF($C44="","",S44*VLOOKUP($C44,CHANTIER!$A$2:$D$83,4,0))</f>
        <v/>
      </c>
      <c r="U44" s="364">
        <v>14</v>
      </c>
      <c r="V44" s="372" t="str">
        <f>IF($C44="","",U44*VLOOKUP($C44,CHANTIER!$A$2:$D$83,4,0))</f>
        <v/>
      </c>
      <c r="W44" s="364">
        <v>15</v>
      </c>
      <c r="X44" s="372" t="str">
        <f>IF($C44="","",W44*VLOOKUP($C44,CHANTIER!$A$2:$D$83,4,0))</f>
        <v/>
      </c>
      <c r="Y44" s="364">
        <v>16</v>
      </c>
      <c r="Z44" s="372" t="str">
        <f>IF($C44="","",Y44*VLOOKUP($C44,CHANTIER!$A$2:$D$83,4,0))</f>
        <v/>
      </c>
      <c r="AA44" s="364">
        <v>17</v>
      </c>
      <c r="AB44" s="372" t="str">
        <f>IF($C44="","",AA44*VLOOKUP($C44,CHANTIER!$A$2:$D$83,4,0))</f>
        <v/>
      </c>
      <c r="AC44" s="364">
        <v>18</v>
      </c>
      <c r="AD44" s="372" t="str">
        <f>IF($C44="","",AC44*VLOOKUP($C44,CHANTIER!$A$2:$D$83,4,0))</f>
        <v/>
      </c>
      <c r="AE44" s="364">
        <v>19</v>
      </c>
      <c r="AF44" s="372" t="str">
        <f>IF($C44="","",AE44*VLOOKUP($C44,CHANTIER!$A$2:$D$83,4,0))</f>
        <v/>
      </c>
      <c r="AG44" s="364">
        <v>20</v>
      </c>
      <c r="AH44" s="372" t="str">
        <f>IF($C44="","",AG44*VLOOKUP($C44,CHANTIER!$A$2:$D$83,4,0))</f>
        <v/>
      </c>
      <c r="AI44" s="364">
        <v>21</v>
      </c>
      <c r="AJ44" s="372" t="str">
        <f>IF($C44="","",AI44*VLOOKUP($C44,CHANTIER!$A$2:$D$83,4,0))</f>
        <v/>
      </c>
      <c r="AK44" s="364">
        <v>22</v>
      </c>
      <c r="AL44" s="372" t="str">
        <f>IF($C44="","",AK44*VLOOKUP($C44,CHANTIER!$A$2:$D$83,4,0))</f>
        <v/>
      </c>
      <c r="AM44" s="364">
        <v>23</v>
      </c>
      <c r="AN44" s="372" t="str">
        <f>IF($C44="","",AM44*VLOOKUP($C44,CHANTIER!$A$2:$D$83,4,0))</f>
        <v/>
      </c>
      <c r="AO44" s="224"/>
      <c r="AP44" s="224"/>
    </row>
    <row r="45" spans="1:42" ht="15" customHeight="1" x14ac:dyDescent="0.2">
      <c r="A45" s="1554"/>
      <c r="B45" s="361"/>
      <c r="C45" s="378"/>
      <c r="D45" s="363" t="str">
        <f>IF(C45="","",VLOOKUP($C45,CHANTIER!$A$2:$C$83,3,0))</f>
        <v/>
      </c>
      <c r="E45" s="364">
        <v>7</v>
      </c>
      <c r="F45" s="372" t="str">
        <f>IF($C45="","",E45*VLOOKUP($C45,CHANTIER!$A$2:$D$83,4,0))</f>
        <v/>
      </c>
      <c r="G45" s="364">
        <v>8</v>
      </c>
      <c r="H45" s="372" t="str">
        <f>IF($C45="","",G45*VLOOKUP($C45,CHANTIER!$A$2:$D$83,4,0))</f>
        <v/>
      </c>
      <c r="I45" s="364">
        <v>9</v>
      </c>
      <c r="J45" s="372" t="str">
        <f>IF($C45="","",I45*VLOOKUP($C45,CHANTIER!$A$2:$D$83,4,0))</f>
        <v/>
      </c>
      <c r="K45" s="364">
        <v>10</v>
      </c>
      <c r="L45" s="372" t="str">
        <f>IF($C45="","",K45*VLOOKUP($C45,CHANTIER!$A$2:$D$83,4,0))</f>
        <v/>
      </c>
      <c r="M45" s="364">
        <v>11</v>
      </c>
      <c r="N45" s="372" t="str">
        <f>IF($C45="","",M45*VLOOKUP($C45,CHANTIER!$A$2:$D$83,4,0))</f>
        <v/>
      </c>
      <c r="O45" s="364">
        <v>12</v>
      </c>
      <c r="P45" s="372" t="str">
        <f>IF($C45="","",O45*VLOOKUP($C45,CHANTIER!$A$2:$D$83,4,0))</f>
        <v/>
      </c>
      <c r="Q45" s="364">
        <v>13</v>
      </c>
      <c r="R45" s="372" t="str">
        <f>IF($C45="","",Q45*VLOOKUP($C45,CHANTIER!$A$2:$D$83,4,0))</f>
        <v/>
      </c>
      <c r="S45" s="364">
        <v>14</v>
      </c>
      <c r="T45" s="372" t="str">
        <f>IF($C45="","",S45*VLOOKUP($C45,CHANTIER!$A$2:$D$83,4,0))</f>
        <v/>
      </c>
      <c r="U45" s="364">
        <v>15</v>
      </c>
      <c r="V45" s="372" t="str">
        <f>IF($C45="","",U45*VLOOKUP($C45,CHANTIER!$A$2:$D$83,4,0))</f>
        <v/>
      </c>
      <c r="W45" s="364">
        <v>16</v>
      </c>
      <c r="X45" s="372" t="str">
        <f>IF($C45="","",W45*VLOOKUP($C45,CHANTIER!$A$2:$D$83,4,0))</f>
        <v/>
      </c>
      <c r="Y45" s="364">
        <v>17</v>
      </c>
      <c r="Z45" s="372" t="str">
        <f>IF($C45="","",Y45*VLOOKUP($C45,CHANTIER!$A$2:$D$83,4,0))</f>
        <v/>
      </c>
      <c r="AA45" s="364">
        <v>18</v>
      </c>
      <c r="AB45" s="372" t="str">
        <f>IF($C45="","",AA45*VLOOKUP($C45,CHANTIER!$A$2:$D$83,4,0))</f>
        <v/>
      </c>
      <c r="AC45" s="364">
        <v>19</v>
      </c>
      <c r="AD45" s="372" t="str">
        <f>IF($C45="","",AC45*VLOOKUP($C45,CHANTIER!$A$2:$D$83,4,0))</f>
        <v/>
      </c>
      <c r="AE45" s="364">
        <v>20</v>
      </c>
      <c r="AF45" s="372" t="str">
        <f>IF($C45="","",AE45*VLOOKUP($C45,CHANTIER!$A$2:$D$83,4,0))</f>
        <v/>
      </c>
      <c r="AG45" s="364">
        <v>21</v>
      </c>
      <c r="AH45" s="372" t="str">
        <f>IF($C45="","",AG45*VLOOKUP($C45,CHANTIER!$A$2:$D$83,4,0))</f>
        <v/>
      </c>
      <c r="AI45" s="364">
        <v>22</v>
      </c>
      <c r="AJ45" s="372" t="str">
        <f>IF($C45="","",AI45*VLOOKUP($C45,CHANTIER!$A$2:$D$83,4,0))</f>
        <v/>
      </c>
      <c r="AK45" s="364">
        <v>23</v>
      </c>
      <c r="AL45" s="372" t="str">
        <f>IF($C45="","",AK45*VLOOKUP($C45,CHANTIER!$A$2:$D$83,4,0))</f>
        <v/>
      </c>
      <c r="AM45" s="364">
        <v>24</v>
      </c>
      <c r="AN45" s="372" t="str">
        <f>IF($C45="","",AM45*VLOOKUP($C45,CHANTIER!$A$2:$D$83,4,0))</f>
        <v/>
      </c>
      <c r="AO45" s="224"/>
      <c r="AP45" s="224"/>
    </row>
    <row r="46" spans="1:42" ht="15" customHeight="1" x14ac:dyDescent="0.2">
      <c r="A46" s="1554"/>
      <c r="B46" s="361"/>
      <c r="C46" s="378"/>
      <c r="D46" s="363" t="str">
        <f>IF(C46="","",VLOOKUP($C46,CHANTIER!$A$2:$C$83,3,0))</f>
        <v/>
      </c>
      <c r="E46" s="364">
        <v>8</v>
      </c>
      <c r="F46" s="372" t="str">
        <f>IF($C46="","",E46*VLOOKUP($C46,CHANTIER!$A$2:$D$83,4,0))</f>
        <v/>
      </c>
      <c r="G46" s="364">
        <v>9</v>
      </c>
      <c r="H46" s="372" t="str">
        <f>IF($C46="","",G46*VLOOKUP($C46,CHANTIER!$A$2:$D$83,4,0))</f>
        <v/>
      </c>
      <c r="I46" s="364">
        <v>10</v>
      </c>
      <c r="J46" s="372" t="str">
        <f>IF($C46="","",I46*VLOOKUP($C46,CHANTIER!$A$2:$D$83,4,0))</f>
        <v/>
      </c>
      <c r="K46" s="364">
        <v>11</v>
      </c>
      <c r="L46" s="372" t="str">
        <f>IF($C46="","",K46*VLOOKUP($C46,CHANTIER!$A$2:$D$83,4,0))</f>
        <v/>
      </c>
      <c r="M46" s="364">
        <v>12</v>
      </c>
      <c r="N46" s="372" t="str">
        <f>IF($C46="","",M46*VLOOKUP($C46,CHANTIER!$A$2:$D$83,4,0))</f>
        <v/>
      </c>
      <c r="O46" s="364">
        <v>13</v>
      </c>
      <c r="P46" s="372" t="str">
        <f>IF($C46="","",O46*VLOOKUP($C46,CHANTIER!$A$2:$D$83,4,0))</f>
        <v/>
      </c>
      <c r="Q46" s="364">
        <v>14</v>
      </c>
      <c r="R46" s="372" t="str">
        <f>IF($C46="","",Q46*VLOOKUP($C46,CHANTIER!$A$2:$D$83,4,0))</f>
        <v/>
      </c>
      <c r="S46" s="364">
        <v>15</v>
      </c>
      <c r="T46" s="372" t="str">
        <f>IF($C46="","",S46*VLOOKUP($C46,CHANTIER!$A$2:$D$83,4,0))</f>
        <v/>
      </c>
      <c r="U46" s="364">
        <v>16</v>
      </c>
      <c r="V46" s="372" t="str">
        <f>IF($C46="","",U46*VLOOKUP($C46,CHANTIER!$A$2:$D$83,4,0))</f>
        <v/>
      </c>
      <c r="W46" s="364">
        <v>17</v>
      </c>
      <c r="X46" s="372" t="str">
        <f>IF($C46="","",W46*VLOOKUP($C46,CHANTIER!$A$2:$D$83,4,0))</f>
        <v/>
      </c>
      <c r="Y46" s="364">
        <v>18</v>
      </c>
      <c r="Z46" s="372" t="str">
        <f>IF($C46="","",Y46*VLOOKUP($C46,CHANTIER!$A$2:$D$83,4,0))</f>
        <v/>
      </c>
      <c r="AA46" s="364">
        <v>19</v>
      </c>
      <c r="AB46" s="372" t="str">
        <f>IF($C46="","",AA46*VLOOKUP($C46,CHANTIER!$A$2:$D$83,4,0))</f>
        <v/>
      </c>
      <c r="AC46" s="364">
        <v>20</v>
      </c>
      <c r="AD46" s="372" t="str">
        <f>IF($C46="","",AC46*VLOOKUP($C46,CHANTIER!$A$2:$D$83,4,0))</f>
        <v/>
      </c>
      <c r="AE46" s="364">
        <v>21</v>
      </c>
      <c r="AF46" s="372" t="str">
        <f>IF($C46="","",AE46*VLOOKUP($C46,CHANTIER!$A$2:$D$83,4,0))</f>
        <v/>
      </c>
      <c r="AG46" s="364">
        <v>22</v>
      </c>
      <c r="AH46" s="372" t="str">
        <f>IF($C46="","",AG46*VLOOKUP($C46,CHANTIER!$A$2:$D$83,4,0))</f>
        <v/>
      </c>
      <c r="AI46" s="364">
        <v>23</v>
      </c>
      <c r="AJ46" s="372" t="str">
        <f>IF($C46="","",AI46*VLOOKUP($C46,CHANTIER!$A$2:$D$83,4,0))</f>
        <v/>
      </c>
      <c r="AK46" s="364">
        <v>24</v>
      </c>
      <c r="AL46" s="372" t="str">
        <f>IF($C46="","",AK46*VLOOKUP($C46,CHANTIER!$A$2:$D$83,4,0))</f>
        <v/>
      </c>
      <c r="AM46" s="364">
        <v>25</v>
      </c>
      <c r="AN46" s="372" t="str">
        <f>IF($C46="","",AM46*VLOOKUP($C46,CHANTIER!$A$2:$D$83,4,0))</f>
        <v/>
      </c>
      <c r="AO46" s="225"/>
      <c r="AP46" s="226"/>
    </row>
    <row r="47" spans="1:42" ht="15" customHeight="1" x14ac:dyDescent="0.2">
      <c r="A47" s="1554"/>
      <c r="B47" s="361"/>
      <c r="C47" s="378"/>
      <c r="D47" s="363" t="str">
        <f>IF(C47="","",VLOOKUP($C47,CHANTIER!$A$2:$C$83,3,0))</f>
        <v/>
      </c>
      <c r="E47" s="364">
        <v>9</v>
      </c>
      <c r="F47" s="372" t="str">
        <f>IF($C47="","",E47*VLOOKUP($C47,CHANTIER!$A$2:$D$83,4,0))</f>
        <v/>
      </c>
      <c r="G47" s="364">
        <v>10</v>
      </c>
      <c r="H47" s="372" t="str">
        <f>IF($C47="","",G47*VLOOKUP($C47,CHANTIER!$A$2:$D$83,4,0))</f>
        <v/>
      </c>
      <c r="I47" s="364">
        <v>11</v>
      </c>
      <c r="J47" s="372" t="str">
        <f>IF($C47="","",I47*VLOOKUP($C47,CHANTIER!$A$2:$D$83,4,0))</f>
        <v/>
      </c>
      <c r="K47" s="364">
        <v>12</v>
      </c>
      <c r="L47" s="372" t="str">
        <f>IF($C47="","",K47*VLOOKUP($C47,CHANTIER!$A$2:$D$83,4,0))</f>
        <v/>
      </c>
      <c r="M47" s="364">
        <v>13</v>
      </c>
      <c r="N47" s="372" t="str">
        <f>IF($C47="","",M47*VLOOKUP($C47,CHANTIER!$A$2:$D$83,4,0))</f>
        <v/>
      </c>
      <c r="O47" s="364">
        <v>14</v>
      </c>
      <c r="P47" s="372" t="str">
        <f>IF($C47="","",O47*VLOOKUP($C47,CHANTIER!$A$2:$D$83,4,0))</f>
        <v/>
      </c>
      <c r="Q47" s="364">
        <v>15</v>
      </c>
      <c r="R47" s="372" t="str">
        <f>IF($C47="","",Q47*VLOOKUP($C47,CHANTIER!$A$2:$D$83,4,0))</f>
        <v/>
      </c>
      <c r="S47" s="364">
        <v>16</v>
      </c>
      <c r="T47" s="372" t="str">
        <f>IF($C47="","",S47*VLOOKUP($C47,CHANTIER!$A$2:$D$83,4,0))</f>
        <v/>
      </c>
      <c r="U47" s="364">
        <v>17</v>
      </c>
      <c r="V47" s="372" t="str">
        <f>IF($C47="","",U47*VLOOKUP($C47,CHANTIER!$A$2:$D$83,4,0))</f>
        <v/>
      </c>
      <c r="W47" s="364">
        <v>18</v>
      </c>
      <c r="X47" s="372" t="str">
        <f>IF($C47="","",W47*VLOOKUP($C47,CHANTIER!$A$2:$D$83,4,0))</f>
        <v/>
      </c>
      <c r="Y47" s="364">
        <v>19</v>
      </c>
      <c r="Z47" s="372" t="str">
        <f>IF($C47="","",Y47*VLOOKUP($C47,CHANTIER!$A$2:$D$83,4,0))</f>
        <v/>
      </c>
      <c r="AA47" s="364">
        <v>20</v>
      </c>
      <c r="AB47" s="372" t="str">
        <f>IF($C47="","",AA47*VLOOKUP($C47,CHANTIER!$A$2:$D$83,4,0))</f>
        <v/>
      </c>
      <c r="AC47" s="364">
        <v>21</v>
      </c>
      <c r="AD47" s="372" t="str">
        <f>IF($C47="","",AC47*VLOOKUP($C47,CHANTIER!$A$2:$D$83,4,0))</f>
        <v/>
      </c>
      <c r="AE47" s="364">
        <v>22</v>
      </c>
      <c r="AF47" s="372" t="str">
        <f>IF($C47="","",AE47*VLOOKUP($C47,CHANTIER!$A$2:$D$83,4,0))</f>
        <v/>
      </c>
      <c r="AG47" s="364">
        <v>23</v>
      </c>
      <c r="AH47" s="372" t="str">
        <f>IF($C47="","",AG47*VLOOKUP($C47,CHANTIER!$A$2:$D$83,4,0))</f>
        <v/>
      </c>
      <c r="AI47" s="364">
        <v>24</v>
      </c>
      <c r="AJ47" s="372" t="str">
        <f>IF($C47="","",AI47*VLOOKUP($C47,CHANTIER!$A$2:$D$83,4,0))</f>
        <v/>
      </c>
      <c r="AK47" s="364">
        <v>25</v>
      </c>
      <c r="AL47" s="372" t="str">
        <f>IF($C47="","",AK47*VLOOKUP($C47,CHANTIER!$A$2:$D$83,4,0))</f>
        <v/>
      </c>
      <c r="AM47" s="364">
        <v>26</v>
      </c>
      <c r="AN47" s="372" t="str">
        <f>IF($C47="","",AM47*VLOOKUP($C47,CHANTIER!$A$2:$D$83,4,0))</f>
        <v/>
      </c>
    </row>
    <row r="48" spans="1:42" ht="15" customHeight="1" x14ac:dyDescent="0.2">
      <c r="A48" s="1554"/>
      <c r="B48" s="361"/>
      <c r="C48" s="378"/>
      <c r="D48" s="363" t="str">
        <f>IF(C48="","",VLOOKUP($C48,CHANTIER!$A$2:$C$83,3,0))</f>
        <v/>
      </c>
      <c r="E48" s="364">
        <v>10</v>
      </c>
      <c r="F48" s="372" t="str">
        <f>IF($C48="","",E48*VLOOKUP($C48,CHANTIER!$A$2:$D$83,4,0))</f>
        <v/>
      </c>
      <c r="G48" s="364">
        <v>11</v>
      </c>
      <c r="H48" s="372" t="str">
        <f>IF($C48="","",G48*VLOOKUP($C48,CHANTIER!$A$2:$D$83,4,0))</f>
        <v/>
      </c>
      <c r="I48" s="364">
        <v>12</v>
      </c>
      <c r="J48" s="372" t="str">
        <f>IF($C48="","",I48*VLOOKUP($C48,CHANTIER!$A$2:$D$83,4,0))</f>
        <v/>
      </c>
      <c r="K48" s="364">
        <v>13</v>
      </c>
      <c r="L48" s="372" t="str">
        <f>IF($C48="","",K48*VLOOKUP($C48,CHANTIER!$A$2:$D$83,4,0))</f>
        <v/>
      </c>
      <c r="M48" s="364">
        <v>14</v>
      </c>
      <c r="N48" s="372" t="str">
        <f>IF($C48="","",M48*VLOOKUP($C48,CHANTIER!$A$2:$D$83,4,0))</f>
        <v/>
      </c>
      <c r="O48" s="364">
        <v>15</v>
      </c>
      <c r="P48" s="372" t="str">
        <f>IF($C48="","",O48*VLOOKUP($C48,CHANTIER!$A$2:$D$83,4,0))</f>
        <v/>
      </c>
      <c r="Q48" s="364">
        <v>16</v>
      </c>
      <c r="R48" s="372" t="str">
        <f>IF($C48="","",Q48*VLOOKUP($C48,CHANTIER!$A$2:$D$83,4,0))</f>
        <v/>
      </c>
      <c r="S48" s="364">
        <v>17</v>
      </c>
      <c r="T48" s="372" t="str">
        <f>IF($C48="","",S48*VLOOKUP($C48,CHANTIER!$A$2:$D$83,4,0))</f>
        <v/>
      </c>
      <c r="U48" s="364">
        <v>18</v>
      </c>
      <c r="V48" s="372" t="str">
        <f>IF($C48="","",U48*VLOOKUP($C48,CHANTIER!$A$2:$D$83,4,0))</f>
        <v/>
      </c>
      <c r="W48" s="364">
        <v>19</v>
      </c>
      <c r="X48" s="372" t="str">
        <f>IF($C48="","",W48*VLOOKUP($C48,CHANTIER!$A$2:$D$83,4,0))</f>
        <v/>
      </c>
      <c r="Y48" s="364">
        <v>20</v>
      </c>
      <c r="Z48" s="372" t="str">
        <f>IF($C48="","",Y48*VLOOKUP($C48,CHANTIER!$A$2:$D$83,4,0))</f>
        <v/>
      </c>
      <c r="AA48" s="364">
        <v>21</v>
      </c>
      <c r="AB48" s="372" t="str">
        <f>IF($C48="","",AA48*VLOOKUP($C48,CHANTIER!$A$2:$D$83,4,0))</f>
        <v/>
      </c>
      <c r="AC48" s="364">
        <v>22</v>
      </c>
      <c r="AD48" s="372" t="str">
        <f>IF($C48="","",AC48*VLOOKUP($C48,CHANTIER!$A$2:$D$83,4,0))</f>
        <v/>
      </c>
      <c r="AE48" s="364">
        <v>23</v>
      </c>
      <c r="AF48" s="372" t="str">
        <f>IF($C48="","",AE48*VLOOKUP($C48,CHANTIER!$A$2:$D$83,4,0))</f>
        <v/>
      </c>
      <c r="AG48" s="364">
        <v>24</v>
      </c>
      <c r="AH48" s="372" t="str">
        <f>IF($C48="","",AG48*VLOOKUP($C48,CHANTIER!$A$2:$D$83,4,0))</f>
        <v/>
      </c>
      <c r="AI48" s="364">
        <v>25</v>
      </c>
      <c r="AJ48" s="372" t="str">
        <f>IF($C48="","",AI48*VLOOKUP($C48,CHANTIER!$A$2:$D$83,4,0))</f>
        <v/>
      </c>
      <c r="AK48" s="364">
        <v>26</v>
      </c>
      <c r="AL48" s="372" t="str">
        <f>IF($C48="","",AK48*VLOOKUP($C48,CHANTIER!$A$2:$D$83,4,0))</f>
        <v/>
      </c>
      <c r="AM48" s="364">
        <v>27</v>
      </c>
      <c r="AN48" s="372" t="str">
        <f>IF($C48="","",AM48*VLOOKUP($C48,CHANTIER!$A$2:$D$83,4,0))</f>
        <v/>
      </c>
    </row>
    <row r="49" spans="1:42" ht="15" customHeight="1" x14ac:dyDescent="0.2">
      <c r="A49" s="1554"/>
      <c r="B49" s="361"/>
      <c r="C49" s="378"/>
      <c r="D49" s="363" t="str">
        <f>IF(C49="","",VLOOKUP($C49,CHANTIER!$A$2:$C$83,3,0))</f>
        <v/>
      </c>
      <c r="E49" s="364">
        <v>11</v>
      </c>
      <c r="F49" s="372" t="str">
        <f>IF($C49="","",E49*VLOOKUP($C49,CHANTIER!$A$2:$D$83,4,0))</f>
        <v/>
      </c>
      <c r="G49" s="364">
        <v>12</v>
      </c>
      <c r="H49" s="372" t="str">
        <f>IF($C49="","",G49*VLOOKUP($C49,CHANTIER!$A$2:$D$83,4,0))</f>
        <v/>
      </c>
      <c r="I49" s="364">
        <v>13</v>
      </c>
      <c r="J49" s="372" t="str">
        <f>IF($C49="","",I49*VLOOKUP($C49,CHANTIER!$A$2:$D$83,4,0))</f>
        <v/>
      </c>
      <c r="K49" s="364">
        <v>14</v>
      </c>
      <c r="L49" s="372" t="str">
        <f>IF($C49="","",K49*VLOOKUP($C49,CHANTIER!$A$2:$D$83,4,0))</f>
        <v/>
      </c>
      <c r="M49" s="364">
        <v>15</v>
      </c>
      <c r="N49" s="372" t="str">
        <f>IF($C49="","",M49*VLOOKUP($C49,CHANTIER!$A$2:$D$83,4,0))</f>
        <v/>
      </c>
      <c r="O49" s="364">
        <v>16</v>
      </c>
      <c r="P49" s="372" t="str">
        <f>IF($C49="","",O49*VLOOKUP($C49,CHANTIER!$A$2:$D$83,4,0))</f>
        <v/>
      </c>
      <c r="Q49" s="364">
        <v>17</v>
      </c>
      <c r="R49" s="372" t="str">
        <f>IF($C49="","",Q49*VLOOKUP($C49,CHANTIER!$A$2:$D$83,4,0))</f>
        <v/>
      </c>
      <c r="S49" s="364">
        <v>18</v>
      </c>
      <c r="T49" s="372" t="str">
        <f>IF($C49="","",S49*VLOOKUP($C49,CHANTIER!$A$2:$D$83,4,0))</f>
        <v/>
      </c>
      <c r="U49" s="364">
        <v>19</v>
      </c>
      <c r="V49" s="372" t="str">
        <f>IF($C49="","",U49*VLOOKUP($C49,CHANTIER!$A$2:$D$83,4,0))</f>
        <v/>
      </c>
      <c r="W49" s="364">
        <v>20</v>
      </c>
      <c r="X49" s="372" t="str">
        <f>IF($C49="","",W49*VLOOKUP($C49,CHANTIER!$A$2:$D$83,4,0))</f>
        <v/>
      </c>
      <c r="Y49" s="364">
        <v>21</v>
      </c>
      <c r="Z49" s="372" t="str">
        <f>IF($C49="","",Y49*VLOOKUP($C49,CHANTIER!$A$2:$D$83,4,0))</f>
        <v/>
      </c>
      <c r="AA49" s="364">
        <v>22</v>
      </c>
      <c r="AB49" s="372" t="str">
        <f>IF($C49="","",AA49*VLOOKUP($C49,CHANTIER!$A$2:$D$83,4,0))</f>
        <v/>
      </c>
      <c r="AC49" s="364">
        <v>23</v>
      </c>
      <c r="AD49" s="372" t="str">
        <f>IF($C49="","",AC49*VLOOKUP($C49,CHANTIER!$A$2:$D$83,4,0))</f>
        <v/>
      </c>
      <c r="AE49" s="364">
        <v>24</v>
      </c>
      <c r="AF49" s="372" t="str">
        <f>IF($C49="","",AE49*VLOOKUP($C49,CHANTIER!$A$2:$D$83,4,0))</f>
        <v/>
      </c>
      <c r="AG49" s="364">
        <v>25</v>
      </c>
      <c r="AH49" s="372" t="str">
        <f>IF($C49="","",AG49*VLOOKUP($C49,CHANTIER!$A$2:$D$83,4,0))</f>
        <v/>
      </c>
      <c r="AI49" s="364">
        <v>26</v>
      </c>
      <c r="AJ49" s="372" t="str">
        <f>IF($C49="","",AI49*VLOOKUP($C49,CHANTIER!$A$2:$D$83,4,0))</f>
        <v/>
      </c>
      <c r="AK49" s="364">
        <v>27</v>
      </c>
      <c r="AL49" s="372" t="str">
        <f>IF($C49="","",AK49*VLOOKUP($C49,CHANTIER!$A$2:$D$83,4,0))</f>
        <v/>
      </c>
      <c r="AM49" s="364">
        <v>28</v>
      </c>
      <c r="AN49" s="372" t="str">
        <f>IF($C49="","",AM49*VLOOKUP($C49,CHANTIER!$A$2:$D$83,4,0))</f>
        <v/>
      </c>
    </row>
    <row r="50" spans="1:42" ht="30.75" customHeight="1" x14ac:dyDescent="0.2">
      <c r="A50" s="1554"/>
      <c r="B50" s="379" t="s">
        <v>453</v>
      </c>
      <c r="C50" s="380" t="s">
        <v>450</v>
      </c>
      <c r="D50" s="381" t="s">
        <v>451</v>
      </c>
      <c r="E50" s="382">
        <f>F50*Simulation!$P$9</f>
        <v>11.25</v>
      </c>
      <c r="F50" s="383">
        <f>SUM(F39:F49)</f>
        <v>0.25</v>
      </c>
      <c r="G50" s="382">
        <f>H50*Simulation!$P$9</f>
        <v>22.5</v>
      </c>
      <c r="H50" s="383">
        <f>SUM(H39:H49)</f>
        <v>0.5</v>
      </c>
      <c r="I50" s="382">
        <f>J50*Simulation!$P$9</f>
        <v>33.75</v>
      </c>
      <c r="J50" s="383">
        <f>SUM(J39:J49)</f>
        <v>0.75</v>
      </c>
      <c r="K50" s="382">
        <f>L50*Simulation!$P$9</f>
        <v>45</v>
      </c>
      <c r="L50" s="383">
        <f>SUM(L39:L49)</f>
        <v>1</v>
      </c>
      <c r="M50" s="382">
        <f>N50*Simulation!$P$9</f>
        <v>56.25</v>
      </c>
      <c r="N50" s="383">
        <f>SUM(N39:N49)</f>
        <v>1.25</v>
      </c>
      <c r="O50" s="382">
        <f>P50*Simulation!$P$9</f>
        <v>67.5</v>
      </c>
      <c r="P50" s="383">
        <f>SUM(P39:P49)</f>
        <v>1.5</v>
      </c>
      <c r="Q50" s="382">
        <f>R50*Simulation!$P$9</f>
        <v>78.75</v>
      </c>
      <c r="R50" s="383">
        <f>SUM(R39:R49)</f>
        <v>1.75</v>
      </c>
      <c r="S50" s="382">
        <f>T50*Simulation!$P$9</f>
        <v>90</v>
      </c>
      <c r="T50" s="383">
        <f>SUM(T39:T49)</f>
        <v>2</v>
      </c>
      <c r="U50" s="382">
        <f>V50*Simulation!$P$9</f>
        <v>101.25</v>
      </c>
      <c r="V50" s="383">
        <f>SUM(V39:V49)</f>
        <v>2.25</v>
      </c>
      <c r="W50" s="382">
        <f>X50*Simulation!$P$9</f>
        <v>112.5</v>
      </c>
      <c r="X50" s="383">
        <f>SUM(X39:X49)</f>
        <v>2.5</v>
      </c>
      <c r="Y50" s="382">
        <f>Z50*Simulation!$P$9</f>
        <v>123.75</v>
      </c>
      <c r="Z50" s="383">
        <f>SUM(Z39:Z49)</f>
        <v>2.75</v>
      </c>
      <c r="AA50" s="382">
        <f>AB50*Simulation!$P$9</f>
        <v>135</v>
      </c>
      <c r="AB50" s="383">
        <f>SUM(AB39:AB49)</f>
        <v>3</v>
      </c>
      <c r="AC50" s="382">
        <f>AD50*Simulation!$P$9</f>
        <v>146.25</v>
      </c>
      <c r="AD50" s="383">
        <f>SUM(AD39:AD49)</f>
        <v>3.25</v>
      </c>
      <c r="AE50" s="382">
        <f>AF50*Simulation!$P$9</f>
        <v>157.5</v>
      </c>
      <c r="AF50" s="383">
        <f>SUM(AF39:AF49)</f>
        <v>3.5</v>
      </c>
      <c r="AG50" s="382">
        <f>AH50*Simulation!$P$9</f>
        <v>168.75</v>
      </c>
      <c r="AH50" s="383">
        <f>SUM(AH39:AH49)</f>
        <v>3.75</v>
      </c>
      <c r="AI50" s="382">
        <f>AJ50*Simulation!$P$9</f>
        <v>180</v>
      </c>
      <c r="AJ50" s="383">
        <f>SUM(AJ39:AJ49)</f>
        <v>4</v>
      </c>
      <c r="AK50" s="382">
        <f>AL50*Simulation!$P$9</f>
        <v>191.25</v>
      </c>
      <c r="AL50" s="383">
        <f>SUM(AL39:AL49)</f>
        <v>4.25</v>
      </c>
      <c r="AM50" s="382">
        <f>AN50*Simulation!$P$9</f>
        <v>202.5</v>
      </c>
      <c r="AN50" s="383">
        <f>SUM(AN39:AN49)</f>
        <v>4.5</v>
      </c>
    </row>
    <row r="51" spans="1:42" ht="15" customHeight="1" x14ac:dyDescent="0.2">
      <c r="A51" s="1559" t="s">
        <v>4</v>
      </c>
      <c r="B51" s="361" t="s">
        <v>371</v>
      </c>
      <c r="C51" s="378" t="s">
        <v>400</v>
      </c>
      <c r="D51" s="363" t="str">
        <f>IF(C51="","",VLOOKUP($C51,MINIPELLE!$A$2:$C$28,3,0))</f>
        <v>cm</v>
      </c>
      <c r="E51" s="364">
        <v>2</v>
      </c>
      <c r="F51" s="372">
        <f>IF($C51="","",E51*VLOOKUP($C51,MINIPELLE!$A$2:$D$28,4,0))</f>
        <v>0.05</v>
      </c>
      <c r="G51" s="364">
        <v>2</v>
      </c>
      <c r="H51" s="372">
        <f>IF($C51="","",G51*VLOOKUP($C51,MINIPELLE!$A$2:$D$28,4,0))</f>
        <v>0.05</v>
      </c>
      <c r="I51" s="364">
        <v>2</v>
      </c>
      <c r="J51" s="372">
        <f>IF($C51="","",I51*VLOOKUP($C51,MINIPELLE!$A$2:$D$28,4,0))</f>
        <v>0.05</v>
      </c>
      <c r="K51" s="364">
        <v>2</v>
      </c>
      <c r="L51" s="372">
        <f>IF($C51="","",K51*VLOOKUP($C51,MINIPELLE!$A$2:$D$28,4,0))</f>
        <v>0.05</v>
      </c>
      <c r="M51" s="364">
        <v>2</v>
      </c>
      <c r="N51" s="372">
        <f>IF($C51="","",M51*VLOOKUP($C51,MINIPELLE!$A$2:$D$28,4,0))</f>
        <v>0.05</v>
      </c>
      <c r="O51" s="364">
        <v>2</v>
      </c>
      <c r="P51" s="372">
        <f>IF($C51="","",O51*VLOOKUP($C51,MINIPELLE!$A$2:$D$28,4,0))</f>
        <v>0.05</v>
      </c>
      <c r="Q51" s="364">
        <v>2</v>
      </c>
      <c r="R51" s="372">
        <f>IF($C51="","",Q51*VLOOKUP($C51,MINIPELLE!$A$2:$D$28,4,0))</f>
        <v>0.05</v>
      </c>
      <c r="S51" s="364">
        <v>2</v>
      </c>
      <c r="T51" s="372">
        <f>IF($C51="","",S51*VLOOKUP($C51,MINIPELLE!$A$2:$D$28,4,0))</f>
        <v>0.05</v>
      </c>
      <c r="U51" s="364">
        <v>2</v>
      </c>
      <c r="V51" s="372">
        <f>IF($C51="","",U51*VLOOKUP($C51,MINIPELLE!$A$2:$D$28,4,0))</f>
        <v>0.05</v>
      </c>
      <c r="W51" s="364">
        <v>2</v>
      </c>
      <c r="X51" s="372">
        <f>IF($C51="","",W51*VLOOKUP($C51,MINIPELLE!$A$2:$D$28,4,0))</f>
        <v>0.05</v>
      </c>
      <c r="Y51" s="364">
        <v>2</v>
      </c>
      <c r="Z51" s="372">
        <f>IF($C51="","",Y51*VLOOKUP($C51,MINIPELLE!$A$2:$D$28,4,0))</f>
        <v>0.05</v>
      </c>
      <c r="AA51" s="364">
        <v>2</v>
      </c>
      <c r="AB51" s="372">
        <f>IF($C51="","",AA51*VLOOKUP($C51,MINIPELLE!$A$2:$D$28,4,0))</f>
        <v>0.05</v>
      </c>
      <c r="AC51" s="364">
        <v>2</v>
      </c>
      <c r="AD51" s="372">
        <f>IF($C51="","",AC51*VLOOKUP($C51,MINIPELLE!$A$2:$D$28,4,0))</f>
        <v>0.05</v>
      </c>
      <c r="AE51" s="364">
        <v>2</v>
      </c>
      <c r="AF51" s="372">
        <f>IF($C51="","",AE51*VLOOKUP($C51,MINIPELLE!$A$2:$D$28,4,0))</f>
        <v>0.05</v>
      </c>
      <c r="AG51" s="364">
        <v>2</v>
      </c>
      <c r="AH51" s="372">
        <f>IF($C51="","",AG51*VLOOKUP($C51,MINIPELLE!$A$2:$D$28,4,0))</f>
        <v>0.05</v>
      </c>
      <c r="AI51" s="364">
        <v>2</v>
      </c>
      <c r="AJ51" s="372">
        <f>IF($C51="","",AI51*VLOOKUP($C51,MINIPELLE!$A$2:$D$28,4,0))</f>
        <v>0.05</v>
      </c>
      <c r="AK51" s="364">
        <v>2</v>
      </c>
      <c r="AL51" s="372">
        <f>IF($C51="","",AK51*VLOOKUP($C51,MINIPELLE!$A$2:$D$28,4,0))</f>
        <v>0.05</v>
      </c>
      <c r="AM51" s="364">
        <v>2</v>
      </c>
      <c r="AN51" s="372">
        <f>IF($C51="","",AM51*VLOOKUP($C51,MINIPELLE!$A$2:$D$28,4,0))</f>
        <v>0.05</v>
      </c>
    </row>
    <row r="52" spans="1:42" ht="15" customHeight="1" x14ac:dyDescent="0.2">
      <c r="A52" s="1560"/>
      <c r="B52" s="361"/>
      <c r="C52" s="378"/>
      <c r="D52" s="363" t="str">
        <f>IF(C52="","",VLOOKUP($C52,MINIPELLE!$A$2:$C$28,3,0))</f>
        <v/>
      </c>
      <c r="E52" s="364">
        <v>3</v>
      </c>
      <c r="F52" s="389" t="str">
        <f>IF($C52="","",E52*VLOOKUP($C52,MINIPELLE!$A$2:$D$28,4,0))</f>
        <v/>
      </c>
      <c r="G52" s="364">
        <v>3</v>
      </c>
      <c r="H52" s="389" t="str">
        <f>IF($C52="","",G52*VLOOKUP($C52,MINIPELLE!$A$2:$D$28,4,0))</f>
        <v/>
      </c>
      <c r="I52" s="364">
        <v>3</v>
      </c>
      <c r="J52" s="389" t="str">
        <f>IF($C52="","",I52*VLOOKUP($C52,MINIPELLE!$A$2:$D$28,4,0))</f>
        <v/>
      </c>
      <c r="K52" s="364">
        <v>3</v>
      </c>
      <c r="L52" s="389" t="str">
        <f>IF($C52="","",K52*VLOOKUP($C52,MINIPELLE!$A$2:$D$28,4,0))</f>
        <v/>
      </c>
      <c r="M52" s="364">
        <v>3</v>
      </c>
      <c r="N52" s="389" t="str">
        <f>IF($C52="","",M52*VLOOKUP($C52,MINIPELLE!$A$2:$D$28,4,0))</f>
        <v/>
      </c>
      <c r="O52" s="364">
        <v>3</v>
      </c>
      <c r="P52" s="389" t="str">
        <f>IF($C52="","",O52*VLOOKUP($C52,MINIPELLE!$A$2:$D$28,4,0))</f>
        <v/>
      </c>
      <c r="Q52" s="364">
        <v>3</v>
      </c>
      <c r="R52" s="389" t="str">
        <f>IF($C52="","",Q52*VLOOKUP($C52,MINIPELLE!$A$2:$D$28,4,0))</f>
        <v/>
      </c>
      <c r="S52" s="364">
        <v>3</v>
      </c>
      <c r="T52" s="389" t="str">
        <f>IF($C52="","",S52*VLOOKUP($C52,MINIPELLE!$A$2:$D$28,4,0))</f>
        <v/>
      </c>
      <c r="U52" s="364">
        <v>3</v>
      </c>
      <c r="V52" s="389" t="str">
        <f>IF($C52="","",U52*VLOOKUP($C52,MINIPELLE!$A$2:$D$28,4,0))</f>
        <v/>
      </c>
      <c r="W52" s="364">
        <v>3</v>
      </c>
      <c r="X52" s="389" t="str">
        <f>IF($C52="","",W52*VLOOKUP($C52,MINIPELLE!$A$2:$D$28,4,0))</f>
        <v/>
      </c>
      <c r="Y52" s="364">
        <v>3</v>
      </c>
      <c r="Z52" s="389" t="str">
        <f>IF($C52="","",Y52*VLOOKUP($C52,MINIPELLE!$A$2:$D$28,4,0))</f>
        <v/>
      </c>
      <c r="AA52" s="364">
        <v>3</v>
      </c>
      <c r="AB52" s="389" t="str">
        <f>IF($C52="","",AA52*VLOOKUP($C52,MINIPELLE!$A$2:$D$28,4,0))</f>
        <v/>
      </c>
      <c r="AC52" s="364">
        <v>3</v>
      </c>
      <c r="AD52" s="389" t="str">
        <f>IF($C52="","",AC52*VLOOKUP($C52,MINIPELLE!$A$2:$D$28,4,0))</f>
        <v/>
      </c>
      <c r="AE52" s="364">
        <v>3</v>
      </c>
      <c r="AF52" s="389" t="str">
        <f>IF($C52="","",AE52*VLOOKUP($C52,MINIPELLE!$A$2:$D$28,4,0))</f>
        <v/>
      </c>
      <c r="AG52" s="364">
        <v>3</v>
      </c>
      <c r="AH52" s="389" t="str">
        <f>IF($C52="","",AG52*VLOOKUP($C52,MINIPELLE!$A$2:$D$28,4,0))</f>
        <v/>
      </c>
      <c r="AI52" s="364">
        <v>3</v>
      </c>
      <c r="AJ52" s="389" t="str">
        <f>IF($C52="","",AI52*VLOOKUP($C52,MINIPELLE!$A$2:$D$28,4,0))</f>
        <v/>
      </c>
      <c r="AK52" s="364">
        <v>3</v>
      </c>
      <c r="AL52" s="389" t="str">
        <f>IF($C52="","",AK52*VLOOKUP($C52,MINIPELLE!$A$2:$D$28,4,0))</f>
        <v/>
      </c>
      <c r="AM52" s="364">
        <v>3</v>
      </c>
      <c r="AN52" s="389" t="str">
        <f>IF($C52="","",AM52*VLOOKUP($C52,MINIPELLE!$A$2:$D$28,4,0))</f>
        <v/>
      </c>
    </row>
    <row r="53" spans="1:42" ht="15" customHeight="1" x14ac:dyDescent="0.2">
      <c r="A53" s="1560"/>
      <c r="B53" s="361"/>
      <c r="C53" s="378"/>
      <c r="D53" s="363" t="str">
        <f>IF(C53="","",VLOOKUP($C53,MINIPELLE!$A$2:$C$28,3,0))</f>
        <v/>
      </c>
      <c r="E53" s="364">
        <v>4</v>
      </c>
      <c r="F53" s="389" t="str">
        <f>IF($C53="","",E53*VLOOKUP($C53,MINIPELLE!$A$2:$D$28,4,0))</f>
        <v/>
      </c>
      <c r="G53" s="364">
        <v>4</v>
      </c>
      <c r="H53" s="389" t="str">
        <f>IF($C53="","",G53*VLOOKUP($C53,MINIPELLE!$A$2:$D$28,4,0))</f>
        <v/>
      </c>
      <c r="I53" s="364">
        <v>4</v>
      </c>
      <c r="J53" s="389" t="str">
        <f>IF($C53="","",I53*VLOOKUP($C53,MINIPELLE!$A$2:$D$28,4,0))</f>
        <v/>
      </c>
      <c r="K53" s="364">
        <v>4</v>
      </c>
      <c r="L53" s="389" t="str">
        <f>IF($C53="","",K53*VLOOKUP($C53,MINIPELLE!$A$2:$D$28,4,0))</f>
        <v/>
      </c>
      <c r="M53" s="364">
        <v>4</v>
      </c>
      <c r="N53" s="389" t="str">
        <f>IF($C53="","",M53*VLOOKUP($C53,MINIPELLE!$A$2:$D$28,4,0))</f>
        <v/>
      </c>
      <c r="O53" s="364">
        <v>4</v>
      </c>
      <c r="P53" s="389" t="str">
        <f>IF($C53="","",O53*VLOOKUP($C53,MINIPELLE!$A$2:$D$28,4,0))</f>
        <v/>
      </c>
      <c r="Q53" s="364">
        <v>4</v>
      </c>
      <c r="R53" s="389" t="str">
        <f>IF($C53="","",Q53*VLOOKUP($C53,MINIPELLE!$A$2:$D$28,4,0))</f>
        <v/>
      </c>
      <c r="S53" s="364">
        <v>4</v>
      </c>
      <c r="T53" s="389" t="str">
        <f>IF($C53="","",S53*VLOOKUP($C53,MINIPELLE!$A$2:$D$28,4,0))</f>
        <v/>
      </c>
      <c r="U53" s="364">
        <v>4</v>
      </c>
      <c r="V53" s="389" t="str">
        <f>IF($C53="","",U53*VLOOKUP($C53,MINIPELLE!$A$2:$D$28,4,0))</f>
        <v/>
      </c>
      <c r="W53" s="364">
        <v>4</v>
      </c>
      <c r="X53" s="389" t="str">
        <f>IF($C53="","",W53*VLOOKUP($C53,MINIPELLE!$A$2:$D$28,4,0))</f>
        <v/>
      </c>
      <c r="Y53" s="364">
        <v>4</v>
      </c>
      <c r="Z53" s="389" t="str">
        <f>IF($C53="","",Y53*VLOOKUP($C53,MINIPELLE!$A$2:$D$28,4,0))</f>
        <v/>
      </c>
      <c r="AA53" s="364">
        <v>4</v>
      </c>
      <c r="AB53" s="389" t="str">
        <f>IF($C53="","",AA53*VLOOKUP($C53,MINIPELLE!$A$2:$D$28,4,0))</f>
        <v/>
      </c>
      <c r="AC53" s="364">
        <v>4</v>
      </c>
      <c r="AD53" s="389" t="str">
        <f>IF($C53="","",AC53*VLOOKUP($C53,MINIPELLE!$A$2:$D$28,4,0))</f>
        <v/>
      </c>
      <c r="AE53" s="364">
        <v>4</v>
      </c>
      <c r="AF53" s="389" t="str">
        <f>IF($C53="","",AE53*VLOOKUP($C53,MINIPELLE!$A$2:$D$28,4,0))</f>
        <v/>
      </c>
      <c r="AG53" s="364">
        <v>4</v>
      </c>
      <c r="AH53" s="389" t="str">
        <f>IF($C53="","",AG53*VLOOKUP($C53,MINIPELLE!$A$2:$D$28,4,0))</f>
        <v/>
      </c>
      <c r="AI53" s="364">
        <v>4</v>
      </c>
      <c r="AJ53" s="389" t="str">
        <f>IF($C53="","",AI53*VLOOKUP($C53,MINIPELLE!$A$2:$D$28,4,0))</f>
        <v/>
      </c>
      <c r="AK53" s="364">
        <v>4</v>
      </c>
      <c r="AL53" s="389" t="str">
        <f>IF($C53="","",AK53*VLOOKUP($C53,MINIPELLE!$A$2:$D$28,4,0))</f>
        <v/>
      </c>
      <c r="AM53" s="364">
        <v>4</v>
      </c>
      <c r="AN53" s="389" t="str">
        <f>IF($C53="","",AM53*VLOOKUP($C53,MINIPELLE!$A$2:$D$28,4,0))</f>
        <v/>
      </c>
    </row>
    <row r="54" spans="1:42" ht="15" customHeight="1" x14ac:dyDescent="0.2">
      <c r="A54" s="1560"/>
      <c r="B54" s="361"/>
      <c r="C54" s="378"/>
      <c r="D54" s="363" t="str">
        <f>IF(C54="","",VLOOKUP($C54,MINIPELLE!$A$2:$C$28,3,0))</f>
        <v/>
      </c>
      <c r="E54" s="364">
        <v>5</v>
      </c>
      <c r="F54" s="389" t="str">
        <f>IF($C54="","",E54*VLOOKUP($C54,MINIPELLE!$A$2:$D$28,4,0))</f>
        <v/>
      </c>
      <c r="G54" s="364">
        <v>5</v>
      </c>
      <c r="H54" s="389" t="str">
        <f>IF($C54="","",G54*VLOOKUP($C54,MINIPELLE!$A$2:$D$28,4,0))</f>
        <v/>
      </c>
      <c r="I54" s="364">
        <v>5</v>
      </c>
      <c r="J54" s="389" t="str">
        <f>IF($C54="","",I54*VLOOKUP($C54,MINIPELLE!$A$2:$D$28,4,0))</f>
        <v/>
      </c>
      <c r="K54" s="364">
        <v>5</v>
      </c>
      <c r="L54" s="389" t="str">
        <f>IF($C54="","",K54*VLOOKUP($C54,MINIPELLE!$A$2:$D$28,4,0))</f>
        <v/>
      </c>
      <c r="M54" s="364">
        <v>5</v>
      </c>
      <c r="N54" s="389" t="str">
        <f>IF($C54="","",M54*VLOOKUP($C54,MINIPELLE!$A$2:$D$28,4,0))</f>
        <v/>
      </c>
      <c r="O54" s="364">
        <v>5</v>
      </c>
      <c r="P54" s="389" t="str">
        <f>IF($C54="","",O54*VLOOKUP($C54,MINIPELLE!$A$2:$D$28,4,0))</f>
        <v/>
      </c>
      <c r="Q54" s="364">
        <v>5</v>
      </c>
      <c r="R54" s="389" t="str">
        <f>IF($C54="","",Q54*VLOOKUP($C54,MINIPELLE!$A$2:$D$28,4,0))</f>
        <v/>
      </c>
      <c r="S54" s="364">
        <v>5</v>
      </c>
      <c r="T54" s="389" t="str">
        <f>IF($C54="","",S54*VLOOKUP($C54,MINIPELLE!$A$2:$D$28,4,0))</f>
        <v/>
      </c>
      <c r="U54" s="364">
        <v>5</v>
      </c>
      <c r="V54" s="389" t="str">
        <f>IF($C54="","",U54*VLOOKUP($C54,MINIPELLE!$A$2:$D$28,4,0))</f>
        <v/>
      </c>
      <c r="W54" s="364">
        <v>5</v>
      </c>
      <c r="X54" s="389" t="str">
        <f>IF($C54="","",W54*VLOOKUP($C54,MINIPELLE!$A$2:$D$28,4,0))</f>
        <v/>
      </c>
      <c r="Y54" s="364">
        <v>5</v>
      </c>
      <c r="Z54" s="389" t="str">
        <f>IF($C54="","",Y54*VLOOKUP($C54,MINIPELLE!$A$2:$D$28,4,0))</f>
        <v/>
      </c>
      <c r="AA54" s="364">
        <v>5</v>
      </c>
      <c r="AB54" s="389" t="str">
        <f>IF($C54="","",AA54*VLOOKUP($C54,MINIPELLE!$A$2:$D$28,4,0))</f>
        <v/>
      </c>
      <c r="AC54" s="364">
        <v>5</v>
      </c>
      <c r="AD54" s="389" t="str">
        <f>IF($C54="","",AC54*VLOOKUP($C54,MINIPELLE!$A$2:$D$28,4,0))</f>
        <v/>
      </c>
      <c r="AE54" s="364">
        <v>5</v>
      </c>
      <c r="AF54" s="389" t="str">
        <f>IF($C54="","",AE54*VLOOKUP($C54,MINIPELLE!$A$2:$D$28,4,0))</f>
        <v/>
      </c>
      <c r="AG54" s="364">
        <v>5</v>
      </c>
      <c r="AH54" s="389" t="str">
        <f>IF($C54="","",AG54*VLOOKUP($C54,MINIPELLE!$A$2:$D$28,4,0))</f>
        <v/>
      </c>
      <c r="AI54" s="364">
        <v>5</v>
      </c>
      <c r="AJ54" s="389" t="str">
        <f>IF($C54="","",AI54*VLOOKUP($C54,MINIPELLE!$A$2:$D$28,4,0))</f>
        <v/>
      </c>
      <c r="AK54" s="364">
        <v>5</v>
      </c>
      <c r="AL54" s="389" t="str">
        <f>IF($C54="","",AK54*VLOOKUP($C54,MINIPELLE!$A$2:$D$28,4,0))</f>
        <v/>
      </c>
      <c r="AM54" s="364">
        <v>5</v>
      </c>
      <c r="AN54" s="389" t="str">
        <f>IF($C54="","",AM54*VLOOKUP($C54,MINIPELLE!$A$2:$D$28,4,0))</f>
        <v/>
      </c>
    </row>
    <row r="55" spans="1:42" ht="15" customHeight="1" x14ac:dyDescent="0.2">
      <c r="A55" s="1560"/>
      <c r="B55" s="361"/>
      <c r="C55" s="378"/>
      <c r="D55" s="363" t="str">
        <f>IF(C55="","",VLOOKUP($C55,MINIPELLE!$A$2:$C$28,3,0))</f>
        <v/>
      </c>
      <c r="E55" s="364">
        <v>6</v>
      </c>
      <c r="F55" s="389" t="str">
        <f>IF($C55="","",E55*VLOOKUP($C55,MINIPELLE!$A$2:$D$28,4,0))</f>
        <v/>
      </c>
      <c r="G55" s="364">
        <v>6</v>
      </c>
      <c r="H55" s="389" t="str">
        <f>IF($C55="","",G55*VLOOKUP($C55,MINIPELLE!$A$2:$D$28,4,0))</f>
        <v/>
      </c>
      <c r="I55" s="364">
        <v>6</v>
      </c>
      <c r="J55" s="389" t="str">
        <f>IF($C55="","",I55*VLOOKUP($C55,MINIPELLE!$A$2:$D$28,4,0))</f>
        <v/>
      </c>
      <c r="K55" s="364">
        <v>6</v>
      </c>
      <c r="L55" s="389" t="str">
        <f>IF($C55="","",K55*VLOOKUP($C55,MINIPELLE!$A$2:$D$28,4,0))</f>
        <v/>
      </c>
      <c r="M55" s="364">
        <v>6</v>
      </c>
      <c r="N55" s="389" t="str">
        <f>IF($C55="","",M55*VLOOKUP($C55,MINIPELLE!$A$2:$D$28,4,0))</f>
        <v/>
      </c>
      <c r="O55" s="364">
        <v>6</v>
      </c>
      <c r="P55" s="389" t="str">
        <f>IF($C55="","",O55*VLOOKUP($C55,MINIPELLE!$A$2:$D$28,4,0))</f>
        <v/>
      </c>
      <c r="Q55" s="364">
        <v>6</v>
      </c>
      <c r="R55" s="389" t="str">
        <f>IF($C55="","",Q55*VLOOKUP($C55,MINIPELLE!$A$2:$D$28,4,0))</f>
        <v/>
      </c>
      <c r="S55" s="364">
        <v>6</v>
      </c>
      <c r="T55" s="389" t="str">
        <f>IF($C55="","",S55*VLOOKUP($C55,MINIPELLE!$A$2:$D$28,4,0))</f>
        <v/>
      </c>
      <c r="U55" s="364">
        <v>6</v>
      </c>
      <c r="V55" s="389" t="str">
        <f>IF($C55="","",U55*VLOOKUP($C55,MINIPELLE!$A$2:$D$28,4,0))</f>
        <v/>
      </c>
      <c r="W55" s="364">
        <v>6</v>
      </c>
      <c r="X55" s="389" t="str">
        <f>IF($C55="","",W55*VLOOKUP($C55,MINIPELLE!$A$2:$D$28,4,0))</f>
        <v/>
      </c>
      <c r="Y55" s="364">
        <v>6</v>
      </c>
      <c r="Z55" s="389" t="str">
        <f>IF($C55="","",Y55*VLOOKUP($C55,MINIPELLE!$A$2:$D$28,4,0))</f>
        <v/>
      </c>
      <c r="AA55" s="364">
        <v>6</v>
      </c>
      <c r="AB55" s="389" t="str">
        <f>IF($C55="","",AA55*VLOOKUP($C55,MINIPELLE!$A$2:$D$28,4,0))</f>
        <v/>
      </c>
      <c r="AC55" s="364">
        <v>6</v>
      </c>
      <c r="AD55" s="389" t="str">
        <f>IF($C55="","",AC55*VLOOKUP($C55,MINIPELLE!$A$2:$D$28,4,0))</f>
        <v/>
      </c>
      <c r="AE55" s="364">
        <v>6</v>
      </c>
      <c r="AF55" s="389" t="str">
        <f>IF($C55="","",AE55*VLOOKUP($C55,MINIPELLE!$A$2:$D$28,4,0))</f>
        <v/>
      </c>
      <c r="AG55" s="364">
        <v>6</v>
      </c>
      <c r="AH55" s="389" t="str">
        <f>IF($C55="","",AG55*VLOOKUP($C55,MINIPELLE!$A$2:$D$28,4,0))</f>
        <v/>
      </c>
      <c r="AI55" s="364">
        <v>6</v>
      </c>
      <c r="AJ55" s="389" t="str">
        <f>IF($C55="","",AI55*VLOOKUP($C55,MINIPELLE!$A$2:$D$28,4,0))</f>
        <v/>
      </c>
      <c r="AK55" s="364">
        <v>6</v>
      </c>
      <c r="AL55" s="389" t="str">
        <f>IF($C55="","",AK55*VLOOKUP($C55,MINIPELLE!$A$2:$D$28,4,0))</f>
        <v/>
      </c>
      <c r="AM55" s="364">
        <v>6</v>
      </c>
      <c r="AN55" s="389" t="str">
        <f>IF($C55="","",AM55*VLOOKUP($C55,MINIPELLE!$A$2:$D$28,4,0))</f>
        <v/>
      </c>
    </row>
    <row r="56" spans="1:42" ht="15" customHeight="1" x14ac:dyDescent="0.2">
      <c r="A56" s="1560"/>
      <c r="B56" s="361"/>
      <c r="C56" s="378"/>
      <c r="D56" s="363" t="str">
        <f>IF(C56="","",VLOOKUP($C56,MINIPELLE!$A$2:$C$28,3,0))</f>
        <v/>
      </c>
      <c r="E56" s="364">
        <v>7</v>
      </c>
      <c r="F56" s="389" t="str">
        <f>IF($C56="","",E56*VLOOKUP($C56,MINIPELLE!$A$2:$D$28,4,0))</f>
        <v/>
      </c>
      <c r="G56" s="364">
        <v>7</v>
      </c>
      <c r="H56" s="389" t="str">
        <f>IF($C56="","",G56*VLOOKUP($C56,MINIPELLE!$A$2:$D$28,4,0))</f>
        <v/>
      </c>
      <c r="I56" s="364">
        <v>7</v>
      </c>
      <c r="J56" s="389" t="str">
        <f>IF($C56="","",I56*VLOOKUP($C56,MINIPELLE!$A$2:$D$28,4,0))</f>
        <v/>
      </c>
      <c r="K56" s="364">
        <v>7</v>
      </c>
      <c r="L56" s="389" t="str">
        <f>IF($C56="","",K56*VLOOKUP($C56,MINIPELLE!$A$2:$D$28,4,0))</f>
        <v/>
      </c>
      <c r="M56" s="364">
        <v>7</v>
      </c>
      <c r="N56" s="389" t="str">
        <f>IF($C56="","",M56*VLOOKUP($C56,MINIPELLE!$A$2:$D$28,4,0))</f>
        <v/>
      </c>
      <c r="O56" s="364">
        <v>7</v>
      </c>
      <c r="P56" s="389" t="str">
        <f>IF($C56="","",O56*VLOOKUP($C56,MINIPELLE!$A$2:$D$28,4,0))</f>
        <v/>
      </c>
      <c r="Q56" s="364">
        <v>7</v>
      </c>
      <c r="R56" s="389" t="str">
        <f>IF($C56="","",Q56*VLOOKUP($C56,MINIPELLE!$A$2:$D$28,4,0))</f>
        <v/>
      </c>
      <c r="S56" s="364">
        <v>7</v>
      </c>
      <c r="T56" s="389" t="str">
        <f>IF($C56="","",S56*VLOOKUP($C56,MINIPELLE!$A$2:$D$28,4,0))</f>
        <v/>
      </c>
      <c r="U56" s="364">
        <v>7</v>
      </c>
      <c r="V56" s="389" t="str">
        <f>IF($C56="","",U56*VLOOKUP($C56,MINIPELLE!$A$2:$D$28,4,0))</f>
        <v/>
      </c>
      <c r="W56" s="364">
        <v>7</v>
      </c>
      <c r="X56" s="389" t="str">
        <f>IF($C56="","",W56*VLOOKUP($C56,MINIPELLE!$A$2:$D$28,4,0))</f>
        <v/>
      </c>
      <c r="Y56" s="364">
        <v>7</v>
      </c>
      <c r="Z56" s="389" t="str">
        <f>IF($C56="","",Y56*VLOOKUP($C56,MINIPELLE!$A$2:$D$28,4,0))</f>
        <v/>
      </c>
      <c r="AA56" s="364">
        <v>7</v>
      </c>
      <c r="AB56" s="389" t="str">
        <f>IF($C56="","",AA56*VLOOKUP($C56,MINIPELLE!$A$2:$D$28,4,0))</f>
        <v/>
      </c>
      <c r="AC56" s="364">
        <v>7</v>
      </c>
      <c r="AD56" s="389" t="str">
        <f>IF($C56="","",AC56*VLOOKUP($C56,MINIPELLE!$A$2:$D$28,4,0))</f>
        <v/>
      </c>
      <c r="AE56" s="364">
        <v>7</v>
      </c>
      <c r="AF56" s="389" t="str">
        <f>IF($C56="","",AE56*VLOOKUP($C56,MINIPELLE!$A$2:$D$28,4,0))</f>
        <v/>
      </c>
      <c r="AG56" s="364">
        <v>7</v>
      </c>
      <c r="AH56" s="389" t="str">
        <f>IF($C56="","",AG56*VLOOKUP($C56,MINIPELLE!$A$2:$D$28,4,0))</f>
        <v/>
      </c>
      <c r="AI56" s="364">
        <v>7</v>
      </c>
      <c r="AJ56" s="389" t="str">
        <f>IF($C56="","",AI56*VLOOKUP($C56,MINIPELLE!$A$2:$D$28,4,0))</f>
        <v/>
      </c>
      <c r="AK56" s="364">
        <v>7</v>
      </c>
      <c r="AL56" s="389" t="str">
        <f>IF($C56="","",AK56*VLOOKUP($C56,MINIPELLE!$A$2:$D$28,4,0))</f>
        <v/>
      </c>
      <c r="AM56" s="364">
        <v>7</v>
      </c>
      <c r="AN56" s="389" t="str">
        <f>IF($C56="","",AM56*VLOOKUP($C56,MINIPELLE!$A$2:$D$28,4,0))</f>
        <v/>
      </c>
    </row>
    <row r="57" spans="1:42" ht="15" customHeight="1" x14ac:dyDescent="0.2">
      <c r="A57" s="1560"/>
      <c r="B57" s="361"/>
      <c r="C57" s="378"/>
      <c r="D57" s="363" t="str">
        <f>IF(C57="","",VLOOKUP($C57,MINIPELLE!$A$2:$C$28,3,0))</f>
        <v/>
      </c>
      <c r="E57" s="364">
        <v>8</v>
      </c>
      <c r="F57" s="389" t="str">
        <f>IF($C57="","",E57*VLOOKUP($C57,MINIPELLE!$A$2:$D$28,4,0))</f>
        <v/>
      </c>
      <c r="G57" s="364">
        <v>8</v>
      </c>
      <c r="H57" s="389" t="str">
        <f>IF($C57="","",G57*VLOOKUP($C57,MINIPELLE!$A$2:$D$28,4,0))</f>
        <v/>
      </c>
      <c r="I57" s="364">
        <v>8</v>
      </c>
      <c r="J57" s="389" t="str">
        <f>IF($C57="","",I57*VLOOKUP($C57,MINIPELLE!$A$2:$D$28,4,0))</f>
        <v/>
      </c>
      <c r="K57" s="364">
        <v>8</v>
      </c>
      <c r="L57" s="389" t="str">
        <f>IF($C57="","",K57*VLOOKUP($C57,MINIPELLE!$A$2:$D$28,4,0))</f>
        <v/>
      </c>
      <c r="M57" s="364">
        <v>8</v>
      </c>
      <c r="N57" s="389" t="str">
        <f>IF($C57="","",M57*VLOOKUP($C57,MINIPELLE!$A$2:$D$28,4,0))</f>
        <v/>
      </c>
      <c r="O57" s="364">
        <v>8</v>
      </c>
      <c r="P57" s="389" t="str">
        <f>IF($C57="","",O57*VLOOKUP($C57,MINIPELLE!$A$2:$D$28,4,0))</f>
        <v/>
      </c>
      <c r="Q57" s="364">
        <v>8</v>
      </c>
      <c r="R57" s="389" t="str">
        <f>IF($C57="","",Q57*VLOOKUP($C57,MINIPELLE!$A$2:$D$28,4,0))</f>
        <v/>
      </c>
      <c r="S57" s="364">
        <v>8</v>
      </c>
      <c r="T57" s="389" t="str">
        <f>IF($C57="","",S57*VLOOKUP($C57,MINIPELLE!$A$2:$D$28,4,0))</f>
        <v/>
      </c>
      <c r="U57" s="364">
        <v>8</v>
      </c>
      <c r="V57" s="389" t="str">
        <f>IF($C57="","",U57*VLOOKUP($C57,MINIPELLE!$A$2:$D$28,4,0))</f>
        <v/>
      </c>
      <c r="W57" s="364">
        <v>8</v>
      </c>
      <c r="X57" s="389" t="str">
        <f>IF($C57="","",W57*VLOOKUP($C57,MINIPELLE!$A$2:$D$28,4,0))</f>
        <v/>
      </c>
      <c r="Y57" s="364">
        <v>8</v>
      </c>
      <c r="Z57" s="389" t="str">
        <f>IF($C57="","",Y57*VLOOKUP($C57,MINIPELLE!$A$2:$D$28,4,0))</f>
        <v/>
      </c>
      <c r="AA57" s="364">
        <v>8</v>
      </c>
      <c r="AB57" s="389" t="str">
        <f>IF($C57="","",AA57*VLOOKUP($C57,MINIPELLE!$A$2:$D$28,4,0))</f>
        <v/>
      </c>
      <c r="AC57" s="364">
        <v>8</v>
      </c>
      <c r="AD57" s="389" t="str">
        <f>IF($C57="","",AC57*VLOOKUP($C57,MINIPELLE!$A$2:$D$28,4,0))</f>
        <v/>
      </c>
      <c r="AE57" s="364">
        <v>8</v>
      </c>
      <c r="AF57" s="389" t="str">
        <f>IF($C57="","",AE57*VLOOKUP($C57,MINIPELLE!$A$2:$D$28,4,0))</f>
        <v/>
      </c>
      <c r="AG57" s="364">
        <v>8</v>
      </c>
      <c r="AH57" s="389" t="str">
        <f>IF($C57="","",AG57*VLOOKUP($C57,MINIPELLE!$A$2:$D$28,4,0))</f>
        <v/>
      </c>
      <c r="AI57" s="364">
        <v>8</v>
      </c>
      <c r="AJ57" s="389" t="str">
        <f>IF($C57="","",AI57*VLOOKUP($C57,MINIPELLE!$A$2:$D$28,4,0))</f>
        <v/>
      </c>
      <c r="AK57" s="364">
        <v>8</v>
      </c>
      <c r="AL57" s="389" t="str">
        <f>IF($C57="","",AK57*VLOOKUP($C57,MINIPELLE!$A$2:$D$28,4,0))</f>
        <v/>
      </c>
      <c r="AM57" s="364">
        <v>8</v>
      </c>
      <c r="AN57" s="389" t="str">
        <f>IF($C57="","",AM57*VLOOKUP($C57,MINIPELLE!$A$2:$D$28,4,0))</f>
        <v/>
      </c>
    </row>
    <row r="58" spans="1:42" ht="15" customHeight="1" x14ac:dyDescent="0.2">
      <c r="A58" s="1560"/>
      <c r="B58" s="361"/>
      <c r="C58" s="378"/>
      <c r="D58" s="363" t="str">
        <f>IF(C58="","",VLOOKUP($C58,MINIPELLE!$A$2:$C$28,3,0))</f>
        <v/>
      </c>
      <c r="E58" s="364">
        <v>9</v>
      </c>
      <c r="F58" s="389" t="str">
        <f>IF($C58="","",E58*VLOOKUP($C58,MINIPELLE!$A$2:$D$28,4,0))</f>
        <v/>
      </c>
      <c r="G58" s="364">
        <v>9</v>
      </c>
      <c r="H58" s="389" t="str">
        <f>IF($C58="","",G58*VLOOKUP($C58,MINIPELLE!$A$2:$D$28,4,0))</f>
        <v/>
      </c>
      <c r="I58" s="364">
        <v>9</v>
      </c>
      <c r="J58" s="389" t="str">
        <f>IF($C58="","",I58*VLOOKUP($C58,MINIPELLE!$A$2:$D$28,4,0))</f>
        <v/>
      </c>
      <c r="K58" s="364">
        <v>9</v>
      </c>
      <c r="L58" s="389" t="str">
        <f>IF($C58="","",K58*VLOOKUP($C58,MINIPELLE!$A$2:$D$28,4,0))</f>
        <v/>
      </c>
      <c r="M58" s="364">
        <v>9</v>
      </c>
      <c r="N58" s="389" t="str">
        <f>IF($C58="","",M58*VLOOKUP($C58,MINIPELLE!$A$2:$D$28,4,0))</f>
        <v/>
      </c>
      <c r="O58" s="364">
        <v>9</v>
      </c>
      <c r="P58" s="389" t="str">
        <f>IF($C58="","",O58*VLOOKUP($C58,MINIPELLE!$A$2:$D$28,4,0))</f>
        <v/>
      </c>
      <c r="Q58" s="364">
        <v>9</v>
      </c>
      <c r="R58" s="389" t="str">
        <f>IF($C58="","",Q58*VLOOKUP($C58,MINIPELLE!$A$2:$D$28,4,0))</f>
        <v/>
      </c>
      <c r="S58" s="364">
        <v>9</v>
      </c>
      <c r="T58" s="389" t="str">
        <f>IF($C58="","",S58*VLOOKUP($C58,MINIPELLE!$A$2:$D$28,4,0))</f>
        <v/>
      </c>
      <c r="U58" s="364">
        <v>9</v>
      </c>
      <c r="V58" s="389" t="str">
        <f>IF($C58="","",U58*VLOOKUP($C58,MINIPELLE!$A$2:$D$28,4,0))</f>
        <v/>
      </c>
      <c r="W58" s="364">
        <v>9</v>
      </c>
      <c r="X58" s="389" t="str">
        <f>IF($C58="","",W58*VLOOKUP($C58,MINIPELLE!$A$2:$D$28,4,0))</f>
        <v/>
      </c>
      <c r="Y58" s="364">
        <v>9</v>
      </c>
      <c r="Z58" s="389" t="str">
        <f>IF($C58="","",Y58*VLOOKUP($C58,MINIPELLE!$A$2:$D$28,4,0))</f>
        <v/>
      </c>
      <c r="AA58" s="364">
        <v>9</v>
      </c>
      <c r="AB58" s="389" t="str">
        <f>IF($C58="","",AA58*VLOOKUP($C58,MINIPELLE!$A$2:$D$28,4,0))</f>
        <v/>
      </c>
      <c r="AC58" s="364">
        <v>9</v>
      </c>
      <c r="AD58" s="389" t="str">
        <f>IF($C58="","",AC58*VLOOKUP($C58,MINIPELLE!$A$2:$D$28,4,0))</f>
        <v/>
      </c>
      <c r="AE58" s="364">
        <v>9</v>
      </c>
      <c r="AF58" s="389" t="str">
        <f>IF($C58="","",AE58*VLOOKUP($C58,MINIPELLE!$A$2:$D$28,4,0))</f>
        <v/>
      </c>
      <c r="AG58" s="364">
        <v>9</v>
      </c>
      <c r="AH58" s="389" t="str">
        <f>IF($C58="","",AG58*VLOOKUP($C58,MINIPELLE!$A$2:$D$28,4,0))</f>
        <v/>
      </c>
      <c r="AI58" s="364">
        <v>9</v>
      </c>
      <c r="AJ58" s="389" t="str">
        <f>IF($C58="","",AI58*VLOOKUP($C58,MINIPELLE!$A$2:$D$28,4,0))</f>
        <v/>
      </c>
      <c r="AK58" s="364">
        <v>9</v>
      </c>
      <c r="AL58" s="389" t="str">
        <f>IF($C58="","",AK58*VLOOKUP($C58,MINIPELLE!$A$2:$D$28,4,0))</f>
        <v/>
      </c>
      <c r="AM58" s="364">
        <v>9</v>
      </c>
      <c r="AN58" s="389" t="str">
        <f>IF($C58="","",AM58*VLOOKUP($C58,MINIPELLE!$A$2:$D$28,4,0))</f>
        <v/>
      </c>
      <c r="AO58" s="223"/>
      <c r="AP58" s="223"/>
    </row>
    <row r="59" spans="1:42" ht="15" customHeight="1" x14ac:dyDescent="0.2">
      <c r="A59" s="1560"/>
      <c r="B59" s="361"/>
      <c r="C59" s="378"/>
      <c r="D59" s="363" t="str">
        <f>IF(C59="","",VLOOKUP($C59,MINIPELLE!$A$2:$C$28,3,0))</f>
        <v/>
      </c>
      <c r="E59" s="364">
        <v>10</v>
      </c>
      <c r="F59" s="389" t="str">
        <f>IF($C59="","",E59*VLOOKUP($C59,MINIPELLE!$A$2:$D$28,4,0))</f>
        <v/>
      </c>
      <c r="G59" s="364">
        <v>10</v>
      </c>
      <c r="H59" s="389" t="str">
        <f>IF($C59="","",G59*VLOOKUP($C59,MINIPELLE!$A$2:$D$28,4,0))</f>
        <v/>
      </c>
      <c r="I59" s="364">
        <v>10</v>
      </c>
      <c r="J59" s="389" t="str">
        <f>IF($C59="","",I59*VLOOKUP($C59,MINIPELLE!$A$2:$D$28,4,0))</f>
        <v/>
      </c>
      <c r="K59" s="364">
        <v>10</v>
      </c>
      <c r="L59" s="389" t="str">
        <f>IF($C59="","",K59*VLOOKUP($C59,MINIPELLE!$A$2:$D$28,4,0))</f>
        <v/>
      </c>
      <c r="M59" s="364">
        <v>10</v>
      </c>
      <c r="N59" s="389" t="str">
        <f>IF($C59="","",M59*VLOOKUP($C59,MINIPELLE!$A$2:$D$28,4,0))</f>
        <v/>
      </c>
      <c r="O59" s="364">
        <v>10</v>
      </c>
      <c r="P59" s="389" t="str">
        <f>IF($C59="","",O59*VLOOKUP($C59,MINIPELLE!$A$2:$D$28,4,0))</f>
        <v/>
      </c>
      <c r="Q59" s="364">
        <v>10</v>
      </c>
      <c r="R59" s="389" t="str">
        <f>IF($C59="","",Q59*VLOOKUP($C59,MINIPELLE!$A$2:$D$28,4,0))</f>
        <v/>
      </c>
      <c r="S59" s="364">
        <v>10</v>
      </c>
      <c r="T59" s="389" t="str">
        <f>IF($C59="","",S59*VLOOKUP($C59,MINIPELLE!$A$2:$D$28,4,0))</f>
        <v/>
      </c>
      <c r="U59" s="364">
        <v>10</v>
      </c>
      <c r="V59" s="389" t="str">
        <f>IF($C59="","",U59*VLOOKUP($C59,MINIPELLE!$A$2:$D$28,4,0))</f>
        <v/>
      </c>
      <c r="W59" s="364">
        <v>10</v>
      </c>
      <c r="X59" s="389" t="str">
        <f>IF($C59="","",W59*VLOOKUP($C59,MINIPELLE!$A$2:$D$28,4,0))</f>
        <v/>
      </c>
      <c r="Y59" s="364">
        <v>10</v>
      </c>
      <c r="Z59" s="389" t="str">
        <f>IF($C59="","",Y59*VLOOKUP($C59,MINIPELLE!$A$2:$D$28,4,0))</f>
        <v/>
      </c>
      <c r="AA59" s="364">
        <v>10</v>
      </c>
      <c r="AB59" s="389" t="str">
        <f>IF($C59="","",AA59*VLOOKUP($C59,MINIPELLE!$A$2:$D$28,4,0))</f>
        <v/>
      </c>
      <c r="AC59" s="364">
        <v>10</v>
      </c>
      <c r="AD59" s="389" t="str">
        <f>IF($C59="","",AC59*VLOOKUP($C59,MINIPELLE!$A$2:$D$28,4,0))</f>
        <v/>
      </c>
      <c r="AE59" s="364">
        <v>10</v>
      </c>
      <c r="AF59" s="389" t="str">
        <f>IF($C59="","",AE59*VLOOKUP($C59,MINIPELLE!$A$2:$D$28,4,0))</f>
        <v/>
      </c>
      <c r="AG59" s="364">
        <v>10</v>
      </c>
      <c r="AH59" s="389" t="str">
        <f>IF($C59="","",AG59*VLOOKUP($C59,MINIPELLE!$A$2:$D$28,4,0))</f>
        <v/>
      </c>
      <c r="AI59" s="364">
        <v>10</v>
      </c>
      <c r="AJ59" s="389" t="str">
        <f>IF($C59="","",AI59*VLOOKUP($C59,MINIPELLE!$A$2:$D$28,4,0))</f>
        <v/>
      </c>
      <c r="AK59" s="364">
        <v>10</v>
      </c>
      <c r="AL59" s="389" t="str">
        <f>IF($C59="","",AK59*VLOOKUP($C59,MINIPELLE!$A$2:$D$28,4,0))</f>
        <v/>
      </c>
      <c r="AM59" s="364">
        <v>10</v>
      </c>
      <c r="AN59" s="389" t="str">
        <f>IF($C59="","",AM59*VLOOKUP($C59,MINIPELLE!$A$2:$D$28,4,0))</f>
        <v/>
      </c>
    </row>
    <row r="60" spans="1:42" ht="15" customHeight="1" x14ac:dyDescent="0.2">
      <c r="A60" s="1560"/>
      <c r="B60" s="361"/>
      <c r="C60" s="378"/>
      <c r="D60" s="363" t="str">
        <f>IF(C60="","",VLOOKUP($C60,MINIPELLE!$A$2:$C$28,3,0))</f>
        <v/>
      </c>
      <c r="E60" s="364">
        <v>11</v>
      </c>
      <c r="F60" s="389" t="str">
        <f>IF($C60="","",E60*VLOOKUP($C60,MINIPELLE!$A$2:$D$28,4,0))</f>
        <v/>
      </c>
      <c r="G60" s="364">
        <v>11</v>
      </c>
      <c r="H60" s="389" t="str">
        <f>IF($C60="","",G60*VLOOKUP($C60,MINIPELLE!$A$2:$D$28,4,0))</f>
        <v/>
      </c>
      <c r="I60" s="364">
        <v>11</v>
      </c>
      <c r="J60" s="389" t="str">
        <f>IF($C60="","",I60*VLOOKUP($C60,MINIPELLE!$A$2:$D$28,4,0))</f>
        <v/>
      </c>
      <c r="K60" s="364">
        <v>11</v>
      </c>
      <c r="L60" s="389" t="str">
        <f>IF($C60="","",K60*VLOOKUP($C60,MINIPELLE!$A$2:$D$28,4,0))</f>
        <v/>
      </c>
      <c r="M60" s="364">
        <v>11</v>
      </c>
      <c r="N60" s="389" t="str">
        <f>IF($C60="","",M60*VLOOKUP($C60,MINIPELLE!$A$2:$D$28,4,0))</f>
        <v/>
      </c>
      <c r="O60" s="364">
        <v>11</v>
      </c>
      <c r="P60" s="389" t="str">
        <f>IF($C60="","",O60*VLOOKUP($C60,MINIPELLE!$A$2:$D$28,4,0))</f>
        <v/>
      </c>
      <c r="Q60" s="364">
        <v>11</v>
      </c>
      <c r="R60" s="389" t="str">
        <f>IF($C60="","",Q60*VLOOKUP($C60,MINIPELLE!$A$2:$D$28,4,0))</f>
        <v/>
      </c>
      <c r="S60" s="364">
        <v>11</v>
      </c>
      <c r="T60" s="389" t="str">
        <f>IF($C60="","",S60*VLOOKUP($C60,MINIPELLE!$A$2:$D$28,4,0))</f>
        <v/>
      </c>
      <c r="U60" s="364">
        <v>11</v>
      </c>
      <c r="V60" s="389" t="str">
        <f>IF($C60="","",U60*VLOOKUP($C60,MINIPELLE!$A$2:$D$28,4,0))</f>
        <v/>
      </c>
      <c r="W60" s="364">
        <v>11</v>
      </c>
      <c r="X60" s="389" t="str">
        <f>IF($C60="","",W60*VLOOKUP($C60,MINIPELLE!$A$2:$D$28,4,0))</f>
        <v/>
      </c>
      <c r="Y60" s="364">
        <v>11</v>
      </c>
      <c r="Z60" s="389" t="str">
        <f>IF($C60="","",Y60*VLOOKUP($C60,MINIPELLE!$A$2:$D$28,4,0))</f>
        <v/>
      </c>
      <c r="AA60" s="364">
        <v>11</v>
      </c>
      <c r="AB60" s="389" t="str">
        <f>IF($C60="","",AA60*VLOOKUP($C60,MINIPELLE!$A$2:$D$28,4,0))</f>
        <v/>
      </c>
      <c r="AC60" s="364">
        <v>11</v>
      </c>
      <c r="AD60" s="389" t="str">
        <f>IF($C60="","",AC60*VLOOKUP($C60,MINIPELLE!$A$2:$D$28,4,0))</f>
        <v/>
      </c>
      <c r="AE60" s="364">
        <v>11</v>
      </c>
      <c r="AF60" s="389" t="str">
        <f>IF($C60="","",AE60*VLOOKUP($C60,MINIPELLE!$A$2:$D$28,4,0))</f>
        <v/>
      </c>
      <c r="AG60" s="364">
        <v>11</v>
      </c>
      <c r="AH60" s="389" t="str">
        <f>IF($C60="","",AG60*VLOOKUP($C60,MINIPELLE!$A$2:$D$28,4,0))</f>
        <v/>
      </c>
      <c r="AI60" s="364">
        <v>11</v>
      </c>
      <c r="AJ60" s="389" t="str">
        <f>IF($C60="","",AI60*VLOOKUP($C60,MINIPELLE!$A$2:$D$28,4,0))</f>
        <v/>
      </c>
      <c r="AK60" s="364">
        <v>11</v>
      </c>
      <c r="AL60" s="389" t="str">
        <f>IF($C60="","",AK60*VLOOKUP($C60,MINIPELLE!$A$2:$D$28,4,0))</f>
        <v/>
      </c>
      <c r="AM60" s="364">
        <v>11</v>
      </c>
      <c r="AN60" s="389" t="str">
        <f>IF($C60="","",AM60*VLOOKUP($C60,MINIPELLE!$A$2:$D$28,4,0))</f>
        <v/>
      </c>
    </row>
    <row r="61" spans="1:42" ht="15" customHeight="1" x14ac:dyDescent="0.2">
      <c r="A61" s="1560"/>
      <c r="B61" s="361"/>
      <c r="C61" s="378"/>
      <c r="D61" s="363" t="str">
        <f>IF(C61="","",VLOOKUP($C61,MINIPELLE!$A$2:$C$28,3,0))</f>
        <v/>
      </c>
      <c r="E61" s="364">
        <v>12</v>
      </c>
      <c r="F61" s="389" t="str">
        <f>IF($C61="","",E61*VLOOKUP($C61,MINIPELLE!$A$2:$D$28,4,0))</f>
        <v/>
      </c>
      <c r="G61" s="364">
        <v>12</v>
      </c>
      <c r="H61" s="389" t="str">
        <f>IF($C61="","",G61*VLOOKUP($C61,MINIPELLE!$A$2:$D$28,4,0))</f>
        <v/>
      </c>
      <c r="I61" s="364">
        <v>12</v>
      </c>
      <c r="J61" s="389" t="str">
        <f>IF($C61="","",I61*VLOOKUP($C61,MINIPELLE!$A$2:$D$28,4,0))</f>
        <v/>
      </c>
      <c r="K61" s="364">
        <v>12</v>
      </c>
      <c r="L61" s="389" t="str">
        <f>IF($C61="","",K61*VLOOKUP($C61,MINIPELLE!$A$2:$D$28,4,0))</f>
        <v/>
      </c>
      <c r="M61" s="364">
        <v>12</v>
      </c>
      <c r="N61" s="389" t="str">
        <f>IF($C61="","",M61*VLOOKUP($C61,MINIPELLE!$A$2:$D$28,4,0))</f>
        <v/>
      </c>
      <c r="O61" s="364">
        <v>12</v>
      </c>
      <c r="P61" s="389" t="str">
        <f>IF($C61="","",O61*VLOOKUP($C61,MINIPELLE!$A$2:$D$28,4,0))</f>
        <v/>
      </c>
      <c r="Q61" s="364">
        <v>12</v>
      </c>
      <c r="R61" s="389" t="str">
        <f>IF($C61="","",Q61*VLOOKUP($C61,MINIPELLE!$A$2:$D$28,4,0))</f>
        <v/>
      </c>
      <c r="S61" s="364">
        <v>12</v>
      </c>
      <c r="T61" s="389" t="str">
        <f>IF($C61="","",S61*VLOOKUP($C61,MINIPELLE!$A$2:$D$28,4,0))</f>
        <v/>
      </c>
      <c r="U61" s="364">
        <v>12</v>
      </c>
      <c r="V61" s="389" t="str">
        <f>IF($C61="","",U61*VLOOKUP($C61,MINIPELLE!$A$2:$D$28,4,0))</f>
        <v/>
      </c>
      <c r="W61" s="364">
        <v>12</v>
      </c>
      <c r="X61" s="389" t="str">
        <f>IF($C61="","",W61*VLOOKUP($C61,MINIPELLE!$A$2:$D$28,4,0))</f>
        <v/>
      </c>
      <c r="Y61" s="364">
        <v>12</v>
      </c>
      <c r="Z61" s="389" t="str">
        <f>IF($C61="","",Y61*VLOOKUP($C61,MINIPELLE!$A$2:$D$28,4,0))</f>
        <v/>
      </c>
      <c r="AA61" s="364">
        <v>12</v>
      </c>
      <c r="AB61" s="389" t="str">
        <f>IF($C61="","",AA61*VLOOKUP($C61,MINIPELLE!$A$2:$D$28,4,0))</f>
        <v/>
      </c>
      <c r="AC61" s="364">
        <v>12</v>
      </c>
      <c r="AD61" s="389" t="str">
        <f>IF($C61="","",AC61*VLOOKUP($C61,MINIPELLE!$A$2:$D$28,4,0))</f>
        <v/>
      </c>
      <c r="AE61" s="364">
        <v>12</v>
      </c>
      <c r="AF61" s="389" t="str">
        <f>IF($C61="","",AE61*VLOOKUP($C61,MINIPELLE!$A$2:$D$28,4,0))</f>
        <v/>
      </c>
      <c r="AG61" s="364">
        <v>12</v>
      </c>
      <c r="AH61" s="389" t="str">
        <f>IF($C61="","",AG61*VLOOKUP($C61,MINIPELLE!$A$2:$D$28,4,0))</f>
        <v/>
      </c>
      <c r="AI61" s="364">
        <v>12</v>
      </c>
      <c r="AJ61" s="389" t="str">
        <f>IF($C61="","",AI61*VLOOKUP($C61,MINIPELLE!$A$2:$D$28,4,0))</f>
        <v/>
      </c>
      <c r="AK61" s="364">
        <v>12</v>
      </c>
      <c r="AL61" s="389" t="str">
        <f>IF($C61="","",AK61*VLOOKUP($C61,MINIPELLE!$A$2:$D$28,4,0))</f>
        <v/>
      </c>
      <c r="AM61" s="364">
        <v>12</v>
      </c>
      <c r="AN61" s="389" t="str">
        <f>IF($C61="","",AM61*VLOOKUP($C61,MINIPELLE!$A$2:$D$28,4,0))</f>
        <v/>
      </c>
    </row>
    <row r="62" spans="1:42" ht="29.25" customHeight="1" x14ac:dyDescent="0.2">
      <c r="A62" s="1560"/>
      <c r="B62" s="384" t="s">
        <v>454</v>
      </c>
      <c r="C62" s="385" t="s">
        <v>455</v>
      </c>
      <c r="D62" s="386" t="s">
        <v>451</v>
      </c>
      <c r="E62" s="387">
        <f>F62*Simulation!$P$10</f>
        <v>4</v>
      </c>
      <c r="F62" s="388">
        <f>SUM(F51:F61)</f>
        <v>0.05</v>
      </c>
      <c r="G62" s="387">
        <f>H62*Simulation!$P$10</f>
        <v>4</v>
      </c>
      <c r="H62" s="388">
        <f>SUM(H51:H61)</f>
        <v>0.05</v>
      </c>
      <c r="I62" s="387">
        <f>J62*Simulation!$P$10</f>
        <v>4</v>
      </c>
      <c r="J62" s="388">
        <f>SUM(J51:J61)</f>
        <v>0.05</v>
      </c>
      <c r="K62" s="387">
        <f>L62*Simulation!$P$10</f>
        <v>4</v>
      </c>
      <c r="L62" s="388">
        <f>SUM(L51:L61)</f>
        <v>0.05</v>
      </c>
      <c r="M62" s="387">
        <f>N62*Simulation!$P$10</f>
        <v>4</v>
      </c>
      <c r="N62" s="388">
        <f>SUM(N51:N61)</f>
        <v>0.05</v>
      </c>
      <c r="O62" s="387">
        <f>P62*Simulation!$P$10</f>
        <v>4</v>
      </c>
      <c r="P62" s="388">
        <f>SUM(P51:P61)</f>
        <v>0.05</v>
      </c>
      <c r="Q62" s="387">
        <f>R62*Simulation!$P$10</f>
        <v>4</v>
      </c>
      <c r="R62" s="388">
        <f>SUM(R51:R61)</f>
        <v>0.05</v>
      </c>
      <c r="S62" s="387">
        <f>T62*Simulation!$P$10</f>
        <v>4</v>
      </c>
      <c r="T62" s="388">
        <f>SUM(T51:T61)</f>
        <v>0.05</v>
      </c>
      <c r="U62" s="387">
        <f>V62*Simulation!$P$10</f>
        <v>4</v>
      </c>
      <c r="V62" s="388">
        <f>SUM(V51:V61)</f>
        <v>0.05</v>
      </c>
      <c r="W62" s="387">
        <f>X62*Simulation!$P$10</f>
        <v>4</v>
      </c>
      <c r="X62" s="388">
        <f>SUM(X51:X61)</f>
        <v>0.05</v>
      </c>
      <c r="Y62" s="387">
        <f>Z62*Simulation!$P$10</f>
        <v>4</v>
      </c>
      <c r="Z62" s="388">
        <f>SUM(Z51:Z61)</f>
        <v>0.05</v>
      </c>
      <c r="AA62" s="387">
        <f>AB62*Simulation!$P$10</f>
        <v>4</v>
      </c>
      <c r="AB62" s="388">
        <f>SUM(AB51:AB61)</f>
        <v>0.05</v>
      </c>
      <c r="AC62" s="387">
        <f>AD62*Simulation!$P$10</f>
        <v>4</v>
      </c>
      <c r="AD62" s="388">
        <f>SUM(AD51:AD61)</f>
        <v>0.05</v>
      </c>
      <c r="AE62" s="387">
        <f>AF62*Simulation!$P$10</f>
        <v>4</v>
      </c>
      <c r="AF62" s="388">
        <f>SUM(AF51:AF61)</f>
        <v>0.05</v>
      </c>
      <c r="AG62" s="387">
        <f>AH62*Simulation!$P$10</f>
        <v>4</v>
      </c>
      <c r="AH62" s="388">
        <f>SUM(AH51:AH61)</f>
        <v>0.05</v>
      </c>
      <c r="AI62" s="387">
        <f>AJ62*Simulation!$P$10</f>
        <v>4</v>
      </c>
      <c r="AJ62" s="388">
        <f>SUM(AJ51:AJ61)</f>
        <v>0.05</v>
      </c>
      <c r="AK62" s="387">
        <f>AL62*Simulation!$P$10</f>
        <v>4</v>
      </c>
      <c r="AL62" s="388">
        <f>SUM(AL51:AL61)</f>
        <v>0.05</v>
      </c>
      <c r="AM62" s="387">
        <f>AN62*Simulation!$P$10</f>
        <v>4</v>
      </c>
      <c r="AN62" s="388">
        <f>SUM(AN51:AN61)</f>
        <v>0.05</v>
      </c>
    </row>
    <row r="63" spans="1:42" x14ac:dyDescent="0.2">
      <c r="A63" s="199"/>
      <c r="B63" s="172"/>
      <c r="C63" s="200"/>
      <c r="D63" s="201"/>
      <c r="E63" s="202"/>
      <c r="F63" s="203"/>
      <c r="G63" s="202"/>
      <c r="H63" s="203"/>
      <c r="I63" s="202"/>
      <c r="J63" s="203"/>
      <c r="K63" s="202"/>
      <c r="L63" s="203"/>
      <c r="M63" s="202"/>
      <c r="N63" s="203"/>
      <c r="O63" s="202"/>
      <c r="P63" s="203"/>
      <c r="Q63" s="202"/>
      <c r="R63" s="203"/>
      <c r="S63" s="202"/>
      <c r="T63" s="203"/>
      <c r="U63" s="202"/>
      <c r="V63" s="203"/>
      <c r="W63" s="202"/>
      <c r="X63" s="203"/>
      <c r="Y63" s="202"/>
      <c r="Z63" s="203"/>
      <c r="AA63" s="202"/>
      <c r="AB63" s="203"/>
      <c r="AC63" s="202"/>
      <c r="AD63" s="203"/>
      <c r="AE63" s="202"/>
      <c r="AF63" s="203"/>
      <c r="AG63" s="202"/>
      <c r="AH63" s="203"/>
      <c r="AI63" s="202"/>
      <c r="AJ63" s="203"/>
      <c r="AK63" s="202"/>
      <c r="AL63" s="203"/>
      <c r="AM63" s="202"/>
      <c r="AN63" s="203"/>
    </row>
    <row r="64" spans="1:42" ht="36" customHeight="1" x14ac:dyDescent="0.2">
      <c r="A64" s="204"/>
      <c r="B64" s="1561" t="s">
        <v>456</v>
      </c>
      <c r="C64" s="1564" t="s">
        <v>445</v>
      </c>
      <c r="D64" s="1564"/>
      <c r="E64" s="1547" t="e">
        <f>E62+E50+E38+E26</f>
        <v>#N/A</v>
      </c>
      <c r="F64" s="1547"/>
      <c r="G64" s="1547" t="e">
        <f>G62+G50+G38+G26</f>
        <v>#N/A</v>
      </c>
      <c r="H64" s="1547"/>
      <c r="I64" s="1547" t="e">
        <f>I62+I50+I38+I26</f>
        <v>#N/A</v>
      </c>
      <c r="J64" s="1547"/>
      <c r="K64" s="1547" t="e">
        <f>K62+K50+K38+K26</f>
        <v>#N/A</v>
      </c>
      <c r="L64" s="1547"/>
      <c r="M64" s="1547" t="e">
        <f>M62+M50+M38+M26</f>
        <v>#N/A</v>
      </c>
      <c r="N64" s="1547"/>
      <c r="O64" s="1547" t="e">
        <f>O62+O50+O38+O26</f>
        <v>#N/A</v>
      </c>
      <c r="P64" s="1547"/>
      <c r="Q64" s="1547" t="e">
        <f>Q62+Q50+Q38+Q26</f>
        <v>#N/A</v>
      </c>
      <c r="R64" s="1547"/>
      <c r="S64" s="1547" t="e">
        <f>S62+S50+S38+S26</f>
        <v>#N/A</v>
      </c>
      <c r="T64" s="1547"/>
      <c r="U64" s="1547" t="e">
        <f>U62+U50+U38+U26</f>
        <v>#N/A</v>
      </c>
      <c r="V64" s="1547"/>
      <c r="W64" s="1547" t="e">
        <f>W62+W50+W38+W26</f>
        <v>#N/A</v>
      </c>
      <c r="X64" s="1547"/>
      <c r="Y64" s="1547" t="e">
        <f>Y62+Y50+Y38+Y26</f>
        <v>#N/A</v>
      </c>
      <c r="Z64" s="1547"/>
      <c r="AA64" s="1547" t="e">
        <f>AA62+AA50+AA38+AA26</f>
        <v>#N/A</v>
      </c>
      <c r="AB64" s="1547"/>
      <c r="AC64" s="1547" t="e">
        <f>AC62+AC50+AC38+AC26</f>
        <v>#N/A</v>
      </c>
      <c r="AD64" s="1547"/>
      <c r="AE64" s="1547" t="e">
        <f>AE62+AE50+AE38+AE26</f>
        <v>#N/A</v>
      </c>
      <c r="AF64" s="1547"/>
      <c r="AG64" s="1547" t="e">
        <f>AG62+AG50+AG38+AG26</f>
        <v>#N/A</v>
      </c>
      <c r="AH64" s="1547"/>
      <c r="AI64" s="1547" t="e">
        <f>AI62+AI50+AI38+AI26</f>
        <v>#N/A</v>
      </c>
      <c r="AJ64" s="1547"/>
      <c r="AK64" s="1547" t="e">
        <f>AK62+AK50+AK38+AK26</f>
        <v>#N/A</v>
      </c>
      <c r="AL64" s="1547"/>
      <c r="AM64" s="1547" t="e">
        <f>AM62+AM50+AM38+AM26</f>
        <v>#N/A</v>
      </c>
      <c r="AN64" s="1547"/>
    </row>
    <row r="65" spans="1:42" ht="18" customHeight="1" x14ac:dyDescent="0.2">
      <c r="A65" s="154"/>
      <c r="B65" s="1562"/>
      <c r="C65" s="1565" t="s">
        <v>457</v>
      </c>
      <c r="D65" s="1565"/>
      <c r="E65" s="149">
        <f>E26-F26</f>
        <v>0</v>
      </c>
      <c r="F65" s="207" t="e">
        <f>E65/E$64</f>
        <v>#N/A</v>
      </c>
      <c r="G65" s="149">
        <f>G26-H26</f>
        <v>0</v>
      </c>
      <c r="H65" s="207" t="e">
        <f>G65/G$64</f>
        <v>#N/A</v>
      </c>
      <c r="I65" s="149">
        <f>I26-J26</f>
        <v>0</v>
      </c>
      <c r="J65" s="207" t="e">
        <f>I65/I$64</f>
        <v>#N/A</v>
      </c>
      <c r="K65" s="149">
        <f>K26-L26</f>
        <v>0</v>
      </c>
      <c r="L65" s="207" t="e">
        <f>K65/K$64</f>
        <v>#N/A</v>
      </c>
      <c r="M65" s="149">
        <f>M26-N26</f>
        <v>0</v>
      </c>
      <c r="N65" s="207" t="e">
        <f>M65/M$64</f>
        <v>#N/A</v>
      </c>
      <c r="O65" s="149">
        <f>O26-P26</f>
        <v>0</v>
      </c>
      <c r="P65" s="207" t="e">
        <f>O65/O$64</f>
        <v>#N/A</v>
      </c>
      <c r="Q65" s="149">
        <f>Q26-R26</f>
        <v>0</v>
      </c>
      <c r="R65" s="207" t="e">
        <f>Q65/Q$64</f>
        <v>#N/A</v>
      </c>
      <c r="S65" s="149">
        <f>S26-T26</f>
        <v>0</v>
      </c>
      <c r="T65" s="207" t="e">
        <f>S65/S$64</f>
        <v>#N/A</v>
      </c>
      <c r="U65" s="149">
        <f>U26-V26</f>
        <v>0</v>
      </c>
      <c r="V65" s="207" t="e">
        <f>U65/U$64</f>
        <v>#N/A</v>
      </c>
      <c r="W65" s="149">
        <f>W26-X26</f>
        <v>0</v>
      </c>
      <c r="X65" s="207" t="e">
        <f>W65/W$64</f>
        <v>#N/A</v>
      </c>
      <c r="Y65" s="149">
        <f>Y26-Z26</f>
        <v>0</v>
      </c>
      <c r="Z65" s="207" t="e">
        <f>Y65/Y$64</f>
        <v>#N/A</v>
      </c>
      <c r="AA65" s="149">
        <f>AA26-AB26</f>
        <v>0</v>
      </c>
      <c r="AB65" s="207" t="e">
        <f>AA65/AA$64</f>
        <v>#N/A</v>
      </c>
      <c r="AC65" s="149">
        <f>AC26-AD26</f>
        <v>0</v>
      </c>
      <c r="AD65" s="207" t="e">
        <f>AC65/AC$64</f>
        <v>#N/A</v>
      </c>
      <c r="AE65" s="149">
        <f>AE26-AF26</f>
        <v>0</v>
      </c>
      <c r="AF65" s="207" t="e">
        <f>AE65/AE$64</f>
        <v>#N/A</v>
      </c>
      <c r="AG65" s="149">
        <f>AG26-AH26</f>
        <v>0</v>
      </c>
      <c r="AH65" s="207" t="e">
        <f>AG65/AG$64</f>
        <v>#N/A</v>
      </c>
      <c r="AI65" s="149">
        <f>AI26-AJ26</f>
        <v>0</v>
      </c>
      <c r="AJ65" s="207" t="e">
        <f>AI65/AI$64</f>
        <v>#N/A</v>
      </c>
      <c r="AK65" s="149">
        <f>AK26-AL26</f>
        <v>0</v>
      </c>
      <c r="AL65" s="207" t="e">
        <f>AK65/AK$64</f>
        <v>#N/A</v>
      </c>
      <c r="AM65" s="149">
        <f>AM26-AN26</f>
        <v>0</v>
      </c>
      <c r="AN65" s="207" t="e">
        <f>AM65/AM$64</f>
        <v>#N/A</v>
      </c>
    </row>
    <row r="66" spans="1:42" ht="18" customHeight="1" x14ac:dyDescent="0.2">
      <c r="A66" s="154"/>
      <c r="B66" s="1562"/>
      <c r="C66" s="1565" t="s">
        <v>9</v>
      </c>
      <c r="D66" s="1565"/>
      <c r="E66" s="149">
        <f>E26</f>
        <v>0</v>
      </c>
      <c r="F66" s="207" t="e">
        <f>E66/E$64</f>
        <v>#N/A</v>
      </c>
      <c r="G66" s="149">
        <f>G26</f>
        <v>0</v>
      </c>
      <c r="H66" s="207" t="e">
        <f>G66/G$64</f>
        <v>#N/A</v>
      </c>
      <c r="I66" s="149">
        <f>I26</f>
        <v>0</v>
      </c>
      <c r="J66" s="207" t="e">
        <f>I66/I$64</f>
        <v>#N/A</v>
      </c>
      <c r="K66" s="149">
        <f>K26</f>
        <v>0</v>
      </c>
      <c r="L66" s="207" t="e">
        <f>K66/K$64</f>
        <v>#N/A</v>
      </c>
      <c r="M66" s="149">
        <f>M26</f>
        <v>0</v>
      </c>
      <c r="N66" s="207" t="e">
        <f>M66/M$64</f>
        <v>#N/A</v>
      </c>
      <c r="O66" s="149">
        <f>O26</f>
        <v>0</v>
      </c>
      <c r="P66" s="207" t="e">
        <f>O66/O$64</f>
        <v>#N/A</v>
      </c>
      <c r="Q66" s="149">
        <f>Q26</f>
        <v>0</v>
      </c>
      <c r="R66" s="207" t="e">
        <f>Q66/Q$64</f>
        <v>#N/A</v>
      </c>
      <c r="S66" s="149">
        <f>S26</f>
        <v>0</v>
      </c>
      <c r="T66" s="207" t="e">
        <f>S66/S$64</f>
        <v>#N/A</v>
      </c>
      <c r="U66" s="149">
        <f>U26</f>
        <v>0</v>
      </c>
      <c r="V66" s="207" t="e">
        <f>U66/U$64</f>
        <v>#N/A</v>
      </c>
      <c r="W66" s="149">
        <f>W26</f>
        <v>0</v>
      </c>
      <c r="X66" s="207" t="e">
        <f>W66/W$64</f>
        <v>#N/A</v>
      </c>
      <c r="Y66" s="149">
        <f>Y26</f>
        <v>0</v>
      </c>
      <c r="Z66" s="207" t="e">
        <f>Y66/Y$64</f>
        <v>#N/A</v>
      </c>
      <c r="AA66" s="149">
        <f>AA26</f>
        <v>0</v>
      </c>
      <c r="AB66" s="207" t="e">
        <f>AA66/AA$64</f>
        <v>#N/A</v>
      </c>
      <c r="AC66" s="149">
        <f>AC26</f>
        <v>0</v>
      </c>
      <c r="AD66" s="207" t="e">
        <f>AC66/AC$64</f>
        <v>#N/A</v>
      </c>
      <c r="AE66" s="149">
        <f>AE26</f>
        <v>0</v>
      </c>
      <c r="AF66" s="207" t="e">
        <f>AE66/AE$64</f>
        <v>#N/A</v>
      </c>
      <c r="AG66" s="149">
        <f>AG26</f>
        <v>0</v>
      </c>
      <c r="AH66" s="207" t="e">
        <f>AG66/AG$64</f>
        <v>#N/A</v>
      </c>
      <c r="AI66" s="149">
        <f>AI26</f>
        <v>0</v>
      </c>
      <c r="AJ66" s="207" t="e">
        <f>AI66/AI$64</f>
        <v>#N/A</v>
      </c>
      <c r="AK66" s="149">
        <f>AK26</f>
        <v>0</v>
      </c>
      <c r="AL66" s="207" t="e">
        <f>AK66/AK$64</f>
        <v>#N/A</v>
      </c>
      <c r="AM66" s="149">
        <f>AM26</f>
        <v>0</v>
      </c>
      <c r="AN66" s="207" t="e">
        <f>AM66/AM$64</f>
        <v>#N/A</v>
      </c>
    </row>
    <row r="67" spans="1:42" ht="18" customHeight="1" x14ac:dyDescent="0.2">
      <c r="A67" s="154"/>
      <c r="B67" s="1562"/>
      <c r="C67" s="1565" t="s">
        <v>458</v>
      </c>
      <c r="D67" s="1565"/>
      <c r="E67" s="149" t="e">
        <f>E38</f>
        <v>#N/A</v>
      </c>
      <c r="F67" s="207" t="e">
        <f>E67/E$64</f>
        <v>#N/A</v>
      </c>
      <c r="G67" s="149" t="e">
        <f>G38</f>
        <v>#N/A</v>
      </c>
      <c r="H67" s="207" t="e">
        <f>G67/G$64</f>
        <v>#N/A</v>
      </c>
      <c r="I67" s="149" t="e">
        <f>I38</f>
        <v>#N/A</v>
      </c>
      <c r="J67" s="207" t="e">
        <f>I67/I$64</f>
        <v>#N/A</v>
      </c>
      <c r="K67" s="149" t="e">
        <f>K38</f>
        <v>#N/A</v>
      </c>
      <c r="L67" s="207" t="e">
        <f>K67/K$64</f>
        <v>#N/A</v>
      </c>
      <c r="M67" s="149" t="e">
        <f>M38</f>
        <v>#N/A</v>
      </c>
      <c r="N67" s="207" t="e">
        <f>M67/M$64</f>
        <v>#N/A</v>
      </c>
      <c r="O67" s="149" t="e">
        <f>O38</f>
        <v>#N/A</v>
      </c>
      <c r="P67" s="207" t="e">
        <f>O67/O$64</f>
        <v>#N/A</v>
      </c>
      <c r="Q67" s="149" t="e">
        <f>Q38</f>
        <v>#N/A</v>
      </c>
      <c r="R67" s="207" t="e">
        <f>Q67/Q$64</f>
        <v>#N/A</v>
      </c>
      <c r="S67" s="149" t="e">
        <f>S38</f>
        <v>#N/A</v>
      </c>
      <c r="T67" s="207" t="e">
        <f>S67/S$64</f>
        <v>#N/A</v>
      </c>
      <c r="U67" s="149" t="e">
        <f>U38</f>
        <v>#N/A</v>
      </c>
      <c r="V67" s="207" t="e">
        <f>U67/U$64</f>
        <v>#N/A</v>
      </c>
      <c r="W67" s="149" t="e">
        <f>W38</f>
        <v>#N/A</v>
      </c>
      <c r="X67" s="207" t="e">
        <f>W67/W$64</f>
        <v>#N/A</v>
      </c>
      <c r="Y67" s="149" t="e">
        <f>Y38</f>
        <v>#N/A</v>
      </c>
      <c r="Z67" s="207" t="e">
        <f>Y67/Y$64</f>
        <v>#N/A</v>
      </c>
      <c r="AA67" s="149" t="e">
        <f>AA38</f>
        <v>#N/A</v>
      </c>
      <c r="AB67" s="207" t="e">
        <f>AA67/AA$64</f>
        <v>#N/A</v>
      </c>
      <c r="AC67" s="149" t="e">
        <f>AC38</f>
        <v>#N/A</v>
      </c>
      <c r="AD67" s="207" t="e">
        <f>AC67/AC$64</f>
        <v>#N/A</v>
      </c>
      <c r="AE67" s="149" t="e">
        <f>AE38</f>
        <v>#N/A</v>
      </c>
      <c r="AF67" s="207" t="e">
        <f>AE67/AE$64</f>
        <v>#N/A</v>
      </c>
      <c r="AG67" s="149" t="e">
        <f>AG38</f>
        <v>#N/A</v>
      </c>
      <c r="AH67" s="207" t="e">
        <f>AG67/AG$64</f>
        <v>#N/A</v>
      </c>
      <c r="AI67" s="149" t="e">
        <f>AI38</f>
        <v>#N/A</v>
      </c>
      <c r="AJ67" s="207" t="e">
        <f>AI67/AI$64</f>
        <v>#N/A</v>
      </c>
      <c r="AK67" s="149" t="e">
        <f>AK38</f>
        <v>#N/A</v>
      </c>
      <c r="AL67" s="207" t="e">
        <f>AK67/AK$64</f>
        <v>#N/A</v>
      </c>
      <c r="AM67" s="149" t="e">
        <f>AM38</f>
        <v>#N/A</v>
      </c>
      <c r="AN67" s="207" t="e">
        <f>AM67/AM$64</f>
        <v>#N/A</v>
      </c>
    </row>
    <row r="68" spans="1:42" ht="18" customHeight="1" x14ac:dyDescent="0.2">
      <c r="A68" s="154"/>
      <c r="B68" s="1562"/>
      <c r="C68" s="1565" t="s">
        <v>459</v>
      </c>
      <c r="D68" s="1565"/>
      <c r="E68" s="149">
        <f>E50</f>
        <v>11.25</v>
      </c>
      <c r="F68" s="207" t="e">
        <f>E68/E$64</f>
        <v>#N/A</v>
      </c>
      <c r="G68" s="149">
        <f>G50</f>
        <v>22.5</v>
      </c>
      <c r="H68" s="207" t="e">
        <f>G68/G$64</f>
        <v>#N/A</v>
      </c>
      <c r="I68" s="149">
        <f>I50</f>
        <v>33.75</v>
      </c>
      <c r="J68" s="207" t="e">
        <f>I68/I$64</f>
        <v>#N/A</v>
      </c>
      <c r="K68" s="149">
        <f>K50</f>
        <v>45</v>
      </c>
      <c r="L68" s="207" t="e">
        <f>K68/K$64</f>
        <v>#N/A</v>
      </c>
      <c r="M68" s="149">
        <f>M50</f>
        <v>56.25</v>
      </c>
      <c r="N68" s="207" t="e">
        <f>M68/M$64</f>
        <v>#N/A</v>
      </c>
      <c r="O68" s="149">
        <f>O50</f>
        <v>67.5</v>
      </c>
      <c r="P68" s="207" t="e">
        <f>O68/O$64</f>
        <v>#N/A</v>
      </c>
      <c r="Q68" s="149">
        <f>Q50</f>
        <v>78.75</v>
      </c>
      <c r="R68" s="207" t="e">
        <f>Q68/Q$64</f>
        <v>#N/A</v>
      </c>
      <c r="S68" s="149">
        <f>S50</f>
        <v>90</v>
      </c>
      <c r="T68" s="207" t="e">
        <f>S68/S$64</f>
        <v>#N/A</v>
      </c>
      <c r="U68" s="149">
        <f>U50</f>
        <v>101.25</v>
      </c>
      <c r="V68" s="207" t="e">
        <f>U68/U$64</f>
        <v>#N/A</v>
      </c>
      <c r="W68" s="149">
        <f>W50</f>
        <v>112.5</v>
      </c>
      <c r="X68" s="207" t="e">
        <f>W68/W$64</f>
        <v>#N/A</v>
      </c>
      <c r="Y68" s="149">
        <f>Y50</f>
        <v>123.75</v>
      </c>
      <c r="Z68" s="207" t="e">
        <f>Y68/Y$64</f>
        <v>#N/A</v>
      </c>
      <c r="AA68" s="149">
        <f>AA50</f>
        <v>135</v>
      </c>
      <c r="AB68" s="207" t="e">
        <f>AA68/AA$64</f>
        <v>#N/A</v>
      </c>
      <c r="AC68" s="149">
        <f>AC50</f>
        <v>146.25</v>
      </c>
      <c r="AD68" s="207" t="e">
        <f>AC68/AC$64</f>
        <v>#N/A</v>
      </c>
      <c r="AE68" s="149">
        <f>AE50</f>
        <v>157.5</v>
      </c>
      <c r="AF68" s="207" t="e">
        <f>AE68/AE$64</f>
        <v>#N/A</v>
      </c>
      <c r="AG68" s="149">
        <f>AG50</f>
        <v>168.75</v>
      </c>
      <c r="AH68" s="207" t="e">
        <f>AG68/AG$64</f>
        <v>#N/A</v>
      </c>
      <c r="AI68" s="149">
        <f>AI50</f>
        <v>180</v>
      </c>
      <c r="AJ68" s="207" t="e">
        <f>AI68/AI$64</f>
        <v>#N/A</v>
      </c>
      <c r="AK68" s="149">
        <f>AK50</f>
        <v>191.25</v>
      </c>
      <c r="AL68" s="207" t="e">
        <f>AK68/AK$64</f>
        <v>#N/A</v>
      </c>
      <c r="AM68" s="149">
        <f>AM50</f>
        <v>202.5</v>
      </c>
      <c r="AN68" s="207" t="e">
        <f>AM68/AM$64</f>
        <v>#N/A</v>
      </c>
    </row>
    <row r="69" spans="1:42" ht="18" customHeight="1" x14ac:dyDescent="0.2">
      <c r="A69" s="154"/>
      <c r="B69" s="1563"/>
      <c r="C69" s="1565" t="s">
        <v>5</v>
      </c>
      <c r="D69" s="1565"/>
      <c r="E69" s="149">
        <f>E62</f>
        <v>4</v>
      </c>
      <c r="F69" s="207" t="e">
        <f>E69/E$64</f>
        <v>#N/A</v>
      </c>
      <c r="G69" s="149">
        <f>G62</f>
        <v>4</v>
      </c>
      <c r="H69" s="207" t="e">
        <f>G69/G$64</f>
        <v>#N/A</v>
      </c>
      <c r="I69" s="149">
        <f>I62</f>
        <v>4</v>
      </c>
      <c r="J69" s="207" t="e">
        <f>I69/I$64</f>
        <v>#N/A</v>
      </c>
      <c r="K69" s="149">
        <f>K62</f>
        <v>4</v>
      </c>
      <c r="L69" s="207" t="e">
        <f>K69/K$64</f>
        <v>#N/A</v>
      </c>
      <c r="M69" s="149">
        <f>M62</f>
        <v>4</v>
      </c>
      <c r="N69" s="207" t="e">
        <f>M69/M$64</f>
        <v>#N/A</v>
      </c>
      <c r="O69" s="149">
        <f>O62</f>
        <v>4</v>
      </c>
      <c r="P69" s="207" t="e">
        <f>O69/O$64</f>
        <v>#N/A</v>
      </c>
      <c r="Q69" s="149">
        <f>Q62</f>
        <v>4</v>
      </c>
      <c r="R69" s="207" t="e">
        <f>Q69/Q$64</f>
        <v>#N/A</v>
      </c>
      <c r="S69" s="149">
        <f>S62</f>
        <v>4</v>
      </c>
      <c r="T69" s="207" t="e">
        <f>S69/S$64</f>
        <v>#N/A</v>
      </c>
      <c r="U69" s="149">
        <f>U62</f>
        <v>4</v>
      </c>
      <c r="V69" s="207" t="e">
        <f>U69/U$64</f>
        <v>#N/A</v>
      </c>
      <c r="W69" s="149">
        <f>W62</f>
        <v>4</v>
      </c>
      <c r="X69" s="207" t="e">
        <f>W69/W$64</f>
        <v>#N/A</v>
      </c>
      <c r="Y69" s="149">
        <f>Y62</f>
        <v>4</v>
      </c>
      <c r="Z69" s="207" t="e">
        <f>Y69/Y$64</f>
        <v>#N/A</v>
      </c>
      <c r="AA69" s="149">
        <f>AA62</f>
        <v>4</v>
      </c>
      <c r="AB69" s="207" t="e">
        <f>AA69/AA$64</f>
        <v>#N/A</v>
      </c>
      <c r="AC69" s="149">
        <f>AC62</f>
        <v>4</v>
      </c>
      <c r="AD69" s="207" t="e">
        <f>AC69/AC$64</f>
        <v>#N/A</v>
      </c>
      <c r="AE69" s="149">
        <f>AE62</f>
        <v>4</v>
      </c>
      <c r="AF69" s="207" t="e">
        <f>AE69/AE$64</f>
        <v>#N/A</v>
      </c>
      <c r="AG69" s="149">
        <f>AG62</f>
        <v>4</v>
      </c>
      <c r="AH69" s="207" t="e">
        <f>AG69/AG$64</f>
        <v>#N/A</v>
      </c>
      <c r="AI69" s="149">
        <f>AI62</f>
        <v>4</v>
      </c>
      <c r="AJ69" s="207" t="e">
        <f>AI69/AI$64</f>
        <v>#N/A</v>
      </c>
      <c r="AK69" s="149">
        <f>AK62</f>
        <v>4</v>
      </c>
      <c r="AL69" s="207" t="e">
        <f>AK69/AK$64</f>
        <v>#N/A</v>
      </c>
      <c r="AM69" s="149">
        <f>AM62</f>
        <v>4</v>
      </c>
      <c r="AN69" s="207" t="e">
        <f>AM69/AM$64</f>
        <v>#N/A</v>
      </c>
    </row>
    <row r="70" spans="1:42" x14ac:dyDescent="0.2">
      <c r="A70" s="154"/>
      <c r="B70" s="172"/>
      <c r="C70" s="154"/>
      <c r="D70" s="227"/>
      <c r="E70" s="154"/>
      <c r="F70" s="154"/>
      <c r="G70" s="154"/>
      <c r="H70" s="154"/>
      <c r="I70" s="154"/>
      <c r="J70" s="154"/>
      <c r="K70" s="154"/>
      <c r="L70" s="154"/>
      <c r="M70" s="154"/>
      <c r="N70" s="154"/>
      <c r="O70" s="154"/>
      <c r="P70" s="154"/>
      <c r="Q70" s="228"/>
      <c r="R70" s="229"/>
      <c r="S70" s="154"/>
      <c r="T70" s="230"/>
      <c r="U70" s="154"/>
      <c r="V70" s="154"/>
      <c r="W70" s="154"/>
      <c r="X70" s="154"/>
      <c r="Y70" s="154"/>
      <c r="Z70" s="154"/>
      <c r="AA70" s="154"/>
      <c r="AB70" s="154"/>
      <c r="AC70" s="154"/>
      <c r="AD70" s="154"/>
      <c r="AE70" s="154"/>
      <c r="AF70" s="154"/>
      <c r="AG70" s="154"/>
      <c r="AH70" s="154"/>
      <c r="AI70" s="154"/>
      <c r="AJ70" s="154"/>
      <c r="AK70" s="154"/>
      <c r="AL70" s="154"/>
      <c r="AM70" s="154"/>
      <c r="AN70" s="154"/>
      <c r="AO70" s="154"/>
      <c r="AP70" s="154"/>
    </row>
    <row r="71" spans="1:42" x14ac:dyDescent="0.2">
      <c r="A71" s="154"/>
      <c r="B71" s="172"/>
      <c r="C71" s="154"/>
      <c r="D71" s="227"/>
      <c r="E71" s="154"/>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c r="AD71" s="154"/>
      <c r="AE71" s="154"/>
      <c r="AF71" s="154"/>
      <c r="AG71" s="154"/>
      <c r="AH71" s="154"/>
      <c r="AI71" s="154"/>
      <c r="AJ71" s="154"/>
      <c r="AK71" s="154"/>
      <c r="AL71" s="154"/>
      <c r="AM71" s="154"/>
      <c r="AN71" s="154"/>
      <c r="AO71" s="154"/>
      <c r="AP71" s="154"/>
    </row>
    <row r="72" spans="1:42" ht="36" x14ac:dyDescent="0.2">
      <c r="A72" s="154"/>
      <c r="B72" s="1375" t="s">
        <v>1462</v>
      </c>
      <c r="C72" s="1568" t="s">
        <v>1463</v>
      </c>
      <c r="D72" s="1569"/>
      <c r="E72" s="149" t="e">
        <f>(VLOOKUP("Prix HT",$C$1:$N$64,E$1,0))-(VLOOKUP("Non margé",$D$1:$N$64,E$1,0))</f>
        <v>#N/A</v>
      </c>
      <c r="F72" s="207" t="e">
        <f>E72/VLOOKUP("Prix HT",$C$1:$N$64,E$1,0)</f>
        <v>#N/A</v>
      </c>
      <c r="G72" s="149" t="e">
        <f>(VLOOKUP("Prix HT",$C$1:$N$64,G$1,0))-(VLOOKUP("Non margé",$D$1:$N$64,G$1,0))</f>
        <v>#N/A</v>
      </c>
      <c r="H72" s="207" t="e">
        <f>G72/VLOOKUP("Prix HT",$C$1:$N$64,G$1,0)</f>
        <v>#N/A</v>
      </c>
      <c r="I72" s="149" t="e">
        <f>(VLOOKUP("Prix HT",$C$1:$N$64,I$1,0))-(VLOOKUP("Non margé",$D$1:$N$64,I$1,0))</f>
        <v>#N/A</v>
      </c>
      <c r="J72" s="207" t="e">
        <f>I72/VLOOKUP("Prix HT",$C$1:$N$64,I$1,0)</f>
        <v>#N/A</v>
      </c>
      <c r="K72" s="149" t="e">
        <f>(VLOOKUP("Prix HT",$C$1:$N$64,K$1,0))-(VLOOKUP("Non margé",$D$1:$N$64,K$1,0))</f>
        <v>#N/A</v>
      </c>
      <c r="L72" s="207" t="e">
        <f>K72/VLOOKUP("Prix HT",$C$1:$N$64,K$1,0)</f>
        <v>#N/A</v>
      </c>
      <c r="M72" s="149" t="e">
        <f>(VLOOKUP("Prix HT",$C$1:$N$64,M$1,0))-(VLOOKUP("Non margé",$D$1:$N$64,M$1,0))</f>
        <v>#N/A</v>
      </c>
      <c r="N72" s="207" t="e">
        <f>M72/VLOOKUP("Prix HT",$C$1:$N$64,M$1,0)</f>
        <v>#N/A</v>
      </c>
      <c r="O72" s="149" t="e">
        <f>(VLOOKUP("Prix HT",$C$1:$AN$64,O$1,0))-(VLOOKUP("Non margé",$D$1:$AN$64,O$1,0))</f>
        <v>#N/A</v>
      </c>
      <c r="P72" s="207" t="e">
        <f>O72/VLOOKUP("Prix HT",$C$1:$AN$64,O$1,0)</f>
        <v>#N/A</v>
      </c>
      <c r="Q72" s="149" t="e">
        <f>(VLOOKUP("Prix HT",$C$1:$AN$64,Q$1,0))-(VLOOKUP("Non margé",$D$1:$AN$64,Q$1,0))</f>
        <v>#N/A</v>
      </c>
      <c r="R72" s="207" t="e">
        <f>Q72/VLOOKUP("Prix HT",$C$1:$AN$64,Q$1,0)</f>
        <v>#N/A</v>
      </c>
      <c r="S72" s="149" t="e">
        <f>(VLOOKUP("Prix HT",$C$1:$AN$64,S$1,0))-(VLOOKUP("Non margé",$D$1:$AN$64,S$1,0))</f>
        <v>#N/A</v>
      </c>
      <c r="T72" s="207" t="e">
        <f>S72/VLOOKUP("Prix HT",$C$1:$AN$64,S$1,0)</f>
        <v>#N/A</v>
      </c>
      <c r="U72" s="149" t="e">
        <f>(VLOOKUP("Prix HT",$C$1:$AN$64,U$1,0))-(VLOOKUP("Non margé",$D$1:$AN$64,U$1,0))</f>
        <v>#N/A</v>
      </c>
      <c r="V72" s="207" t="e">
        <f>U72/VLOOKUP("Prix HT",$C$1:$AN$64,U$1,0)</f>
        <v>#N/A</v>
      </c>
      <c r="W72" s="149" t="e">
        <f>(VLOOKUP("Prix HT",$C$1:$AN$64,W$1,0))-(VLOOKUP("Non margé",$D$1:$AN$64,W$1,0))</f>
        <v>#N/A</v>
      </c>
      <c r="X72" s="207" t="e">
        <f>W72/VLOOKUP("Prix HT",$C$1:$AN$64,W$1,0)</f>
        <v>#N/A</v>
      </c>
      <c r="Y72" s="149" t="e">
        <f>(VLOOKUP("Prix HT",$C$1:$AN$64,Y$1,0))-(VLOOKUP("Non margé",$D$1:$AN$64,Y$1,0))</f>
        <v>#N/A</v>
      </c>
      <c r="Z72" s="207" t="e">
        <f>Y72/VLOOKUP("Prix HT",$C$1:$AN$64,Y$1,0)</f>
        <v>#N/A</v>
      </c>
      <c r="AA72" s="149" t="e">
        <f>(VLOOKUP("Prix HT",$C$1:$AN$64,AA$1,0))-(VLOOKUP("Non margé",$D$1:$AN$64,AA$1,0))</f>
        <v>#N/A</v>
      </c>
      <c r="AB72" s="207" t="e">
        <f>AA72/VLOOKUP("Prix HT",$C$1:$AN$64,AA$1,0)</f>
        <v>#N/A</v>
      </c>
      <c r="AC72" s="149" t="e">
        <f>(VLOOKUP("Prix HT",$C$1:$AN$64,AC$1,0))-(VLOOKUP("Non margé",$D$1:$AN$64,AC$1,0))</f>
        <v>#N/A</v>
      </c>
      <c r="AD72" s="207" t="e">
        <f>AC72/VLOOKUP("Prix HT",$C$1:$AN$64,AC$1,0)</f>
        <v>#N/A</v>
      </c>
      <c r="AE72" s="149" t="e">
        <f>(VLOOKUP("Prix HT",$C$1:$AN$64,AE$1,0))-(VLOOKUP("Non margé",$D$1:$AN$64,AE$1,0))</f>
        <v>#N/A</v>
      </c>
      <c r="AF72" s="207" t="e">
        <f>AE72/VLOOKUP("Prix HT",$C$1:$AN$64,AE$1,0)</f>
        <v>#N/A</v>
      </c>
      <c r="AG72" s="149" t="e">
        <f>(VLOOKUP("Prix HT",$C$1:$AN$64,AG$1,0))-(VLOOKUP("Non margé",$D$1:$AN$64,AG$1,0))</f>
        <v>#N/A</v>
      </c>
      <c r="AH72" s="207" t="e">
        <f>AG72/VLOOKUP("Prix HT",$C$1:$AN$64,AG$1,0)</f>
        <v>#N/A</v>
      </c>
      <c r="AI72" s="149" t="e">
        <f>(VLOOKUP("Prix HT",$C$1:$AN$64,AI$1,0))-(VLOOKUP("Non margé",$D$1:$AN$64,AI$1,0))</f>
        <v>#N/A</v>
      </c>
      <c r="AJ72" s="207" t="e">
        <f>AI72/VLOOKUP("Prix HT",$C$1:$AN$64,AI$1,0)</f>
        <v>#N/A</v>
      </c>
      <c r="AK72" s="149" t="e">
        <f>(VLOOKUP("Prix HT",$C$1:$AN$64,AK$1,0))-(VLOOKUP("Non margé",$D$1:$AN$64,AK$1,0))</f>
        <v>#N/A</v>
      </c>
      <c r="AL72" s="207" t="e">
        <f>AK72/VLOOKUP("Prix HT",$C$1:$AN$64,AK$1,0)</f>
        <v>#N/A</v>
      </c>
      <c r="AM72" s="149" t="e">
        <f>(VLOOKUP("Prix HT",$C$1:$AN$64,AM$1,0))-(VLOOKUP("Non margé",$D$1:$AN$64,AM$1,0))</f>
        <v>#N/A</v>
      </c>
      <c r="AN72" s="207" t="e">
        <f>AM72/VLOOKUP("Prix HT",$C$1:$AN$64,AM$1,0)</f>
        <v>#N/A</v>
      </c>
      <c r="AO72" s="154"/>
      <c r="AP72" s="154"/>
    </row>
  </sheetData>
  <mergeCells count="42">
    <mergeCell ref="C72:D72"/>
    <mergeCell ref="AE2:AF2"/>
    <mergeCell ref="B2:B3"/>
    <mergeCell ref="C2:C3"/>
    <mergeCell ref="E2:F2"/>
    <mergeCell ref="G2:H2"/>
    <mergeCell ref="I2:J2"/>
    <mergeCell ref="K2:L2"/>
    <mergeCell ref="M2:N2"/>
    <mergeCell ref="O2:P2"/>
    <mergeCell ref="Q2:R2"/>
    <mergeCell ref="S2:T2"/>
    <mergeCell ref="U2:V2"/>
    <mergeCell ref="C69:D69"/>
    <mergeCell ref="E64:F64"/>
    <mergeCell ref="G64:H64"/>
    <mergeCell ref="A4:A25"/>
    <mergeCell ref="A27:A38"/>
    <mergeCell ref="A39:A50"/>
    <mergeCell ref="A51:A62"/>
    <mergeCell ref="B64:B69"/>
    <mergeCell ref="AM64:AN64"/>
    <mergeCell ref="Q64:R64"/>
    <mergeCell ref="S64:T64"/>
    <mergeCell ref="U64:V64"/>
    <mergeCell ref="W64:X64"/>
    <mergeCell ref="Y64:Z64"/>
    <mergeCell ref="AA64:AB64"/>
    <mergeCell ref="AC64:AD64"/>
    <mergeCell ref="AE64:AF64"/>
    <mergeCell ref="AG64:AH64"/>
    <mergeCell ref="AI64:AJ64"/>
    <mergeCell ref="K64:L64"/>
    <mergeCell ref="M64:N64"/>
    <mergeCell ref="O64:P64"/>
    <mergeCell ref="C64:D64"/>
    <mergeCell ref="AK64:AL64"/>
    <mergeCell ref="C65:D65"/>
    <mergeCell ref="C66:D66"/>
    <mergeCell ref="C67:D67"/>
    <mergeCell ref="C68:D68"/>
    <mergeCell ref="I64:J64"/>
  </mergeCells>
  <dataValidations count="8">
    <dataValidation type="list" allowBlank="1" showInputMessage="1" showErrorMessage="1" promptTitle="MINIPELLE" prompt="choisir catégorie" sqref="B51:B61" xr:uid="{00000000-0002-0000-2100-000000000000}">
      <formula1>CATEGORIE_MP</formula1>
    </dataValidation>
    <dataValidation type="list" allowBlank="1" showInputMessage="1" promptTitle="MINIPELLE" prompt="choisir la prestation" sqref="C51:C61" xr:uid="{00000000-0002-0000-2100-000001000000}">
      <formula1>INDIRECT(B51)</formula1>
    </dataValidation>
    <dataValidation type="list" allowBlank="1" showInputMessage="1" showErrorMessage="1" promptTitle="Catégorie MOC" prompt="choisir" sqref="B39:B48" xr:uid="{00000000-0002-0000-2100-000002000000}">
      <formula1>CATEGORIE_MOC</formula1>
    </dataValidation>
    <dataValidation type="list" allowBlank="1" showInputMessage="1" promptTitle="Main d'oeuvre CHANTIER" prompt="choisir la prestation" sqref="C39:C49" xr:uid="{00000000-0002-0000-2100-000003000000}">
      <formula1>INDIRECT(B39)</formula1>
    </dataValidation>
    <dataValidation type="list" allowBlank="1" showInputMessage="1" showErrorMessage="1" promptTitle="MO ATELIER" prompt="choisir catégorie" sqref="B27" xr:uid="{00000000-0002-0000-2100-000004000000}">
      <formula1>CATEGORIE_MOA</formula1>
    </dataValidation>
    <dataValidation type="list" allowBlank="1" showInputMessage="1" showErrorMessage="1" promptTitle="Main d'oeuvre ATELIER" prompt="choisir la prestation" sqref="C27" xr:uid="{00000000-0002-0000-2100-000005000000}">
      <formula1>INDIRECT(B27)</formula1>
    </dataValidation>
    <dataValidation type="list" allowBlank="1" showInputMessage="1" showErrorMessage="1" promptTitle="MATIERES" prompt="choisir catégorie" sqref="B4:B25" xr:uid="{00000000-0002-0000-2100-000006000000}">
      <formula1>MOA_ALIM</formula1>
    </dataValidation>
    <dataValidation type="list" allowBlank="1" showInputMessage="1" showErrorMessage="1" promptTitle="MATIERES" prompt="choisir le produit" sqref="C4:C25" xr:uid="{00000000-0002-0000-2100-000007000000}">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ErrorMessage="1" xr:uid="{00000000-0002-0000-2100-000008000000}">
          <x14:formula1>
            <xm:f>ATELIER!$B$2:$B$109</xm:f>
          </x14:formula1>
          <xm:sqref>C28:C37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published="0" codeName="Feuil52"/>
  <dimension ref="A1:AM31"/>
  <sheetViews>
    <sheetView zoomScaleNormal="100" workbookViewId="0">
      <pane xSplit="4" ySplit="3" topLeftCell="K4" activePane="bottomRight" state="frozen"/>
      <selection pane="topRight" activeCell="E1" sqref="E1"/>
      <selection pane="bottomLeft" activeCell="A4" sqref="A4"/>
      <selection pane="bottomRight" activeCell="N10" sqref="N9:N10"/>
    </sheetView>
  </sheetViews>
  <sheetFormatPr baseColWidth="10" defaultColWidth="11.125" defaultRowHeight="18" x14ac:dyDescent="0.2"/>
  <cols>
    <col min="1" max="1" width="18.125" style="210" customWidth="1"/>
    <col min="2" max="2" width="22.5" style="464"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807" width="11.5" customWidth="1"/>
  </cols>
  <sheetData>
    <row r="1" spans="1:39"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row>
    <row r="2" spans="1:39" ht="35.1" customHeight="1" x14ac:dyDescent="0.2">
      <c r="A2" s="174"/>
      <c r="B2" s="1572" t="s">
        <v>1291</v>
      </c>
      <c r="C2" s="1574" t="s">
        <v>468</v>
      </c>
      <c r="D2" s="115" t="s">
        <v>203</v>
      </c>
      <c r="E2" s="1571">
        <v>2</v>
      </c>
      <c r="F2" s="1571"/>
      <c r="G2" s="1571">
        <v>3</v>
      </c>
      <c r="H2" s="1571"/>
      <c r="I2" s="1571">
        <v>4</v>
      </c>
      <c r="J2" s="1571"/>
      <c r="K2" s="1571">
        <v>5</v>
      </c>
      <c r="L2" s="1571"/>
      <c r="M2" s="1571">
        <v>6</v>
      </c>
      <c r="N2" s="1571"/>
      <c r="O2" s="1571">
        <v>7</v>
      </c>
      <c r="P2" s="1571"/>
      <c r="Q2" s="1571">
        <v>8</v>
      </c>
      <c r="R2" s="1571"/>
      <c r="S2" s="1571">
        <v>9</v>
      </c>
      <c r="T2" s="1571"/>
      <c r="U2" s="1571">
        <v>10</v>
      </c>
      <c r="V2" s="1571"/>
      <c r="W2" s="218">
        <v>12</v>
      </c>
      <c r="X2" s="463" t="s">
        <v>469</v>
      </c>
      <c r="Y2" s="463">
        <v>12</v>
      </c>
      <c r="Z2" s="465" t="s">
        <v>470</v>
      </c>
      <c r="AA2" s="218">
        <v>14</v>
      </c>
      <c r="AB2" s="463" t="s">
        <v>471</v>
      </c>
      <c r="AC2" s="218">
        <v>14</v>
      </c>
      <c r="AD2" s="463" t="s">
        <v>472</v>
      </c>
      <c r="AE2" s="1571">
        <v>16</v>
      </c>
      <c r="AF2" s="1571"/>
      <c r="AG2" s="218">
        <v>18</v>
      </c>
      <c r="AH2" s="463" t="s">
        <v>473</v>
      </c>
      <c r="AI2" s="218">
        <v>18</v>
      </c>
      <c r="AJ2" s="463" t="s">
        <v>474</v>
      </c>
      <c r="AK2" s="218">
        <v>20</v>
      </c>
      <c r="AL2" s="463" t="s">
        <v>475</v>
      </c>
      <c r="AM2" s="218">
        <v>20</v>
      </c>
    </row>
    <row r="3" spans="1:39" ht="35.1" customHeight="1" x14ac:dyDescent="0.2">
      <c r="A3" s="174"/>
      <c r="B3" s="1573"/>
      <c r="C3" s="1574"/>
      <c r="D3" s="176" t="s">
        <v>222</v>
      </c>
      <c r="E3" s="236" t="s">
        <v>444</v>
      </c>
      <c r="F3" s="466" t="s">
        <v>477</v>
      </c>
      <c r="G3" s="236" t="s">
        <v>444</v>
      </c>
      <c r="H3" s="466" t="s">
        <v>477</v>
      </c>
      <c r="I3" s="236" t="s">
        <v>444</v>
      </c>
      <c r="J3" s="466" t="s">
        <v>477</v>
      </c>
      <c r="K3" s="236" t="s">
        <v>444</v>
      </c>
      <c r="L3" s="466" t="s">
        <v>477</v>
      </c>
      <c r="M3" s="236" t="s">
        <v>444</v>
      </c>
      <c r="N3" s="466" t="s">
        <v>477</v>
      </c>
      <c r="O3" s="236" t="s">
        <v>444</v>
      </c>
      <c r="P3" s="466" t="s">
        <v>477</v>
      </c>
      <c r="Q3" s="220" t="s">
        <v>444</v>
      </c>
      <c r="R3" s="467" t="s">
        <v>477</v>
      </c>
      <c r="S3" s="236" t="s">
        <v>444</v>
      </c>
      <c r="T3" s="466" t="s">
        <v>477</v>
      </c>
      <c r="U3" s="236" t="s">
        <v>444</v>
      </c>
      <c r="V3" s="466" t="s">
        <v>477</v>
      </c>
      <c r="W3" s="236" t="s">
        <v>444</v>
      </c>
      <c r="X3" s="466" t="s">
        <v>477</v>
      </c>
      <c r="Y3" s="236" t="s">
        <v>444</v>
      </c>
      <c r="Z3" s="466" t="s">
        <v>477</v>
      </c>
      <c r="AA3" s="236" t="s">
        <v>444</v>
      </c>
      <c r="AB3" s="466" t="s">
        <v>477</v>
      </c>
      <c r="AC3" s="236" t="s">
        <v>444</v>
      </c>
      <c r="AD3" s="466" t="s">
        <v>477</v>
      </c>
      <c r="AE3" s="236" t="s">
        <v>444</v>
      </c>
      <c r="AF3" s="466" t="s">
        <v>477</v>
      </c>
      <c r="AG3" s="236" t="s">
        <v>444</v>
      </c>
      <c r="AH3" s="466" t="s">
        <v>477</v>
      </c>
      <c r="AI3" s="236" t="s">
        <v>444</v>
      </c>
      <c r="AJ3" s="466" t="s">
        <v>477</v>
      </c>
      <c r="AK3" s="236" t="s">
        <v>444</v>
      </c>
      <c r="AL3" s="466" t="s">
        <v>477</v>
      </c>
      <c r="AM3" s="236" t="s">
        <v>444</v>
      </c>
    </row>
    <row r="4" spans="1:39" ht="15" customHeight="1" x14ac:dyDescent="0.2">
      <c r="A4" s="1631"/>
      <c r="B4" s="361" t="s">
        <v>239</v>
      </c>
      <c r="C4" s="362" t="s">
        <v>779</v>
      </c>
      <c r="D4" s="363" t="str">
        <f>IF($C4="","",VLOOKUP($C4,MATIERES!$A$2:$F$227,5,0))</f>
        <v>ml</v>
      </c>
      <c r="E4" s="364">
        <f>'Outils de calculs'!E27*1.1+'Outils de calculs'!E33</f>
        <v>10.050000000000001</v>
      </c>
      <c r="F4" s="365">
        <f>IF($C4="","",E4*VLOOKUP($C4,MATIERES!$A$2:$F$349,4,0))</f>
        <v>18.994499999999999</v>
      </c>
      <c r="G4" s="364">
        <f>'Outils de calculs'!G27*1.1+'Outils de calculs'!G33</f>
        <v>13.600000000000001</v>
      </c>
      <c r="H4" s="365">
        <f>IF($C4="","",G4*VLOOKUP($C4,MATIERES!$A$2:$F$349,4,0))</f>
        <v>25.704000000000001</v>
      </c>
      <c r="I4" s="364">
        <f>'Outils de calculs'!I27*1.1+'Outils de calculs'!I33</f>
        <v>15.200000000000001</v>
      </c>
      <c r="J4" s="365">
        <f>IF($C4="","",I4*VLOOKUP($C4,MATIERES!$A$2:$F$349,4,0))</f>
        <v>28.728000000000002</v>
      </c>
      <c r="K4" s="364">
        <f>'Outils de calculs'!K27*1.1+'Outils de calculs'!K33</f>
        <v>17.400000000000002</v>
      </c>
      <c r="L4" s="365">
        <f>IF($C4="","",K4*VLOOKUP($C4,MATIERES!$A$2:$F$349,4,0))</f>
        <v>32.886000000000003</v>
      </c>
      <c r="M4" s="364">
        <f>'Outils de calculs'!M27*1.1+'Outils de calculs'!M33</f>
        <v>19.600000000000001</v>
      </c>
      <c r="N4" s="365">
        <f>IF($C4="","",M4*VLOOKUP($C4,MATIERES!$A$2:$F$349,4,0))</f>
        <v>37.044000000000004</v>
      </c>
      <c r="O4" s="364">
        <f>'Outils de calculs'!O27*1.1+'Outils de calculs'!O33</f>
        <v>21.8</v>
      </c>
      <c r="P4" s="365">
        <f>IF($C4="","",O4*VLOOKUP($C4,MATIERES!$A$2:$F$349,4,0))</f>
        <v>41.201999999999998</v>
      </c>
      <c r="Q4" s="364">
        <f>'Outils de calculs'!Q27*1.1+'Outils de calculs'!Q33</f>
        <v>24</v>
      </c>
      <c r="R4" s="365">
        <f>IF($C4="","",Q4*VLOOKUP($C4,MATIERES!$A$2:$F$349,4,0))</f>
        <v>45.36</v>
      </c>
      <c r="S4" s="364">
        <f>'Outils de calculs'!S27*1.1+'Outils de calculs'!S33</f>
        <v>23.84</v>
      </c>
      <c r="T4" s="365">
        <f>IF($C4="","",S4*VLOOKUP($C4,MATIERES!$A$2:$F$349,4,0))</f>
        <v>45.057600000000001</v>
      </c>
      <c r="U4" s="364">
        <f>'Outils de calculs'!U27*1.1+'Outils de calculs'!U33</f>
        <v>25.6</v>
      </c>
      <c r="V4" s="365">
        <f>IF($C4="","",U4*VLOOKUP($C4,MATIERES!$A$2:$F$349,4,0))</f>
        <v>48.384</v>
      </c>
      <c r="W4" s="364">
        <f>'Outils de calculs'!W27*1.1+'Outils de calculs'!W33</f>
        <v>29.12</v>
      </c>
      <c r="X4" s="365">
        <f>IF($C4="","",W4*VLOOKUP($C4,MATIERES!$A$2:$F$349,4,0))</f>
        <v>55.036799999999999</v>
      </c>
      <c r="Y4" s="364">
        <f>'Outils de calculs'!Y27*1.1+'Outils de calculs'!Y33</f>
        <v>29.12</v>
      </c>
      <c r="Z4" s="365">
        <f>IF($C4="","",Y4*VLOOKUP($C4,MATIERES!$A$2:$F$349,4,0))</f>
        <v>55.036799999999999</v>
      </c>
      <c r="AA4" s="364">
        <f>'Outils de calculs'!AA27*1.1+'Outils de calculs'!AA33</f>
        <v>30.960000000000004</v>
      </c>
      <c r="AB4" s="365">
        <f>IF($C4="","",AA4*VLOOKUP($C4,MATIERES!$A$2:$F$349,4,0))</f>
        <v>58.514400000000002</v>
      </c>
      <c r="AC4" s="364">
        <f>'Outils de calculs'!AC27*1.1+'Outils de calculs'!AC33</f>
        <v>30.960000000000004</v>
      </c>
      <c r="AD4" s="365">
        <f>IF($C4="","",AC4*VLOOKUP($C4,MATIERES!$A$2:$F$349,4,0))</f>
        <v>58.514400000000002</v>
      </c>
      <c r="AE4" s="364">
        <f>'Outils de calculs'!AE27*1.1+'Outils de calculs'!AE33</f>
        <v>33.14</v>
      </c>
      <c r="AF4" s="365">
        <f>IF($C4="","",AE4*VLOOKUP($C4,MATIERES!$A$2:$F$349,4,0))</f>
        <v>62.634599999999999</v>
      </c>
      <c r="AG4" s="364">
        <f>'Outils de calculs'!AG27*1.1+'Outils de calculs'!AG33</f>
        <v>36</v>
      </c>
      <c r="AH4" s="365">
        <f>IF($C4="","",AG4*VLOOKUP($C4,MATIERES!$A$2:$F$349,4,0))</f>
        <v>68.039999999999992</v>
      </c>
      <c r="AI4" s="364">
        <f>'Outils de calculs'!AI27*1.1+'Outils de calculs'!AI33</f>
        <v>36</v>
      </c>
      <c r="AJ4" s="365">
        <f>IF($C4="","",AI4*VLOOKUP($C4,MATIERES!$A$2:$F$349,4,0))</f>
        <v>68.039999999999992</v>
      </c>
      <c r="AK4" s="364">
        <f>'Outils de calculs'!AK27*1.1+'Outils de calculs'!AK33</f>
        <v>37.74</v>
      </c>
      <c r="AL4" s="365">
        <f>IF($C4="","",AK4*VLOOKUP($C4,MATIERES!$A$2:$F$349,4,0))</f>
        <v>71.328599999999994</v>
      </c>
      <c r="AM4" s="364">
        <f>'Outils de calculs'!AM27*1.1+'Outils de calculs'!AM33</f>
        <v>37.74</v>
      </c>
    </row>
    <row r="5" spans="1:39" ht="15" customHeight="1" x14ac:dyDescent="0.2">
      <c r="A5" s="1631"/>
      <c r="B5" s="361" t="s">
        <v>1069</v>
      </c>
      <c r="C5" s="362" t="s">
        <v>760</v>
      </c>
      <c r="D5" s="363" t="str">
        <f>IF($C5="","",VLOOKUP($C5,MATIERES!$A$2:$F$227,5,0))</f>
        <v>ml</v>
      </c>
      <c r="E5" s="364">
        <f>'Outils de calculs'!E27</f>
        <v>8</v>
      </c>
      <c r="F5" s="365">
        <f>IF($C5="","",E5*VLOOKUP($C5,MATIERES!$A$2:$F$349,4,0))</f>
        <v>35.32</v>
      </c>
      <c r="G5" s="364">
        <f>'Outils de calculs'!G27</f>
        <v>11</v>
      </c>
      <c r="H5" s="365">
        <f>IF($C5="","",G5*VLOOKUP($C5,MATIERES!$A$2:$F$349,4,0))</f>
        <v>48.564999999999998</v>
      </c>
      <c r="I5" s="364">
        <f>'Outils de calculs'!I27</f>
        <v>12</v>
      </c>
      <c r="J5" s="365">
        <f>IF($C5="","",I5*VLOOKUP($C5,MATIERES!$A$2:$F$349,4,0))</f>
        <v>52.980000000000004</v>
      </c>
      <c r="K5" s="364">
        <f>'Outils de calculs'!K27</f>
        <v>14</v>
      </c>
      <c r="L5" s="365">
        <f>IF($C5="","",K5*VLOOKUP($C5,MATIERES!$A$2:$F$349,4,0))</f>
        <v>61.81</v>
      </c>
      <c r="M5" s="364">
        <f>'Outils de calculs'!M27</f>
        <v>16</v>
      </c>
      <c r="N5" s="365">
        <f>IF($C5="","",M5*VLOOKUP($C5,MATIERES!$A$2:$F$349,4,0))</f>
        <v>70.64</v>
      </c>
      <c r="O5" s="364">
        <f>'Outils de calculs'!O27</f>
        <v>18</v>
      </c>
      <c r="P5" s="365">
        <f>IF($C5="","",O5*VLOOKUP($C5,MATIERES!$A$2:$F$349,4,0))</f>
        <v>79.47</v>
      </c>
      <c r="Q5" s="364">
        <f>'Outils de calculs'!Q27</f>
        <v>20</v>
      </c>
      <c r="R5" s="365">
        <f>IF($C5="","",Q5*VLOOKUP($C5,MATIERES!$A$2:$F$349,4,0))</f>
        <v>88.3</v>
      </c>
      <c r="S5" s="364">
        <f>'Outils de calculs'!S27</f>
        <v>19.399999999999999</v>
      </c>
      <c r="T5" s="365">
        <f>IF($C5="","",S5*VLOOKUP($C5,MATIERES!$A$2:$F$349,4,0))</f>
        <v>85.650999999999996</v>
      </c>
      <c r="U5" s="364">
        <f>'Outils de calculs'!U27</f>
        <v>21</v>
      </c>
      <c r="V5" s="365">
        <f>IF($C5="","",U5*VLOOKUP($C5,MATIERES!$A$2:$F$349,4,0))</f>
        <v>92.715000000000003</v>
      </c>
      <c r="W5" s="364">
        <f>'Outils de calculs'!W27</f>
        <v>24.2</v>
      </c>
      <c r="X5" s="365">
        <f>IF($C5="","",W5*VLOOKUP($C5,MATIERES!$A$2:$F$349,4,0))</f>
        <v>106.843</v>
      </c>
      <c r="Y5" s="364">
        <f>'Outils de calculs'!Y27</f>
        <v>24.2</v>
      </c>
      <c r="Z5" s="365">
        <f>IF($C5="","",Y5*VLOOKUP($C5,MATIERES!$A$2:$F$349,4,0))</f>
        <v>106.843</v>
      </c>
      <c r="AA5" s="364">
        <f>'Outils de calculs'!AA27</f>
        <v>25.6</v>
      </c>
      <c r="AB5" s="365">
        <f>IF($C5="","",AA5*VLOOKUP($C5,MATIERES!$A$2:$F$349,4,0))</f>
        <v>113.024</v>
      </c>
      <c r="AC5" s="364">
        <f>'Outils de calculs'!AC27</f>
        <v>25.6</v>
      </c>
      <c r="AD5" s="365">
        <f>IF($C5="","",AC5*VLOOKUP($C5,MATIERES!$A$2:$F$349,4,0))</f>
        <v>113.024</v>
      </c>
      <c r="AE5" s="364">
        <f>'Outils de calculs'!AE27</f>
        <v>27.4</v>
      </c>
      <c r="AF5" s="365">
        <f>IF($C5="","",AE5*VLOOKUP($C5,MATIERES!$A$2:$F$349,4,0))</f>
        <v>120.97099999999999</v>
      </c>
      <c r="AG5" s="364">
        <f>'Outils de calculs'!AG27</f>
        <v>30</v>
      </c>
      <c r="AH5" s="365">
        <f>IF($C5="","",AG5*VLOOKUP($C5,MATIERES!$A$2:$F$349,4,0))</f>
        <v>132.44999999999999</v>
      </c>
      <c r="AI5" s="364">
        <f>'Outils de calculs'!AI27</f>
        <v>30</v>
      </c>
      <c r="AJ5" s="365">
        <f>IF($C5="","",AI5*VLOOKUP($C5,MATIERES!$A$2:$F$349,4,0))</f>
        <v>132.44999999999999</v>
      </c>
      <c r="AK5" s="364">
        <f>'Outils de calculs'!AK27</f>
        <v>31.4</v>
      </c>
      <c r="AL5" s="365">
        <f>IF($C5="","",AK5*VLOOKUP($C5,MATIERES!$A$2:$F$349,4,0))</f>
        <v>138.631</v>
      </c>
      <c r="AM5" s="364">
        <f>'Outils de calculs'!AM27</f>
        <v>31.4</v>
      </c>
    </row>
    <row r="6" spans="1:39" ht="15" customHeight="1" x14ac:dyDescent="0.2">
      <c r="A6" s="1631"/>
      <c r="B6" s="361" t="s">
        <v>764</v>
      </c>
      <c r="C6" s="362" t="s">
        <v>768</v>
      </c>
      <c r="D6" s="363" t="str">
        <f>IF($C6="","",VLOOKUP($C6,MATIERES!$A$2:$F$413,5,0))</f>
        <v>pc</v>
      </c>
      <c r="E6" s="364">
        <f>16</f>
        <v>16</v>
      </c>
      <c r="F6" s="365">
        <f>IF($C6="","",E6*VLOOKUP($C6,MATIERES!$A$2:$F$349,4,0))</f>
        <v>6.3173333333333339</v>
      </c>
      <c r="G6" s="364">
        <f>16</f>
        <v>16</v>
      </c>
      <c r="H6" s="365">
        <f>IF($C6="","",G6*VLOOKUP($C6,MATIERES!$A$2:$F$349,4,0))</f>
        <v>6.3173333333333339</v>
      </c>
      <c r="I6" s="364">
        <f>16</f>
        <v>16</v>
      </c>
      <c r="J6" s="365">
        <f>IF($C6="","",I6*VLOOKUP($C6,MATIERES!$A$2:$F$349,4,0))</f>
        <v>6.3173333333333339</v>
      </c>
      <c r="K6" s="364">
        <f>16</f>
        <v>16</v>
      </c>
      <c r="L6" s="365">
        <f>IF($C6="","",K6*VLOOKUP($C6,MATIERES!$A$2:$F$349,4,0))</f>
        <v>6.3173333333333339</v>
      </c>
      <c r="M6" s="364">
        <f>16</f>
        <v>16</v>
      </c>
      <c r="N6" s="365">
        <f>IF($C6="","",M6*VLOOKUP($C6,MATIERES!$A$2:$F$349,4,0))</f>
        <v>6.3173333333333339</v>
      </c>
      <c r="O6" s="364">
        <f>16</f>
        <v>16</v>
      </c>
      <c r="P6" s="365">
        <f>IF($C6="","",O6*VLOOKUP($C6,MATIERES!$A$2:$F$349,4,0))</f>
        <v>6.3173333333333339</v>
      </c>
      <c r="Q6" s="364">
        <f>16</f>
        <v>16</v>
      </c>
      <c r="R6" s="365">
        <f>IF($C6="","",Q6*VLOOKUP($C6,MATIERES!$A$2:$F$349,4,0))</f>
        <v>6.3173333333333339</v>
      </c>
      <c r="S6" s="364">
        <f>16</f>
        <v>16</v>
      </c>
      <c r="T6" s="365">
        <f>IF($C6="","",S6*VLOOKUP($C6,MATIERES!$A$2:$F$349,4,0))</f>
        <v>6.3173333333333339</v>
      </c>
      <c r="U6" s="364">
        <f>16</f>
        <v>16</v>
      </c>
      <c r="V6" s="365">
        <f>IF($C6="","",U6*VLOOKUP($C6,MATIERES!$A$2:$F$349,4,0))</f>
        <v>6.3173333333333339</v>
      </c>
      <c r="W6" s="364">
        <f>16</f>
        <v>16</v>
      </c>
      <c r="X6" s="365">
        <f>IF($C6="","",W6*VLOOKUP($C6,MATIERES!$A$2:$F$349,4,0))</f>
        <v>6.3173333333333339</v>
      </c>
      <c r="Y6" s="364">
        <f>16</f>
        <v>16</v>
      </c>
      <c r="Z6" s="365">
        <f>IF($C6="","",Y6*VLOOKUP($C6,MATIERES!$A$2:$F$349,4,0))</f>
        <v>6.3173333333333339</v>
      </c>
      <c r="AA6" s="364">
        <f>16</f>
        <v>16</v>
      </c>
      <c r="AB6" s="365">
        <f>IF($C6="","",AA6*VLOOKUP($C6,MATIERES!$A$2:$F$349,4,0))</f>
        <v>6.3173333333333339</v>
      </c>
      <c r="AC6" s="364">
        <f>16</f>
        <v>16</v>
      </c>
      <c r="AD6" s="365">
        <f>IF($C6="","",AC6*VLOOKUP($C6,MATIERES!$A$2:$F$349,4,0))</f>
        <v>6.3173333333333339</v>
      </c>
      <c r="AE6" s="364">
        <f>16</f>
        <v>16</v>
      </c>
      <c r="AF6" s="365">
        <f>IF($C6="","",AE6*VLOOKUP($C6,MATIERES!$A$2:$F$349,4,0))</f>
        <v>6.3173333333333339</v>
      </c>
      <c r="AG6" s="364">
        <f>16</f>
        <v>16</v>
      </c>
      <c r="AH6" s="365">
        <f>IF($C6="","",AG6*VLOOKUP($C6,MATIERES!$A$2:$F$349,4,0))</f>
        <v>6.3173333333333339</v>
      </c>
      <c r="AI6" s="364">
        <f>16</f>
        <v>16</v>
      </c>
      <c r="AJ6" s="365">
        <f>IF($C6="","",AI6*VLOOKUP($C6,MATIERES!$A$2:$F$349,4,0))</f>
        <v>6.3173333333333339</v>
      </c>
      <c r="AK6" s="364">
        <f>16</f>
        <v>16</v>
      </c>
      <c r="AL6" s="365">
        <f>IF($C6="","",AK6*VLOOKUP($C6,MATIERES!$A$2:$F$349,4,0))</f>
        <v>6.3173333333333339</v>
      </c>
      <c r="AM6" s="364">
        <f>16</f>
        <v>16</v>
      </c>
    </row>
    <row r="7" spans="1:39" ht="15" customHeight="1" x14ac:dyDescent="0.2">
      <c r="A7" s="1631"/>
      <c r="B7" s="361" t="s">
        <v>764</v>
      </c>
      <c r="C7" s="362" t="s">
        <v>767</v>
      </c>
      <c r="D7" s="363" t="str">
        <f>IF($C7="","",VLOOKUP($C7,MATIERES!$A$2:$F$413,5,0))</f>
        <v>pc</v>
      </c>
      <c r="E7" s="364">
        <f>E5*3</f>
        <v>24</v>
      </c>
      <c r="F7" s="365">
        <f>IF($C7="","",E7*VLOOKUP($C7,MATIERES!$A$2:$F$349,4,0))</f>
        <v>4.4879999999999995</v>
      </c>
      <c r="G7" s="364">
        <f>G5*3</f>
        <v>33</v>
      </c>
      <c r="H7" s="365">
        <f>IF($C7="","",G7*VLOOKUP($C7,MATIERES!$A$2:$F$349,4,0))</f>
        <v>6.1710000000000003</v>
      </c>
      <c r="I7" s="364">
        <f>I5*3</f>
        <v>36</v>
      </c>
      <c r="J7" s="365">
        <f>IF($C7="","",I7*VLOOKUP($C7,MATIERES!$A$2:$F$349,4,0))</f>
        <v>6.7320000000000002</v>
      </c>
      <c r="K7" s="364">
        <f>K5*3</f>
        <v>42</v>
      </c>
      <c r="L7" s="365">
        <f>IF($C7="","",K7*VLOOKUP($C7,MATIERES!$A$2:$F$349,4,0))</f>
        <v>7.8540000000000001</v>
      </c>
      <c r="M7" s="364">
        <f>M5*3</f>
        <v>48</v>
      </c>
      <c r="N7" s="365">
        <f>IF($C7="","",M7*VLOOKUP($C7,MATIERES!$A$2:$F$349,4,0))</f>
        <v>8.9759999999999991</v>
      </c>
      <c r="O7" s="364">
        <f>O5*3</f>
        <v>54</v>
      </c>
      <c r="P7" s="365">
        <f>IF($C7="","",O7*VLOOKUP($C7,MATIERES!$A$2:$F$349,4,0))</f>
        <v>10.098000000000001</v>
      </c>
      <c r="Q7" s="364">
        <f>Q5*3</f>
        <v>60</v>
      </c>
      <c r="R7" s="365">
        <f>IF($C7="","",Q7*VLOOKUP($C7,MATIERES!$A$2:$F$349,4,0))</f>
        <v>11.22</v>
      </c>
      <c r="S7" s="364">
        <f>S5*3</f>
        <v>58.199999999999996</v>
      </c>
      <c r="T7" s="365">
        <f>IF($C7="","",S7*VLOOKUP($C7,MATIERES!$A$2:$F$349,4,0))</f>
        <v>10.8834</v>
      </c>
      <c r="U7" s="364">
        <f>U5*3</f>
        <v>63</v>
      </c>
      <c r="V7" s="365">
        <f>IF($C7="","",U7*VLOOKUP($C7,MATIERES!$A$2:$F$349,4,0))</f>
        <v>11.781000000000001</v>
      </c>
      <c r="W7" s="364">
        <f>W5*3</f>
        <v>72.599999999999994</v>
      </c>
      <c r="X7" s="365">
        <f>IF($C7="","",W7*VLOOKUP($C7,MATIERES!$A$2:$F$349,4,0))</f>
        <v>13.576199999999998</v>
      </c>
      <c r="Y7" s="364">
        <f>Y5*3</f>
        <v>72.599999999999994</v>
      </c>
      <c r="Z7" s="365">
        <f>IF($C7="","",Y7*VLOOKUP($C7,MATIERES!$A$2:$F$349,4,0))</f>
        <v>13.576199999999998</v>
      </c>
      <c r="AA7" s="364">
        <f>AA5*3</f>
        <v>76.800000000000011</v>
      </c>
      <c r="AB7" s="365">
        <f>IF($C7="","",AA7*VLOOKUP($C7,MATIERES!$A$2:$F$349,4,0))</f>
        <v>14.361600000000003</v>
      </c>
      <c r="AC7" s="364">
        <f>AC5*3</f>
        <v>76.800000000000011</v>
      </c>
      <c r="AD7" s="365">
        <f>IF($C7="","",AC7*VLOOKUP($C7,MATIERES!$A$2:$F$349,4,0))</f>
        <v>14.361600000000003</v>
      </c>
      <c r="AE7" s="364">
        <f>AE5*3</f>
        <v>82.199999999999989</v>
      </c>
      <c r="AF7" s="365">
        <f>IF($C7="","",AE7*VLOOKUP($C7,MATIERES!$A$2:$F$349,4,0))</f>
        <v>15.371399999999998</v>
      </c>
      <c r="AG7" s="364">
        <f>AG5*3</f>
        <v>90</v>
      </c>
      <c r="AH7" s="365">
        <f>IF($C7="","",AG7*VLOOKUP($C7,MATIERES!$A$2:$F$349,4,0))</f>
        <v>16.829999999999998</v>
      </c>
      <c r="AI7" s="364">
        <f>AI5*3</f>
        <v>90</v>
      </c>
      <c r="AJ7" s="365">
        <f>IF($C7="","",AI7*VLOOKUP($C7,MATIERES!$A$2:$F$349,4,0))</f>
        <v>16.829999999999998</v>
      </c>
      <c r="AK7" s="364">
        <f>AK5*3</f>
        <v>94.199999999999989</v>
      </c>
      <c r="AL7" s="365">
        <f>IF($C7="","",AK7*VLOOKUP($C7,MATIERES!$A$2:$F$349,4,0))</f>
        <v>17.615399999999998</v>
      </c>
      <c r="AM7" s="364">
        <f>AM5*3</f>
        <v>94.199999999999989</v>
      </c>
    </row>
    <row r="8" spans="1:39" ht="15" customHeight="1" x14ac:dyDescent="0.2">
      <c r="A8" s="1631"/>
      <c r="B8" s="361"/>
      <c r="C8" s="362"/>
      <c r="D8" s="363" t="str">
        <f>IF($C8="","",VLOOKUP($C8,MATIERES!$A$2:$F$413,5,0))</f>
        <v/>
      </c>
      <c r="E8" s="364"/>
      <c r="F8" s="365" t="str">
        <f>IF($C8="","",E8*VLOOKUP($C8,MATIERES!$A$2:$F$349,4,0))</f>
        <v/>
      </c>
      <c r="G8" s="364"/>
      <c r="H8" s="365" t="str">
        <f>IF($C8="","",G8*VLOOKUP($C8,MATIERES!$A$2:$F$349,4,0))</f>
        <v/>
      </c>
      <c r="I8" s="364"/>
      <c r="J8" s="365" t="str">
        <f>IF($C8="","",I8*VLOOKUP($C8,MATIERES!$A$2:$F$349,4,0))</f>
        <v/>
      </c>
      <c r="K8" s="364"/>
      <c r="L8" s="365" t="str">
        <f>IF($C8="","",K8*VLOOKUP($C8,MATIERES!$A$2:$F$349,4,0))</f>
        <v/>
      </c>
      <c r="M8" s="364"/>
      <c r="N8" s="365" t="str">
        <f>IF($C8="","",M8*VLOOKUP($C8,MATIERES!$A$2:$F$349,4,0))</f>
        <v/>
      </c>
      <c r="O8" s="364"/>
      <c r="P8" s="365" t="str">
        <f>IF($C8="","",O8*VLOOKUP($C8,MATIERES!$A$2:$F$349,4,0))</f>
        <v/>
      </c>
      <c r="Q8" s="364"/>
      <c r="R8" s="365" t="str">
        <f>IF($C8="","",Q8*VLOOKUP($C8,MATIERES!$A$2:$F$349,4,0))</f>
        <v/>
      </c>
      <c r="S8" s="364"/>
      <c r="T8" s="365" t="str">
        <f>IF($C8="","",S8*VLOOKUP($C8,MATIERES!$A$2:$F$349,4,0))</f>
        <v/>
      </c>
      <c r="U8" s="364"/>
      <c r="V8" s="365" t="str">
        <f>IF($C8="","",U8*VLOOKUP($C8,MATIERES!$A$2:$F$349,4,0))</f>
        <v/>
      </c>
      <c r="W8" s="364"/>
      <c r="X8" s="365" t="str">
        <f>IF($C8="","",W8*VLOOKUP($C8,MATIERES!$A$2:$F$349,4,0))</f>
        <v/>
      </c>
      <c r="Y8" s="364"/>
      <c r="Z8" s="365" t="str">
        <f>IF($C8="","",Y8*VLOOKUP($C8,MATIERES!$A$2:$F$349,4,0))</f>
        <v/>
      </c>
      <c r="AA8" s="364"/>
      <c r="AB8" s="365" t="str">
        <f>IF($C8="","",AA8*VLOOKUP($C8,MATIERES!$A$2:$F$349,4,0))</f>
        <v/>
      </c>
      <c r="AC8" s="364"/>
      <c r="AD8" s="365" t="str">
        <f>IF($C8="","",AC8*VLOOKUP($C8,MATIERES!$A$2:$F$349,4,0))</f>
        <v/>
      </c>
      <c r="AE8" s="364"/>
      <c r="AF8" s="365" t="str">
        <f>IF($C8="","",AE8*VLOOKUP($C8,MATIERES!$A$2:$F$349,4,0))</f>
        <v/>
      </c>
      <c r="AG8" s="364"/>
      <c r="AH8" s="365" t="str">
        <f>IF($C8="","",AG8*VLOOKUP($C8,MATIERES!$A$2:$F$349,4,0))</f>
        <v/>
      </c>
      <c r="AI8" s="364"/>
      <c r="AJ8" s="365" t="str">
        <f>IF($C8="","",AI8*VLOOKUP($C8,MATIERES!$A$2:$F$349,4,0))</f>
        <v/>
      </c>
      <c r="AK8" s="364"/>
      <c r="AL8" s="365" t="str">
        <f>IF($C8="","",AK8*VLOOKUP($C8,MATIERES!$A$2:$F$349,4,0))</f>
        <v/>
      </c>
      <c r="AM8" s="364"/>
    </row>
    <row r="9" spans="1:39" ht="30" customHeight="1" x14ac:dyDescent="0.2">
      <c r="A9" s="449"/>
      <c r="B9" s="367" t="s">
        <v>683</v>
      </c>
      <c r="C9" s="368" t="s">
        <v>446</v>
      </c>
      <c r="D9" s="369" t="s">
        <v>447</v>
      </c>
      <c r="E9" s="370">
        <f>F9*(1+Simulation!$P$11)</f>
        <v>84.655783333333332</v>
      </c>
      <c r="F9" s="371">
        <f>SUM(F4:F8)</f>
        <v>65.119833333333332</v>
      </c>
      <c r="G9" s="370">
        <f>H9*(1+Simulation!$P$11)</f>
        <v>112.78453333333336</v>
      </c>
      <c r="H9" s="371">
        <f>SUM(H4:H8)</f>
        <v>86.757333333333349</v>
      </c>
      <c r="I9" s="370">
        <f>J9*(1+Simulation!$P$11)</f>
        <v>123.18453333333333</v>
      </c>
      <c r="J9" s="371">
        <f>SUM(J4:J8)</f>
        <v>94.757333333333335</v>
      </c>
      <c r="K9" s="370">
        <f>L9*(1+Simulation!$P$11)</f>
        <v>141.52753333333334</v>
      </c>
      <c r="L9" s="371">
        <f>SUM(L4:L8)</f>
        <v>108.86733333333333</v>
      </c>
      <c r="M9" s="370">
        <f>N9*(1+Simulation!$P$11)</f>
        <v>159.87053333333333</v>
      </c>
      <c r="N9" s="371">
        <f>SUM(N4:N8)</f>
        <v>122.97733333333333</v>
      </c>
      <c r="O9" s="370">
        <f>P9*(1+Simulation!$P$11)</f>
        <v>178.21353333333334</v>
      </c>
      <c r="P9" s="371">
        <f>SUM(P4:P8)</f>
        <v>137.08733333333333</v>
      </c>
      <c r="Q9" s="370">
        <f>R9*(1+Simulation!$P$11)</f>
        <v>196.55653333333333</v>
      </c>
      <c r="R9" s="371">
        <f>SUM(R4:R8)</f>
        <v>151.19733333333332</v>
      </c>
      <c r="S9" s="370">
        <f>T9*(1+Simulation!$P$11)</f>
        <v>192.28213333333332</v>
      </c>
      <c r="T9" s="371">
        <f>SUM(T4:T8)</f>
        <v>147.90933333333331</v>
      </c>
      <c r="U9" s="370">
        <f>V9*(1+Simulation!$P$11)</f>
        <v>206.95653333333331</v>
      </c>
      <c r="V9" s="371">
        <f>SUM(V4:V8)</f>
        <v>159.19733333333332</v>
      </c>
      <c r="W9" s="370">
        <f>X9*(1+Simulation!$P$11)</f>
        <v>236.30533333333332</v>
      </c>
      <c r="X9" s="371">
        <f>SUM(X4:X8)</f>
        <v>181.77333333333331</v>
      </c>
      <c r="Y9" s="370">
        <f>Z9*(1+Simulation!$P$11)</f>
        <v>236.30533333333332</v>
      </c>
      <c r="Z9" s="371">
        <f>SUM(Z4:Z8)</f>
        <v>181.77333333333331</v>
      </c>
      <c r="AA9" s="370">
        <f>AB9*(1+Simulation!$P$11)</f>
        <v>249.88253333333333</v>
      </c>
      <c r="AB9" s="371">
        <f>SUM(AB4:AB8)</f>
        <v>192.21733333333333</v>
      </c>
      <c r="AC9" s="370">
        <f>AD9*(1+Simulation!$P$11)</f>
        <v>249.88253333333333</v>
      </c>
      <c r="AD9" s="371">
        <f>SUM(AD4:AD8)</f>
        <v>192.21733333333333</v>
      </c>
      <c r="AE9" s="370">
        <f>AF9*(1+Simulation!$P$11)</f>
        <v>266.88263333333327</v>
      </c>
      <c r="AF9" s="371">
        <f>SUM(AF4:AF8)</f>
        <v>205.2943333333333</v>
      </c>
      <c r="AG9" s="370">
        <f>AH9*(1+Simulation!$P$11)</f>
        <v>290.7285333333333</v>
      </c>
      <c r="AH9" s="371">
        <f>SUM(AH4:AH8)</f>
        <v>223.63733333333329</v>
      </c>
      <c r="AI9" s="370">
        <f>AJ9*(1+Simulation!$P$11)</f>
        <v>290.7285333333333</v>
      </c>
      <c r="AJ9" s="371">
        <f>SUM(AJ4:AJ8)</f>
        <v>223.63733333333329</v>
      </c>
      <c r="AK9" s="370">
        <f>AL9*(1+Simulation!$P$11)</f>
        <v>304.06003333333331</v>
      </c>
      <c r="AL9" s="371">
        <f>SUM(AL4:AL8)</f>
        <v>233.89233333333331</v>
      </c>
      <c r="AM9" s="370" t="e">
        <f>#REF!*(1+Simulation!$P$11)</f>
        <v>#REF!</v>
      </c>
    </row>
    <row r="10" spans="1:39" ht="15" customHeight="1" x14ac:dyDescent="0.2">
      <c r="A10" s="1624" t="s">
        <v>448</v>
      </c>
      <c r="B10" s="361" t="s">
        <v>1155</v>
      </c>
      <c r="C10" s="362" t="s">
        <v>425</v>
      </c>
      <c r="D10" s="363" t="str">
        <f>IF($C10="","",VLOOKUP($C10,ATELIER!$A$2:$E$109,3,0))</f>
        <v>pc</v>
      </c>
      <c r="E10" s="364">
        <f>5</f>
        <v>5</v>
      </c>
      <c r="F10" s="372">
        <f>IF($C10="","",E10*VLOOKUP($C10,ATELIER!$A$2:$F$109,4,0))</f>
        <v>0.4</v>
      </c>
      <c r="G10" s="364">
        <f>5</f>
        <v>5</v>
      </c>
      <c r="H10" s="372">
        <f>IF($C10="","",G10*VLOOKUP($C10,ATELIER!$A$2:$F$109,4,0))</f>
        <v>0.4</v>
      </c>
      <c r="I10" s="364">
        <f>5</f>
        <v>5</v>
      </c>
      <c r="J10" s="372">
        <f>IF($C10="","",I10*VLOOKUP($C10,ATELIER!$A$2:$F$109,4,0))</f>
        <v>0.4</v>
      </c>
      <c r="K10" s="364">
        <f>5</f>
        <v>5</v>
      </c>
      <c r="L10" s="372">
        <f>IF($C10="","",K10*VLOOKUP($C10,ATELIER!$A$2:$F$109,4,0))</f>
        <v>0.4</v>
      </c>
      <c r="M10" s="364">
        <f>5</f>
        <v>5</v>
      </c>
      <c r="N10" s="372">
        <f>IF($C10="","",M10*VLOOKUP($C10,ATELIER!$A$2:$F$109,4,0))</f>
        <v>0.4</v>
      </c>
      <c r="O10" s="364">
        <f>5</f>
        <v>5</v>
      </c>
      <c r="P10" s="372">
        <f>IF($C10="","",O10*VLOOKUP($C10,ATELIER!$A$2:$F$109,4,0))</f>
        <v>0.4</v>
      </c>
      <c r="Q10" s="364">
        <f>5</f>
        <v>5</v>
      </c>
      <c r="R10" s="372">
        <f>IF($C10="","",Q10*VLOOKUP($C10,ATELIER!$A$2:$F$109,4,0))</f>
        <v>0.4</v>
      </c>
      <c r="S10" s="364">
        <f>5</f>
        <v>5</v>
      </c>
      <c r="T10" s="372">
        <f>IF($C10="","",S10*VLOOKUP($C10,ATELIER!$A$2:$F$109,4,0))</f>
        <v>0.4</v>
      </c>
      <c r="U10" s="364">
        <f>5</f>
        <v>5</v>
      </c>
      <c r="V10" s="372">
        <f>IF($C10="","",U10*VLOOKUP($C10,ATELIER!$A$2:$F$109,4,0))</f>
        <v>0.4</v>
      </c>
      <c r="W10" s="364">
        <f>5</f>
        <v>5</v>
      </c>
      <c r="X10" s="372">
        <f>IF($C10="","",W10*VLOOKUP($C10,ATELIER!$A$2:$F$109,4,0))</f>
        <v>0.4</v>
      </c>
      <c r="Y10" s="364">
        <f>5</f>
        <v>5</v>
      </c>
      <c r="Z10" s="372">
        <f>IF($C10="","",Y10*VLOOKUP($C10,ATELIER!$A$2:$F$109,4,0))</f>
        <v>0.4</v>
      </c>
      <c r="AA10" s="364">
        <f>5</f>
        <v>5</v>
      </c>
      <c r="AB10" s="372">
        <f>IF($C10="","",AA10*VLOOKUP($C10,ATELIER!$A$2:$F$109,4,0))</f>
        <v>0.4</v>
      </c>
      <c r="AC10" s="364">
        <f>5</f>
        <v>5</v>
      </c>
      <c r="AD10" s="372">
        <f>IF($C10="","",AC10*VLOOKUP($C10,ATELIER!$A$2:$F$109,4,0))</f>
        <v>0.4</v>
      </c>
      <c r="AE10" s="364">
        <f>5</f>
        <v>5</v>
      </c>
      <c r="AF10" s="372">
        <f>IF($C10="","",AE10*VLOOKUP($C10,ATELIER!$A$2:$F$109,4,0))</f>
        <v>0.4</v>
      </c>
      <c r="AG10" s="364">
        <f>5</f>
        <v>5</v>
      </c>
      <c r="AH10" s="372">
        <f>IF($C10="","",AG10*VLOOKUP($C10,ATELIER!$A$2:$F$109,4,0))</f>
        <v>0.4</v>
      </c>
      <c r="AI10" s="364">
        <f>5</f>
        <v>5</v>
      </c>
      <c r="AJ10" s="372">
        <f>IF($C10="","",AI10*VLOOKUP($C10,ATELIER!$A$2:$F$109,4,0))</f>
        <v>0.4</v>
      </c>
      <c r="AK10" s="364">
        <f>5</f>
        <v>5</v>
      </c>
      <c r="AL10" s="372">
        <f>IF($C10="","",AK10*VLOOKUP($C10,ATELIER!$A$2:$F$109,4,0))</f>
        <v>0.4</v>
      </c>
      <c r="AM10" s="364">
        <f>5</f>
        <v>5</v>
      </c>
    </row>
    <row r="11" spans="1:39" ht="15" customHeight="1" x14ac:dyDescent="0.2">
      <c r="A11" s="1625"/>
      <c r="B11" s="361" t="s">
        <v>1154</v>
      </c>
      <c r="C11" s="362" t="s">
        <v>430</v>
      </c>
      <c r="D11" s="363" t="str">
        <f>IF($C11="","",VLOOKUP($C11,ATELIER!$A$2:$E$109,3,0))</f>
        <v>pc</v>
      </c>
      <c r="E11" s="364">
        <v>2</v>
      </c>
      <c r="F11" s="372">
        <f>IF($C11="","",E11*VLOOKUP($C11,ATELIER!$A$2:$F$109,4,0))</f>
        <v>0.2</v>
      </c>
      <c r="G11" s="364">
        <v>3</v>
      </c>
      <c r="H11" s="372">
        <f>IF($C11="","",G11*VLOOKUP($C11,ATELIER!$A$2:$F$109,4,0))</f>
        <v>0.30000000000000004</v>
      </c>
      <c r="I11" s="364">
        <v>4</v>
      </c>
      <c r="J11" s="372">
        <f>IF($C11="","",I11*VLOOKUP($C11,ATELIER!$A$2:$F$109,4,0))</f>
        <v>0.4</v>
      </c>
      <c r="K11" s="364">
        <v>5</v>
      </c>
      <c r="L11" s="372">
        <f>IF($C11="","",K11*VLOOKUP($C11,ATELIER!$A$2:$F$109,4,0))</f>
        <v>0.5</v>
      </c>
      <c r="M11" s="364">
        <v>6</v>
      </c>
      <c r="N11" s="372">
        <f>IF($C11="","",M11*VLOOKUP($C11,ATELIER!$A$2:$F$109,4,0))</f>
        <v>0.60000000000000009</v>
      </c>
      <c r="O11" s="364">
        <v>7</v>
      </c>
      <c r="P11" s="372">
        <f>IF($C11="","",O11*VLOOKUP($C11,ATELIER!$A$2:$F$109,4,0))</f>
        <v>0.70000000000000007</v>
      </c>
      <c r="Q11" s="364">
        <v>8</v>
      </c>
      <c r="R11" s="372">
        <f>IF($C11="","",Q11*VLOOKUP($C11,ATELIER!$A$2:$F$109,4,0))</f>
        <v>0.8</v>
      </c>
      <c r="S11" s="364">
        <v>9</v>
      </c>
      <c r="T11" s="372">
        <f>IF($C11="","",S11*VLOOKUP($C11,ATELIER!$A$2:$F$109,4,0))</f>
        <v>0.9</v>
      </c>
      <c r="U11" s="364">
        <v>10</v>
      </c>
      <c r="V11" s="372">
        <f>IF($C11="","",U11*VLOOKUP($C11,ATELIER!$A$2:$F$109,4,0))</f>
        <v>1</v>
      </c>
      <c r="W11" s="364">
        <v>11</v>
      </c>
      <c r="X11" s="372">
        <f>IF($C11="","",W11*VLOOKUP($C11,ATELIER!$A$2:$F$109,4,0))</f>
        <v>1.1000000000000001</v>
      </c>
      <c r="Y11" s="364">
        <v>12</v>
      </c>
      <c r="Z11" s="372">
        <f>IF($C11="","",Y11*VLOOKUP($C11,ATELIER!$A$2:$F$109,4,0))</f>
        <v>1.2000000000000002</v>
      </c>
      <c r="AA11" s="364">
        <v>13</v>
      </c>
      <c r="AB11" s="372">
        <f>IF($C11="","",AA11*VLOOKUP($C11,ATELIER!$A$2:$F$109,4,0))</f>
        <v>1.3</v>
      </c>
      <c r="AC11" s="364">
        <v>14</v>
      </c>
      <c r="AD11" s="372">
        <f>IF($C11="","",AC11*VLOOKUP($C11,ATELIER!$A$2:$F$109,4,0))</f>
        <v>1.4000000000000001</v>
      </c>
      <c r="AE11" s="364">
        <v>15</v>
      </c>
      <c r="AF11" s="372">
        <f>IF($C11="","",AE11*VLOOKUP($C11,ATELIER!$A$2:$F$109,4,0))</f>
        <v>1.5</v>
      </c>
      <c r="AG11" s="364">
        <v>16</v>
      </c>
      <c r="AH11" s="372">
        <f>IF($C11="","",AG11*VLOOKUP($C11,ATELIER!$A$2:$F$109,4,0))</f>
        <v>1.6</v>
      </c>
      <c r="AI11" s="364">
        <v>17</v>
      </c>
      <c r="AJ11" s="372">
        <f>IF($C11="","",AI11*VLOOKUP($C11,ATELIER!$A$2:$F$109,4,0))</f>
        <v>1.7000000000000002</v>
      </c>
      <c r="AK11" s="364">
        <v>18</v>
      </c>
      <c r="AL11" s="372">
        <f>IF($C11="","",AK11*VLOOKUP($C11,ATELIER!$A$2:$F$109,4,0))</f>
        <v>1.8</v>
      </c>
      <c r="AM11" s="364">
        <v>19</v>
      </c>
    </row>
    <row r="12" spans="1:39" ht="15" customHeight="1" x14ac:dyDescent="0.2">
      <c r="A12" s="1624"/>
      <c r="B12" s="361" t="s">
        <v>1154</v>
      </c>
      <c r="C12" s="362" t="s">
        <v>431</v>
      </c>
      <c r="D12" s="363" t="str">
        <f>IF($C12="","",VLOOKUP($C12,ATELIER!$A$2:$E$109,3,0))</f>
        <v>pc</v>
      </c>
      <c r="E12" s="364">
        <f>E5*3</f>
        <v>24</v>
      </c>
      <c r="F12" s="372">
        <f>IF($C12="","",E12*VLOOKUP($C12,ATELIER!$A$2:$F$109,4,0))</f>
        <v>2.4000000000000004</v>
      </c>
      <c r="G12" s="364">
        <f>G5*3</f>
        <v>33</v>
      </c>
      <c r="H12" s="372">
        <f>IF($C12="","",G12*VLOOKUP($C12,ATELIER!$A$2:$F$109,4,0))</f>
        <v>3.3000000000000003</v>
      </c>
      <c r="I12" s="364">
        <f>I5*3</f>
        <v>36</v>
      </c>
      <c r="J12" s="372">
        <f>IF($C12="","",I12*VLOOKUP($C12,ATELIER!$A$2:$F$109,4,0))</f>
        <v>3.6</v>
      </c>
      <c r="K12" s="364">
        <f>K5*3</f>
        <v>42</v>
      </c>
      <c r="L12" s="372">
        <f>IF($C12="","",K12*VLOOKUP($C12,ATELIER!$A$2:$F$109,4,0))</f>
        <v>4.2</v>
      </c>
      <c r="M12" s="364">
        <f>M5*3</f>
        <v>48</v>
      </c>
      <c r="N12" s="372">
        <f>IF($C12="","",M12*VLOOKUP($C12,ATELIER!$A$2:$F$109,4,0))</f>
        <v>4.8000000000000007</v>
      </c>
      <c r="O12" s="364">
        <f>O5*3</f>
        <v>54</v>
      </c>
      <c r="P12" s="372">
        <f>IF($C12="","",O12*VLOOKUP($C12,ATELIER!$A$2:$F$109,4,0))</f>
        <v>5.4</v>
      </c>
      <c r="Q12" s="364">
        <f>Q5*3</f>
        <v>60</v>
      </c>
      <c r="R12" s="372">
        <f>IF($C12="","",Q12*VLOOKUP($C12,ATELIER!$A$2:$F$109,4,0))</f>
        <v>6</v>
      </c>
      <c r="S12" s="364">
        <f>S5*3</f>
        <v>58.199999999999996</v>
      </c>
      <c r="T12" s="372">
        <f>IF($C12="","",S12*VLOOKUP($C12,ATELIER!$A$2:$F$109,4,0))</f>
        <v>5.82</v>
      </c>
      <c r="U12" s="364">
        <f>U5*3</f>
        <v>63</v>
      </c>
      <c r="V12" s="372">
        <f>IF($C12="","",U12*VLOOKUP($C12,ATELIER!$A$2:$F$109,4,0))</f>
        <v>6.3000000000000007</v>
      </c>
      <c r="W12" s="364">
        <f>W5*3</f>
        <v>72.599999999999994</v>
      </c>
      <c r="X12" s="372">
        <f>IF($C12="","",W12*VLOOKUP($C12,ATELIER!$A$2:$F$109,4,0))</f>
        <v>7.26</v>
      </c>
      <c r="Y12" s="364">
        <f>Y5*3</f>
        <v>72.599999999999994</v>
      </c>
      <c r="Z12" s="372">
        <f>IF($C12="","",Y12*VLOOKUP($C12,ATELIER!$A$2:$F$109,4,0))</f>
        <v>7.26</v>
      </c>
      <c r="AA12" s="364">
        <f>AA5*3</f>
        <v>76.800000000000011</v>
      </c>
      <c r="AB12" s="372">
        <f>IF($C12="","",AA12*VLOOKUP($C12,ATELIER!$A$2:$F$109,4,0))</f>
        <v>7.6800000000000015</v>
      </c>
      <c r="AC12" s="364">
        <f>AC5*3</f>
        <v>76.800000000000011</v>
      </c>
      <c r="AD12" s="372">
        <f>IF($C12="","",AC12*VLOOKUP($C12,ATELIER!$A$2:$F$109,4,0))</f>
        <v>7.6800000000000015</v>
      </c>
      <c r="AE12" s="364">
        <f>AE5*3</f>
        <v>82.199999999999989</v>
      </c>
      <c r="AF12" s="372">
        <f>IF($C12="","",AE12*VLOOKUP($C12,ATELIER!$A$2:$F$109,4,0))</f>
        <v>8.2199999999999989</v>
      </c>
      <c r="AG12" s="364">
        <f>AG5*3</f>
        <v>90</v>
      </c>
      <c r="AH12" s="372">
        <f>IF($C12="","",AG12*VLOOKUP($C12,ATELIER!$A$2:$F$109,4,0))</f>
        <v>9</v>
      </c>
      <c r="AI12" s="364">
        <f>AI5*3</f>
        <v>90</v>
      </c>
      <c r="AJ12" s="372">
        <f>IF($C12="","",AI12*VLOOKUP($C12,ATELIER!$A$2:$F$109,4,0))</f>
        <v>9</v>
      </c>
      <c r="AK12" s="364">
        <f>AK5*3</f>
        <v>94.199999999999989</v>
      </c>
      <c r="AL12" s="372">
        <f>IF($C12="","",AK12*VLOOKUP($C12,ATELIER!$A$2:$F$109,4,0))</f>
        <v>9.42</v>
      </c>
      <c r="AM12" s="364">
        <f>AM5*3</f>
        <v>94.199999999999989</v>
      </c>
    </row>
    <row r="13" spans="1:39" ht="15" customHeight="1" x14ac:dyDescent="0.2">
      <c r="A13" s="1624"/>
      <c r="B13" s="361"/>
      <c r="C13" s="362"/>
      <c r="D13" s="363" t="str">
        <f>IF($C13="","",VLOOKUP($C13,ATELIER!$A$2:$E$109,3,0))</f>
        <v/>
      </c>
      <c r="E13" s="364"/>
      <c r="F13" s="372" t="str">
        <f>IF($C13="","",E13*VLOOKUP($C13,ATELIER!$A$2:$F$109,4,0))</f>
        <v/>
      </c>
      <c r="G13" s="364"/>
      <c r="H13" s="372" t="str">
        <f>IF($C13="","",G13*VLOOKUP($C13,ATELIER!$A$2:$F$109,4,0))</f>
        <v/>
      </c>
      <c r="I13" s="364"/>
      <c r="J13" s="372" t="str">
        <f>IF($C13="","",I13*VLOOKUP($C13,ATELIER!$A$2:$F$109,4,0))</f>
        <v/>
      </c>
      <c r="K13" s="364"/>
      <c r="L13" s="372" t="str">
        <f>IF($C13="","",K13*VLOOKUP($C13,ATELIER!$A$2:$F$109,4,0))</f>
        <v/>
      </c>
      <c r="M13" s="364"/>
      <c r="N13" s="372" t="str">
        <f>IF($C13="","",M13*VLOOKUP($C13,ATELIER!$A$2:$F$109,4,0))</f>
        <v/>
      </c>
      <c r="O13" s="364"/>
      <c r="P13" s="372" t="str">
        <f>IF($C13="","",O13*VLOOKUP($C13,ATELIER!$A$2:$F$109,4,0))</f>
        <v/>
      </c>
      <c r="Q13" s="364"/>
      <c r="R13" s="372" t="str">
        <f>IF($C13="","",Q13*VLOOKUP($C13,ATELIER!$A$2:$F$109,4,0))</f>
        <v/>
      </c>
      <c r="S13" s="364"/>
      <c r="T13" s="372" t="str">
        <f>IF($C13="","",S13*VLOOKUP($C13,ATELIER!$A$2:$F$109,4,0))</f>
        <v/>
      </c>
      <c r="U13" s="364"/>
      <c r="V13" s="372" t="str">
        <f>IF($C13="","",U13*VLOOKUP($C13,ATELIER!$A$2:$F$109,4,0))</f>
        <v/>
      </c>
      <c r="W13" s="364"/>
      <c r="X13" s="372" t="str">
        <f>IF($C13="","",W13*VLOOKUP($C13,ATELIER!$A$2:$F$109,4,0))</f>
        <v/>
      </c>
      <c r="Y13" s="364"/>
      <c r="Z13" s="372" t="str">
        <f>IF($C13="","",Y13*VLOOKUP($C13,ATELIER!$A$2:$F$109,4,0))</f>
        <v/>
      </c>
      <c r="AA13" s="364"/>
      <c r="AB13" s="372" t="str">
        <f>IF($C13="","",AA13*VLOOKUP($C13,ATELIER!$A$2:$F$109,4,0))</f>
        <v/>
      </c>
      <c r="AC13" s="364"/>
      <c r="AD13" s="372" t="str">
        <f>IF($C13="","",AC13*VLOOKUP($C13,ATELIER!$A$2:$F$109,4,0))</f>
        <v/>
      </c>
      <c r="AE13" s="364"/>
      <c r="AF13" s="372" t="str">
        <f>IF($C13="","",AE13*VLOOKUP($C13,ATELIER!$A$2:$F$109,4,0))</f>
        <v/>
      </c>
      <c r="AG13" s="364"/>
      <c r="AH13" s="372" t="str">
        <f>IF($C13="","",AG13*VLOOKUP($C13,ATELIER!$A$2:$F$109,4,0))</f>
        <v/>
      </c>
      <c r="AI13" s="364"/>
      <c r="AJ13" s="372" t="str">
        <f>IF($C13="","",AI13*VLOOKUP($C13,ATELIER!$A$2:$F$109,4,0))</f>
        <v/>
      </c>
      <c r="AK13" s="364"/>
      <c r="AL13" s="372" t="str">
        <f>IF($C13="","",AK13*VLOOKUP($C13,ATELIER!$A$2:$F$109,4,0))</f>
        <v/>
      </c>
      <c r="AM13" s="364"/>
    </row>
    <row r="14" spans="1:39" ht="35.25" customHeight="1" x14ac:dyDescent="0.2">
      <c r="A14" s="1624"/>
      <c r="B14" s="375" t="s">
        <v>449</v>
      </c>
      <c r="C14" s="376" t="s">
        <v>450</v>
      </c>
      <c r="D14" s="377" t="s">
        <v>451</v>
      </c>
      <c r="E14" s="376">
        <f>F14*Simulation!$P$8</f>
        <v>135.00000000000003</v>
      </c>
      <c r="F14" s="377">
        <f>SUM(F10:F13)</f>
        <v>3.0000000000000004</v>
      </c>
      <c r="G14" s="376">
        <f>H14*Simulation!$P$8</f>
        <v>180</v>
      </c>
      <c r="H14" s="377">
        <f>SUM(H10:H13)</f>
        <v>4</v>
      </c>
      <c r="I14" s="376">
        <f>J14*Simulation!$P$8</f>
        <v>198.00000000000003</v>
      </c>
      <c r="J14" s="377">
        <f>SUM(J10:J13)</f>
        <v>4.4000000000000004</v>
      </c>
      <c r="K14" s="376">
        <f>L14*Simulation!$P$8</f>
        <v>229.50000000000003</v>
      </c>
      <c r="L14" s="377">
        <f>SUM(L10:L13)</f>
        <v>5.1000000000000005</v>
      </c>
      <c r="M14" s="376">
        <f>N14*Simulation!$P$8</f>
        <v>261.00000000000006</v>
      </c>
      <c r="N14" s="377">
        <f>SUM(N10:N13)</f>
        <v>5.8000000000000007</v>
      </c>
      <c r="O14" s="376">
        <f>P14*Simulation!$P$8</f>
        <v>292.5</v>
      </c>
      <c r="P14" s="377">
        <f>SUM(P10:P13)</f>
        <v>6.5</v>
      </c>
      <c r="Q14" s="376">
        <f>R14*Simulation!$P$8</f>
        <v>324</v>
      </c>
      <c r="R14" s="377">
        <f>SUM(R10:R13)</f>
        <v>7.2</v>
      </c>
      <c r="S14" s="376">
        <f>T14*Simulation!$P$8</f>
        <v>320.39999999999998</v>
      </c>
      <c r="T14" s="377">
        <f>SUM(T10:T13)</f>
        <v>7.12</v>
      </c>
      <c r="U14" s="376">
        <f>V14*Simulation!$P$8</f>
        <v>346.50000000000006</v>
      </c>
      <c r="V14" s="377">
        <f>SUM(V10:V13)</f>
        <v>7.7000000000000011</v>
      </c>
      <c r="W14" s="376">
        <f>X14*Simulation!$P$8</f>
        <v>394.2</v>
      </c>
      <c r="X14" s="377">
        <f>SUM(X10:X13)</f>
        <v>8.76</v>
      </c>
      <c r="Y14" s="376">
        <f>Z14*Simulation!$P$8</f>
        <v>398.7</v>
      </c>
      <c r="Z14" s="377">
        <f>SUM(Z10:Z13)</f>
        <v>8.86</v>
      </c>
      <c r="AA14" s="376">
        <f>AB14*Simulation!$P$8</f>
        <v>422.10000000000014</v>
      </c>
      <c r="AB14" s="377">
        <f>SUM(AB10:AB13)</f>
        <v>9.3800000000000026</v>
      </c>
      <c r="AC14" s="376">
        <f>AD14*Simulation!$P$8</f>
        <v>426.60000000000008</v>
      </c>
      <c r="AD14" s="377">
        <f>SUM(AD10:AD13)</f>
        <v>9.4800000000000022</v>
      </c>
      <c r="AE14" s="376">
        <f>AF14*Simulation!$P$8</f>
        <v>455.4</v>
      </c>
      <c r="AF14" s="377">
        <f>SUM(AF10:AF13)</f>
        <v>10.119999999999999</v>
      </c>
      <c r="AG14" s="376">
        <f>AH14*Simulation!$P$8</f>
        <v>495</v>
      </c>
      <c r="AH14" s="377">
        <f>SUM(AH10:AH13)</f>
        <v>11</v>
      </c>
      <c r="AI14" s="376">
        <f>AJ14*Simulation!$P$8</f>
        <v>499.5</v>
      </c>
      <c r="AJ14" s="377">
        <f>SUM(AJ10:AJ13)</f>
        <v>11.1</v>
      </c>
      <c r="AK14" s="376">
        <f>AL14*Simulation!$P$8</f>
        <v>522.90000000000009</v>
      </c>
      <c r="AL14" s="377">
        <f>SUM(AL10:AL13)</f>
        <v>11.620000000000001</v>
      </c>
      <c r="AM14" s="376" t="e">
        <f>#REF!*Simulation!$P$8</f>
        <v>#REF!</v>
      </c>
    </row>
    <row r="15" spans="1:39" ht="15" customHeight="1" x14ac:dyDescent="0.2">
      <c r="A15" s="1626" t="s">
        <v>452</v>
      </c>
      <c r="B15" s="361" t="s">
        <v>1160</v>
      </c>
      <c r="C15" s="378" t="s">
        <v>1253</v>
      </c>
      <c r="D15" s="363" t="str">
        <f>IF(C15="","",VLOOKUP($C15,CHANTIER!$A$2:$C$83,3,0))</f>
        <v>ml</v>
      </c>
      <c r="E15" s="364">
        <f>'Outils de calculs'!E27</f>
        <v>8</v>
      </c>
      <c r="F15" s="372">
        <f>IF($C15="","",E15*VLOOKUP($C15,CHANTIER!$A$2:$D$83,4,0))</f>
        <v>1.2</v>
      </c>
      <c r="G15" s="364">
        <f>'Outils de calculs'!G27</f>
        <v>11</v>
      </c>
      <c r="H15" s="372">
        <f>IF($C15="","",G15*VLOOKUP($C15,CHANTIER!$A$2:$D$83,4,0))</f>
        <v>1.65</v>
      </c>
      <c r="I15" s="364">
        <f>'Outils de calculs'!I27</f>
        <v>12</v>
      </c>
      <c r="J15" s="372">
        <f>IF($C15="","",I15*VLOOKUP($C15,CHANTIER!$A$2:$D$83,4,0))</f>
        <v>1.7999999999999998</v>
      </c>
      <c r="K15" s="364">
        <f>'Outils de calculs'!K27</f>
        <v>14</v>
      </c>
      <c r="L15" s="372">
        <f>IF($C15="","",K15*VLOOKUP($C15,CHANTIER!$A$2:$D$83,4,0))</f>
        <v>2.1</v>
      </c>
      <c r="M15" s="364">
        <f>'Outils de calculs'!M27</f>
        <v>16</v>
      </c>
      <c r="N15" s="372">
        <f>IF($C15="","",M15*VLOOKUP($C15,CHANTIER!$A$2:$D$83,4,0))</f>
        <v>2.4</v>
      </c>
      <c r="O15" s="364">
        <f>'Outils de calculs'!O27</f>
        <v>18</v>
      </c>
      <c r="P15" s="372">
        <f>IF($C15="","",O15*VLOOKUP($C15,CHANTIER!$A$2:$D$83,4,0))</f>
        <v>2.6999999999999997</v>
      </c>
      <c r="Q15" s="364">
        <f>'Outils de calculs'!Q27</f>
        <v>20</v>
      </c>
      <c r="R15" s="372">
        <f>IF($C15="","",Q15*VLOOKUP($C15,CHANTIER!$A$2:$D$83,4,0))</f>
        <v>3</v>
      </c>
      <c r="S15" s="364">
        <f>'Outils de calculs'!S27</f>
        <v>19.399999999999999</v>
      </c>
      <c r="T15" s="372">
        <f>IF($C15="","",S15*VLOOKUP($C15,CHANTIER!$A$2:$D$83,4,0))</f>
        <v>2.9099999999999997</v>
      </c>
      <c r="U15" s="364">
        <f>'Outils de calculs'!U27</f>
        <v>21</v>
      </c>
      <c r="V15" s="372">
        <f>IF($C15="","",U15*VLOOKUP($C15,CHANTIER!$A$2:$D$83,4,0))</f>
        <v>3.15</v>
      </c>
      <c r="W15" s="364">
        <f>'Outils de calculs'!W27</f>
        <v>24.2</v>
      </c>
      <c r="X15" s="372">
        <f>IF($C15="","",W15*VLOOKUP($C15,CHANTIER!$A$2:$D$83,4,0))</f>
        <v>3.63</v>
      </c>
      <c r="Y15" s="364">
        <f>'Outils de calculs'!Y27</f>
        <v>24.2</v>
      </c>
      <c r="Z15" s="372">
        <f>IF($C15="","",Y15*VLOOKUP($C15,CHANTIER!$A$2:$D$83,4,0))</f>
        <v>3.63</v>
      </c>
      <c r="AA15" s="364">
        <f>'Outils de calculs'!AA27</f>
        <v>25.6</v>
      </c>
      <c r="AB15" s="372">
        <f>IF($C15="","",AA15*VLOOKUP($C15,CHANTIER!$A$2:$D$83,4,0))</f>
        <v>3.84</v>
      </c>
      <c r="AC15" s="364">
        <f>'Outils de calculs'!AC27</f>
        <v>25.6</v>
      </c>
      <c r="AD15" s="372">
        <f>IF($C15="","",AC15*VLOOKUP($C15,CHANTIER!$A$2:$D$83,4,0))</f>
        <v>3.84</v>
      </c>
      <c r="AE15" s="364">
        <f>'Outils de calculs'!AE27</f>
        <v>27.4</v>
      </c>
      <c r="AF15" s="372">
        <f>IF($C15="","",AE15*VLOOKUP($C15,CHANTIER!$A$2:$D$83,4,0))</f>
        <v>4.1099999999999994</v>
      </c>
      <c r="AG15" s="364">
        <f>'Outils de calculs'!AG27</f>
        <v>30</v>
      </c>
      <c r="AH15" s="372">
        <f>IF($C15="","",AG15*VLOOKUP($C15,CHANTIER!$A$2:$D$83,4,0))</f>
        <v>4.5</v>
      </c>
      <c r="AI15" s="364">
        <f>'Outils de calculs'!AI27</f>
        <v>30</v>
      </c>
      <c r="AJ15" s="372">
        <f>IF($C15="","",AI15*VLOOKUP($C15,CHANTIER!$A$2:$D$83,4,0))</f>
        <v>4.5</v>
      </c>
      <c r="AK15" s="364">
        <f>'Outils de calculs'!AK27</f>
        <v>31.4</v>
      </c>
      <c r="AL15" s="372">
        <f>IF($C15="","",AK15*VLOOKUP($C15,CHANTIER!$A$2:$D$83,4,0))</f>
        <v>4.71</v>
      </c>
      <c r="AM15" s="364">
        <f>'Outils de calculs'!AM27</f>
        <v>31.4</v>
      </c>
    </row>
    <row r="16" spans="1:39" ht="15" customHeight="1" x14ac:dyDescent="0.2">
      <c r="A16" s="1626"/>
      <c r="B16" s="361" t="s">
        <v>1160</v>
      </c>
      <c r="C16" s="378" t="s">
        <v>1255</v>
      </c>
      <c r="D16" s="363" t="str">
        <f>IF(C16="","",VLOOKUP($C16,CHANTIER!$A$2:$C$83,3,0))</f>
        <v>ml</v>
      </c>
      <c r="E16" s="364">
        <f>1</f>
        <v>1</v>
      </c>
      <c r="F16" s="372">
        <f>IF($C16="","",E16*VLOOKUP($C16,CHANTIER!$A$2:$D$83,4,0))</f>
        <v>0.15</v>
      </c>
      <c r="G16" s="364">
        <f>1</f>
        <v>1</v>
      </c>
      <c r="H16" s="372">
        <f>IF($C16="","",G16*VLOOKUP($C16,CHANTIER!$A$2:$D$83,4,0))</f>
        <v>0.15</v>
      </c>
      <c r="I16" s="364">
        <f>1</f>
        <v>1</v>
      </c>
      <c r="J16" s="372">
        <f>IF($C16="","",I16*VLOOKUP($C16,CHANTIER!$A$2:$D$83,4,0))</f>
        <v>0.15</v>
      </c>
      <c r="K16" s="364">
        <f>1</f>
        <v>1</v>
      </c>
      <c r="L16" s="372">
        <f>IF($C16="","",K16*VLOOKUP($C16,CHANTIER!$A$2:$D$83,4,0))</f>
        <v>0.15</v>
      </c>
      <c r="M16" s="364">
        <f>1</f>
        <v>1</v>
      </c>
      <c r="N16" s="372">
        <f>IF($C16="","",M16*VLOOKUP($C16,CHANTIER!$A$2:$D$83,4,0))</f>
        <v>0.15</v>
      </c>
      <c r="O16" s="364">
        <f>1</f>
        <v>1</v>
      </c>
      <c r="P16" s="372">
        <f>IF($C16="","",O16*VLOOKUP($C16,CHANTIER!$A$2:$D$83,4,0))</f>
        <v>0.15</v>
      </c>
      <c r="Q16" s="364">
        <f>1</f>
        <v>1</v>
      </c>
      <c r="R16" s="372">
        <f>IF($C16="","",Q16*VLOOKUP($C16,CHANTIER!$A$2:$D$83,4,0))</f>
        <v>0.15</v>
      </c>
      <c r="S16" s="364">
        <f>1</f>
        <v>1</v>
      </c>
      <c r="T16" s="372">
        <f>IF($C16="","",S16*VLOOKUP($C16,CHANTIER!$A$2:$D$83,4,0))</f>
        <v>0.15</v>
      </c>
      <c r="U16" s="364">
        <f>1</f>
        <v>1</v>
      </c>
      <c r="V16" s="372">
        <f>IF($C16="","",U16*VLOOKUP($C16,CHANTIER!$A$2:$D$83,4,0))</f>
        <v>0.15</v>
      </c>
      <c r="W16" s="364">
        <f>1</f>
        <v>1</v>
      </c>
      <c r="X16" s="372">
        <f>IF($C16="","",W16*VLOOKUP($C16,CHANTIER!$A$2:$D$83,4,0))</f>
        <v>0.15</v>
      </c>
      <c r="Y16" s="364">
        <f>1</f>
        <v>1</v>
      </c>
      <c r="Z16" s="372">
        <f>IF($C16="","",Y16*VLOOKUP($C16,CHANTIER!$A$2:$D$83,4,0))</f>
        <v>0.15</v>
      </c>
      <c r="AA16" s="364">
        <f>1</f>
        <v>1</v>
      </c>
      <c r="AB16" s="372">
        <f>IF($C16="","",AA16*VLOOKUP($C16,CHANTIER!$A$2:$D$83,4,0))</f>
        <v>0.15</v>
      </c>
      <c r="AC16" s="364">
        <f>1</f>
        <v>1</v>
      </c>
      <c r="AD16" s="372">
        <f>IF($C16="","",AC16*VLOOKUP($C16,CHANTIER!$A$2:$D$83,4,0))</f>
        <v>0.15</v>
      </c>
      <c r="AE16" s="364">
        <f>1</f>
        <v>1</v>
      </c>
      <c r="AF16" s="372">
        <f>IF($C16="","",AE16*VLOOKUP($C16,CHANTIER!$A$2:$D$83,4,0))</f>
        <v>0.15</v>
      </c>
      <c r="AG16" s="364">
        <f>1</f>
        <v>1</v>
      </c>
      <c r="AH16" s="372">
        <f>IF($C16="","",AG16*VLOOKUP($C16,CHANTIER!$A$2:$D$83,4,0))</f>
        <v>0.15</v>
      </c>
      <c r="AI16" s="364">
        <f>1</f>
        <v>1</v>
      </c>
      <c r="AJ16" s="372">
        <f>IF($C16="","",AI16*VLOOKUP($C16,CHANTIER!$A$2:$D$83,4,0))</f>
        <v>0.15</v>
      </c>
      <c r="AK16" s="364">
        <f>1</f>
        <v>1</v>
      </c>
      <c r="AL16" s="372">
        <f>IF($C16="","",AK16*VLOOKUP($C16,CHANTIER!$A$2:$D$83,4,0))</f>
        <v>0.15</v>
      </c>
      <c r="AM16" s="364">
        <f>1</f>
        <v>1</v>
      </c>
    </row>
    <row r="17" spans="1:39" ht="15" customHeight="1" x14ac:dyDescent="0.2">
      <c r="A17" s="1626"/>
      <c r="B17" s="361" t="s">
        <v>1160</v>
      </c>
      <c r="C17" s="378" t="s">
        <v>410</v>
      </c>
      <c r="D17" s="363" t="str">
        <f>IF(C17="","",VLOOKUP($C17,CHANTIER!$A$2:$C$83,3,0))</f>
        <v>ml</v>
      </c>
      <c r="E17" s="364">
        <f>E5</f>
        <v>8</v>
      </c>
      <c r="F17" s="372">
        <f>IF($C17="","",E17*VLOOKUP($C17,CHANTIER!$A$2:$D$83,4,0))</f>
        <v>1.2</v>
      </c>
      <c r="G17" s="364">
        <f>G5</f>
        <v>11</v>
      </c>
      <c r="H17" s="372">
        <f>IF($C17="","",G17*VLOOKUP($C17,CHANTIER!$A$2:$D$83,4,0))</f>
        <v>1.65</v>
      </c>
      <c r="I17" s="364">
        <f>I5</f>
        <v>12</v>
      </c>
      <c r="J17" s="372">
        <f>IF($C17="","",I17*VLOOKUP($C17,CHANTIER!$A$2:$D$83,4,0))</f>
        <v>1.7999999999999998</v>
      </c>
      <c r="K17" s="364">
        <f>K5</f>
        <v>14</v>
      </c>
      <c r="L17" s="372">
        <f>IF($C17="","",K17*VLOOKUP($C17,CHANTIER!$A$2:$D$83,4,0))</f>
        <v>2.1</v>
      </c>
      <c r="M17" s="364">
        <f>M5</f>
        <v>16</v>
      </c>
      <c r="N17" s="372">
        <f>IF($C17="","",M17*VLOOKUP($C17,CHANTIER!$A$2:$D$83,4,0))</f>
        <v>2.4</v>
      </c>
      <c r="O17" s="364">
        <f>O5</f>
        <v>18</v>
      </c>
      <c r="P17" s="372">
        <f>IF($C17="","",O17*VLOOKUP($C17,CHANTIER!$A$2:$D$83,4,0))</f>
        <v>2.6999999999999997</v>
      </c>
      <c r="Q17" s="364">
        <f>Q5</f>
        <v>20</v>
      </c>
      <c r="R17" s="372">
        <f>IF($C17="","",Q17*VLOOKUP($C17,CHANTIER!$A$2:$D$83,4,0))</f>
        <v>3</v>
      </c>
      <c r="S17" s="364">
        <f>S5</f>
        <v>19.399999999999999</v>
      </c>
      <c r="T17" s="372">
        <f>IF($C17="","",S17*VLOOKUP($C17,CHANTIER!$A$2:$D$83,4,0))</f>
        <v>2.9099999999999997</v>
      </c>
      <c r="U17" s="364">
        <f>U5</f>
        <v>21</v>
      </c>
      <c r="V17" s="372">
        <f>IF($C17="","",U17*VLOOKUP($C17,CHANTIER!$A$2:$D$83,4,0))</f>
        <v>3.15</v>
      </c>
      <c r="W17" s="364">
        <f>W5</f>
        <v>24.2</v>
      </c>
      <c r="X17" s="372">
        <f>IF($C17="","",W17*VLOOKUP($C17,CHANTIER!$A$2:$D$83,4,0))</f>
        <v>3.63</v>
      </c>
      <c r="Y17" s="364">
        <f>Y5</f>
        <v>24.2</v>
      </c>
      <c r="Z17" s="372">
        <f>IF($C17="","",Y17*VLOOKUP($C17,CHANTIER!$A$2:$D$83,4,0))</f>
        <v>3.63</v>
      </c>
      <c r="AA17" s="364">
        <f>AA5</f>
        <v>25.6</v>
      </c>
      <c r="AB17" s="372">
        <f>IF($C17="","",AA17*VLOOKUP($C17,CHANTIER!$A$2:$D$83,4,0))</f>
        <v>3.84</v>
      </c>
      <c r="AC17" s="364">
        <f>AC5</f>
        <v>25.6</v>
      </c>
      <c r="AD17" s="372">
        <f>IF($C17="","",AC17*VLOOKUP($C17,CHANTIER!$A$2:$D$83,4,0))</f>
        <v>3.84</v>
      </c>
      <c r="AE17" s="364">
        <f>AE5</f>
        <v>27.4</v>
      </c>
      <c r="AF17" s="372">
        <f>IF($C17="","",AE17*VLOOKUP($C17,CHANTIER!$A$2:$D$83,4,0))</f>
        <v>4.1099999999999994</v>
      </c>
      <c r="AG17" s="364">
        <f>AG5</f>
        <v>30</v>
      </c>
      <c r="AH17" s="372">
        <f>IF($C17="","",AG17*VLOOKUP($C17,CHANTIER!$A$2:$D$83,4,0))</f>
        <v>4.5</v>
      </c>
      <c r="AI17" s="364">
        <f>AI5</f>
        <v>30</v>
      </c>
      <c r="AJ17" s="372">
        <f>IF($C17="","",AI17*VLOOKUP($C17,CHANTIER!$A$2:$D$83,4,0))</f>
        <v>4.5</v>
      </c>
      <c r="AK17" s="364">
        <f>AK5</f>
        <v>31.4</v>
      </c>
      <c r="AL17" s="372">
        <f>IF($C17="","",AK17*VLOOKUP($C17,CHANTIER!$A$2:$D$83,4,0))</f>
        <v>4.71</v>
      </c>
      <c r="AM17" s="364">
        <f>AM5</f>
        <v>31.4</v>
      </c>
    </row>
    <row r="18" spans="1:39" ht="15" customHeight="1" x14ac:dyDescent="0.2">
      <c r="A18" s="1626"/>
      <c r="B18" s="361"/>
      <c r="C18" s="378"/>
      <c r="D18" s="363" t="str">
        <f>IF(C18="","",VLOOKUP($C18,CHANTIER!$A$2:$C$83,3,0))</f>
        <v/>
      </c>
      <c r="E18" s="364"/>
      <c r="F18" s="372" t="str">
        <f>IF($C18="","",E18*VLOOKUP($C18,CHANTIER!$A$2:$D$83,4,0))</f>
        <v/>
      </c>
      <c r="G18" s="364"/>
      <c r="H18" s="372" t="str">
        <f>IF($C18="","",G18*VLOOKUP($C18,CHANTIER!$A$2:$D$83,4,0))</f>
        <v/>
      </c>
      <c r="I18" s="364"/>
      <c r="J18" s="372" t="str">
        <f>IF($C18="","",I18*VLOOKUP($C18,CHANTIER!$A$2:$D$83,4,0))</f>
        <v/>
      </c>
      <c r="K18" s="364"/>
      <c r="L18" s="372" t="str">
        <f>IF($C18="","",K18*VLOOKUP($C18,CHANTIER!$A$2:$D$83,4,0))</f>
        <v/>
      </c>
      <c r="M18" s="364"/>
      <c r="N18" s="372" t="str">
        <f>IF($C18="","",M18*VLOOKUP($C18,CHANTIER!$A$2:$D$83,4,0))</f>
        <v/>
      </c>
      <c r="O18" s="364"/>
      <c r="P18" s="372" t="str">
        <f>IF($C18="","",O18*VLOOKUP($C18,CHANTIER!$A$2:$D$83,4,0))</f>
        <v/>
      </c>
      <c r="Q18" s="364"/>
      <c r="R18" s="372" t="str">
        <f>IF($C18="","",Q18*VLOOKUP($C18,CHANTIER!$A$2:$D$83,4,0))</f>
        <v/>
      </c>
      <c r="S18" s="364"/>
      <c r="T18" s="372" t="str">
        <f>IF($C18="","",S18*VLOOKUP($C18,CHANTIER!$A$2:$D$83,4,0))</f>
        <v/>
      </c>
      <c r="U18" s="364"/>
      <c r="V18" s="372" t="str">
        <f>IF($C18="","",U18*VLOOKUP($C18,CHANTIER!$A$2:$D$83,4,0))</f>
        <v/>
      </c>
      <c r="W18" s="364"/>
      <c r="X18" s="372" t="str">
        <f>IF($C18="","",W18*VLOOKUP($C18,CHANTIER!$A$2:$D$83,4,0))</f>
        <v/>
      </c>
      <c r="Y18" s="364"/>
      <c r="Z18" s="372" t="str">
        <f>IF($C18="","",Y18*VLOOKUP($C18,CHANTIER!$A$2:$D$83,4,0))</f>
        <v/>
      </c>
      <c r="AA18" s="364"/>
      <c r="AB18" s="372" t="str">
        <f>IF($C18="","",AA18*VLOOKUP($C18,CHANTIER!$A$2:$D$83,4,0))</f>
        <v/>
      </c>
      <c r="AC18" s="364"/>
      <c r="AD18" s="372" t="str">
        <f>IF($C18="","",AC18*VLOOKUP($C18,CHANTIER!$A$2:$D$83,4,0))</f>
        <v/>
      </c>
      <c r="AE18" s="364"/>
      <c r="AF18" s="372" t="str">
        <f>IF($C18="","",AE18*VLOOKUP($C18,CHANTIER!$A$2:$D$83,4,0))</f>
        <v/>
      </c>
      <c r="AG18" s="364"/>
      <c r="AH18" s="372" t="str">
        <f>IF($C18="","",AG18*VLOOKUP($C18,CHANTIER!$A$2:$D$83,4,0))</f>
        <v/>
      </c>
      <c r="AI18" s="364"/>
      <c r="AJ18" s="372" t="str">
        <f>IF($C18="","",AI18*VLOOKUP($C18,CHANTIER!$A$2:$D$83,4,0))</f>
        <v/>
      </c>
      <c r="AK18" s="364"/>
      <c r="AL18" s="372" t="str">
        <f>IF($C18="","",AK18*VLOOKUP($C18,CHANTIER!$A$2:$D$83,4,0))</f>
        <v/>
      </c>
      <c r="AM18" s="364"/>
    </row>
    <row r="19" spans="1:39" ht="30.75" customHeight="1" x14ac:dyDescent="0.2">
      <c r="A19" s="1626"/>
      <c r="B19" s="379" t="s">
        <v>453</v>
      </c>
      <c r="C19" s="380" t="s">
        <v>450</v>
      </c>
      <c r="D19" s="381" t="s">
        <v>451</v>
      </c>
      <c r="E19" s="382">
        <f>F19*Simulation!$P$9</f>
        <v>114.74999999999999</v>
      </c>
      <c r="F19" s="383">
        <f>SUM(F15:F18)</f>
        <v>2.5499999999999998</v>
      </c>
      <c r="G19" s="382">
        <f>H19*Simulation!$P$9</f>
        <v>155.25</v>
      </c>
      <c r="H19" s="383">
        <f>SUM(H15:H18)</f>
        <v>3.4499999999999997</v>
      </c>
      <c r="I19" s="382">
        <f>J19*Simulation!$P$9</f>
        <v>168.74999999999997</v>
      </c>
      <c r="J19" s="383">
        <f>SUM(J15:J18)</f>
        <v>3.7499999999999996</v>
      </c>
      <c r="K19" s="382">
        <f>L19*Simulation!$P$9</f>
        <v>195.74999999999997</v>
      </c>
      <c r="L19" s="383">
        <f>SUM(L15:L18)</f>
        <v>4.3499999999999996</v>
      </c>
      <c r="M19" s="382">
        <f>N19*Simulation!$P$9</f>
        <v>222.74999999999997</v>
      </c>
      <c r="N19" s="383">
        <f>SUM(N15:N18)</f>
        <v>4.9499999999999993</v>
      </c>
      <c r="O19" s="382">
        <f>P19*Simulation!$P$9</f>
        <v>249.74999999999994</v>
      </c>
      <c r="P19" s="383">
        <f>SUM(P15:P18)</f>
        <v>5.5499999999999989</v>
      </c>
      <c r="Q19" s="382">
        <f>R19*Simulation!$P$9</f>
        <v>276.75</v>
      </c>
      <c r="R19" s="383">
        <f>SUM(R15:R18)</f>
        <v>6.15</v>
      </c>
      <c r="S19" s="382">
        <f>T19*Simulation!$P$9</f>
        <v>268.64999999999998</v>
      </c>
      <c r="T19" s="383">
        <f>SUM(T15:T18)</f>
        <v>5.9699999999999989</v>
      </c>
      <c r="U19" s="382">
        <f>V19*Simulation!$P$9</f>
        <v>290.24999999999994</v>
      </c>
      <c r="V19" s="383">
        <f>SUM(V15:V18)</f>
        <v>6.4499999999999993</v>
      </c>
      <c r="W19" s="382">
        <f>X19*Simulation!$P$9</f>
        <v>333.45</v>
      </c>
      <c r="X19" s="383">
        <f>SUM(X15:X18)</f>
        <v>7.41</v>
      </c>
      <c r="Y19" s="382">
        <f>Z19*Simulation!$P$9</f>
        <v>333.45</v>
      </c>
      <c r="Z19" s="383">
        <f>SUM(Z15:Z18)</f>
        <v>7.41</v>
      </c>
      <c r="AA19" s="382">
        <f>AB19*Simulation!$P$9</f>
        <v>352.35</v>
      </c>
      <c r="AB19" s="383">
        <f>SUM(AB15:AB18)</f>
        <v>7.83</v>
      </c>
      <c r="AC19" s="382">
        <f>AD19*Simulation!$P$9</f>
        <v>352.35</v>
      </c>
      <c r="AD19" s="383">
        <f>SUM(AD15:AD18)</f>
        <v>7.83</v>
      </c>
      <c r="AE19" s="382">
        <f>AF19*Simulation!$P$9</f>
        <v>376.65</v>
      </c>
      <c r="AF19" s="383">
        <f>SUM(AF15:AF18)</f>
        <v>8.3699999999999992</v>
      </c>
      <c r="AG19" s="382">
        <f>AH19*Simulation!$P$9</f>
        <v>411.75</v>
      </c>
      <c r="AH19" s="383">
        <f>SUM(AH15:AH18)</f>
        <v>9.15</v>
      </c>
      <c r="AI19" s="382">
        <f>AJ19*Simulation!$P$9</f>
        <v>411.75</v>
      </c>
      <c r="AJ19" s="383">
        <f>SUM(AJ15:AJ18)</f>
        <v>9.15</v>
      </c>
      <c r="AK19" s="382">
        <f>AL19*Simulation!$P$9</f>
        <v>430.65000000000003</v>
      </c>
      <c r="AL19" s="383">
        <f>SUM(AL15:AL18)</f>
        <v>9.57</v>
      </c>
      <c r="AM19" s="382" t="e">
        <f>#REF!*Simulation!$P$9</f>
        <v>#REF!</v>
      </c>
    </row>
    <row r="20" spans="1:39" ht="15" customHeight="1" x14ac:dyDescent="0.2">
      <c r="A20" s="1628" t="s">
        <v>4</v>
      </c>
      <c r="B20" s="361" t="s">
        <v>1170</v>
      </c>
      <c r="C20" s="378" t="s">
        <v>405</v>
      </c>
      <c r="D20" s="363" t="str">
        <f>IF(C20="","",VLOOKUP($C20,MINIPELLE!$A$2:$C$28,3,0))</f>
        <v>ml</v>
      </c>
      <c r="E20" s="364">
        <f>E5</f>
        <v>8</v>
      </c>
      <c r="F20" s="372">
        <f>IF($C20="","",E20*VLOOKUP($C20,MINIPELLE!$A$2:$D$28,4,0))</f>
        <v>0.64</v>
      </c>
      <c r="G20" s="364">
        <f>G5</f>
        <v>11</v>
      </c>
      <c r="H20" s="372">
        <f>IF($C20="","",G20*VLOOKUP($C20,MINIPELLE!$A$2:$D$28,4,0))</f>
        <v>0.88</v>
      </c>
      <c r="I20" s="364">
        <f>I5</f>
        <v>12</v>
      </c>
      <c r="J20" s="372">
        <f>IF($C20="","",I20*VLOOKUP($C20,MINIPELLE!$A$2:$D$28,4,0))</f>
        <v>0.96</v>
      </c>
      <c r="K20" s="364">
        <f>K5</f>
        <v>14</v>
      </c>
      <c r="L20" s="372">
        <f>IF($C20="","",K20*VLOOKUP($C20,MINIPELLE!$A$2:$D$28,4,0))</f>
        <v>1.1200000000000001</v>
      </c>
      <c r="M20" s="364">
        <f>M5</f>
        <v>16</v>
      </c>
      <c r="N20" s="372">
        <f>IF($C20="","",M20*VLOOKUP($C20,MINIPELLE!$A$2:$D$28,4,0))</f>
        <v>1.28</v>
      </c>
      <c r="O20" s="364">
        <f>O5</f>
        <v>18</v>
      </c>
      <c r="P20" s="372">
        <f>IF($C20="","",O20*VLOOKUP($C20,MINIPELLE!$A$2:$D$28,4,0))</f>
        <v>1.44</v>
      </c>
      <c r="Q20" s="364">
        <f>Q5</f>
        <v>20</v>
      </c>
      <c r="R20" s="372">
        <f>IF($C20="","",Q20*VLOOKUP($C20,MINIPELLE!$A$2:$D$28,4,0))</f>
        <v>1.6</v>
      </c>
      <c r="S20" s="364">
        <f>S5</f>
        <v>19.399999999999999</v>
      </c>
      <c r="T20" s="372">
        <f>IF($C20="","",S20*VLOOKUP($C20,MINIPELLE!$A$2:$D$28,4,0))</f>
        <v>1.5519999999999998</v>
      </c>
      <c r="U20" s="364">
        <f>U5</f>
        <v>21</v>
      </c>
      <c r="V20" s="372">
        <f>IF($C20="","",U20*VLOOKUP($C20,MINIPELLE!$A$2:$D$28,4,0))</f>
        <v>1.68</v>
      </c>
      <c r="W20" s="364">
        <f>W5</f>
        <v>24.2</v>
      </c>
      <c r="X20" s="372">
        <f>IF($C20="","",W20*VLOOKUP($C20,MINIPELLE!$A$2:$D$28,4,0))</f>
        <v>1.9359999999999999</v>
      </c>
      <c r="Y20" s="364">
        <f>Y5</f>
        <v>24.2</v>
      </c>
      <c r="Z20" s="372">
        <f>IF($C20="","",Y20*VLOOKUP($C20,MINIPELLE!$A$2:$D$28,4,0))</f>
        <v>1.9359999999999999</v>
      </c>
      <c r="AA20" s="364">
        <f>AA5</f>
        <v>25.6</v>
      </c>
      <c r="AB20" s="372">
        <f>IF($C20="","",AA20*VLOOKUP($C20,MINIPELLE!$A$2:$D$28,4,0))</f>
        <v>2.048</v>
      </c>
      <c r="AC20" s="364">
        <f>AC5</f>
        <v>25.6</v>
      </c>
      <c r="AD20" s="372">
        <f>IF($C20="","",AC20*VLOOKUP($C20,MINIPELLE!$A$2:$D$28,4,0))</f>
        <v>2.048</v>
      </c>
      <c r="AE20" s="364">
        <f>AE5</f>
        <v>27.4</v>
      </c>
      <c r="AF20" s="372">
        <f>IF($C20="","",AE20*VLOOKUP($C20,MINIPELLE!$A$2:$D$28,4,0))</f>
        <v>2.1919999999999997</v>
      </c>
      <c r="AG20" s="364">
        <f>AG5</f>
        <v>30</v>
      </c>
      <c r="AH20" s="372">
        <f>IF($C20="","",AG20*VLOOKUP($C20,MINIPELLE!$A$2:$D$28,4,0))</f>
        <v>2.4</v>
      </c>
      <c r="AI20" s="364">
        <f>AI5</f>
        <v>30</v>
      </c>
      <c r="AJ20" s="372">
        <f>IF($C20="","",AI20*VLOOKUP($C20,MINIPELLE!$A$2:$D$28,4,0))</f>
        <v>2.4</v>
      </c>
      <c r="AK20" s="364">
        <f>AK5</f>
        <v>31.4</v>
      </c>
      <c r="AL20" s="372">
        <f>IF($C20="","",AK20*VLOOKUP($C20,MINIPELLE!$A$2:$D$28,4,0))</f>
        <v>2.512</v>
      </c>
      <c r="AM20" s="364">
        <f>AM5</f>
        <v>31.4</v>
      </c>
    </row>
    <row r="21" spans="1:39" ht="15" customHeight="1" x14ac:dyDescent="0.2">
      <c r="A21" s="1629"/>
      <c r="B21" s="361" t="s">
        <v>1172</v>
      </c>
      <c r="C21" s="378" t="s">
        <v>102</v>
      </c>
      <c r="D21" s="363" t="str">
        <f>IF(C21="","",VLOOKUP($C21,MINIPELLE!$A$2:$C$28,3,0))</f>
        <v>m3</v>
      </c>
      <c r="E21" s="364">
        <f>E2*2*1.1</f>
        <v>4.4000000000000004</v>
      </c>
      <c r="F21" s="389">
        <f>IF($C21="","",E21*VLOOKUP($C21,MINIPELLE!$A$2:$D$28,4,0))</f>
        <v>1.1000000000000001</v>
      </c>
      <c r="G21" s="364">
        <f>G2*2*1.1</f>
        <v>6.6000000000000005</v>
      </c>
      <c r="H21" s="389">
        <f>IF($C21="","",G21*VLOOKUP($C21,MINIPELLE!$A$2:$D$28,4,0))</f>
        <v>1.6500000000000001</v>
      </c>
      <c r="I21" s="364">
        <f>I2*2*1.1</f>
        <v>8.8000000000000007</v>
      </c>
      <c r="J21" s="389">
        <f>IF($C21="","",I21*VLOOKUP($C21,MINIPELLE!$A$2:$D$28,4,0))</f>
        <v>2.2000000000000002</v>
      </c>
      <c r="K21" s="364">
        <f>K2*2*1.1</f>
        <v>11</v>
      </c>
      <c r="L21" s="389">
        <f>IF($C21="","",K21*VLOOKUP($C21,MINIPELLE!$A$2:$D$28,4,0))</f>
        <v>2.75</v>
      </c>
      <c r="M21" s="364">
        <f>M2*2*1.1</f>
        <v>13.200000000000001</v>
      </c>
      <c r="N21" s="389">
        <f>IF($C21="","",M21*VLOOKUP($C21,MINIPELLE!$A$2:$D$28,4,0))</f>
        <v>3.3000000000000003</v>
      </c>
      <c r="O21" s="364">
        <f>O2*2*1.1</f>
        <v>15.400000000000002</v>
      </c>
      <c r="P21" s="389">
        <f>IF($C21="","",O21*VLOOKUP($C21,MINIPELLE!$A$2:$D$28,4,0))</f>
        <v>3.8500000000000005</v>
      </c>
      <c r="Q21" s="364">
        <f>Q2*2*1.1</f>
        <v>17.600000000000001</v>
      </c>
      <c r="R21" s="389">
        <f>IF($C21="","",Q21*VLOOKUP($C21,MINIPELLE!$A$2:$D$28,4,0))</f>
        <v>4.4000000000000004</v>
      </c>
      <c r="S21" s="364">
        <f>S2*2*1.1</f>
        <v>19.8</v>
      </c>
      <c r="T21" s="389">
        <f>IF($C21="","",S21*VLOOKUP($C21,MINIPELLE!$A$2:$D$28,4,0))</f>
        <v>4.95</v>
      </c>
      <c r="U21" s="364">
        <f>U2*2*1.1</f>
        <v>22</v>
      </c>
      <c r="V21" s="389">
        <f>IF($C21="","",U21*VLOOKUP($C21,MINIPELLE!$A$2:$D$28,4,0))</f>
        <v>5.5</v>
      </c>
      <c r="W21" s="364">
        <f>W2*2*1.1</f>
        <v>26.400000000000002</v>
      </c>
      <c r="X21" s="389">
        <f>IF($C21="","",W21*VLOOKUP($C21,MINIPELLE!$A$2:$D$28,4,0))</f>
        <v>6.6000000000000005</v>
      </c>
      <c r="Y21" s="364">
        <f>Y2*2*1.1</f>
        <v>26.400000000000002</v>
      </c>
      <c r="Z21" s="389">
        <f>IF($C21="","",Y21*VLOOKUP($C21,MINIPELLE!$A$2:$D$28,4,0))</f>
        <v>6.6000000000000005</v>
      </c>
      <c r="AA21" s="364">
        <f>AA2*2*1.1</f>
        <v>30.800000000000004</v>
      </c>
      <c r="AB21" s="389">
        <f>IF($C21="","",AA21*VLOOKUP($C21,MINIPELLE!$A$2:$D$28,4,0))</f>
        <v>7.7000000000000011</v>
      </c>
      <c r="AC21" s="364">
        <f>AC2*2*1.1</f>
        <v>30.800000000000004</v>
      </c>
      <c r="AD21" s="389">
        <f>IF($C21="","",AC21*VLOOKUP($C21,MINIPELLE!$A$2:$D$28,4,0))</f>
        <v>7.7000000000000011</v>
      </c>
      <c r="AE21" s="364">
        <f>AE2*2*1.1</f>
        <v>35.200000000000003</v>
      </c>
      <c r="AF21" s="389">
        <f>IF($C21="","",AE21*VLOOKUP($C21,MINIPELLE!$A$2:$D$28,4,0))</f>
        <v>8.8000000000000007</v>
      </c>
      <c r="AG21" s="364">
        <f>AG2*2*1.1</f>
        <v>39.6</v>
      </c>
      <c r="AH21" s="389">
        <f>IF($C21="","",AG21*VLOOKUP($C21,MINIPELLE!$A$2:$D$28,4,0))</f>
        <v>9.9</v>
      </c>
      <c r="AI21" s="364">
        <f>AI2*2*1.1</f>
        <v>39.6</v>
      </c>
      <c r="AJ21" s="389">
        <f>IF($C21="","",AI21*VLOOKUP($C21,MINIPELLE!$A$2:$D$28,4,0))</f>
        <v>9.9</v>
      </c>
      <c r="AK21" s="364">
        <f>AK2*2*1.1</f>
        <v>44</v>
      </c>
      <c r="AL21" s="389">
        <f>IF($C21="","",AK21*VLOOKUP($C21,MINIPELLE!$A$2:$D$28,4,0))</f>
        <v>11</v>
      </c>
      <c r="AM21" s="364">
        <f>AM2*2*1.1</f>
        <v>44</v>
      </c>
    </row>
    <row r="22" spans="1:39" ht="29.25" customHeight="1" x14ac:dyDescent="0.2">
      <c r="A22" s="1629"/>
      <c r="B22" s="384" t="s">
        <v>454</v>
      </c>
      <c r="C22" s="385" t="s">
        <v>455</v>
      </c>
      <c r="D22" s="386" t="s">
        <v>451</v>
      </c>
      <c r="E22" s="387">
        <f>F22*Simulation!$P$10</f>
        <v>139.20000000000002</v>
      </c>
      <c r="F22" s="388">
        <f>SUM(F20:F21)</f>
        <v>1.7400000000000002</v>
      </c>
      <c r="G22" s="387">
        <f>H22*Simulation!$P$10</f>
        <v>202.40000000000003</v>
      </c>
      <c r="H22" s="388">
        <f>SUM(H20:H21)</f>
        <v>2.5300000000000002</v>
      </c>
      <c r="I22" s="387">
        <f>J22*Simulation!$P$10</f>
        <v>252.8</v>
      </c>
      <c r="J22" s="388">
        <f>SUM(J20:J21)</f>
        <v>3.16</v>
      </c>
      <c r="K22" s="387">
        <f>L22*Simulation!$P$10</f>
        <v>309.60000000000002</v>
      </c>
      <c r="L22" s="388">
        <f>SUM(L20:L21)</f>
        <v>3.87</v>
      </c>
      <c r="M22" s="387">
        <f>N22*Simulation!$P$10</f>
        <v>366.4</v>
      </c>
      <c r="N22" s="388">
        <f>SUM(N20:N21)</f>
        <v>4.58</v>
      </c>
      <c r="O22" s="387">
        <f>P22*Simulation!$P$10</f>
        <v>423.20000000000005</v>
      </c>
      <c r="P22" s="388">
        <f>SUM(P20:P21)</f>
        <v>5.2900000000000009</v>
      </c>
      <c r="Q22" s="387">
        <f>R22*Simulation!$P$10</f>
        <v>480</v>
      </c>
      <c r="R22" s="388">
        <f>SUM(R20:R21)</f>
        <v>6</v>
      </c>
      <c r="S22" s="387">
        <f>T22*Simulation!$P$10</f>
        <v>520.16</v>
      </c>
      <c r="T22" s="388">
        <f>SUM(T20:T21)</f>
        <v>6.5019999999999998</v>
      </c>
      <c r="U22" s="387">
        <f>V22*Simulation!$P$10</f>
        <v>574.4</v>
      </c>
      <c r="V22" s="388">
        <f>SUM(V20:V21)</f>
        <v>7.18</v>
      </c>
      <c r="W22" s="387">
        <f>X22*Simulation!$P$10</f>
        <v>682.88000000000011</v>
      </c>
      <c r="X22" s="388">
        <f>SUM(X20:X21)</f>
        <v>8.5360000000000014</v>
      </c>
      <c r="Y22" s="387">
        <f>Z22*Simulation!$P$10</f>
        <v>682.88000000000011</v>
      </c>
      <c r="Z22" s="388">
        <f>SUM(Z20:Z21)</f>
        <v>8.5360000000000014</v>
      </c>
      <c r="AA22" s="387">
        <f>AB22*Simulation!$P$10</f>
        <v>779.84000000000015</v>
      </c>
      <c r="AB22" s="388">
        <f>SUM(AB20:AB21)</f>
        <v>9.7480000000000011</v>
      </c>
      <c r="AC22" s="387">
        <f>AD22*Simulation!$P$10</f>
        <v>779.84000000000015</v>
      </c>
      <c r="AD22" s="388">
        <f>SUM(AD20:AD21)</f>
        <v>9.7480000000000011</v>
      </c>
      <c r="AE22" s="387">
        <f>AF22*Simulation!$P$10</f>
        <v>879.36000000000013</v>
      </c>
      <c r="AF22" s="388">
        <f>SUM(AF20:AF21)</f>
        <v>10.992000000000001</v>
      </c>
      <c r="AG22" s="387">
        <f>AH22*Simulation!$P$10</f>
        <v>984</v>
      </c>
      <c r="AH22" s="388">
        <f>SUM(AH20:AH21)</f>
        <v>12.3</v>
      </c>
      <c r="AI22" s="387">
        <f>AJ22*Simulation!$P$10</f>
        <v>984</v>
      </c>
      <c r="AJ22" s="388">
        <f>SUM(AJ20:AJ21)</f>
        <v>12.3</v>
      </c>
      <c r="AK22" s="387">
        <f>AL22*Simulation!$P$10</f>
        <v>1080.96</v>
      </c>
      <c r="AL22" s="388">
        <f>SUM(AL20:AL21)</f>
        <v>13.512</v>
      </c>
      <c r="AM22" s="387" t="e">
        <f>#REF!*Simulation!$P$10</f>
        <v>#REF!</v>
      </c>
    </row>
    <row r="23" spans="1:39" x14ac:dyDescent="0.2">
      <c r="A23" s="199"/>
      <c r="B23" s="172"/>
      <c r="C23" s="200"/>
      <c r="D23" s="201"/>
      <c r="E23" s="202"/>
      <c r="F23" s="203"/>
      <c r="G23" s="202"/>
      <c r="H23" s="203"/>
      <c r="I23" s="202"/>
      <c r="J23" s="203"/>
      <c r="K23" s="202"/>
      <c r="L23" s="203"/>
      <c r="M23" s="202"/>
      <c r="N23" s="203"/>
      <c r="O23" s="202"/>
      <c r="P23" s="203"/>
      <c r="Q23" s="202"/>
      <c r="R23" s="203"/>
      <c r="S23" s="202"/>
      <c r="T23" s="203"/>
      <c r="U23" s="202"/>
      <c r="V23" s="203"/>
      <c r="W23" s="202"/>
      <c r="X23" s="203"/>
      <c r="Y23" s="202"/>
      <c r="Z23" s="203"/>
      <c r="AA23" s="202"/>
      <c r="AB23" s="203"/>
      <c r="AC23" s="202"/>
      <c r="AD23" s="203"/>
      <c r="AE23" s="202"/>
      <c r="AF23" s="203"/>
      <c r="AG23" s="202"/>
      <c r="AH23" s="203"/>
      <c r="AI23" s="202"/>
      <c r="AJ23" s="203"/>
      <c r="AK23" s="202"/>
      <c r="AL23" s="203"/>
      <c r="AM23" s="202"/>
    </row>
    <row r="24" spans="1:39" ht="36" customHeight="1" x14ac:dyDescent="0.2">
      <c r="A24" s="204"/>
      <c r="B24" s="1561" t="s">
        <v>456</v>
      </c>
      <c r="C24" s="1564" t="s">
        <v>445</v>
      </c>
      <c r="D24" s="1564"/>
      <c r="E24" s="1547">
        <f>E22+E19+E14+E9</f>
        <v>473.60578333333336</v>
      </c>
      <c r="F24" s="1547"/>
      <c r="G24" s="1547">
        <f>G22+G19+G14+G9</f>
        <v>650.43453333333343</v>
      </c>
      <c r="H24" s="1547"/>
      <c r="I24" s="1547">
        <f>I22+I19+I14+I9</f>
        <v>742.73453333333327</v>
      </c>
      <c r="J24" s="1547"/>
      <c r="K24" s="1547">
        <f>K22+K19+K14+K9</f>
        <v>876.3775333333333</v>
      </c>
      <c r="L24" s="1547"/>
      <c r="M24" s="1547">
        <f>M22+M19+M14+M9</f>
        <v>1010.0205333333334</v>
      </c>
      <c r="N24" s="1547"/>
      <c r="O24" s="1547">
        <f>O22+O19+O14+O9</f>
        <v>1143.6635333333334</v>
      </c>
      <c r="P24" s="1547"/>
      <c r="Q24" s="1547">
        <f>Q22+Q19+Q14+Q9</f>
        <v>1277.3065333333334</v>
      </c>
      <c r="R24" s="1547"/>
      <c r="S24" s="1547">
        <f>S22+S19+S14+S9</f>
        <v>1301.4921333333334</v>
      </c>
      <c r="T24" s="1547"/>
      <c r="U24" s="1547">
        <f>U22+U19+U14+U9</f>
        <v>1418.1065333333331</v>
      </c>
      <c r="V24" s="1547"/>
      <c r="W24" s="1547">
        <f>W22+W19+W14+W9</f>
        <v>1646.8353333333334</v>
      </c>
      <c r="X24" s="1547"/>
      <c r="Y24" s="1547">
        <f>Y22+Y19+Y14+Y9</f>
        <v>1651.3353333333334</v>
      </c>
      <c r="Z24" s="1547"/>
      <c r="AA24" s="1547">
        <f>AA22+AA19+AA14+AA9</f>
        <v>1804.1725333333336</v>
      </c>
      <c r="AB24" s="1547"/>
      <c r="AC24" s="1547">
        <f>AC22+AC19+AC14+AC9</f>
        <v>1808.6725333333336</v>
      </c>
      <c r="AD24" s="1547"/>
      <c r="AE24" s="1547">
        <f>AE22+AE19+AE14+AE9</f>
        <v>1978.2926333333335</v>
      </c>
      <c r="AF24" s="1547"/>
      <c r="AG24" s="1547">
        <f>AG22+AG19+AG14+AG9</f>
        <v>2181.4785333333334</v>
      </c>
      <c r="AH24" s="1547"/>
      <c r="AI24" s="1547">
        <f>AI22+AI19+AI14+AI9</f>
        <v>2185.9785333333334</v>
      </c>
      <c r="AJ24" s="1547"/>
      <c r="AK24" s="1547">
        <f>AK22+AK19+AK14+AK9</f>
        <v>2338.5700333333334</v>
      </c>
      <c r="AL24" s="1547"/>
      <c r="AM24" s="1374" t="e">
        <f>AM22+AM19+AM14+AM9</f>
        <v>#REF!</v>
      </c>
    </row>
    <row r="25" spans="1:39" ht="18" customHeight="1" x14ac:dyDescent="0.2">
      <c r="A25" s="154"/>
      <c r="B25" s="1562"/>
      <c r="C25" s="1565" t="s">
        <v>457</v>
      </c>
      <c r="D25" s="1565"/>
      <c r="E25" s="149">
        <f>E9-F9</f>
        <v>19.53595</v>
      </c>
      <c r="F25" s="207">
        <f>E25/E$24</f>
        <v>4.1249390711621023E-2</v>
      </c>
      <c r="G25" s="149">
        <f>G9-H9</f>
        <v>26.027200000000008</v>
      </c>
      <c r="H25" s="207">
        <f>G25/G$24</f>
        <v>4.00150955494573E-2</v>
      </c>
      <c r="I25" s="149">
        <f>I9-J9</f>
        <v>28.427199999999999</v>
      </c>
      <c r="J25" s="207">
        <f>I25/I$24</f>
        <v>3.8273701738925477E-2</v>
      </c>
      <c r="K25" s="149">
        <f>K9-L9</f>
        <v>32.660200000000003</v>
      </c>
      <c r="L25" s="207">
        <f>K25/K$24</f>
        <v>3.7267272103354551E-2</v>
      </c>
      <c r="M25" s="149">
        <f>M9-N9</f>
        <v>36.893199999999993</v>
      </c>
      <c r="N25" s="207">
        <f>M25/M$24</f>
        <v>3.652717819334101E-2</v>
      </c>
      <c r="O25" s="149">
        <f>O9-P9</f>
        <v>41.126200000000011</v>
      </c>
      <c r="P25" s="207">
        <f>O25/O$24</f>
        <v>3.5960051887055602E-2</v>
      </c>
      <c r="Q25" s="149">
        <f>Q9-R9</f>
        <v>45.359200000000016</v>
      </c>
      <c r="R25" s="207">
        <f>Q25/Q$24</f>
        <v>3.5511601026284589E-2</v>
      </c>
      <c r="S25" s="149">
        <f>S9-T9</f>
        <v>44.372800000000012</v>
      </c>
      <c r="T25" s="207">
        <f>S25/S$24</f>
        <v>3.4093790399142898E-2</v>
      </c>
      <c r="U25" s="149">
        <f>U9-V9</f>
        <v>47.759199999999993</v>
      </c>
      <c r="V25" s="207">
        <f>U25/U$24</f>
        <v>3.3678146794613173E-2</v>
      </c>
      <c r="W25" s="149">
        <f>W9-X9</f>
        <v>54.532000000000011</v>
      </c>
      <c r="X25" s="207">
        <f>W25/W$24</f>
        <v>3.3113207432599011E-2</v>
      </c>
      <c r="Y25" s="149">
        <f>Y9-Z9</f>
        <v>54.532000000000011</v>
      </c>
      <c r="Z25" s="207">
        <f>Y25/Y$24</f>
        <v>3.3022971712186058E-2</v>
      </c>
      <c r="AA25" s="149">
        <f>AA9-AB9</f>
        <v>57.665199999999999</v>
      </c>
      <c r="AB25" s="207">
        <f>AA25/AA$24</f>
        <v>3.1962131633530386E-2</v>
      </c>
      <c r="AC25" s="149">
        <f>AC9-AD9</f>
        <v>57.665199999999999</v>
      </c>
      <c r="AD25" s="207">
        <f>AC25/AC$24</f>
        <v>3.1882609448225893E-2</v>
      </c>
      <c r="AE25" s="149">
        <f>AE9-AF9</f>
        <v>61.588299999999975</v>
      </c>
      <c r="AF25" s="207">
        <f>AE25/AE$24</f>
        <v>3.1132047383822321E-2</v>
      </c>
      <c r="AG25" s="149">
        <f>AG9-AH9</f>
        <v>67.091200000000015</v>
      </c>
      <c r="AH25" s="207">
        <f>AG25/AG$24</f>
        <v>3.0754921020232827E-2</v>
      </c>
      <c r="AI25" s="149">
        <f>AI9-AJ9</f>
        <v>67.091200000000015</v>
      </c>
      <c r="AJ25" s="207">
        <f>AI25/AI$24</f>
        <v>3.069160971937572E-2</v>
      </c>
      <c r="AK25" s="149">
        <f>AK9-AL9</f>
        <v>70.167699999999996</v>
      </c>
      <c r="AL25" s="207">
        <f>AK25/AK$24</f>
        <v>3.0004532256827428E-2</v>
      </c>
      <c r="AM25" s="149" t="e">
        <f>AM9-#REF!</f>
        <v>#REF!</v>
      </c>
    </row>
    <row r="26" spans="1:39" ht="18" customHeight="1" x14ac:dyDescent="0.2">
      <c r="A26" s="154"/>
      <c r="B26" s="1562"/>
      <c r="C26" s="1565" t="s">
        <v>9</v>
      </c>
      <c r="D26" s="1565"/>
      <c r="E26" s="149">
        <f>E9</f>
        <v>84.655783333333332</v>
      </c>
      <c r="F26" s="207">
        <f>E26/E$24</f>
        <v>0.17874735975035777</v>
      </c>
      <c r="G26" s="149">
        <f>G9</f>
        <v>112.78453333333336</v>
      </c>
      <c r="H26" s="207">
        <f>G26/G$24</f>
        <v>0.17339874738098163</v>
      </c>
      <c r="I26" s="149">
        <f>I9</f>
        <v>123.18453333333333</v>
      </c>
      <c r="J26" s="207">
        <f>I26/I$24</f>
        <v>0.16585270753534373</v>
      </c>
      <c r="K26" s="149">
        <f>K9</f>
        <v>141.52753333333334</v>
      </c>
      <c r="L26" s="207">
        <f>K26/K$24</f>
        <v>0.16149151244786969</v>
      </c>
      <c r="M26" s="149">
        <f>M9</f>
        <v>159.87053333333333</v>
      </c>
      <c r="N26" s="207">
        <f>M26/M$24</f>
        <v>0.15828443883781107</v>
      </c>
      <c r="O26" s="149">
        <f>O9</f>
        <v>178.21353333333334</v>
      </c>
      <c r="P26" s="207">
        <f>O26/O$24</f>
        <v>0.15582689151057424</v>
      </c>
      <c r="Q26" s="149">
        <f>Q9</f>
        <v>196.55653333333333</v>
      </c>
      <c r="R26" s="207">
        <f>Q26/Q$24</f>
        <v>0.15388360444723317</v>
      </c>
      <c r="S26" s="149">
        <f>S9</f>
        <v>192.28213333333332</v>
      </c>
      <c r="T26" s="207">
        <f>S26/S$24</f>
        <v>0.14773975839628584</v>
      </c>
      <c r="U26" s="149">
        <f>U9</f>
        <v>206.95653333333331</v>
      </c>
      <c r="V26" s="207">
        <f>U26/U$24</f>
        <v>0.14593863610999042</v>
      </c>
      <c r="W26" s="149">
        <f>W9</f>
        <v>236.30533333333332</v>
      </c>
      <c r="X26" s="207">
        <f>W26/W$24</f>
        <v>0.14349056554126235</v>
      </c>
      <c r="Y26" s="149">
        <f>Y9</f>
        <v>236.30533333333332</v>
      </c>
      <c r="Z26" s="207">
        <f>Y26/Y$24</f>
        <v>0.14309954408613956</v>
      </c>
      <c r="AA26" s="149">
        <f>AA9</f>
        <v>249.88253333333333</v>
      </c>
      <c r="AB26" s="207">
        <f>AA26/AA$24</f>
        <v>0.13850257041196501</v>
      </c>
      <c r="AC26" s="149">
        <f>AC9</f>
        <v>249.88253333333333</v>
      </c>
      <c r="AD26" s="207">
        <f>AC26/AC$24</f>
        <v>0.13815797427564552</v>
      </c>
      <c r="AE26" s="149">
        <f>AE9</f>
        <v>266.88263333333327</v>
      </c>
      <c r="AF26" s="207">
        <f>AE26/AE$24</f>
        <v>0.13490553866323007</v>
      </c>
      <c r="AG26" s="149">
        <f>AG9</f>
        <v>290.7285333333333</v>
      </c>
      <c r="AH26" s="207">
        <f>AG26/AG$24</f>
        <v>0.13327132442100886</v>
      </c>
      <c r="AI26" s="149">
        <f>AI9</f>
        <v>290.7285333333333</v>
      </c>
      <c r="AJ26" s="207">
        <f>AI26/AI$24</f>
        <v>0.13299697545062808</v>
      </c>
      <c r="AK26" s="149">
        <f>AK9</f>
        <v>304.06003333333331</v>
      </c>
      <c r="AL26" s="207">
        <f>AK26/AK$24</f>
        <v>0.13001963977958553</v>
      </c>
      <c r="AM26" s="149" t="e">
        <f>AM9</f>
        <v>#REF!</v>
      </c>
    </row>
    <row r="27" spans="1:39" ht="18" customHeight="1" x14ac:dyDescent="0.2">
      <c r="A27" s="154"/>
      <c r="B27" s="1562"/>
      <c r="C27" s="1565" t="s">
        <v>458</v>
      </c>
      <c r="D27" s="1565"/>
      <c r="E27" s="149">
        <f>E14</f>
        <v>135.00000000000003</v>
      </c>
      <c r="F27" s="207">
        <f>E27/E$24</f>
        <v>0.28504719484175783</v>
      </c>
      <c r="G27" s="149">
        <f>G14</f>
        <v>180</v>
      </c>
      <c r="H27" s="207">
        <f>G27/G$24</f>
        <v>0.27673807397270211</v>
      </c>
      <c r="I27" s="149">
        <f>I14</f>
        <v>198.00000000000003</v>
      </c>
      <c r="J27" s="207">
        <f>I27/I$24</f>
        <v>0.26658246131547408</v>
      </c>
      <c r="K27" s="149">
        <f>K14</f>
        <v>229.50000000000003</v>
      </c>
      <c r="L27" s="207">
        <f>K27/K$24</f>
        <v>0.26187344069294949</v>
      </c>
      <c r="M27" s="149">
        <f>M14</f>
        <v>261.00000000000006</v>
      </c>
      <c r="N27" s="207">
        <f>M27/M$24</f>
        <v>0.25841058808837419</v>
      </c>
      <c r="O27" s="149">
        <f>O14</f>
        <v>292.5</v>
      </c>
      <c r="P27" s="207">
        <f>O27/O$24</f>
        <v>0.25575703996391014</v>
      </c>
      <c r="Q27" s="149">
        <f>Q14</f>
        <v>324</v>
      </c>
      <c r="R27" s="207">
        <f>Q27/Q$24</f>
        <v>0.25365876674447968</v>
      </c>
      <c r="S27" s="149">
        <f>S14</f>
        <v>320.39999999999998</v>
      </c>
      <c r="T27" s="207">
        <f>S27/S$24</f>
        <v>0.24617897549592049</v>
      </c>
      <c r="U27" s="149">
        <f>U14</f>
        <v>346.50000000000006</v>
      </c>
      <c r="V27" s="207">
        <f>U27/U$24</f>
        <v>0.24433989397505546</v>
      </c>
      <c r="W27" s="149">
        <f>W14</f>
        <v>394.2</v>
      </c>
      <c r="X27" s="207">
        <f>W27/W$24</f>
        <v>0.2393681942699796</v>
      </c>
      <c r="Y27" s="149">
        <f>Y14</f>
        <v>398.7</v>
      </c>
      <c r="Z27" s="207">
        <f>Y27/Y$24</f>
        <v>0.24144096716879226</v>
      </c>
      <c r="AA27" s="149">
        <f>AA14</f>
        <v>422.10000000000014</v>
      </c>
      <c r="AB27" s="207">
        <f>AA27/AA$24</f>
        <v>0.23395766879353894</v>
      </c>
      <c r="AC27" s="149">
        <f>AC14</f>
        <v>426.60000000000008</v>
      </c>
      <c r="AD27" s="207">
        <f>AC27/AC$24</f>
        <v>0.23586359174360216</v>
      </c>
      <c r="AE27" s="149">
        <f>AE14</f>
        <v>455.4</v>
      </c>
      <c r="AF27" s="207">
        <f>AE27/AE$24</f>
        <v>0.23019850164061503</v>
      </c>
      <c r="AG27" s="149">
        <f>AG14</f>
        <v>495</v>
      </c>
      <c r="AH27" s="207">
        <f>AG27/AG$24</f>
        <v>0.22691032363432531</v>
      </c>
      <c r="AI27" s="149">
        <f>AI14</f>
        <v>499.5</v>
      </c>
      <c r="AJ27" s="207">
        <f>AI27/AI$24</f>
        <v>0.22850178644633229</v>
      </c>
      <c r="AK27" s="149">
        <f>AK14</f>
        <v>522.90000000000009</v>
      </c>
      <c r="AL27" s="207">
        <f>AK27/AK$24</f>
        <v>0.22359817860775066</v>
      </c>
      <c r="AM27" s="149" t="e">
        <f>AM14</f>
        <v>#REF!</v>
      </c>
    </row>
    <row r="28" spans="1:39" ht="18" customHeight="1" x14ac:dyDescent="0.2">
      <c r="A28" s="154"/>
      <c r="B28" s="1562"/>
      <c r="C28" s="1565" t="s">
        <v>459</v>
      </c>
      <c r="D28" s="1565"/>
      <c r="E28" s="149">
        <f>E19</f>
        <v>114.74999999999999</v>
      </c>
      <c r="F28" s="207">
        <f>E28/E$24</f>
        <v>0.2422901156154941</v>
      </c>
      <c r="G28" s="149">
        <f>G19</f>
        <v>155.25</v>
      </c>
      <c r="H28" s="207">
        <f>G28/G$24</f>
        <v>0.23868658880145557</v>
      </c>
      <c r="I28" s="149">
        <f>I19</f>
        <v>168.74999999999997</v>
      </c>
      <c r="J28" s="207">
        <f>I28/I$24</f>
        <v>0.22720096134841536</v>
      </c>
      <c r="K28" s="149">
        <f>K19</f>
        <v>195.74999999999997</v>
      </c>
      <c r="L28" s="207">
        <f>K28/K$24</f>
        <v>0.2233626405910451</v>
      </c>
      <c r="M28" s="149">
        <f>M19</f>
        <v>222.74999999999997</v>
      </c>
      <c r="N28" s="207">
        <f>M28/M$24</f>
        <v>0.22054007086852617</v>
      </c>
      <c r="O28" s="149">
        <f>O19</f>
        <v>249.74999999999994</v>
      </c>
      <c r="P28" s="207">
        <f>O28/O$24</f>
        <v>0.21837716489226167</v>
      </c>
      <c r="Q28" s="149">
        <f>Q19</f>
        <v>276.75</v>
      </c>
      <c r="R28" s="207">
        <f>Q28/Q$24</f>
        <v>0.21666686326090975</v>
      </c>
      <c r="S28" s="149">
        <f>S19</f>
        <v>268.64999999999998</v>
      </c>
      <c r="T28" s="207">
        <f>S28/S$24</f>
        <v>0.20641692186947266</v>
      </c>
      <c r="U28" s="149">
        <f>U19</f>
        <v>290.24999999999994</v>
      </c>
      <c r="V28" s="207">
        <f>U28/U$24</f>
        <v>0.20467432677131261</v>
      </c>
      <c r="W28" s="149">
        <f>W19</f>
        <v>333.45</v>
      </c>
      <c r="X28" s="207">
        <f>W28/W$24</f>
        <v>0.20247926022152385</v>
      </c>
      <c r="Y28" s="149">
        <f>Y19</f>
        <v>333.45</v>
      </c>
      <c r="Z28" s="207">
        <f>Y28/Y$24</f>
        <v>0.20192749060053619</v>
      </c>
      <c r="AA28" s="149">
        <f>AA19</f>
        <v>352.35</v>
      </c>
      <c r="AB28" s="207">
        <f>AA28/AA$24</f>
        <v>0.19529728642360442</v>
      </c>
      <c r="AC28" s="149">
        <f>AC19</f>
        <v>352.35</v>
      </c>
      <c r="AD28" s="207">
        <f>AC28/AC$24</f>
        <v>0.19481138431987391</v>
      </c>
      <c r="AE28" s="149">
        <f>AE19</f>
        <v>376.65</v>
      </c>
      <c r="AF28" s="207">
        <f>AE28/AE$24</f>
        <v>0.19039144849129919</v>
      </c>
      <c r="AG28" s="149">
        <f>AG19</f>
        <v>411.75</v>
      </c>
      <c r="AH28" s="207">
        <f>AG28/AG$24</f>
        <v>0.1887481328412797</v>
      </c>
      <c r="AI28" s="149">
        <f>AI19</f>
        <v>411.75</v>
      </c>
      <c r="AJ28" s="207">
        <f>AI28/AI$24</f>
        <v>0.18835958071927392</v>
      </c>
      <c r="AK28" s="149">
        <f>AK19</f>
        <v>430.65000000000003</v>
      </c>
      <c r="AL28" s="207">
        <f>AK28/AK$24</f>
        <v>0.18415099563478257</v>
      </c>
      <c r="AM28" s="149" t="e">
        <f>AM19</f>
        <v>#REF!</v>
      </c>
    </row>
    <row r="29" spans="1:39" ht="18" customHeight="1" x14ac:dyDescent="0.2">
      <c r="A29" s="154"/>
      <c r="B29" s="1563"/>
      <c r="C29" s="1565" t="s">
        <v>5</v>
      </c>
      <c r="D29" s="1565"/>
      <c r="E29" s="149">
        <f>E22</f>
        <v>139.20000000000002</v>
      </c>
      <c r="F29" s="207">
        <f>E29/E$24</f>
        <v>0.29391532979239027</v>
      </c>
      <c r="G29" s="149">
        <f>G22</f>
        <v>202.40000000000003</v>
      </c>
      <c r="H29" s="207">
        <f>G29/G$24</f>
        <v>0.31117658984486063</v>
      </c>
      <c r="I29" s="149">
        <f>I22</f>
        <v>252.8</v>
      </c>
      <c r="J29" s="207">
        <f>I29/I$24</f>
        <v>0.34036386980076688</v>
      </c>
      <c r="K29" s="149">
        <f>K22</f>
        <v>309.60000000000002</v>
      </c>
      <c r="L29" s="207">
        <f>K29/K$24</f>
        <v>0.35327240626813577</v>
      </c>
      <c r="M29" s="149">
        <f>M22</f>
        <v>366.4</v>
      </c>
      <c r="N29" s="207">
        <f>M29/M$24</f>
        <v>0.36276490220528845</v>
      </c>
      <c r="O29" s="149">
        <f>O22</f>
        <v>423.20000000000005</v>
      </c>
      <c r="P29" s="207">
        <f>O29/O$24</f>
        <v>0.37003890363325392</v>
      </c>
      <c r="Q29" s="149">
        <f>Q22</f>
        <v>480</v>
      </c>
      <c r="R29" s="207">
        <f>Q29/Q$24</f>
        <v>0.37579076554737734</v>
      </c>
      <c r="S29" s="149">
        <f>S22</f>
        <v>520.16</v>
      </c>
      <c r="T29" s="207">
        <f>S29/S$24</f>
        <v>0.39966434423832087</v>
      </c>
      <c r="U29" s="149">
        <f>U22</f>
        <v>574.4</v>
      </c>
      <c r="V29" s="207">
        <f>U29/U$24</f>
        <v>0.40504714314364165</v>
      </c>
      <c r="W29" s="149">
        <f>W22</f>
        <v>682.88000000000011</v>
      </c>
      <c r="X29" s="207">
        <f>W29/W$24</f>
        <v>0.41466197996723414</v>
      </c>
      <c r="Y29" s="149">
        <f>Y22</f>
        <v>682.88000000000011</v>
      </c>
      <c r="Z29" s="207">
        <f>Y29/Y$24</f>
        <v>0.41353199814453195</v>
      </c>
      <c r="AA29" s="149">
        <f>AA22</f>
        <v>779.84000000000015</v>
      </c>
      <c r="AB29" s="207">
        <f>AA29/AA$24</f>
        <v>0.43224247437089169</v>
      </c>
      <c r="AC29" s="149">
        <f>AC22</f>
        <v>779.84000000000015</v>
      </c>
      <c r="AD29" s="207">
        <f>AC29/AC$24</f>
        <v>0.43116704966087838</v>
      </c>
      <c r="AE29" s="149">
        <f>AE22</f>
        <v>879.36000000000013</v>
      </c>
      <c r="AF29" s="207">
        <f>AE29/AE$24</f>
        <v>0.44450451120485568</v>
      </c>
      <c r="AG29" s="149">
        <f>AG22</f>
        <v>984</v>
      </c>
      <c r="AH29" s="207">
        <f>AG29/AG$24</f>
        <v>0.45107021910338607</v>
      </c>
      <c r="AI29" s="149">
        <f>AI22</f>
        <v>984</v>
      </c>
      <c r="AJ29" s="207">
        <f>AI29/AI$24</f>
        <v>0.45014165738376571</v>
      </c>
      <c r="AK29" s="149">
        <f>AK22</f>
        <v>1080.96</v>
      </c>
      <c r="AL29" s="207">
        <f>AK29/AK$24</f>
        <v>0.46223118597788126</v>
      </c>
      <c r="AM29" s="149" t="e">
        <f>AM22</f>
        <v>#REF!</v>
      </c>
    </row>
    <row r="30" spans="1:39" x14ac:dyDescent="0.2">
      <c r="A30" s="154"/>
      <c r="B30" s="172"/>
      <c r="C30" s="154"/>
      <c r="D30" s="227"/>
      <c r="E30" s="154"/>
      <c r="F30" s="154"/>
      <c r="G30" s="154"/>
      <c r="H30" s="154"/>
      <c r="I30" s="154"/>
      <c r="J30" s="154"/>
      <c r="K30" s="154"/>
      <c r="L30" s="154"/>
      <c r="M30" s="154"/>
      <c r="N30" s="154"/>
      <c r="O30" s="154"/>
      <c r="P30" s="154"/>
      <c r="Q30" s="228"/>
      <c r="R30" s="229"/>
      <c r="S30" s="154"/>
      <c r="T30" s="230"/>
      <c r="U30" s="154"/>
      <c r="V30" s="154"/>
      <c r="W30" s="154"/>
      <c r="X30" s="154"/>
      <c r="Y30" s="154"/>
      <c r="Z30" s="154"/>
      <c r="AA30" s="154"/>
      <c r="AB30" s="154"/>
      <c r="AC30" s="154"/>
      <c r="AD30" s="154"/>
      <c r="AE30" s="154"/>
      <c r="AF30" s="154"/>
      <c r="AG30" s="154"/>
      <c r="AH30" s="154"/>
      <c r="AI30" s="154"/>
      <c r="AJ30" s="154"/>
      <c r="AK30" s="154"/>
      <c r="AL30" s="154"/>
      <c r="AM30" s="154"/>
    </row>
    <row r="31" spans="1:39" ht="36" x14ac:dyDescent="0.2">
      <c r="A31" s="154"/>
      <c r="B31" s="1375" t="s">
        <v>1462</v>
      </c>
      <c r="C31" s="1568" t="s">
        <v>1463</v>
      </c>
      <c r="D31" s="1569"/>
      <c r="E31" s="149">
        <f>(VLOOKUP("Prix HT",$C$1:$N$31,E$1,0))-(VLOOKUP("Non margé",$D$1:$N$31,E$1,0))</f>
        <v>408.48595</v>
      </c>
      <c r="F31" s="207">
        <f>E31/VLOOKUP("Prix HT",$C$1:$N$31,E$1,0)</f>
        <v>0.86250203096126321</v>
      </c>
      <c r="G31" s="149">
        <f>(VLOOKUP("Prix HT",$C$1:$N$31,G$1,0))-(VLOOKUP("Non margé",$D$1:$N$31,G$1,0))</f>
        <v>563.67720000000008</v>
      </c>
      <c r="H31" s="207">
        <f>G31/VLOOKUP("Prix HT",$C$1:$N$31,G$1,0)</f>
        <v>0.86661634816847566</v>
      </c>
      <c r="I31" s="149">
        <f>(VLOOKUP("Prix HT",$C$1:$N$31,I$1,0))-(VLOOKUP("Non margé",$D$1:$N$31,I$1,0))</f>
        <v>647.97719999999993</v>
      </c>
      <c r="J31" s="207">
        <f>I31/VLOOKUP("Prix HT",$C$1:$N$31,I$1,0)</f>
        <v>0.87242099420358177</v>
      </c>
      <c r="K31" s="149">
        <f>(VLOOKUP("Prix HT",$C$1:$N$31,K$1,0))-(VLOOKUP("Non margé",$D$1:$N$31,K$1,0))</f>
        <v>767.51019999999994</v>
      </c>
      <c r="L31" s="207">
        <f>K31/VLOOKUP("Prix HT",$C$1:$N$31,K$1,0)</f>
        <v>0.87577575965548482</v>
      </c>
      <c r="M31" s="149">
        <f>(VLOOKUP("Prix HT",$C$1:$N$31,M$1,0))-(VLOOKUP("Non margé",$D$1:$N$31,M$1,0))</f>
        <v>887.04320000000007</v>
      </c>
      <c r="N31" s="207">
        <f>M31/VLOOKUP("Prix HT",$C$1:$N$31,M$1,0)</f>
        <v>0.87824273935552988</v>
      </c>
      <c r="O31" s="149">
        <f>(VLOOKUP("Prix HT",$C$1:$AM$31,O$1,0))-(VLOOKUP("Non margé",$D$1:$AM$31,O$1,0))</f>
        <v>1006.5762</v>
      </c>
      <c r="P31" s="207">
        <f>O31/VLOOKUP("Prix HT",$C$1:$AM$31,O$1,0)</f>
        <v>0.88013316037648126</v>
      </c>
      <c r="Q31" s="149">
        <f>(VLOOKUP("Prix HT",$C$1:$AM$31,Q$1,0))-(VLOOKUP("Non margé",$D$1:$AM$31,Q$1,0))</f>
        <v>1126.1092000000001</v>
      </c>
      <c r="R31" s="207">
        <f>Q31/VLOOKUP("Prix HT",$C$1:$AM$31,Q$1,0)</f>
        <v>0.88162799657905144</v>
      </c>
      <c r="S31" s="149">
        <f>(VLOOKUP("Prix HT",$C$1:$AM$31,S$1,0))-(VLOOKUP("Non margé",$D$1:$AM$31,S$1,0))</f>
        <v>1153.5828000000001</v>
      </c>
      <c r="T31" s="207">
        <f>S31/VLOOKUP("Prix HT",$C$1:$AM$31,S$1,0)</f>
        <v>0.88635403200285712</v>
      </c>
      <c r="U31" s="149">
        <f>(VLOOKUP("Prix HT",$C$1:$AM$31,U$1,0))-(VLOOKUP("Non margé",$D$1:$AM$31,U$1,0))</f>
        <v>1258.9091999999998</v>
      </c>
      <c r="V31" s="207">
        <f>U31/VLOOKUP("Prix HT",$C$1:$AM$31,U$1,0)</f>
        <v>0.88773951068462276</v>
      </c>
      <c r="W31" s="149">
        <f>(VLOOKUP("Prix HT",$C$1:$AM$31,W$1,0))-(VLOOKUP("Non margé",$D$1:$AM$31,W$1,0))</f>
        <v>1465.0620000000001</v>
      </c>
      <c r="X31" s="207">
        <f>W31/VLOOKUP("Prix HT",$C$1:$AM$31,W$1,0)</f>
        <v>0.88962264189133666</v>
      </c>
      <c r="Y31" s="149">
        <f>(VLOOKUP("Prix HT",$C$1:$AM$31,Y$1,0))-(VLOOKUP("Non margé",$D$1:$AM$31,Y$1,0))</f>
        <v>1469.5620000000001</v>
      </c>
      <c r="Z31" s="207">
        <f>Y31/VLOOKUP("Prix HT",$C$1:$AM$31,Y$1,0)</f>
        <v>0.88992342762604648</v>
      </c>
      <c r="AA31" s="149">
        <f>(VLOOKUP("Prix HT",$C$1:$AM$31,AA$1,0))-(VLOOKUP("Non margé",$D$1:$AM$31,AA$1,0))</f>
        <v>1611.9552000000003</v>
      </c>
      <c r="AB31" s="207">
        <f>AA31/VLOOKUP("Prix HT",$C$1:$AM$31,AA$1,0)</f>
        <v>0.89345956122156545</v>
      </c>
      <c r="AC31" s="149">
        <f>(VLOOKUP("Prix HT",$C$1:$AM$31,AC$1,0))-(VLOOKUP("Non margé",$D$1:$AM$31,AC$1,0))</f>
        <v>1616.4552000000003</v>
      </c>
      <c r="AD31" s="207">
        <f>AC31/VLOOKUP("Prix HT",$C$1:$AM$31,AC$1,0)</f>
        <v>0.89372463517258038</v>
      </c>
      <c r="AE31" s="149">
        <f>(VLOOKUP("Prix HT",$C$1:$AM$31,AE$1,0))-(VLOOKUP("Non margé",$D$1:$AM$31,AE$1,0))</f>
        <v>1772.9983000000002</v>
      </c>
      <c r="AF31" s="207">
        <f>AE31/VLOOKUP("Prix HT",$C$1:$AM$31,AE$1,0)</f>
        <v>0.89622650872059229</v>
      </c>
      <c r="AG31" s="149">
        <f>(VLOOKUP("Prix HT",$C$1:$AM$31,AG$1,0))-(VLOOKUP("Non margé",$D$1:$AM$31,AG$1,0))</f>
        <v>1957.8412000000001</v>
      </c>
      <c r="AH31" s="207">
        <f>AG31/VLOOKUP("Prix HT",$C$1:$AM$31,AG$1,0)</f>
        <v>0.89748359659922394</v>
      </c>
      <c r="AI31" s="149">
        <f>(VLOOKUP("Prix HT",$C$1:$AM$31,AI$1,0))-(VLOOKUP("Non margé",$D$1:$AM$31,AI$1,0))</f>
        <v>1962.3412000000001</v>
      </c>
      <c r="AJ31" s="207">
        <f>AI31/VLOOKUP("Prix HT",$C$1:$AM$31,AI$1,0)</f>
        <v>0.89769463426874763</v>
      </c>
      <c r="AK31" s="149">
        <f>(VLOOKUP("Prix HT",$C$1:$AM$31,AK$1,0))-(VLOOKUP("Non margé",$D$1:$AM$31,AK$1,0))</f>
        <v>2104.6777000000002</v>
      </c>
      <c r="AL31" s="207">
        <f>AK31/VLOOKUP("Prix HT",$C$1:$AM$31,AK$1,0)</f>
        <v>0.89998489247724189</v>
      </c>
      <c r="AM31" s="149" t="e">
        <f>(VLOOKUP("Prix HT",$C$1:$AM$31,AM$1,0))-(VLOOKUP("Non margé",$D$1:$AM$31,AM$1,0))</f>
        <v>#REF!</v>
      </c>
    </row>
  </sheetData>
  <mergeCells count="41">
    <mergeCell ref="C31:D31"/>
    <mergeCell ref="AE2:AF2"/>
    <mergeCell ref="B2:B3"/>
    <mergeCell ref="C2:C3"/>
    <mergeCell ref="E2:F2"/>
    <mergeCell ref="G2:H2"/>
    <mergeCell ref="I2:J2"/>
    <mergeCell ref="K2:L2"/>
    <mergeCell ref="M2:N2"/>
    <mergeCell ref="O2:P2"/>
    <mergeCell ref="Q2:R2"/>
    <mergeCell ref="S2:T2"/>
    <mergeCell ref="U2:V2"/>
    <mergeCell ref="C29:D29"/>
    <mergeCell ref="E24:F24"/>
    <mergeCell ref="G24:H24"/>
    <mergeCell ref="A4:A8"/>
    <mergeCell ref="A10:A14"/>
    <mergeCell ref="A15:A19"/>
    <mergeCell ref="A20:A22"/>
    <mergeCell ref="B24:B29"/>
    <mergeCell ref="K24:L24"/>
    <mergeCell ref="M24:N24"/>
    <mergeCell ref="O24:P24"/>
    <mergeCell ref="C24:D24"/>
    <mergeCell ref="AK24:AL24"/>
    <mergeCell ref="Q24:R24"/>
    <mergeCell ref="S24:T24"/>
    <mergeCell ref="U24:V24"/>
    <mergeCell ref="W24:X24"/>
    <mergeCell ref="Y24:Z24"/>
    <mergeCell ref="AA24:AB24"/>
    <mergeCell ref="AC24:AD24"/>
    <mergeCell ref="AE24:AF24"/>
    <mergeCell ref="AG24:AH24"/>
    <mergeCell ref="AI24:AJ24"/>
    <mergeCell ref="C25:D25"/>
    <mergeCell ref="C26:D26"/>
    <mergeCell ref="C27:D27"/>
    <mergeCell ref="C28:D28"/>
    <mergeCell ref="I24:J24"/>
  </mergeCells>
  <dataValidations count="8">
    <dataValidation type="list" allowBlank="1" showInputMessage="1" showErrorMessage="1" promptTitle="Catégorie MOC" prompt="choisir" sqref="B15:B18" xr:uid="{00000000-0002-0000-2200-000000000000}">
      <formula1>CATEGORIE_MOC</formula1>
    </dataValidation>
    <dataValidation type="list" allowBlank="1" showInputMessage="1" promptTitle="Main d'oeuvre CHANTIER" prompt="choisir la prestation" sqref="C15:C18" xr:uid="{00000000-0002-0000-2200-000001000000}">
      <formula1>INDIRECT(B15)</formula1>
    </dataValidation>
    <dataValidation type="list" allowBlank="1" showInputMessage="1" showErrorMessage="1" promptTitle="MO ATELIER" prompt="choisir catégorie" sqref="B10:B13" xr:uid="{00000000-0002-0000-2200-000002000000}">
      <formula1>CATEGORIE_MOA</formula1>
    </dataValidation>
    <dataValidation type="list" allowBlank="1" showInputMessage="1" showErrorMessage="1" promptTitle="Main d'oeuvre ATELIER" prompt="choisir la prestation" sqref="C10:C13" xr:uid="{00000000-0002-0000-2200-000003000000}">
      <formula1>INDIRECT(B10)</formula1>
    </dataValidation>
    <dataValidation type="list" allowBlank="1" showInputMessage="1" showErrorMessage="1" promptTitle="MATIERES" prompt="choisir catégorie" sqref="B4:B8" xr:uid="{00000000-0002-0000-2200-000004000000}">
      <formula1>MOA_ALIM</formula1>
    </dataValidation>
    <dataValidation type="list" allowBlank="1" showInputMessage="1" showErrorMessage="1" promptTitle="MATIERES" prompt="choisir le produit" sqref="C4:C8" xr:uid="{00000000-0002-0000-2200-000005000000}">
      <formula1>INDIRECT(B4)</formula1>
    </dataValidation>
    <dataValidation type="list" allowBlank="1" showInputMessage="1" showErrorMessage="1" promptTitle="MINIPELLE" prompt="choisir catégorie" sqref="B20:B21" xr:uid="{00000000-0002-0000-2200-000006000000}">
      <formula1>CATEGORIE_MP</formula1>
    </dataValidation>
    <dataValidation type="list" allowBlank="1" showInputMessage="1" promptTitle="MINIPELLE" prompt="choisir la prestation" sqref="C20:C21" xr:uid="{00000000-0002-0000-2200-000007000000}">
      <formula1>INDIRECT(B20)</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published="0" codeName="Feuil35"/>
  <dimension ref="A1:P86"/>
  <sheetViews>
    <sheetView zoomScale="55" zoomScaleNormal="55" workbookViewId="0">
      <pane xSplit="4" ySplit="3" topLeftCell="E4" activePane="bottomRight" state="frozen"/>
      <selection pane="topRight" activeCell="E1" sqref="E1"/>
      <selection pane="bottomLeft" activeCell="A4" sqref="A4"/>
      <selection pane="bottomRight" activeCell="A4" sqref="A4:A42"/>
    </sheetView>
  </sheetViews>
  <sheetFormatPr baseColWidth="10" defaultRowHeight="18" x14ac:dyDescent="0.2"/>
  <cols>
    <col min="1" max="1" width="18.125" style="210" customWidth="1"/>
    <col min="2" max="2" width="22.5" style="233"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5" width="14.5" style="135" customWidth="1"/>
    <col min="16" max="763" width="11.5" customWidth="1"/>
  </cols>
  <sheetData>
    <row r="1" spans="1:16" ht="14.85" customHeight="1" x14ac:dyDescent="0.2">
      <c r="A1" s="215"/>
      <c r="B1" s="216"/>
      <c r="C1" s="215"/>
      <c r="D1" s="217"/>
      <c r="E1" s="215" t="s">
        <v>478</v>
      </c>
      <c r="F1" s="215" t="s">
        <v>478</v>
      </c>
      <c r="G1" s="215" t="s">
        <v>479</v>
      </c>
      <c r="H1" s="215" t="s">
        <v>479</v>
      </c>
      <c r="I1" s="215" t="s">
        <v>480</v>
      </c>
      <c r="J1" s="215" t="s">
        <v>480</v>
      </c>
      <c r="K1" s="215"/>
      <c r="L1" s="215" t="s">
        <v>1361</v>
      </c>
      <c r="M1" s="215" t="s">
        <v>1472</v>
      </c>
      <c r="N1" s="215" t="s">
        <v>1472</v>
      </c>
      <c r="O1" s="215">
        <v>6</v>
      </c>
      <c r="P1">
        <v>6</v>
      </c>
    </row>
    <row r="2" spans="1:16" ht="35.1" customHeight="1" x14ac:dyDescent="0.2">
      <c r="A2" s="174"/>
      <c r="B2" s="1572" t="s">
        <v>975</v>
      </c>
      <c r="C2" s="1574" t="s">
        <v>468</v>
      </c>
      <c r="D2" s="115" t="s">
        <v>203</v>
      </c>
      <c r="E2" s="1571" t="s">
        <v>1358</v>
      </c>
      <c r="F2" s="1571"/>
      <c r="G2" s="1571" t="s">
        <v>1778</v>
      </c>
      <c r="H2" s="1571"/>
      <c r="I2" s="1571" t="s">
        <v>1359</v>
      </c>
      <c r="J2" s="1571"/>
      <c r="K2" s="1571" t="s">
        <v>1360</v>
      </c>
      <c r="L2" s="1571"/>
      <c r="M2" s="1614" t="s">
        <v>1369</v>
      </c>
      <c r="N2" s="1571"/>
      <c r="O2" s="1619" t="s">
        <v>1368</v>
      </c>
      <c r="P2" s="1620"/>
    </row>
    <row r="3" spans="1:16" ht="35.1" customHeight="1" x14ac:dyDescent="0.2">
      <c r="A3" s="174"/>
      <c r="B3" s="1573"/>
      <c r="C3" s="1574"/>
      <c r="D3" s="176" t="s">
        <v>222</v>
      </c>
      <c r="E3" s="236" t="s">
        <v>444</v>
      </c>
      <c r="F3" s="303" t="s">
        <v>477</v>
      </c>
      <c r="G3" s="236" t="s">
        <v>444</v>
      </c>
      <c r="H3" s="303" t="s">
        <v>477</v>
      </c>
      <c r="I3" s="236" t="s">
        <v>444</v>
      </c>
      <c r="J3" s="303" t="s">
        <v>477</v>
      </c>
      <c r="K3" s="236" t="s">
        <v>444</v>
      </c>
      <c r="L3" s="303" t="s">
        <v>477</v>
      </c>
      <c r="M3" s="236" t="s">
        <v>444</v>
      </c>
      <c r="N3" s="527" t="s">
        <v>477</v>
      </c>
      <c r="O3" s="236" t="s">
        <v>444</v>
      </c>
      <c r="P3" s="1380" t="s">
        <v>477</v>
      </c>
    </row>
    <row r="4" spans="1:16" ht="15" customHeight="1" x14ac:dyDescent="0.2">
      <c r="A4" s="1549" t="s">
        <v>1078</v>
      </c>
      <c r="B4" s="361" t="s">
        <v>1140</v>
      </c>
      <c r="C4" s="362" t="s">
        <v>857</v>
      </c>
      <c r="D4" s="363" t="str">
        <f>IF($C4="","",VLOOKUP($C4,MATIERES!$A$2:$F$448,5,0))</f>
        <v>pc</v>
      </c>
      <c r="E4" s="364"/>
      <c r="F4" s="365">
        <f>IF($C4="","",E4*VLOOKUP($C4,MATIERES!$A$2:$F$448,4,0))</f>
        <v>0</v>
      </c>
      <c r="G4" s="364"/>
      <c r="H4" s="365">
        <f>IF($C4="","",G4*VLOOKUP($C4,MATIERES!$A$2:$F$448,4,0))</f>
        <v>0</v>
      </c>
      <c r="I4" s="364"/>
      <c r="J4" s="365">
        <f>IF($C4="","",I4*VLOOKUP($C4,MATIERES!$A$2:$F$349,4,0))</f>
        <v>0</v>
      </c>
      <c r="K4" s="364"/>
      <c r="L4" s="365">
        <f>IF($C4="","",K4*VLOOKUP($C4,MATIERES!$A$2:$F$349,4,0))</f>
        <v>0</v>
      </c>
      <c r="M4" s="364"/>
      <c r="N4" s="365">
        <f>IF($C4="","",M4*VLOOKUP($C4,MATIERES!$A$2:$F$349,4,0))</f>
        <v>0</v>
      </c>
      <c r="O4" s="364"/>
      <c r="P4" s="365">
        <f>IF($C4="","",O4*VLOOKUP($C4,MATIERES!$A$2:$F$349,4,0))</f>
        <v>0</v>
      </c>
    </row>
    <row r="5" spans="1:16" ht="15" customHeight="1" x14ac:dyDescent="0.2">
      <c r="A5" s="1550"/>
      <c r="B5" s="361" t="s">
        <v>1070</v>
      </c>
      <c r="C5" s="362"/>
      <c r="D5" s="363" t="str">
        <f>IF($C5="","",VLOOKUP($C5,MATIERES!$A$2:$F$448,5,0))</f>
        <v/>
      </c>
      <c r="E5" s="364"/>
      <c r="F5" s="365" t="str">
        <f>IF($C5="","",E5*VLOOKUP($C5,MATIERES!$A$2:$F$448,4,0))</f>
        <v/>
      </c>
      <c r="G5" s="364"/>
      <c r="H5" s="365" t="str">
        <f>IF($C5="","",G5*VLOOKUP($C5,MATIERES!$A$2:$F$448,4,0))</f>
        <v/>
      </c>
      <c r="I5" s="364"/>
      <c r="J5" s="365" t="str">
        <f>IF($C5="","",I5*VLOOKUP($C5,MATIERES!$A$2:$F$349,4,0))</f>
        <v/>
      </c>
      <c r="K5" s="364"/>
      <c r="L5" s="365" t="str">
        <f>IF($C5="","",K5*VLOOKUP($C5,MATIERES!$A$2:$F$349,4,0))</f>
        <v/>
      </c>
      <c r="M5" s="364"/>
      <c r="N5" s="365" t="str">
        <f>IF($C5="","",M5*VLOOKUP($C5,MATIERES!$A$2:$F$349,4,0))</f>
        <v/>
      </c>
      <c r="O5" s="364"/>
      <c r="P5" s="365" t="str">
        <f>IF($C5="","",O5*VLOOKUP($C5,MATIERES!$A$2:$F$349,4,0))</f>
        <v/>
      </c>
    </row>
    <row r="6" spans="1:16" ht="15" customHeight="1" x14ac:dyDescent="0.2">
      <c r="A6" s="1550"/>
      <c r="B6" s="361" t="s">
        <v>127</v>
      </c>
      <c r="C6" s="362" t="s">
        <v>1210</v>
      </c>
      <c r="D6" s="363" t="str">
        <f>IF($C6="","",VLOOKUP($C6,MATIERES!$A$2:$F$448,5,0))</f>
        <v>t</v>
      </c>
      <c r="E6" s="364">
        <f>1.8*0.3*0.4</f>
        <v>0.21600000000000003</v>
      </c>
      <c r="F6" s="365">
        <f>IF($C6="","",E6*VLOOKUP($C6,MATIERES!$A$2:$F$448,4,0))</f>
        <v>4.32</v>
      </c>
      <c r="G6" s="364">
        <f>1.8*0.1*0.4</f>
        <v>7.2000000000000008E-2</v>
      </c>
      <c r="H6" s="365">
        <f>IF($C6="","",G6*VLOOKUP($C6,MATIERES!$A$2:$F$448,4,0))</f>
        <v>1.4400000000000002</v>
      </c>
      <c r="I6" s="364"/>
      <c r="J6" s="365"/>
      <c r="K6" s="364"/>
      <c r="L6" s="365"/>
      <c r="M6" s="364"/>
      <c r="N6" s="365"/>
      <c r="O6" s="364">
        <f>IF(AND(O32=1,O33=1),0.5,IF(AND(O32=1,O33=0),0.25,0))</f>
        <v>0.25</v>
      </c>
      <c r="P6" s="365"/>
    </row>
    <row r="7" spans="1:16" ht="15" customHeight="1" x14ac:dyDescent="0.2">
      <c r="A7" s="1550"/>
      <c r="B7" s="361" t="s">
        <v>127</v>
      </c>
      <c r="C7" s="362" t="s">
        <v>1113</v>
      </c>
      <c r="D7" s="363" t="str">
        <f>IF($C7="","",VLOOKUP($C7,MATIERES!$A$2:$F$448,5,0))</f>
        <v>t</v>
      </c>
      <c r="E7" s="364"/>
      <c r="F7" s="365">
        <f>IF($C7="","",E7*VLOOKUP($C7,MATIERES!$A$2:$F$448,4,0))</f>
        <v>0</v>
      </c>
      <c r="G7" s="364"/>
      <c r="H7" s="365">
        <f>IF($C7="","",G7*VLOOKUP($C7,MATIERES!$A$2:$F$448,4,0))</f>
        <v>0</v>
      </c>
      <c r="I7" s="364"/>
      <c r="J7" s="365"/>
      <c r="K7" s="364"/>
      <c r="L7" s="365"/>
      <c r="M7" s="364"/>
      <c r="N7" s="365"/>
      <c r="O7" s="364"/>
      <c r="P7" s="365"/>
    </row>
    <row r="8" spans="1:16" ht="15" customHeight="1" x14ac:dyDescent="0.2">
      <c r="A8" s="1550"/>
      <c r="B8" s="361" t="s">
        <v>127</v>
      </c>
      <c r="C8" s="362" t="s">
        <v>1209</v>
      </c>
      <c r="D8" s="363" t="str">
        <f>IF($C8="","",VLOOKUP($C8,MATIERES!$A$2:$F$448,5,0))</f>
        <v>t</v>
      </c>
      <c r="E8" s="364">
        <v>0</v>
      </c>
      <c r="F8" s="365">
        <f>IF($C8="","",E8*VLOOKUP($C8,MATIERES!$A$2:$F$448,4,0))</f>
        <v>0</v>
      </c>
      <c r="G8" s="364"/>
      <c r="H8" s="365">
        <f>IF($C8="","",G8*VLOOKUP($C8,MATIERES!$A$2:$F$448,4,0))</f>
        <v>0</v>
      </c>
      <c r="I8" s="364"/>
      <c r="J8" s="365"/>
      <c r="K8" s="364"/>
      <c r="L8" s="365"/>
      <c r="M8" s="364"/>
      <c r="N8" s="365"/>
      <c r="O8" s="364"/>
      <c r="P8" s="365"/>
    </row>
    <row r="9" spans="1:16" ht="15" customHeight="1" x14ac:dyDescent="0.2">
      <c r="A9" s="1550"/>
      <c r="B9" s="361" t="s">
        <v>719</v>
      </c>
      <c r="C9" s="362" t="s">
        <v>720</v>
      </c>
      <c r="D9" s="363" t="str">
        <f>IF($C9="","",VLOOKUP($C9,MATIERES!$A$2:$F$448,5,0))</f>
        <v>ml</v>
      </c>
      <c r="E9" s="364"/>
      <c r="F9" s="365">
        <f>IF($C9="","",E9*VLOOKUP($C9,MATIERES!$A$2:$F$448,4,0))</f>
        <v>0</v>
      </c>
      <c r="G9" s="364"/>
      <c r="H9" s="365">
        <f>IF($C9="","",G9*VLOOKUP($C9,MATIERES!$A$2:$F$448,4,0))</f>
        <v>0</v>
      </c>
      <c r="I9" s="364"/>
      <c r="J9" s="365"/>
      <c r="K9" s="364"/>
      <c r="L9" s="365"/>
      <c r="M9" s="364"/>
      <c r="N9" s="365"/>
      <c r="O9" s="364"/>
      <c r="P9" s="365"/>
    </row>
    <row r="10" spans="1:16" ht="15" customHeight="1" x14ac:dyDescent="0.2">
      <c r="A10" s="1550"/>
      <c r="B10" s="361" t="s">
        <v>1074</v>
      </c>
      <c r="C10" s="362" t="s">
        <v>731</v>
      </c>
      <c r="D10" s="363" t="str">
        <f>IF($C10="","",VLOOKUP($C10,MATIERES!$A$2:$F$448,5,0))</f>
        <v>pc</v>
      </c>
      <c r="E10" s="364"/>
      <c r="F10" s="365">
        <f>IF($C10="","",E10*VLOOKUP($C10,MATIERES!$A$2:$F$448,4,0))</f>
        <v>0</v>
      </c>
      <c r="G10" s="364">
        <f>IF(Simulation!L13="DN50",1,1.5)</f>
        <v>1</v>
      </c>
      <c r="H10" s="365">
        <f>IF($C10="","",G10*VLOOKUP($C10,MATIERES!$A$2:$F$448,4,0))</f>
        <v>3.7383999999999999</v>
      </c>
      <c r="I10" s="364"/>
      <c r="J10" s="365"/>
      <c r="K10" s="364"/>
      <c r="L10" s="365"/>
      <c r="M10" s="364"/>
      <c r="N10" s="365"/>
      <c r="O10" s="364"/>
      <c r="P10" s="365"/>
    </row>
    <row r="11" spans="1:16" ht="15" customHeight="1" x14ac:dyDescent="0.2">
      <c r="A11" s="1550"/>
      <c r="B11" s="361" t="s">
        <v>1068</v>
      </c>
      <c r="C11" s="362" t="s">
        <v>1561</v>
      </c>
      <c r="D11" s="363" t="str">
        <f>IF($C11="","",VLOOKUP($C11,MATIERES!$A$2:$F$448,5,0))</f>
        <v>ml</v>
      </c>
      <c r="E11" s="364"/>
      <c r="F11" s="365">
        <f>IF($C11="","",E11*VLOOKUP($C11,MATIERES!$A$2:$F$448,4,0))</f>
        <v>0</v>
      </c>
      <c r="G11" s="364">
        <v>1</v>
      </c>
      <c r="H11" s="365">
        <f>IF($C11="","",G11*VLOOKUP($C11,MATIERES!$A$2:$F$448,4,0))</f>
        <v>1.1200000000000001</v>
      </c>
      <c r="I11" s="364"/>
      <c r="J11" s="365"/>
      <c r="K11" s="364"/>
      <c r="L11" s="365"/>
      <c r="M11" s="364"/>
      <c r="N11" s="365"/>
      <c r="O11" s="364"/>
      <c r="P11" s="365"/>
    </row>
    <row r="12" spans="1:16" ht="15" customHeight="1" x14ac:dyDescent="0.2">
      <c r="A12" s="1550"/>
      <c r="B12" s="361" t="s">
        <v>1074</v>
      </c>
      <c r="C12" s="362" t="s">
        <v>724</v>
      </c>
      <c r="D12" s="363" t="str">
        <f>IF($C12="","",VLOOKUP($C12,MATIERES!$A$2:$F$448,5,0))</f>
        <v>pc</v>
      </c>
      <c r="E12" s="364"/>
      <c r="F12" s="365">
        <f>IF($C12="","",E12*VLOOKUP($C12,MATIERES!$A$2:$F$448,4,0))</f>
        <v>0</v>
      </c>
      <c r="G12" s="364"/>
      <c r="H12" s="365">
        <f>IF($C12="","",G12*VLOOKUP($C12,MATIERES!$A$2:$F$448,4,0))</f>
        <v>0</v>
      </c>
      <c r="I12" s="364"/>
      <c r="J12" s="365"/>
      <c r="K12" s="364"/>
      <c r="L12" s="365"/>
      <c r="M12" s="364"/>
      <c r="N12" s="365"/>
      <c r="O12" s="364"/>
      <c r="P12" s="365"/>
    </row>
    <row r="13" spans="1:16" ht="15" customHeight="1" x14ac:dyDescent="0.2">
      <c r="A13" s="1550"/>
      <c r="B13" s="361" t="s">
        <v>719</v>
      </c>
      <c r="C13" s="362" t="s">
        <v>721</v>
      </c>
      <c r="D13" s="363"/>
      <c r="E13" s="364"/>
      <c r="F13" s="365">
        <f>IF($C13="","",E13*VLOOKUP($C13,MATIERES!$A$2:$F$448,4,0))</f>
        <v>0</v>
      </c>
      <c r="G13" s="364"/>
      <c r="H13" s="365">
        <f>IF($C13="","",G13*VLOOKUP($C13,MATIERES!$A$2:$F$448,4,0))</f>
        <v>0</v>
      </c>
      <c r="I13" s="364"/>
      <c r="J13" s="365"/>
      <c r="K13" s="364"/>
      <c r="L13" s="365"/>
      <c r="M13" s="364"/>
      <c r="N13" s="365"/>
      <c r="O13" s="364"/>
      <c r="P13" s="365"/>
    </row>
    <row r="14" spans="1:16" ht="15" customHeight="1" x14ac:dyDescent="0.2">
      <c r="A14" s="1550"/>
      <c r="B14" s="361" t="s">
        <v>719</v>
      </c>
      <c r="C14" s="362" t="s">
        <v>722</v>
      </c>
      <c r="D14" s="363" t="str">
        <f>IF($C14="","",VLOOKUP($C14,MATIERES!$A$2:$F$448,5,0))</f>
        <v>ml</v>
      </c>
      <c r="E14" s="364"/>
      <c r="F14" s="365">
        <f>IF($C14="","",E14*VLOOKUP($C14,MATIERES!$A$2:$F$448,4,0))</f>
        <v>0</v>
      </c>
      <c r="G14" s="364"/>
      <c r="H14" s="365">
        <f>IF($C14="","",G14*VLOOKUP($C14,MATIERES!$A$2:$F$448,4,0))</f>
        <v>0</v>
      </c>
      <c r="I14" s="364"/>
      <c r="J14" s="365"/>
      <c r="K14" s="364"/>
      <c r="L14" s="365"/>
      <c r="M14" s="364"/>
      <c r="N14" s="365"/>
      <c r="O14" s="364"/>
      <c r="P14" s="365"/>
    </row>
    <row r="15" spans="1:16" ht="15" customHeight="1" x14ac:dyDescent="0.2">
      <c r="A15" s="1550"/>
      <c r="B15" s="361" t="s">
        <v>719</v>
      </c>
      <c r="C15" s="362" t="s">
        <v>723</v>
      </c>
      <c r="D15" s="363" t="str">
        <f>IF($C15="","",VLOOKUP($C15,MATIERES!$A$2:$F$448,5,0))</f>
        <v>ml</v>
      </c>
      <c r="E15" s="364">
        <v>1</v>
      </c>
      <c r="F15" s="365">
        <f>IF($C15="","",E15*VLOOKUP($C15,MATIERES!$A$2:$F$448,4,0))</f>
        <v>2.5</v>
      </c>
      <c r="G15" s="364"/>
      <c r="H15" s="365">
        <f>IF($C15="","",G15*VLOOKUP($C15,MATIERES!$A$2:$F$448,4,0))</f>
        <v>0</v>
      </c>
      <c r="I15" s="364"/>
      <c r="J15" s="365"/>
      <c r="K15" s="364"/>
      <c r="L15" s="365"/>
      <c r="M15" s="364"/>
      <c r="N15" s="365"/>
      <c r="O15" s="364"/>
      <c r="P15" s="365"/>
    </row>
    <row r="16" spans="1:16" ht="15" customHeight="1" x14ac:dyDescent="0.2">
      <c r="A16" s="1550"/>
      <c r="B16" s="361" t="s">
        <v>727</v>
      </c>
      <c r="C16" s="362" t="s">
        <v>730</v>
      </c>
      <c r="D16" s="363" t="str">
        <f>IF($C16="","",VLOOKUP($C16,MATIERES!$A$2:$F$448,5,0))</f>
        <v>pc</v>
      </c>
      <c r="E16" s="364">
        <v>0.2</v>
      </c>
      <c r="F16" s="365">
        <f>IF($C16="","",E16*VLOOKUP($C16,MATIERES!$A$2:$F$448,4,0))</f>
        <v>0.52400000000000002</v>
      </c>
      <c r="G16" s="364"/>
      <c r="H16" s="365">
        <f>IF($C16="","",G16*VLOOKUP($C16,MATIERES!$A$2:$F$448,4,0))</f>
        <v>0</v>
      </c>
      <c r="I16" s="364"/>
      <c r="J16" s="365"/>
      <c r="K16" s="364"/>
      <c r="L16" s="365"/>
      <c r="M16" s="364"/>
      <c r="N16" s="365"/>
      <c r="O16" s="364"/>
      <c r="P16" s="365"/>
    </row>
    <row r="17" spans="1:16" ht="15" customHeight="1" x14ac:dyDescent="0.2">
      <c r="A17" s="1550"/>
      <c r="B17" s="361" t="s">
        <v>1071</v>
      </c>
      <c r="C17" s="362"/>
      <c r="D17" s="363" t="str">
        <f>IF($C17="","",VLOOKUP($C17,MATIERES!$A$2:$F$448,5,0))</f>
        <v/>
      </c>
      <c r="E17" s="364"/>
      <c r="F17" s="365" t="str">
        <f>IF($C17="","",E17*VLOOKUP($C17,MATIERES!$A$2:$F$448,4,0))</f>
        <v/>
      </c>
      <c r="G17" s="364"/>
      <c r="H17" s="365" t="str">
        <f>IF($C17="","",G17*VLOOKUP($C17,MATIERES!$A$2:$F$448,4,0))</f>
        <v/>
      </c>
      <c r="I17" s="364"/>
      <c r="J17" s="365"/>
      <c r="K17" s="364"/>
      <c r="L17" s="365"/>
      <c r="M17" s="364"/>
      <c r="N17" s="365"/>
      <c r="O17" s="364"/>
      <c r="P17" s="365"/>
    </row>
    <row r="18" spans="1:16" ht="15" customHeight="1" x14ac:dyDescent="0.2">
      <c r="A18" s="1550"/>
      <c r="B18" s="361" t="s">
        <v>1142</v>
      </c>
      <c r="C18" s="362" t="s">
        <v>709</v>
      </c>
      <c r="D18" s="363" t="str">
        <f>IF($C18="","",VLOOKUP($C18,MATIERES!$A$2:$F$448,5,0))</f>
        <v>pc</v>
      </c>
      <c r="E18" s="364"/>
      <c r="F18" s="365">
        <f>IF($C18="","",E18*VLOOKUP($C18,MATIERES!$A$2:$F$448,4,0))</f>
        <v>0</v>
      </c>
      <c r="G18" s="364"/>
      <c r="H18" s="365">
        <f>IF($C18="","",G18*VLOOKUP($C18,MATIERES!$A$2:$F$448,4,0))</f>
        <v>0</v>
      </c>
      <c r="I18" s="364"/>
      <c r="J18" s="365"/>
      <c r="K18" s="364"/>
      <c r="L18" s="365">
        <f>IF($C18="","",K18*VLOOKUP($C18,MATIERES!$A$2:$F$349,4,0))</f>
        <v>0</v>
      </c>
      <c r="M18" s="364">
        <v>1</v>
      </c>
      <c r="N18" s="365">
        <f>IF($C18="","",M18*VLOOKUP($C18,MATIERES!$A$2:$F$349,4,0))</f>
        <v>1.49</v>
      </c>
      <c r="O18" s="364"/>
      <c r="P18" s="365">
        <f>IF($C18="","",O18*VLOOKUP($C18,MATIERES!$A$2:$F$349,4,0))</f>
        <v>0</v>
      </c>
    </row>
    <row r="19" spans="1:16" ht="15" customHeight="1" x14ac:dyDescent="0.2">
      <c r="A19" s="1550"/>
      <c r="B19" s="361" t="s">
        <v>1142</v>
      </c>
      <c r="C19" s="362" t="s">
        <v>708</v>
      </c>
      <c r="D19" s="363" t="str">
        <f>IF($C19="","",VLOOKUP($C19,MATIERES!$A$2:$F$448,5,0))</f>
        <v>pc</v>
      </c>
      <c r="E19" s="364"/>
      <c r="F19" s="365">
        <f>IF($C19="","",E19*VLOOKUP($C19,MATIERES!$A$2:$F$448,4,0))</f>
        <v>0</v>
      </c>
      <c r="G19" s="364"/>
      <c r="H19" s="365">
        <f>IF($C19="","",G19*VLOOKUP($C19,MATIERES!$A$2:$F$448,4,0))</f>
        <v>0</v>
      </c>
      <c r="I19" s="364"/>
      <c r="J19" s="365"/>
      <c r="K19" s="364"/>
      <c r="L19" s="365"/>
      <c r="M19" s="364">
        <v>1</v>
      </c>
      <c r="N19" s="365">
        <f>IF($C19="","",M19*VLOOKUP($C19,MATIERES!$A$2:$F$349,4,0))</f>
        <v>4.12</v>
      </c>
      <c r="O19" s="364"/>
      <c r="P19" s="365">
        <f>IF($C19="","",O19*VLOOKUP($C19,MATIERES!$A$2:$F$349,4,0))</f>
        <v>0</v>
      </c>
    </row>
    <row r="20" spans="1:16" ht="15" customHeight="1" x14ac:dyDescent="0.2">
      <c r="A20" s="1550"/>
      <c r="B20" s="361" t="s">
        <v>1142</v>
      </c>
      <c r="C20" s="362" t="s">
        <v>697</v>
      </c>
      <c r="D20" s="363" t="str">
        <f>IF($C20="","",VLOOKUP($C20,MATIERES!$A$2:$F$448,5,0))</f>
        <v>pc</v>
      </c>
      <c r="E20" s="364"/>
      <c r="F20" s="365">
        <f>IF($C20="","",E20*VLOOKUP($C20,MATIERES!$A$2:$F$448,4,0))</f>
        <v>0</v>
      </c>
      <c r="G20" s="364"/>
      <c r="H20" s="365">
        <f>IF($C20="","",G20*VLOOKUP($C20,MATIERES!$A$2:$F$448,4,0))</f>
        <v>0</v>
      </c>
      <c r="I20" s="364"/>
      <c r="J20" s="365"/>
      <c r="K20" s="364"/>
      <c r="L20" s="365"/>
      <c r="M20" s="364">
        <v>1</v>
      </c>
      <c r="N20" s="365">
        <f>IF($C20="","",M20*VLOOKUP($C20,MATIERES!$A$2:$F$349,4,0))</f>
        <v>4.74</v>
      </c>
      <c r="O20" s="364"/>
      <c r="P20" s="365">
        <f>IF($C20="","",O20*VLOOKUP($C20,MATIERES!$A$2:$F$349,4,0))</f>
        <v>0</v>
      </c>
    </row>
    <row r="21" spans="1:16" ht="15" customHeight="1" x14ac:dyDescent="0.2">
      <c r="A21" s="1550"/>
      <c r="B21" s="361" t="s">
        <v>1142</v>
      </c>
      <c r="C21" s="362" t="s">
        <v>711</v>
      </c>
      <c r="D21" s="363" t="str">
        <f>IF($C21="","",VLOOKUP($C21,MATIERES!$A$2:$F$448,5,0))</f>
        <v>pc</v>
      </c>
      <c r="E21" s="364"/>
      <c r="F21" s="365">
        <f>IF($C21="","",E21*VLOOKUP($C21,MATIERES!$A$2:$F$448,4,0))</f>
        <v>0</v>
      </c>
      <c r="G21" s="364"/>
      <c r="H21" s="365">
        <f>IF($C21="","",G21*VLOOKUP($C21,MATIERES!$A$2:$F$448,4,0))</f>
        <v>0</v>
      </c>
      <c r="I21" s="364"/>
      <c r="J21" s="365">
        <f>IF($C21="","",I21*VLOOKUP($C21,MATIERES!$A$2:$F$349,4,0))</f>
        <v>0</v>
      </c>
      <c r="K21" s="364"/>
      <c r="L21" s="365">
        <f>IF($C21="","",K21*VLOOKUP($C21,MATIERES!$A$2:$F$349,4,0))</f>
        <v>0</v>
      </c>
      <c r="M21" s="364">
        <v>1</v>
      </c>
      <c r="N21" s="365">
        <f>IF($C21="","",M21*VLOOKUP($C21,MATIERES!$A$2:$F$349,4,0))</f>
        <v>3.12</v>
      </c>
      <c r="O21" s="364"/>
      <c r="P21" s="365">
        <f>IF($C21="","",O21*VLOOKUP($C21,MATIERES!$A$2:$F$349,4,0))</f>
        <v>0</v>
      </c>
    </row>
    <row r="22" spans="1:16" ht="15" customHeight="1" x14ac:dyDescent="0.2">
      <c r="A22" s="1550"/>
      <c r="B22" s="361" t="s">
        <v>1142</v>
      </c>
      <c r="C22" s="362" t="s">
        <v>710</v>
      </c>
      <c r="D22" s="363" t="str">
        <f>IF($C22="","",VLOOKUP($C22,MATIERES!$A$2:$F$448,5,0))</f>
        <v>pc</v>
      </c>
      <c r="E22" s="364"/>
      <c r="F22" s="365">
        <f>IF($C22="","",E22*VLOOKUP($C22,MATIERES!$A$2:$F$448,4,0))</f>
        <v>0</v>
      </c>
      <c r="G22" s="364"/>
      <c r="H22" s="365">
        <f>IF($C22="","",G22*VLOOKUP($C22,MATIERES!$A$2:$F$448,4,0))</f>
        <v>0</v>
      </c>
      <c r="I22" s="364"/>
      <c r="J22" s="365">
        <f>IF($C22="","",I22*VLOOKUP($C22,MATIERES!$A$2:$F$349,4,0))</f>
        <v>0</v>
      </c>
      <c r="K22" s="364"/>
      <c r="L22" s="365">
        <f>IF($C22="","",K22*VLOOKUP($C22,MATIERES!$A$2:$F$349,4,0))</f>
        <v>0</v>
      </c>
      <c r="M22" s="364"/>
      <c r="N22" s="365">
        <f>IF($C22="","",M22*VLOOKUP($C22,MATIERES!$A$2:$F$349,4,0))</f>
        <v>0</v>
      </c>
      <c r="O22" s="364"/>
      <c r="P22" s="365">
        <f>IF($C22="","",O22*VLOOKUP($C22,MATIERES!$A$2:$F$349,4,0))</f>
        <v>0</v>
      </c>
    </row>
    <row r="23" spans="1:16" ht="15" customHeight="1" x14ac:dyDescent="0.2">
      <c r="A23" s="1550"/>
      <c r="B23" s="361" t="s">
        <v>736</v>
      </c>
      <c r="C23" s="362" t="s">
        <v>740</v>
      </c>
      <c r="D23" s="363" t="str">
        <f>IF($C23="","",VLOOKUP($C23,MATIERES!$A$2:$F$448,5,0))</f>
        <v>pc</v>
      </c>
      <c r="E23" s="364"/>
      <c r="F23" s="365">
        <f>IF($C23="","",E23*VLOOKUP($C23,MATIERES!$A$2:$F$448,4,0))</f>
        <v>0</v>
      </c>
      <c r="G23" s="364"/>
      <c r="H23" s="365">
        <f>IF($C23="","",G23*VLOOKUP($C23,MATIERES!$A$2:$F$448,4,0))</f>
        <v>0</v>
      </c>
      <c r="I23" s="364"/>
      <c r="J23" s="365">
        <f>IF($C23="","",I23*VLOOKUP($C23,MATIERES!$A$2:$F$448,4,0))</f>
        <v>0</v>
      </c>
      <c r="K23" s="364"/>
      <c r="L23" s="365">
        <f>IF($C23="","",K23*VLOOKUP($C23,MATIERES!$A$2:$F$448,4,0))</f>
        <v>0</v>
      </c>
      <c r="M23" s="364"/>
      <c r="N23" s="365">
        <f>IF($C23="","",M23*VLOOKUP($C23,MATIERES!$A$2:$F$448,4,0))</f>
        <v>0</v>
      </c>
      <c r="O23" s="364"/>
      <c r="P23" s="365">
        <f>IF($C23="","",O23*VLOOKUP($C23,MATIERES!$A$2:$F$448,4,0))</f>
        <v>0</v>
      </c>
    </row>
    <row r="24" spans="1:16" ht="15" customHeight="1" x14ac:dyDescent="0.2">
      <c r="A24" s="1550"/>
      <c r="B24" s="361" t="s">
        <v>736</v>
      </c>
      <c r="C24" s="362" t="s">
        <v>739</v>
      </c>
      <c r="D24" s="363" t="str">
        <f>IF($C24="","",VLOOKUP($C24,MATIERES!$A$2:$F$448,5,0))</f>
        <v>pc</v>
      </c>
      <c r="E24" s="364"/>
      <c r="F24" s="365">
        <f>IF($C24="","",E24*VLOOKUP($C24,MATIERES!$A$2:$F$448,4,0))</f>
        <v>0</v>
      </c>
      <c r="G24" s="364"/>
      <c r="H24" s="365">
        <f>IF($C24="","",G24*VLOOKUP($C24,MATIERES!$A$2:$F$448,4,0))</f>
        <v>0</v>
      </c>
      <c r="I24" s="364"/>
      <c r="J24" s="365">
        <f>IF($C24="","",I24*VLOOKUP($C24,MATIERES!$A$2:$F$448,4,0))</f>
        <v>0</v>
      </c>
      <c r="K24" s="364"/>
      <c r="L24" s="365">
        <f>IF($C24="","",K24*VLOOKUP($C24,MATIERES!$A$2:$F$448,4,0))</f>
        <v>0</v>
      </c>
      <c r="M24" s="364"/>
      <c r="N24" s="365">
        <f>IF($C24="","",M24*VLOOKUP($C24,MATIERES!$A$2:$F$448,4,0))</f>
        <v>0</v>
      </c>
      <c r="O24" s="364"/>
      <c r="P24" s="365">
        <f>IF($C24="","",O24*VLOOKUP($C24,MATIERES!$A$2:$F$448,4,0))</f>
        <v>0</v>
      </c>
    </row>
    <row r="25" spans="1:16" ht="15" customHeight="1" x14ac:dyDescent="0.2">
      <c r="A25" s="1550"/>
      <c r="B25" s="361" t="s">
        <v>736</v>
      </c>
      <c r="C25" s="362" t="s">
        <v>741</v>
      </c>
      <c r="D25" s="363" t="str">
        <f>IF($C25="","",VLOOKUP($C25,MATIERES!$A$2:$F$448,5,0))</f>
        <v>pc</v>
      </c>
      <c r="E25" s="364"/>
      <c r="F25" s="365">
        <f>IF($C25="","",E25*VLOOKUP($C25,MATIERES!$A$2:$F$448,4,0))</f>
        <v>0</v>
      </c>
      <c r="G25" s="364"/>
      <c r="H25" s="365">
        <f>IF($C25="","",G25*VLOOKUP($C25,MATIERES!$A$2:$F$448,4,0))</f>
        <v>0</v>
      </c>
      <c r="I25" s="364"/>
      <c r="J25" s="365">
        <f>IF($C25="","",I25*VLOOKUP($C25,MATIERES!$A$2:$F$448,4,0))</f>
        <v>0</v>
      </c>
      <c r="K25" s="364"/>
      <c r="L25" s="365">
        <f>IF($C25="","",K25*VLOOKUP($C25,MATIERES!$A$2:$F$448,4,0))</f>
        <v>0</v>
      </c>
      <c r="M25" s="364"/>
      <c r="N25" s="365">
        <f>IF($C25="","",M25*VLOOKUP($C25,MATIERES!$A$2:$F$448,4,0))</f>
        <v>0</v>
      </c>
      <c r="O25" s="364"/>
      <c r="P25" s="365">
        <f>IF($C25="","",O25*VLOOKUP($C25,MATIERES!$A$2:$F$448,4,0))</f>
        <v>0</v>
      </c>
    </row>
    <row r="26" spans="1:16" ht="15" customHeight="1" x14ac:dyDescent="0.2">
      <c r="A26" s="1550"/>
      <c r="B26" s="361" t="s">
        <v>736</v>
      </c>
      <c r="C26" s="362" t="s">
        <v>738</v>
      </c>
      <c r="D26" s="363" t="str">
        <f>IF($C26="","",VLOOKUP($C26,MATIERES!$A$2:$F$448,5,0))</f>
        <v>pc</v>
      </c>
      <c r="E26" s="364"/>
      <c r="F26" s="365">
        <f>IF($C26="","",E26*VLOOKUP($C26,MATIERES!$A$2:$F$448,4,0))</f>
        <v>0</v>
      </c>
      <c r="G26" s="364">
        <v>1</v>
      </c>
      <c r="H26" s="365">
        <f>IF($C26="","",G26*VLOOKUP($C26,MATIERES!$A$2:$F$448,4,0))</f>
        <v>0.68459999999999999</v>
      </c>
      <c r="I26" s="364"/>
      <c r="J26" s="365">
        <f>IF($C26="","",I26*VLOOKUP($C26,MATIERES!$A$2:$F$448,4,0))</f>
        <v>0</v>
      </c>
      <c r="K26" s="364"/>
      <c r="L26" s="365">
        <f>IF($C26="","",K26*VLOOKUP($C26,MATIERES!$A$2:$F$448,4,0))</f>
        <v>0</v>
      </c>
      <c r="M26" s="364"/>
      <c r="N26" s="365">
        <f>IF($C26="","",M26*VLOOKUP($C26,MATIERES!$A$2:$F$448,4,0))</f>
        <v>0</v>
      </c>
      <c r="O26" s="364"/>
      <c r="P26" s="365">
        <f>IF($C26="","",O26*VLOOKUP($C26,MATIERES!$A$2:$F$448,4,0))</f>
        <v>0</v>
      </c>
    </row>
    <row r="27" spans="1:16" ht="15" customHeight="1" x14ac:dyDescent="0.2">
      <c r="A27" s="1550"/>
      <c r="B27" s="361" t="s">
        <v>736</v>
      </c>
      <c r="C27" s="362" t="s">
        <v>745</v>
      </c>
      <c r="D27" s="363" t="str">
        <f>IF($C27="","",VLOOKUP($C27,MATIERES!$A$2:$F$448,5,0))</f>
        <v>pc</v>
      </c>
      <c r="E27" s="364">
        <v>1</v>
      </c>
      <c r="F27" s="365">
        <f>IF($C27="","",E27*VLOOKUP($C27,MATIERES!$A$2:$F$448,4,0))</f>
        <v>0.12</v>
      </c>
      <c r="G27" s="364">
        <v>1</v>
      </c>
      <c r="H27" s="365">
        <f>IF($C27="","",G27*VLOOKUP($C27,MATIERES!$A$2:$F$448,4,0))</f>
        <v>0.12</v>
      </c>
      <c r="I27" s="364">
        <v>1</v>
      </c>
      <c r="J27" s="365">
        <f>IF($C27="","",I27*VLOOKUP($C27,MATIERES!$A$2:$F$448,4,0))</f>
        <v>0.12</v>
      </c>
      <c r="K27" s="364"/>
      <c r="L27" s="365">
        <f>IF($C27="","",K27*VLOOKUP($C27,MATIERES!$A$2:$F$448,4,0))</f>
        <v>0</v>
      </c>
      <c r="M27" s="364"/>
      <c r="N27" s="365">
        <f>IF($C27="","",M27*VLOOKUP($C27,MATIERES!$A$2:$F$448,4,0))</f>
        <v>0</v>
      </c>
      <c r="O27" s="364"/>
      <c r="P27" s="365">
        <f>IF($C27="","",O27*VLOOKUP($C27,MATIERES!$A$2:$F$448,4,0))</f>
        <v>0</v>
      </c>
    </row>
    <row r="28" spans="1:16" ht="15" customHeight="1" x14ac:dyDescent="0.2">
      <c r="A28" s="1550"/>
      <c r="B28" s="361" t="s">
        <v>736</v>
      </c>
      <c r="C28" s="362" t="s">
        <v>746</v>
      </c>
      <c r="D28" s="363" t="str">
        <f>IF($C28="","",VLOOKUP($C28,MATIERES!$A$2:$F$448,5,0))</f>
        <v>pc</v>
      </c>
      <c r="E28" s="364"/>
      <c r="F28" s="365">
        <f>IF($C28="","",E28*VLOOKUP($C28,MATIERES!$A$2:$F$448,4,0))</f>
        <v>0</v>
      </c>
      <c r="G28" s="364"/>
      <c r="H28" s="365">
        <f>IF($C28="","",G28*VLOOKUP($C28,MATIERES!$A$2:$F$448,4,0))</f>
        <v>0</v>
      </c>
      <c r="I28" s="364">
        <v>0</v>
      </c>
      <c r="J28" s="365">
        <f>IF($C28="","",I28*VLOOKUP($C28,MATIERES!$A$2:$F$448,4,0))</f>
        <v>0</v>
      </c>
      <c r="K28" s="364"/>
      <c r="L28" s="365">
        <f>IF($C28="","",K28*VLOOKUP($C28,MATIERES!$A$2:$F$448,4,0))</f>
        <v>0</v>
      </c>
      <c r="M28" s="364"/>
      <c r="N28" s="365">
        <f>IF($C28="","",M28*VLOOKUP($C28,MATIERES!$A$2:$F$448,4,0))</f>
        <v>0</v>
      </c>
      <c r="O28" s="364"/>
      <c r="P28" s="365">
        <f>IF($C28="","",O28*VLOOKUP($C28,MATIERES!$A$2:$F$448,4,0))</f>
        <v>0</v>
      </c>
    </row>
    <row r="29" spans="1:16" ht="15" customHeight="1" x14ac:dyDescent="0.2">
      <c r="A29" s="1550"/>
      <c r="B29" s="361" t="s">
        <v>736</v>
      </c>
      <c r="C29" s="362" t="s">
        <v>747</v>
      </c>
      <c r="D29" s="363" t="str">
        <f>IF($C29="","",VLOOKUP($C29,MATIERES!$A$2:$F$448,5,0))</f>
        <v>pc</v>
      </c>
      <c r="E29" s="364"/>
      <c r="F29" s="365">
        <f>IF($C29="","",E29*VLOOKUP($C29,MATIERES!$A$2:$F$448,4,0))</f>
        <v>0</v>
      </c>
      <c r="G29" s="364"/>
      <c r="H29" s="365">
        <f>IF($C29="","",G29*VLOOKUP($C29,MATIERES!$A$2:$F$448,4,0))</f>
        <v>0</v>
      </c>
      <c r="I29" s="364"/>
      <c r="J29" s="365">
        <f>IF($C29="","",I29*VLOOKUP($C29,MATIERES!$A$2:$F$448,4,0))</f>
        <v>0</v>
      </c>
      <c r="K29" s="364"/>
      <c r="L29" s="365">
        <f>IF($C29="","",K29*VLOOKUP($C29,MATIERES!$A$2:$F$448,4,0))</f>
        <v>0</v>
      </c>
      <c r="M29" s="364"/>
      <c r="N29" s="365">
        <f>IF($C29="","",M29*VLOOKUP($C29,MATIERES!$A$2:$F$448,4,0))</f>
        <v>0</v>
      </c>
      <c r="O29" s="364"/>
      <c r="P29" s="365">
        <f>IF($C29="","",O29*VLOOKUP($C29,MATIERES!$A$2:$F$448,4,0))</f>
        <v>0</v>
      </c>
    </row>
    <row r="30" spans="1:16" ht="15" customHeight="1" x14ac:dyDescent="0.2">
      <c r="A30" s="1550"/>
      <c r="B30" s="361" t="s">
        <v>736</v>
      </c>
      <c r="C30" s="362" t="s">
        <v>737</v>
      </c>
      <c r="D30" s="363" t="str">
        <f>IF($C30="","",VLOOKUP($C30,MATIERES!$A$2:$F$448,5,0))</f>
        <v>pc</v>
      </c>
      <c r="E30" s="364"/>
      <c r="F30" s="365">
        <f>IF($C30="","",E30*VLOOKUP($C30,MATIERES!$A$2:$F$448,4,0))</f>
        <v>0</v>
      </c>
      <c r="G30" s="364"/>
      <c r="H30" s="365">
        <f>IF($C30="","",G30*VLOOKUP($C30,MATIERES!$A$2:$F$448,4,0))</f>
        <v>0</v>
      </c>
      <c r="I30" s="364">
        <v>1</v>
      </c>
      <c r="J30" s="365">
        <f>IF($C30="","",I30*VLOOKUP($C30,MATIERES!$A$2:$F$448,4,0))</f>
        <v>0.76560000000000006</v>
      </c>
      <c r="K30" s="364"/>
      <c r="L30" s="365">
        <f>IF($C30="","",K30*VLOOKUP($C30,MATIERES!$A$2:$F$448,4,0))</f>
        <v>0</v>
      </c>
      <c r="M30" s="364"/>
      <c r="N30" s="365">
        <f>IF($C30="","",M30*VLOOKUP($C30,MATIERES!$A$2:$F$448,4,0))</f>
        <v>0</v>
      </c>
      <c r="O30" s="364"/>
      <c r="P30" s="365">
        <f>IF($C30="","",O30*VLOOKUP($C30,MATIERES!$A$2:$F$448,4,0))</f>
        <v>0</v>
      </c>
    </row>
    <row r="31" spans="1:16" ht="15" customHeight="1" x14ac:dyDescent="0.2">
      <c r="A31" s="1550"/>
      <c r="B31" s="361" t="s">
        <v>736</v>
      </c>
      <c r="C31" s="362" t="s">
        <v>744</v>
      </c>
      <c r="D31" s="363" t="str">
        <f>IF($C31="","",VLOOKUP($C31,MATIERES!$A$2:$F$448,5,0))</f>
        <v>pc</v>
      </c>
      <c r="E31" s="364"/>
      <c r="F31" s="365">
        <f>IF($C31="","",E31*VLOOKUP($C31,MATIERES!$A$2:$F$448,4,0))</f>
        <v>0</v>
      </c>
      <c r="G31" s="364"/>
      <c r="H31" s="365">
        <f>IF($C31="","",G31*VLOOKUP($C31,MATIERES!$A$2:$F$448,4,0))</f>
        <v>0</v>
      </c>
      <c r="I31" s="364"/>
      <c r="J31" s="365">
        <f>IF($C31="","",I31*VLOOKUP($C31,MATIERES!$A$2:$F$448,4,0))</f>
        <v>0</v>
      </c>
      <c r="K31" s="364"/>
      <c r="L31" s="365">
        <f>IF($C31="","",K31*VLOOKUP($C31,MATIERES!$A$2:$F$448,4,0))</f>
        <v>0</v>
      </c>
      <c r="M31" s="364"/>
      <c r="N31" s="365">
        <f>IF($C31="","",M31*VLOOKUP($C31,MATIERES!$A$2:$F$448,4,0))</f>
        <v>0</v>
      </c>
      <c r="O31" s="364"/>
      <c r="P31" s="365">
        <f>IF($C31="","",O31*VLOOKUP($C31,MATIERES!$A$2:$F$448,4,0))</f>
        <v>0</v>
      </c>
    </row>
    <row r="32" spans="1:16" ht="15" customHeight="1" x14ac:dyDescent="0.2">
      <c r="A32" s="1550"/>
      <c r="B32" s="361" t="s">
        <v>1073</v>
      </c>
      <c r="C32" s="494" t="str">
        <f>(Simulation!F82)</f>
        <v>NSPR-1500-PA</v>
      </c>
      <c r="D32" s="363" t="str">
        <f>IF($C32="","",VLOOKUP($C32,MATIERES!$A$2:$F$448,5,0))</f>
        <v>pc</v>
      </c>
      <c r="E32" s="364"/>
      <c r="F32" s="365"/>
      <c r="G32" s="364"/>
      <c r="H32" s="365"/>
      <c r="I32" s="364"/>
      <c r="J32" s="365"/>
      <c r="K32" s="364"/>
      <c r="L32" s="365"/>
      <c r="M32" s="364"/>
      <c r="N32" s="365"/>
      <c r="O32" s="364">
        <f>IF(Simulation!F82="",0,1)</f>
        <v>1</v>
      </c>
      <c r="P32" s="365">
        <f>IFERROR(IF($C32="","",O32*VLOOKUP($C32,MATIERES!$A$2:$F$448,4,0)),"")</f>
        <v>929</v>
      </c>
    </row>
    <row r="33" spans="1:16" ht="15" customHeight="1" x14ac:dyDescent="0.2">
      <c r="A33" s="1550"/>
      <c r="B33" s="361" t="s">
        <v>249</v>
      </c>
      <c r="C33" s="362" t="s">
        <v>305</v>
      </c>
      <c r="D33" s="363" t="str">
        <f>IF($C33="","",VLOOKUP($C33,MATIERES!$A$2:$F$448,5,0))</f>
        <v>pc</v>
      </c>
      <c r="E33" s="364"/>
      <c r="F33" s="365"/>
      <c r="G33" s="364"/>
      <c r="H33" s="365">
        <f>IF($C33="","",G33*VLOOKUP($C33,MATIERES!$A$2:$F$448,4,0))</f>
        <v>0</v>
      </c>
      <c r="I33" s="364"/>
      <c r="J33" s="365"/>
      <c r="K33" s="364"/>
      <c r="L33" s="365"/>
      <c r="M33" s="364"/>
      <c r="N33" s="365"/>
      <c r="O33" s="364">
        <f>IF(Simulation!K13="",0,1)</f>
        <v>0</v>
      </c>
      <c r="P33" s="365">
        <f>IF($C33="","",O33*VLOOKUP($C33,MATIERES!$A$2:$F$448,4,0))</f>
        <v>0</v>
      </c>
    </row>
    <row r="34" spans="1:16" ht="15" customHeight="1" x14ac:dyDescent="0.2">
      <c r="A34" s="1550"/>
      <c r="B34" s="361" t="s">
        <v>1073</v>
      </c>
      <c r="C34" s="362" t="s">
        <v>1555</v>
      </c>
      <c r="D34" s="363"/>
      <c r="E34" s="364"/>
      <c r="F34" s="365"/>
      <c r="G34" s="364"/>
      <c r="H34" s="365">
        <f>IF($C34="","",G34*VLOOKUP($C34,MATIERES!$A$2:$F$448,4,0))</f>
        <v>0</v>
      </c>
      <c r="I34" s="364"/>
      <c r="J34" s="365"/>
      <c r="K34" s="364"/>
      <c r="L34" s="365"/>
      <c r="M34" s="364"/>
      <c r="N34" s="365"/>
      <c r="O34" s="364">
        <f>IF(Simulation!J14="BR",1,0)</f>
        <v>0</v>
      </c>
      <c r="P34" s="365">
        <f>IF($C34="","",O34*VLOOKUP($C34,MATIERES!$A$2:$F$448,4,0))</f>
        <v>0</v>
      </c>
    </row>
    <row r="35" spans="1:16" ht="15" customHeight="1" x14ac:dyDescent="0.2">
      <c r="A35" s="1550"/>
      <c r="B35" s="361"/>
      <c r="C35" s="362"/>
      <c r="D35" s="363"/>
      <c r="E35" s="364"/>
      <c r="F35" s="365"/>
      <c r="G35" s="364"/>
      <c r="H35" s="365"/>
      <c r="I35" s="364"/>
      <c r="J35" s="365"/>
      <c r="K35" s="364"/>
      <c r="L35" s="365"/>
      <c r="M35" s="364"/>
      <c r="N35" s="365"/>
      <c r="O35" s="364"/>
      <c r="P35" s="365" t="str">
        <f>IF($C35="","",O35*VLOOKUP($C35,MATIERES!$A$2:$F$448,4,0))</f>
        <v/>
      </c>
    </row>
    <row r="36" spans="1:16" ht="15" customHeight="1" x14ac:dyDescent="0.2">
      <c r="A36" s="1550"/>
      <c r="B36" s="361" t="s">
        <v>1556</v>
      </c>
      <c r="C36" s="362" t="s">
        <v>1557</v>
      </c>
      <c r="D36" s="363" t="str">
        <f>IF($C36="","",VLOOKUP($C36,MATIERES!$A$2:$F$448,5,0))</f>
        <v>pc</v>
      </c>
      <c r="E36" s="364"/>
      <c r="F36" s="365"/>
      <c r="G36" s="364"/>
      <c r="H36" s="365">
        <f>IF($C36="","",G36*VLOOKUP($C36,MATIERES!$A$2:$F$448,4,0))</f>
        <v>0</v>
      </c>
      <c r="I36" s="364"/>
      <c r="J36" s="365"/>
      <c r="K36" s="364"/>
      <c r="L36" s="365"/>
      <c r="M36" s="364"/>
      <c r="N36" s="365"/>
      <c r="O36" s="364">
        <f>IF(AND(Simulation!J14="NAVES",Simulation!G16&lt;10),1,0)</f>
        <v>0</v>
      </c>
      <c r="P36" s="365">
        <f>IF($C36="","",O36*VLOOKUP($C36,MATIERES!$A$2:$F$448,4,0))</f>
        <v>0</v>
      </c>
    </row>
    <row r="37" spans="1:16" ht="15" customHeight="1" x14ac:dyDescent="0.2">
      <c r="A37" s="1550"/>
      <c r="B37" s="361" t="s">
        <v>1556</v>
      </c>
      <c r="C37" s="362" t="s">
        <v>1558</v>
      </c>
      <c r="D37" s="363" t="str">
        <f>IF($C37="","",VLOOKUP($C37,MATIERES!$A$2:$F$448,5,0))</f>
        <v>pc</v>
      </c>
      <c r="E37" s="364"/>
      <c r="F37" s="365"/>
      <c r="G37" s="364"/>
      <c r="H37" s="365">
        <f>IF($C37="","",G37*VLOOKUP($C37,MATIERES!$A$2:$F$448,4,0))</f>
        <v>0</v>
      </c>
      <c r="I37" s="364"/>
      <c r="J37" s="365"/>
      <c r="K37" s="364"/>
      <c r="L37" s="365"/>
      <c r="M37" s="364"/>
      <c r="N37" s="365"/>
      <c r="O37" s="364">
        <f>IF(AND(Simulation!J14="NAVES",Simulation!G16&lt;18,Simulation!G16&gt;9),1,0)</f>
        <v>0</v>
      </c>
      <c r="P37" s="365"/>
    </row>
    <row r="38" spans="1:16" ht="15" customHeight="1" x14ac:dyDescent="0.2">
      <c r="A38" s="1550"/>
      <c r="B38" s="361" t="s">
        <v>1556</v>
      </c>
      <c r="C38" s="362" t="s">
        <v>1559</v>
      </c>
      <c r="D38" s="363" t="str">
        <f>IF($C38="","",VLOOKUP($C38,MATIERES!$A$2:$F$448,5,0))</f>
        <v>pc</v>
      </c>
      <c r="E38" s="364"/>
      <c r="F38" s="365">
        <f>IF($C38="","",E38*VLOOKUP($C38,MATIERES!$A$2:$F$448,4,0))</f>
        <v>0</v>
      </c>
      <c r="G38" s="364"/>
      <c r="H38" s="365">
        <f>IF($C38="","",G38*VLOOKUP($C38,MATIERES!$A$2:$F$448,4,0))</f>
        <v>0</v>
      </c>
      <c r="I38" s="364"/>
      <c r="J38" s="365">
        <f>IF($C38="","",I38*VLOOKUP($C38,MATIERES!$A$2:$F$448,4,0))</f>
        <v>0</v>
      </c>
      <c r="K38" s="364"/>
      <c r="L38" s="365">
        <f>IF($C38="","",K38*VLOOKUP($C38,MATIERES!$A$2:$F$448,4,0))</f>
        <v>0</v>
      </c>
      <c r="M38" s="364"/>
      <c r="N38" s="365">
        <f>IF($C38="","",M38*VLOOKUP($C38,MATIERES!$A$2:$F$448,4,0))</f>
        <v>0</v>
      </c>
      <c r="O38" s="364">
        <f>IF(AND(Simulation!J14="NAVES",Simulation!G16&gt;17),1,0)</f>
        <v>0</v>
      </c>
      <c r="P38" s="365">
        <f>IF($C38="","",O38*VLOOKUP($C38,MATIERES!$A$2:$F$448,4,0))</f>
        <v>0</v>
      </c>
    </row>
    <row r="39" spans="1:16" ht="15" customHeight="1" x14ac:dyDescent="0.2">
      <c r="A39" s="1550"/>
      <c r="B39" s="361" t="s">
        <v>1556</v>
      </c>
      <c r="C39" s="362" t="s">
        <v>1782</v>
      </c>
      <c r="D39" s="363" t="str">
        <f>IF($C39="","",VLOOKUP($C39,MATIERES!$A$2:$F$448,5,0))</f>
        <v>pc</v>
      </c>
      <c r="E39" s="364"/>
      <c r="F39" s="365"/>
      <c r="G39" s="364"/>
      <c r="H39" s="365"/>
      <c r="I39" s="364"/>
      <c r="J39" s="365"/>
      <c r="K39" s="364"/>
      <c r="L39" s="365"/>
      <c r="M39" s="364"/>
      <c r="N39" s="365"/>
      <c r="O39" s="364">
        <f>IF(Simulation!J14="INEAUTECH",1,0)</f>
        <v>0</v>
      </c>
      <c r="P39" s="365"/>
    </row>
    <row r="40" spans="1:16" ht="15" customHeight="1" x14ac:dyDescent="0.2">
      <c r="A40" s="1550"/>
      <c r="B40" s="361" t="s">
        <v>1556</v>
      </c>
      <c r="C40" s="362" t="s">
        <v>1781</v>
      </c>
      <c r="D40" s="363" t="str">
        <f>IF($C40="","",VLOOKUP($C40,MATIERES!$A$2:$F$448,5,0))</f>
        <v>pc</v>
      </c>
      <c r="E40" s="364"/>
      <c r="F40" s="365"/>
      <c r="G40" s="364"/>
      <c r="H40" s="365"/>
      <c r="I40" s="364"/>
      <c r="J40" s="365"/>
      <c r="K40" s="364"/>
      <c r="L40" s="365"/>
      <c r="M40" s="364"/>
      <c r="N40" s="365"/>
      <c r="O40" s="364">
        <f>IF(Simulation!J14="AQUATIRIS",1,0)</f>
        <v>0</v>
      </c>
      <c r="P40" s="365"/>
    </row>
    <row r="41" spans="1:16" ht="15" customHeight="1" x14ac:dyDescent="0.2">
      <c r="A41" s="1550"/>
      <c r="B41" s="361" t="s">
        <v>736</v>
      </c>
      <c r="C41" s="362" t="s">
        <v>1432</v>
      </c>
      <c r="D41" s="363" t="str">
        <f>IF($C41="","",VLOOKUP($C41,MATIERES!$A$2:$F$448,5,0))</f>
        <v>pc</v>
      </c>
      <c r="E41" s="364"/>
      <c r="F41" s="365">
        <f>IF($C41="","",E41*VLOOKUP($C41,MATIERES!$A$2:$F$448,4,0))</f>
        <v>0</v>
      </c>
      <c r="G41" s="364"/>
      <c r="H41" s="365">
        <f>IF($C41="","",G41*VLOOKUP($C41,MATIERES!$A$2:$F$448,4,0))</f>
        <v>0</v>
      </c>
      <c r="I41" s="364"/>
      <c r="J41" s="365">
        <f>IF($C41="","",I41*VLOOKUP($C41,MATIERES!$A$2:$F$448,4,0))</f>
        <v>0</v>
      </c>
      <c r="K41" s="364"/>
      <c r="L41" s="365">
        <f>IF($C41="","",K41*VLOOKUP($C41,MATIERES!$A$2:$F$448,4,0))</f>
        <v>0</v>
      </c>
      <c r="M41" s="364"/>
      <c r="N41" s="365">
        <f>IF($C41="","",M41*VLOOKUP($C41,MATIERES!$A$2:$F$448,4,0))</f>
        <v>0</v>
      </c>
      <c r="O41" s="364">
        <f>IF(Simulation!J16="S2",1,0)</f>
        <v>1</v>
      </c>
      <c r="P41" s="365">
        <f>IF($C41="","",O41*VLOOKUP($C41,MATIERES!$A$2:$F$448,4,0))</f>
        <v>15.29</v>
      </c>
    </row>
    <row r="42" spans="1:16" ht="15" customHeight="1" x14ac:dyDescent="0.2">
      <c r="A42" s="1550"/>
      <c r="B42" s="361" t="s">
        <v>736</v>
      </c>
      <c r="C42" s="362" t="s">
        <v>743</v>
      </c>
      <c r="D42" s="363" t="str">
        <f>IF($C42="","",VLOOKUP($C42,MATIERES!$A$2:$F$448,5,0))</f>
        <v>pc</v>
      </c>
      <c r="E42" s="364"/>
      <c r="F42" s="365">
        <f>IF($C42="","",E42*VLOOKUP($C42,MATIERES!$A$2:$F$448,4,0))</f>
        <v>0</v>
      </c>
      <c r="G42" s="364"/>
      <c r="H42" s="365">
        <f>IF($C42="","",G42*VLOOKUP($C42,MATIERES!$A$2:$F$448,4,0))</f>
        <v>0</v>
      </c>
      <c r="I42" s="364"/>
      <c r="J42" s="365">
        <f>IF($C42="","",I42*VLOOKUP($C42,MATIERES!$A$2:$F$448,4,0))</f>
        <v>0</v>
      </c>
      <c r="K42" s="364"/>
      <c r="L42" s="365">
        <f>IF($C42="","",K42*VLOOKUP($C42,MATIERES!$A$2:$F$448,4,0))</f>
        <v>0</v>
      </c>
      <c r="M42" s="364"/>
      <c r="N42" s="365">
        <f>IF($C42="","",M42*VLOOKUP($C42,MATIERES!$A$2:$F$448,4,0))</f>
        <v>0</v>
      </c>
      <c r="O42" s="364">
        <f>IF(Simulation!J16="S1",1,0)</f>
        <v>0</v>
      </c>
      <c r="P42" s="365">
        <f>IF($C42="","",O42*VLOOKUP($C42,MATIERES!$A$2:$F$448,4,0))</f>
        <v>0</v>
      </c>
    </row>
    <row r="43" spans="1:16" ht="30" customHeight="1" x14ac:dyDescent="0.2">
      <c r="A43" s="366"/>
      <c r="B43" s="367" t="s">
        <v>683</v>
      </c>
      <c r="C43" s="368" t="s">
        <v>446</v>
      </c>
      <c r="D43" s="369" t="s">
        <v>447</v>
      </c>
      <c r="E43" s="370">
        <f>F43*(1+Simulation!$P$11)</f>
        <v>9.7032000000000007</v>
      </c>
      <c r="F43" s="371">
        <f>SUM(F4:F42)</f>
        <v>7.4640000000000004</v>
      </c>
      <c r="G43" s="370">
        <f>H43*(1+Simulation!$P$11)</f>
        <v>9.2339000000000002</v>
      </c>
      <c r="H43" s="371">
        <f>SUM(H4:H42)</f>
        <v>7.1029999999999998</v>
      </c>
      <c r="I43" s="370">
        <f>J43*(1+Simulation!$P$11)</f>
        <v>1.1512800000000001</v>
      </c>
      <c r="J43" s="371">
        <f>SUM(J4:J42)</f>
        <v>0.88560000000000005</v>
      </c>
      <c r="K43" s="370">
        <f>L43*(1+Simulation!$P$11)</f>
        <v>0</v>
      </c>
      <c r="L43" s="371">
        <f>SUM(L4:L42)</f>
        <v>0</v>
      </c>
      <c r="M43" s="370">
        <f>N43*(1+Simulation!$P$11)</f>
        <v>17.511000000000003</v>
      </c>
      <c r="N43" s="371">
        <f>SUM(N4:N42)</f>
        <v>13.470000000000002</v>
      </c>
      <c r="O43" s="370">
        <f>P43*(1+Simulation!$P$11)</f>
        <v>1227.577</v>
      </c>
      <c r="P43" s="371">
        <f>SUM(P4:P42)</f>
        <v>944.29</v>
      </c>
    </row>
    <row r="44" spans="1:16" ht="15" customHeight="1" x14ac:dyDescent="0.2">
      <c r="A44" s="1553" t="s">
        <v>448</v>
      </c>
      <c r="B44" s="361" t="s">
        <v>1153</v>
      </c>
      <c r="C44" s="362" t="s">
        <v>419</v>
      </c>
      <c r="D44" s="363" t="str">
        <f>IF($C44="","",VLOOKUP($C44,ATELIER!$A$2:$E$109,3,0))</f>
        <v>pc</v>
      </c>
      <c r="E44" s="364"/>
      <c r="F44" s="372">
        <f>IF($C44="","",E44*VLOOKUP($C44,ATELIER!$A$2:$F$109,4,0))</f>
        <v>0</v>
      </c>
      <c r="G44" s="364"/>
      <c r="H44" s="372">
        <f>IF($C44="","",G44*VLOOKUP($C44,ATELIER!$A$2:$F$109,4,0))</f>
        <v>0</v>
      </c>
      <c r="I44" s="364"/>
      <c r="J44" s="372">
        <f>IF($C44="","",I44*VLOOKUP($C44,ATELIER!$A$2:$F$109,4,0))</f>
        <v>0</v>
      </c>
      <c r="K44" s="364"/>
      <c r="L44" s="372">
        <f>IF($C44="","",K44*VLOOKUP($C44,ATELIER!$A$2:$F$109,4,0))</f>
        <v>0</v>
      </c>
      <c r="M44" s="364"/>
      <c r="N44" s="372">
        <f>IF($C44="","",M44*VLOOKUP($C44,ATELIER!$A$2:$F$109,4,0))</f>
        <v>0</v>
      </c>
      <c r="O44" s="364"/>
      <c r="P44" s="372">
        <f>IF($C44="","",O44*VLOOKUP($C44,ATELIER!$A$2:$F$109,4,0))</f>
        <v>0</v>
      </c>
    </row>
    <row r="45" spans="1:16" ht="15" customHeight="1" x14ac:dyDescent="0.2">
      <c r="A45" s="1553"/>
      <c r="B45" s="361" t="s">
        <v>1156</v>
      </c>
      <c r="C45" s="362" t="s">
        <v>1230</v>
      </c>
      <c r="D45" s="363" t="str">
        <f>IF($C45="","",VLOOKUP($C45,ATELIER!$A$2:$E$109,3,0))</f>
        <v>pc</v>
      </c>
      <c r="E45" s="364"/>
      <c r="F45" s="372">
        <f>IF($C45="","",E45*VLOOKUP($C45,ATELIER!$A$2:$F$109,4,0))</f>
        <v>0</v>
      </c>
      <c r="G45" s="364"/>
      <c r="H45" s="372">
        <f>IF($C45="","",G45*VLOOKUP($C45,ATELIER!$A$2:$F$109,4,0))</f>
        <v>0</v>
      </c>
      <c r="I45" s="364"/>
      <c r="J45" s="372">
        <f>IF($C45="","",I45*VLOOKUP($C45,ATELIER!$A$2:$F$109,4,0))</f>
        <v>0</v>
      </c>
      <c r="K45" s="364"/>
      <c r="L45" s="372">
        <f>IF($C45="","",K45*VLOOKUP($C45,ATELIER!$A$2:$F$109,4,0))</f>
        <v>0</v>
      </c>
      <c r="M45" s="364"/>
      <c r="N45" s="372">
        <f>IF($C45="","",M45*VLOOKUP($C45,ATELIER!$A$2:$F$109,4,0))</f>
        <v>0</v>
      </c>
      <c r="O45" s="364"/>
      <c r="P45" s="372">
        <f>IF($C45="","",O45*VLOOKUP($C45,ATELIER!$A$2:$F$109,4,0))</f>
        <v>0</v>
      </c>
    </row>
    <row r="46" spans="1:16" ht="15" customHeight="1" x14ac:dyDescent="0.2">
      <c r="A46" s="1552"/>
      <c r="B46" s="361" t="s">
        <v>1153</v>
      </c>
      <c r="C46" s="362"/>
      <c r="D46" s="363" t="str">
        <f>IF($C46="","",VLOOKUP($C46,ATELIER!$A$2:$E$109,3,0))</f>
        <v/>
      </c>
      <c r="E46" s="364"/>
      <c r="F46" s="372" t="str">
        <f>IF($C46="","",E46*VLOOKUP($C46,ATELIER!$A$2:$F$109,4,0))</f>
        <v/>
      </c>
      <c r="G46" s="364"/>
      <c r="H46" s="372" t="str">
        <f>IF($C46="","",G46*VLOOKUP($C46,ATELIER!$A$2:$F$109,4,0))</f>
        <v/>
      </c>
      <c r="I46" s="364"/>
      <c r="J46" s="372" t="str">
        <f>IF($C46="","",I46*VLOOKUP($C46,ATELIER!$A$2:$F$109,4,0))</f>
        <v/>
      </c>
      <c r="K46" s="364"/>
      <c r="L46" s="372" t="str">
        <f>IF($C46="","",K46*VLOOKUP($C46,ATELIER!$A$2:$F$109,4,0))</f>
        <v/>
      </c>
      <c r="M46" s="364"/>
      <c r="N46" s="372" t="str">
        <f>IF($C46="","",M46*VLOOKUP($C46,ATELIER!$A$2:$F$109,4,0))</f>
        <v/>
      </c>
      <c r="O46" s="364"/>
      <c r="P46" s="372" t="str">
        <f>IF($C46="","",O46*VLOOKUP($C46,ATELIER!$A$2:$F$109,4,0))</f>
        <v/>
      </c>
    </row>
    <row r="47" spans="1:16" ht="15" customHeight="1" x14ac:dyDescent="0.2">
      <c r="A47" s="1553"/>
      <c r="B47" s="361" t="s">
        <v>1154</v>
      </c>
      <c r="C47" s="362"/>
      <c r="D47" s="363" t="str">
        <f>IF($C47="","",VLOOKUP($C47,ATELIER!$A$2:$E$109,3,0))</f>
        <v/>
      </c>
      <c r="E47" s="364"/>
      <c r="F47" s="372" t="str">
        <f>IF($C47="","",E47*VLOOKUP($C47,ATELIER!$A$2:$F$109,4,0))</f>
        <v/>
      </c>
      <c r="G47" s="364"/>
      <c r="H47" s="372" t="str">
        <f>IF($C47="","",G47*VLOOKUP($C47,ATELIER!$A$2:$F$109,4,0))</f>
        <v/>
      </c>
      <c r="I47" s="364"/>
      <c r="J47" s="372" t="str">
        <f>IF($C47="","",I47*VLOOKUP($C47,ATELIER!$A$2:$F$109,4,0))</f>
        <v/>
      </c>
      <c r="K47" s="364"/>
      <c r="L47" s="372" t="str">
        <f>IF($C47="","",K47*VLOOKUP($C47,ATELIER!$A$2:$F$109,4,0))</f>
        <v/>
      </c>
      <c r="M47" s="364"/>
      <c r="N47" s="372" t="str">
        <f>IF($C47="","",M47*VLOOKUP($C47,ATELIER!$A$2:$F$109,4,0))</f>
        <v/>
      </c>
      <c r="O47" s="364"/>
      <c r="P47" s="372" t="str">
        <f>IF($C47="","",O47*VLOOKUP($C47,ATELIER!$A$2:$F$109,4,0))</f>
        <v/>
      </c>
    </row>
    <row r="48" spans="1:16" ht="35.25" customHeight="1" x14ac:dyDescent="0.2">
      <c r="A48" s="1553"/>
      <c r="B48" s="375" t="s">
        <v>449</v>
      </c>
      <c r="C48" s="376" t="s">
        <v>450</v>
      </c>
      <c r="D48" s="377" t="s">
        <v>451</v>
      </c>
      <c r="E48" s="376">
        <f>F48*Simulation!$P$8</f>
        <v>0</v>
      </c>
      <c r="F48" s="377">
        <f>SUM(F44:F47)</f>
        <v>0</v>
      </c>
      <c r="G48" s="376">
        <f>H48*Simulation!$P$8</f>
        <v>0</v>
      </c>
      <c r="H48" s="377">
        <f>SUM(H44:H47)</f>
        <v>0</v>
      </c>
      <c r="I48" s="376">
        <f>J48*Simulation!$P$8</f>
        <v>0</v>
      </c>
      <c r="J48" s="377">
        <f>SUM(J44:J47)</f>
        <v>0</v>
      </c>
      <c r="K48" s="376">
        <f>L48*Simulation!$P$8</f>
        <v>0</v>
      </c>
      <c r="L48" s="377">
        <f>SUM(L44:L47)</f>
        <v>0</v>
      </c>
      <c r="M48" s="376">
        <f>N48*Simulation!$P$8</f>
        <v>0</v>
      </c>
      <c r="N48" s="377">
        <f>SUM(N44:N47)</f>
        <v>0</v>
      </c>
      <c r="O48" s="376">
        <f>P48*Simulation!$P$8</f>
        <v>0</v>
      </c>
      <c r="P48" s="377">
        <f>SUM(P44:P47)</f>
        <v>0</v>
      </c>
    </row>
    <row r="49" spans="1:16" ht="15" customHeight="1" x14ac:dyDescent="0.2">
      <c r="A49" s="1554" t="s">
        <v>452</v>
      </c>
      <c r="B49" s="361" t="s">
        <v>1163</v>
      </c>
      <c r="C49" s="378" t="s">
        <v>1019</v>
      </c>
      <c r="D49" s="363" t="str">
        <f>IF(C49="","",VLOOKUP($C49,CHANTIER!$A$2:$C$83,3,0))</f>
        <v>ml</v>
      </c>
      <c r="E49" s="364"/>
      <c r="F49" s="372">
        <f>IF($C49="","",E49*VLOOKUP($C49,CHANTIER!$A$2:$D$83,4,0))</f>
        <v>0</v>
      </c>
      <c r="G49" s="364">
        <v>1</v>
      </c>
      <c r="H49" s="372">
        <v>0.05</v>
      </c>
      <c r="I49" s="364">
        <v>1</v>
      </c>
      <c r="J49" s="372">
        <f>IF($C49="","",I49*VLOOKUP($C49,CHANTIER!$A$2:$D$83,4,0))</f>
        <v>0.03</v>
      </c>
      <c r="K49" s="364"/>
      <c r="L49" s="372">
        <f>IF($C49="","",K49*VLOOKUP($C49,CHANTIER!$A$2:$D$83,4,0))</f>
        <v>0</v>
      </c>
      <c r="M49" s="364"/>
      <c r="N49" s="372">
        <f>IF($C49="","",M49*VLOOKUP($C49,CHANTIER!$A$2:$D$83,4,0))</f>
        <v>0</v>
      </c>
      <c r="O49" s="364"/>
      <c r="P49" s="372">
        <f>IF($C49="","",O49*VLOOKUP($C49,CHANTIER!$A$2:$D$83,4,0))</f>
        <v>0</v>
      </c>
    </row>
    <row r="50" spans="1:16" ht="15" customHeight="1" x14ac:dyDescent="0.2">
      <c r="A50" s="1554"/>
      <c r="B50" s="361" t="s">
        <v>1163</v>
      </c>
      <c r="C50" s="378" t="s">
        <v>1023</v>
      </c>
      <c r="D50" s="363" t="str">
        <f>IF(C50="","",VLOOKUP($C50,CHANTIER!$A$2:$C$83,3,0))</f>
        <v>pc</v>
      </c>
      <c r="E50" s="364"/>
      <c r="F50" s="372">
        <f>IF($C50="","",E50*VLOOKUP($C50,CHANTIER!$A$2:$D$83,4,0))</f>
        <v>0</v>
      </c>
      <c r="G50" s="364">
        <v>0</v>
      </c>
      <c r="H50" s="372">
        <f>IF($C50="","",G50*VLOOKUP($C50,CHANTIER!$A$2:$D$83,4,0))</f>
        <v>0</v>
      </c>
      <c r="I50" s="364"/>
      <c r="J50" s="372">
        <f>IF($C50="","",I50*VLOOKUP($C50,CHANTIER!$A$2:$D$83,4,0))</f>
        <v>0</v>
      </c>
      <c r="K50" s="364"/>
      <c r="L50" s="372">
        <f>IF($C50="","",K50*VLOOKUP($C50,CHANTIER!$A$2:$D$83,4,0))</f>
        <v>0</v>
      </c>
      <c r="M50" s="364"/>
      <c r="N50" s="372">
        <f>IF($C50="","",M50*VLOOKUP($C50,CHANTIER!$A$2:$D$83,4,0))</f>
        <v>0</v>
      </c>
      <c r="O50" s="364"/>
      <c r="P50" s="372">
        <f>IF($C50="","",O50*VLOOKUP($C50,CHANTIER!$A$2:$D$83,4,0))</f>
        <v>0</v>
      </c>
    </row>
    <row r="51" spans="1:16" ht="15" customHeight="1" x14ac:dyDescent="0.2">
      <c r="A51" s="1555"/>
      <c r="B51" s="361" t="s">
        <v>1163</v>
      </c>
      <c r="C51" s="378" t="s">
        <v>1021</v>
      </c>
      <c r="D51" s="363" t="str">
        <f>IF(C51="","",VLOOKUP($C51,CHANTIER!$A$2:$C$83,3,0))</f>
        <v>pc</v>
      </c>
      <c r="E51" s="364">
        <v>0.2</v>
      </c>
      <c r="F51" s="372">
        <f>IF($C51="","",E51*VLOOKUP($C51,CHANTIER!$A$2:$D$83,4,0))</f>
        <v>1.6E-2</v>
      </c>
      <c r="G51" s="364"/>
      <c r="H51" s="372">
        <f>IF($C51="","",G51*VLOOKUP($C51,CHANTIER!$A$2:$D$83,4,0))</f>
        <v>0</v>
      </c>
      <c r="I51" s="364"/>
      <c r="J51" s="372">
        <f>IF($C51="","",I51*VLOOKUP($C51,CHANTIER!$A$2:$D$83,4,0))</f>
        <v>0</v>
      </c>
      <c r="K51" s="364"/>
      <c r="L51" s="372">
        <f>IF($C51="","",K51*VLOOKUP($C51,CHANTIER!$A$2:$D$83,4,0))</f>
        <v>0</v>
      </c>
      <c r="M51" s="364">
        <v>3</v>
      </c>
      <c r="N51" s="372">
        <f>IF($C51="","",M51*VLOOKUP($C51,CHANTIER!$A$2:$D$83,4,0))</f>
        <v>0.24</v>
      </c>
      <c r="O51" s="364"/>
      <c r="P51" s="372">
        <f>IF($C51="","",O51*VLOOKUP($C51,CHANTIER!$A$2:$D$83,4,0))</f>
        <v>0</v>
      </c>
    </row>
    <row r="52" spans="1:16" ht="15" customHeight="1" x14ac:dyDescent="0.2">
      <c r="A52" s="1554"/>
      <c r="B52" s="361" t="s">
        <v>1163</v>
      </c>
      <c r="C52" s="378" t="s">
        <v>1035</v>
      </c>
      <c r="D52" s="363" t="str">
        <f>IF(C52="","",VLOOKUP($C52,CHANTIER!$A$2:$C$83,3,0))</f>
        <v>ml</v>
      </c>
      <c r="E52" s="364"/>
      <c r="F52" s="372">
        <f>IF($C52="","",E52*VLOOKUP($C52,CHANTIER!$A$2:$D$83,4,0))</f>
        <v>0</v>
      </c>
      <c r="G52" s="364"/>
      <c r="H52" s="372">
        <f>IF($C52="","",G52*VLOOKUP($C52,CHANTIER!$A$2:$D$83,4,0))</f>
        <v>0</v>
      </c>
      <c r="I52" s="364"/>
      <c r="J52" s="372">
        <f>IF($C52="","",I52*VLOOKUP($C52,CHANTIER!$A$2:$D$83,4,0))</f>
        <v>0</v>
      </c>
      <c r="K52" s="364"/>
      <c r="L52" s="372">
        <f>IF($C52="","",K52*VLOOKUP($C52,CHANTIER!$A$2:$D$83,4,0))</f>
        <v>0</v>
      </c>
      <c r="M52" s="364"/>
      <c r="N52" s="372">
        <f>IF($C52="","",M52*VLOOKUP($C52,CHANTIER!$A$2:$D$83,4,0))</f>
        <v>0</v>
      </c>
      <c r="O52" s="364"/>
      <c r="P52" s="372">
        <f>IF($C52="","",O52*VLOOKUP($C52,CHANTIER!$A$2:$D$83,4,0))</f>
        <v>0</v>
      </c>
    </row>
    <row r="53" spans="1:16" ht="15" customHeight="1" x14ac:dyDescent="0.2">
      <c r="A53" s="1554"/>
      <c r="B53" s="361" t="s">
        <v>1163</v>
      </c>
      <c r="C53" s="378" t="s">
        <v>721</v>
      </c>
      <c r="D53" s="363" t="str">
        <f>IF(C53="","",VLOOKUP($C53,CHANTIER!$A$2:$C$83,3,0))</f>
        <v>ml</v>
      </c>
      <c r="E53" s="364">
        <v>1</v>
      </c>
      <c r="F53" s="372">
        <f>IF($C53="","",E53*VLOOKUP($C53,CHANTIER!$A$2:$D$83,4,0))</f>
        <v>0.05</v>
      </c>
      <c r="G53" s="364"/>
      <c r="H53" s="372">
        <f>IF($C53="","",G53*VLOOKUP($C53,CHANTIER!$A$2:$D$83,4,0))</f>
        <v>0</v>
      </c>
      <c r="I53" s="364"/>
      <c r="J53" s="372">
        <f>IF($C53="","",I53*VLOOKUP($C53,CHANTIER!$A$2:$D$83,4,0))</f>
        <v>0</v>
      </c>
      <c r="K53" s="364"/>
      <c r="L53" s="372">
        <f>IF($C53="","",K53*VLOOKUP($C53,CHANTIER!$A$2:$D$83,4,0))</f>
        <v>0</v>
      </c>
      <c r="M53" s="364"/>
      <c r="N53" s="372">
        <f>IF($C53="","",M53*VLOOKUP($C53,CHANTIER!$A$2:$D$83,4,0))</f>
        <v>0</v>
      </c>
      <c r="O53" s="364"/>
      <c r="P53" s="372">
        <f>IF($C53="","",O53*VLOOKUP($C53,CHANTIER!$A$2:$D$83,4,0))</f>
        <v>0</v>
      </c>
    </row>
    <row r="54" spans="1:16" ht="15" customHeight="1" x14ac:dyDescent="0.2">
      <c r="A54" s="1554"/>
      <c r="B54" s="361" t="s">
        <v>1163</v>
      </c>
      <c r="C54" s="378" t="s">
        <v>1025</v>
      </c>
      <c r="D54" s="363" t="str">
        <f>IF(C54="","",VLOOKUP($C54,CHANTIER!$A$2:$C$83,3,0))</f>
        <v>ml</v>
      </c>
      <c r="E54" s="364"/>
      <c r="F54" s="372">
        <f>IF($C54="","",E54*VLOOKUP($C54,CHANTIER!$A$2:$D$83,4,0))</f>
        <v>0</v>
      </c>
      <c r="G54" s="364">
        <v>1</v>
      </c>
      <c r="H54" s="372">
        <f>IF($C54="","",G54*VLOOKUP($C54,CHANTIER!$A$2:$D$83,4,0))</f>
        <v>0.02</v>
      </c>
      <c r="I54" s="364"/>
      <c r="J54" s="372">
        <f>IF($C54="","",I54*VLOOKUP($C54,CHANTIER!$A$2:$D$83,4,0))</f>
        <v>0</v>
      </c>
      <c r="K54" s="364"/>
      <c r="L54" s="372">
        <f>IF($C54="","",K54*VLOOKUP($C54,CHANTIER!$A$2:$D$83,4,0))</f>
        <v>0</v>
      </c>
      <c r="M54" s="364"/>
      <c r="N54" s="372">
        <f>IF($C54="","",M54*VLOOKUP($C54,CHANTIER!$A$2:$D$83,4,0))</f>
        <v>0</v>
      </c>
      <c r="O54" s="364"/>
      <c r="P54" s="372">
        <f>IF($C54="","",O54*VLOOKUP($C54,CHANTIER!$A$2:$D$83,4,0))</f>
        <v>0</v>
      </c>
    </row>
    <row r="55" spans="1:16" ht="15" customHeight="1" x14ac:dyDescent="0.2">
      <c r="A55" s="1554"/>
      <c r="B55" s="361" t="s">
        <v>1163</v>
      </c>
      <c r="C55" s="378" t="s">
        <v>68</v>
      </c>
      <c r="D55" s="363" t="str">
        <f>IF(C55="","",VLOOKUP($C55,CHANTIER!$A$2:$C$83,3,0))</f>
        <v>pc</v>
      </c>
      <c r="E55" s="364"/>
      <c r="F55" s="372">
        <f>IF($C55="","",E55*VLOOKUP($C55,CHANTIER!$A$2:$D$83,4,0))</f>
        <v>0</v>
      </c>
      <c r="G55" s="364"/>
      <c r="H55" s="372">
        <f>IF($C55="","",G55*VLOOKUP($C55,CHANTIER!$A$2:$D$83,4,0))</f>
        <v>0</v>
      </c>
      <c r="I55" s="364"/>
      <c r="J55" s="372">
        <f>IF($C55="","",I55*VLOOKUP($C55,CHANTIER!$A$2:$D$83,4,0))</f>
        <v>0</v>
      </c>
      <c r="K55" s="364"/>
      <c r="L55" s="372">
        <f>IF($C55="","",K55*VLOOKUP($C55,CHANTIER!$A$2:$D$83,4,0))</f>
        <v>0</v>
      </c>
      <c r="M55" s="364"/>
      <c r="N55" s="372">
        <f>IF($C55="","",M55*VLOOKUP($C55,CHANTIER!$A$2:$D$83,4,0))</f>
        <v>0</v>
      </c>
      <c r="O55" s="364">
        <f>O42</f>
        <v>0</v>
      </c>
      <c r="P55" s="372">
        <f>IF($C55="","",O55*VLOOKUP($C55,CHANTIER!$A$2:$D$83,4,0))</f>
        <v>0</v>
      </c>
    </row>
    <row r="56" spans="1:16" ht="17.850000000000001" customHeight="1" x14ac:dyDescent="0.2">
      <c r="A56" s="1554"/>
      <c r="B56" s="361" t="s">
        <v>1163</v>
      </c>
      <c r="C56" s="378" t="s">
        <v>1044</v>
      </c>
      <c r="D56" s="363" t="str">
        <f>IF(C56="","",VLOOKUP($C56,CHANTIER!$A$2:$C$83,3,0))</f>
        <v>pc</v>
      </c>
      <c r="E56" s="364"/>
      <c r="F56" s="372">
        <f>IF($C56="","",E56*VLOOKUP($C56,CHANTIER!$A$2:$D$83,4,0))</f>
        <v>0</v>
      </c>
      <c r="G56" s="364"/>
      <c r="H56" s="372">
        <f>IF($C56="","",G56*VLOOKUP($C56,CHANTIER!$A$2:$D$83,4,0))</f>
        <v>0</v>
      </c>
      <c r="I56" s="364"/>
      <c r="J56" s="372">
        <f>IF($C56="","",I56*VLOOKUP($C56,CHANTIER!$A$2:$D$83,4,0))</f>
        <v>0</v>
      </c>
      <c r="K56" s="364"/>
      <c r="L56" s="372">
        <f>IF($C56="","",K56*VLOOKUP($C56,CHANTIER!$A$2:$D$83,4,0))</f>
        <v>0</v>
      </c>
      <c r="M56" s="364"/>
      <c r="N56" s="372">
        <f>IF($C56="","",M56*VLOOKUP($C56,CHANTIER!$A$2:$D$83,4,0))</f>
        <v>0</v>
      </c>
      <c r="O56" s="364"/>
      <c r="P56" s="372">
        <f>IF($C56="","",O56*VLOOKUP($C56,CHANTIER!$A$2:$D$83,4,0))</f>
        <v>0</v>
      </c>
    </row>
    <row r="57" spans="1:16" ht="17.850000000000001" customHeight="1" x14ac:dyDescent="0.2">
      <c r="A57" s="1554"/>
      <c r="B57" s="361" t="s">
        <v>1163</v>
      </c>
      <c r="C57" s="378" t="s">
        <v>1037</v>
      </c>
      <c r="D57" s="363" t="str">
        <f>IF(C57="","",VLOOKUP($C57,CHANTIER!$A$2:$C$83,3,0))</f>
        <v>ml</v>
      </c>
      <c r="E57" s="364"/>
      <c r="F57" s="372">
        <f>IF($C57="","",E57*VLOOKUP($C57,CHANTIER!$A$2:$D$83,4,0))</f>
        <v>0</v>
      </c>
      <c r="G57" s="364"/>
      <c r="H57" s="372">
        <f>IF($C57="","",G57*VLOOKUP($C57,CHANTIER!$A$2:$D$83,4,0))</f>
        <v>0</v>
      </c>
      <c r="I57" s="364"/>
      <c r="J57" s="372">
        <f>IF($C57="","",I57*VLOOKUP($C57,CHANTIER!$A$2:$D$83,4,0))</f>
        <v>0</v>
      </c>
      <c r="K57" s="364"/>
      <c r="L57" s="372">
        <f>IF($C57="","",K57*VLOOKUP($C57,CHANTIER!$A$2:$D$83,4,0))</f>
        <v>0</v>
      </c>
      <c r="M57" s="364"/>
      <c r="N57" s="372">
        <f>IF($C57="","",M57*VLOOKUP($C57,CHANTIER!$A$2:$D$83,4,0))</f>
        <v>0</v>
      </c>
      <c r="O57" s="364"/>
      <c r="P57" s="372">
        <f>IF($C57="","",O57*VLOOKUP($C57,CHANTIER!$A$2:$D$83,4,0))</f>
        <v>0</v>
      </c>
    </row>
    <row r="58" spans="1:16" ht="17.850000000000001" customHeight="1" x14ac:dyDescent="0.2">
      <c r="A58" s="1554"/>
      <c r="B58" s="361" t="s">
        <v>1163</v>
      </c>
      <c r="C58" s="378" t="s">
        <v>61</v>
      </c>
      <c r="D58" s="363" t="str">
        <f>IF(C58="","",VLOOKUP($C58,CHANTIER!$A$2:$C$83,3,0))</f>
        <v>ml</v>
      </c>
      <c r="E58" s="364"/>
      <c r="F58" s="372">
        <f>IF($C58="","",E58*VLOOKUP($C58,CHANTIER!$A$2:$D$83,4,0))</f>
        <v>0</v>
      </c>
      <c r="G58" s="364"/>
      <c r="H58" s="372">
        <f>IF($C58="","",G58*VLOOKUP($C58,CHANTIER!$A$2:$D$83,4,0))</f>
        <v>0</v>
      </c>
      <c r="I58" s="364"/>
      <c r="J58" s="372">
        <f>IF($C58="","",I58*VLOOKUP($C58,CHANTIER!$A$2:$D$83,4,0))</f>
        <v>0</v>
      </c>
      <c r="K58" s="364"/>
      <c r="L58" s="372">
        <f>IF($C58="","",K58*VLOOKUP($C58,CHANTIER!$A$2:$D$83,4,0))</f>
        <v>0</v>
      </c>
      <c r="M58" s="364"/>
      <c r="N58" s="372">
        <f>IF($C58="","",M58*VLOOKUP($C58,CHANTIER!$A$2:$D$83,4,0))</f>
        <v>0</v>
      </c>
      <c r="O58" s="364"/>
      <c r="P58" s="372">
        <f>IF($C58="","",O58*VLOOKUP($C58,CHANTIER!$A$2:$D$83,4,0))</f>
        <v>0</v>
      </c>
    </row>
    <row r="59" spans="1:16" ht="15" customHeight="1" x14ac:dyDescent="0.2">
      <c r="A59" s="1554"/>
      <c r="B59" s="361" t="s">
        <v>1163</v>
      </c>
      <c r="C59" s="378" t="s">
        <v>1015</v>
      </c>
      <c r="D59" s="363" t="str">
        <f>IF(C59="","",VLOOKUP($C59,CHANTIER!$A$2:$C$83,3,0))</f>
        <v>ml</v>
      </c>
      <c r="E59" s="364"/>
      <c r="F59" s="372">
        <f>IF($C59="","",E59*VLOOKUP($C59,CHANTIER!$A$2:$D$83,4,0))</f>
        <v>0</v>
      </c>
      <c r="G59" s="364"/>
      <c r="H59" s="372">
        <f>IF($C59="","",G59*VLOOKUP($C59,CHANTIER!$A$2:$D$83,4,0))</f>
        <v>0</v>
      </c>
      <c r="I59" s="364">
        <v>1</v>
      </c>
      <c r="J59" s="372">
        <f>IF($C59="","",I59*VLOOKUP($C59,CHANTIER!$A$2:$D$83,4,0))</f>
        <v>0.02</v>
      </c>
      <c r="K59" s="364"/>
      <c r="L59" s="372">
        <f>IF($C59="","",K59*VLOOKUP($C59,CHANTIER!$A$2:$D$83,4,0))</f>
        <v>0</v>
      </c>
      <c r="M59" s="364"/>
      <c r="N59" s="372">
        <f>IF($C59="","",M59*VLOOKUP($C59,CHANTIER!$A$2:$D$83,4,0))</f>
        <v>0</v>
      </c>
      <c r="O59" s="364"/>
      <c r="P59" s="372">
        <f>IF($C59="","",O59*VLOOKUP($C59,CHANTIER!$A$2:$D$83,4,0))</f>
        <v>0</v>
      </c>
    </row>
    <row r="60" spans="1:16" ht="15" customHeight="1" x14ac:dyDescent="0.2">
      <c r="A60" s="1554"/>
      <c r="B60" s="361" t="s">
        <v>1163</v>
      </c>
      <c r="C60" s="378" t="s">
        <v>1039</v>
      </c>
      <c r="D60" s="363" t="str">
        <f>IF(C60="","",VLOOKUP($C60,CHANTIER!$A$2:$C$83,3,0))</f>
        <v>m²</v>
      </c>
      <c r="E60" s="364"/>
      <c r="F60" s="372">
        <f>IF($C60="","",E60*VLOOKUP($C60,CHANTIER!$A$2:$D$83,4,0))</f>
        <v>0</v>
      </c>
      <c r="G60" s="364"/>
      <c r="H60" s="372">
        <f>IF($C60="","",G60*VLOOKUP($C60,CHANTIER!$A$2:$D$83,4,0))</f>
        <v>0</v>
      </c>
      <c r="I60" s="364"/>
      <c r="J60" s="372">
        <f>IF($C60="","",I60*VLOOKUP($C60,CHANTIER!$A$2:$D$83,4,0))</f>
        <v>0</v>
      </c>
      <c r="K60" s="364"/>
      <c r="L60" s="372">
        <f>IF($C60="","",K60*VLOOKUP($C60,CHANTIER!$A$2:$D$83,4,0))</f>
        <v>0</v>
      </c>
      <c r="M60" s="364"/>
      <c r="N60" s="372">
        <f>IF($C60="","",M60*VLOOKUP($C60,CHANTIER!$A$2:$D$83,4,0))</f>
        <v>0</v>
      </c>
      <c r="O60" s="364"/>
      <c r="P60" s="372">
        <f>IF($C60="","",O60*VLOOKUP($C60,CHANTIER!$A$2:$D$83,4,0))</f>
        <v>0</v>
      </c>
    </row>
    <row r="61" spans="1:16" ht="15" customHeight="1" x14ac:dyDescent="0.2">
      <c r="A61" s="1554"/>
      <c r="B61" s="361" t="s">
        <v>1164</v>
      </c>
      <c r="C61" s="378" t="s">
        <v>987</v>
      </c>
      <c r="D61" s="363" t="str">
        <f>IF(C61="","",VLOOKUP($C61,CHANTIER!$A$2:$C$83,3,0))</f>
        <v>pc</v>
      </c>
      <c r="E61" s="364"/>
      <c r="F61" s="372">
        <f>IF($C61="","",E61*VLOOKUP($C61,CHANTIER!$A$2:$D$83,4,0))</f>
        <v>0</v>
      </c>
      <c r="G61" s="364"/>
      <c r="H61" s="372">
        <f>IF($C61="","",G61*VLOOKUP($C61,CHANTIER!$A$2:$D$83,4,0))</f>
        <v>0</v>
      </c>
      <c r="I61" s="364"/>
      <c r="J61" s="372">
        <f>IF($C61="","",I61*VLOOKUP($C61,CHANTIER!$A$2:$D$83,4,0))</f>
        <v>0</v>
      </c>
      <c r="K61" s="364"/>
      <c r="L61" s="372">
        <f>IF($C61="","",K61*VLOOKUP($C61,CHANTIER!$A$2:$D$83,4,0))</f>
        <v>0</v>
      </c>
      <c r="M61" s="364"/>
      <c r="N61" s="372">
        <f>IF($C61="","",M61*VLOOKUP($C61,CHANTIER!$A$2:$D$83,4,0))</f>
        <v>0</v>
      </c>
      <c r="O61" s="364">
        <f>IF(O32=1,1,0)+O33+O34+O36+O37+O38</f>
        <v>1</v>
      </c>
      <c r="P61" s="372">
        <f>IF($C61="","",O61*VLOOKUP($C61,CHANTIER!$A$2:$D$83,4,0))</f>
        <v>1.5</v>
      </c>
    </row>
    <row r="62" spans="1:16" ht="15" customHeight="1" x14ac:dyDescent="0.2">
      <c r="A62" s="1554"/>
      <c r="B62" s="361" t="s">
        <v>1164</v>
      </c>
      <c r="C62" s="378" t="s">
        <v>990</v>
      </c>
      <c r="D62" s="363" t="str">
        <f>IF(C62="","",VLOOKUP($C62,CHANTIER!$A$2:$C$83,3,0))</f>
        <v>pc</v>
      </c>
      <c r="E62" s="364"/>
      <c r="F62" s="372">
        <f>IF($C62="","",E62*VLOOKUP($C62,CHANTIER!$A$2:$D$83,4,0))</f>
        <v>0</v>
      </c>
      <c r="G62" s="364"/>
      <c r="H62" s="372">
        <f>IF($C62="","",G62*VLOOKUP($C62,CHANTIER!$A$2:$D$83,4,0))</f>
        <v>0</v>
      </c>
      <c r="I62" s="364"/>
      <c r="J62" s="372">
        <f>IF($C62="","",I62*VLOOKUP($C62,CHANTIER!$A$2:$D$83,4,0))</f>
        <v>0</v>
      </c>
      <c r="K62" s="364"/>
      <c r="L62" s="372">
        <f>IF($C62="","",K62*VLOOKUP($C62,CHANTIER!$A$2:$D$83,4,0))</f>
        <v>0</v>
      </c>
      <c r="M62" s="364"/>
      <c r="N62" s="372">
        <f>IF($C62="","",M62*VLOOKUP($C62,CHANTIER!$A$2:$D$83,4,0))</f>
        <v>0</v>
      </c>
      <c r="O62" s="364">
        <f>O32+O33+O34+SUM(O37:O40)</f>
        <v>1</v>
      </c>
      <c r="P62" s="372">
        <f>IF($C62="","",O62*VLOOKUP($C62,CHANTIER!$A$2:$D$83,4,0))</f>
        <v>0.25</v>
      </c>
    </row>
    <row r="63" spans="1:16" ht="15" customHeight="1" x14ac:dyDescent="0.2">
      <c r="A63" s="1554"/>
      <c r="B63" s="361" t="s">
        <v>1163</v>
      </c>
      <c r="C63" s="378" t="s">
        <v>1042</v>
      </c>
      <c r="D63" s="363" t="str">
        <f>IF(C63="","",VLOOKUP($C63,CHANTIER!$A$2:$C$83,3,0))</f>
        <v>pc</v>
      </c>
      <c r="E63" s="364"/>
      <c r="F63" s="372">
        <f>IF($C63="","",E63*VLOOKUP($C63,CHANTIER!$A$2:$D$83,4,0))</f>
        <v>0</v>
      </c>
      <c r="G63" s="364"/>
      <c r="H63" s="372">
        <f>IF($C63="","",G63*VLOOKUP($C63,CHANTIER!$A$2:$D$83,4,0))</f>
        <v>0</v>
      </c>
      <c r="I63" s="364"/>
      <c r="J63" s="372">
        <f>IF($C63="","",I63*VLOOKUP($C63,CHANTIER!$A$2:$D$83,4,0))</f>
        <v>0</v>
      </c>
      <c r="K63" s="364"/>
      <c r="L63" s="372">
        <f>IF($C63="","",K63*VLOOKUP($C63,CHANTIER!$A$2:$D$83,4,0))</f>
        <v>0</v>
      </c>
      <c r="M63" s="364"/>
      <c r="N63" s="372">
        <f>IF($C63="","",M63*VLOOKUP($C63,CHANTIER!$A$2:$D$83,4,0))</f>
        <v>0</v>
      </c>
      <c r="O63" s="364"/>
      <c r="P63" s="372">
        <f>IF($C63="","",O63*VLOOKUP($C63,CHANTIER!$A$2:$D$83,4,0))</f>
        <v>0</v>
      </c>
    </row>
    <row r="64" spans="1:16" ht="15" customHeight="1" x14ac:dyDescent="0.2">
      <c r="A64" s="1554"/>
      <c r="B64" s="361" t="s">
        <v>1163</v>
      </c>
      <c r="C64" s="378" t="s">
        <v>1005</v>
      </c>
      <c r="D64" s="363" t="str">
        <f>IF(C64="","",VLOOKUP($C64,CHANTIER!$A$2:$C$83,3,0))</f>
        <v>m²</v>
      </c>
      <c r="E64" s="364"/>
      <c r="F64" s="372">
        <f>IF($C64="","",E64*VLOOKUP($C64,CHANTIER!$A$2:$D$83,4,0))</f>
        <v>0</v>
      </c>
      <c r="G64" s="364"/>
      <c r="H64" s="372">
        <f>IF($C64="","",G64*VLOOKUP($C64,CHANTIER!$A$2:$D$83,4,0))</f>
        <v>0</v>
      </c>
      <c r="I64" s="364"/>
      <c r="J64" s="372">
        <f>IF($C64="","",I64*VLOOKUP($C64,CHANTIER!$A$2:$D$83,4,0))</f>
        <v>0</v>
      </c>
      <c r="K64" s="364"/>
      <c r="L64" s="372">
        <f>IF($C64="","",K64*VLOOKUP($C64,CHANTIER!$A$2:$D$83,4,0))</f>
        <v>0</v>
      </c>
      <c r="M64" s="364"/>
      <c r="N64" s="372">
        <f>IF($C64="","",M64*VLOOKUP($C64,CHANTIER!$A$2:$D$83,4,0))</f>
        <v>0</v>
      </c>
      <c r="O64" s="364"/>
      <c r="P64" s="372">
        <f>IF($C64="","",O64*VLOOKUP($C64,CHANTIER!$A$2:$D$83,4,0))</f>
        <v>0</v>
      </c>
    </row>
    <row r="65" spans="1:16" ht="15" customHeight="1" x14ac:dyDescent="0.2">
      <c r="A65" s="1554"/>
      <c r="B65" s="361" t="s">
        <v>1163</v>
      </c>
      <c r="C65" s="378" t="s">
        <v>985</v>
      </c>
      <c r="D65" s="363" t="str">
        <f>IF(C65="","",VLOOKUP($C65,CHANTIER!$A$2:$C$83,3,0))</f>
        <v>T</v>
      </c>
      <c r="E65" s="364"/>
      <c r="F65" s="372">
        <f>IF($C65="","",E65*VLOOKUP($C65,CHANTIER!$A$2:$D$83,4,0))</f>
        <v>0</v>
      </c>
      <c r="G65" s="364"/>
      <c r="H65" s="372">
        <f>IF($C65="","",G65*VLOOKUP($C65,CHANTIER!$A$2:$D$83,4,0))</f>
        <v>0</v>
      </c>
      <c r="I65" s="364"/>
      <c r="J65" s="372">
        <f>IF($C65="","",I65*VLOOKUP($C65,CHANTIER!$A$2:$D$83,4,0))</f>
        <v>0</v>
      </c>
      <c r="K65" s="364"/>
      <c r="L65" s="372">
        <f>IF($C65="","",K65*VLOOKUP($C65,CHANTIER!$A$2:$D$83,4,0))</f>
        <v>0</v>
      </c>
      <c r="M65" s="364"/>
      <c r="N65" s="372">
        <f>IF($C65="","",M65*VLOOKUP($C65,CHANTIER!$A$2:$D$83,4,0))</f>
        <v>0</v>
      </c>
      <c r="O65" s="364"/>
      <c r="P65" s="372">
        <f>IF($C65="","",O65*VLOOKUP($C65,CHANTIER!$A$2:$D$83,4,0))</f>
        <v>0</v>
      </c>
    </row>
    <row r="66" spans="1:16" ht="15" customHeight="1" x14ac:dyDescent="0.2">
      <c r="A66" s="1554"/>
      <c r="B66" s="361" t="s">
        <v>1163</v>
      </c>
      <c r="C66" s="378" t="s">
        <v>392</v>
      </c>
      <c r="D66" s="363" t="str">
        <f>IF(C66="","",VLOOKUP($C66,CHANTIER!$A$2:$C$83,3,0))</f>
        <v>ml</v>
      </c>
      <c r="E66" s="364">
        <v>1</v>
      </c>
      <c r="F66" s="372">
        <f>IF($C66="","",E66*VLOOKUP($C66,CHANTIER!$A$2:$D$83,4,0))</f>
        <v>0.1</v>
      </c>
      <c r="G66" s="364">
        <v>0</v>
      </c>
      <c r="H66" s="372">
        <f>IF($C66="","",G66*VLOOKUP($C66,CHANTIER!$A$2:$D$83,4,0))</f>
        <v>0</v>
      </c>
      <c r="I66" s="364">
        <v>0</v>
      </c>
      <c r="J66" s="372">
        <f>IF($C66="","",I66*VLOOKUP($C66,CHANTIER!$A$2:$D$83,4,0))</f>
        <v>0</v>
      </c>
      <c r="K66" s="364">
        <v>1</v>
      </c>
      <c r="L66" s="372">
        <f>IF($C66="","",K66*VLOOKUP($C66,CHANTIER!$A$2:$D$83,4,0))</f>
        <v>0.1</v>
      </c>
      <c r="M66" s="364">
        <v>2</v>
      </c>
      <c r="N66" s="372">
        <f>IF($C66="","",M66*VLOOKUP($C66,CHANTIER!$A$2:$D$83,4,0))</f>
        <v>0.2</v>
      </c>
      <c r="O66" s="364">
        <v>0</v>
      </c>
      <c r="P66" s="372">
        <f>IF($C66="","",O66*VLOOKUP($C66,CHANTIER!$A$2:$D$83,4,0))</f>
        <v>0</v>
      </c>
    </row>
    <row r="67" spans="1:16" ht="30.75" customHeight="1" x14ac:dyDescent="0.2">
      <c r="A67" s="1554"/>
      <c r="B67" s="379" t="s">
        <v>453</v>
      </c>
      <c r="C67" s="380" t="s">
        <v>450</v>
      </c>
      <c r="D67" s="381" t="s">
        <v>451</v>
      </c>
      <c r="E67" s="382">
        <f>F67*Simulation!$P$9</f>
        <v>7.4700000000000006</v>
      </c>
      <c r="F67" s="383">
        <f>SUM(F49:F66)</f>
        <v>0.16600000000000001</v>
      </c>
      <c r="G67" s="382">
        <f>H67*Simulation!$P$9</f>
        <v>3.1500000000000004</v>
      </c>
      <c r="H67" s="383">
        <f>SUM(H49:H66)</f>
        <v>7.0000000000000007E-2</v>
      </c>
      <c r="I67" s="382">
        <f>J67*Simulation!$P$9</f>
        <v>2.25</v>
      </c>
      <c r="J67" s="383">
        <f>SUM(J49:J66)</f>
        <v>0.05</v>
      </c>
      <c r="K67" s="382">
        <f>L67*Simulation!$P$9</f>
        <v>4.5</v>
      </c>
      <c r="L67" s="383">
        <f>SUM(L49:L66)</f>
        <v>0.1</v>
      </c>
      <c r="M67" s="382">
        <f>N67*Simulation!$P$9</f>
        <v>19.8</v>
      </c>
      <c r="N67" s="383">
        <f>SUM(N49:N66)</f>
        <v>0.44</v>
      </c>
      <c r="O67" s="382">
        <f>P67*Simulation!$P$9</f>
        <v>78.75</v>
      </c>
      <c r="P67" s="383">
        <f>SUM(P49:P66)</f>
        <v>1.75</v>
      </c>
    </row>
    <row r="68" spans="1:16" ht="15" customHeight="1" x14ac:dyDescent="0.2">
      <c r="A68" s="1559" t="s">
        <v>4</v>
      </c>
      <c r="B68" s="361" t="s">
        <v>1172</v>
      </c>
      <c r="C68" s="378" t="s">
        <v>392</v>
      </c>
      <c r="D68" s="363" t="str">
        <f>IF(C68="","",VLOOKUP($C68,MINIPELLE!$A$2:$C$28,3,0))</f>
        <v>ml</v>
      </c>
      <c r="E68" s="364">
        <v>1</v>
      </c>
      <c r="F68" s="372">
        <f>IF($C68="","",E68*VLOOKUP($C68,MINIPELLE!$A$2:$D$28,4,0))</f>
        <v>0.15</v>
      </c>
      <c r="G68" s="364">
        <v>0</v>
      </c>
      <c r="H68" s="372">
        <f>IF($C68="","",G68*VLOOKUP($C68,MINIPELLE!$A$2:$D$28,4,0))</f>
        <v>0</v>
      </c>
      <c r="I68" s="364"/>
      <c r="J68" s="372">
        <f>IF($C68="","",I68*VLOOKUP($C68,MINIPELLE!$A$2:$D$28,4,0))</f>
        <v>0</v>
      </c>
      <c r="K68" s="364">
        <v>1</v>
      </c>
      <c r="L68" s="372">
        <f>IF($C68="","",K68*VLOOKUP($C68,MINIPELLE!$A$2:$D$28,4,0))</f>
        <v>0.15</v>
      </c>
      <c r="M68" s="364"/>
      <c r="N68" s="372"/>
      <c r="O68" s="364"/>
      <c r="P68" s="372">
        <f>IF($C68="","",O68*VLOOKUP($C68,MINIPELLE!$A$2:$D$80,4,0))</f>
        <v>0</v>
      </c>
    </row>
    <row r="69" spans="1:16" ht="15" customHeight="1" x14ac:dyDescent="0.2">
      <c r="A69" s="1560"/>
      <c r="B69" s="361" t="s">
        <v>1172</v>
      </c>
      <c r="C69" s="378" t="s">
        <v>394</v>
      </c>
      <c r="D69" s="363" t="str">
        <f>IF(C69="","",VLOOKUP($C69,MINIPELLE!$A$2:$C$28,3,0))</f>
        <v>ml</v>
      </c>
      <c r="E69" s="364">
        <v>0</v>
      </c>
      <c r="F69" s="389">
        <f>IF($C69="","",E69*VLOOKUP($C69,MINIPELLE!$A$2:$D$28,4,0))</f>
        <v>0</v>
      </c>
      <c r="G69" s="364">
        <v>1</v>
      </c>
      <c r="H69" s="389">
        <f>IF($C69="","",G69*VLOOKUP($C69,MINIPELLE!$A$2:$D$28,4,0))</f>
        <v>7.4999999999999997E-2</v>
      </c>
      <c r="I69" s="364"/>
      <c r="J69" s="389">
        <f>IF($C69="","",I69*VLOOKUP($C69,MINIPELLE!$A$2:$D$28,4,0))</f>
        <v>0</v>
      </c>
      <c r="K69" s="364"/>
      <c r="L69" s="389"/>
      <c r="M69" s="364"/>
      <c r="N69" s="389"/>
      <c r="O69" s="364"/>
      <c r="P69" s="372">
        <f>IF($C69="","",O69*VLOOKUP($C69,MINIPELLE!$A$2:$D$80,4,0))</f>
        <v>0</v>
      </c>
    </row>
    <row r="70" spans="1:16" ht="15" customHeight="1" x14ac:dyDescent="0.2">
      <c r="A70" s="1560"/>
      <c r="B70" s="361" t="s">
        <v>1172</v>
      </c>
      <c r="C70" s="378"/>
      <c r="D70" s="363"/>
      <c r="E70" s="364"/>
      <c r="F70" s="389"/>
      <c r="G70" s="364"/>
      <c r="H70" s="389"/>
      <c r="I70" s="364"/>
      <c r="J70" s="389"/>
      <c r="K70" s="364"/>
      <c r="L70" s="389"/>
      <c r="M70" s="364"/>
      <c r="N70" s="389"/>
      <c r="O70" s="364"/>
      <c r="P70" s="372" t="str">
        <f>IF($C70="","",O70*VLOOKUP($C70,MINIPELLE!$A$2:$D$80,4,0))</f>
        <v/>
      </c>
    </row>
    <row r="71" spans="1:16" ht="15" customHeight="1" x14ac:dyDescent="0.2">
      <c r="A71" s="1560"/>
      <c r="B71" s="361" t="s">
        <v>1172</v>
      </c>
      <c r="C71" s="378" t="s">
        <v>381</v>
      </c>
      <c r="D71" s="363" t="s">
        <v>52</v>
      </c>
      <c r="E71" s="364"/>
      <c r="F71" s="389"/>
      <c r="G71" s="364"/>
      <c r="H71" s="389"/>
      <c r="I71" s="364"/>
      <c r="J71" s="389">
        <f>IF($C71="","",I71*VLOOKUP($C71,MINIPELLE!$A$2:$D$28,4,0))</f>
        <v>0</v>
      </c>
      <c r="K71" s="364"/>
      <c r="L71" s="389"/>
      <c r="M71" s="364"/>
      <c r="N71" s="389"/>
      <c r="O71" s="364">
        <f>IF(AND(Simulation!$G$83=900,'collecte-exutoire'!$O$62=0),0,1)</f>
        <v>1</v>
      </c>
      <c r="P71" s="372">
        <f>IF($C71="","",O71*VLOOKUP($C71,MINIPELLE!$A$2:$D$80,4,0))</f>
        <v>0.75</v>
      </c>
    </row>
    <row r="72" spans="1:16" ht="15" customHeight="1" x14ac:dyDescent="0.2">
      <c r="A72" s="1560"/>
      <c r="B72" s="361" t="s">
        <v>1172</v>
      </c>
      <c r="C72" s="378" t="s">
        <v>380</v>
      </c>
      <c r="D72" s="363" t="s">
        <v>52</v>
      </c>
      <c r="E72" s="364"/>
      <c r="F72" s="389"/>
      <c r="G72" s="364"/>
      <c r="H72" s="389"/>
      <c r="I72" s="364"/>
      <c r="J72" s="389">
        <f>IF($C72="","",I72*VLOOKUP($C72,MINIPELLE!$A$2:$D$28,4,0))</f>
        <v>0</v>
      </c>
      <c r="K72" s="364"/>
      <c r="L72" s="389"/>
      <c r="M72" s="364"/>
      <c r="N72" s="389"/>
      <c r="O72" s="364">
        <f>SUM(O36:O40)</f>
        <v>0</v>
      </c>
      <c r="P72" s="372">
        <f>IF($C72="","",O72*VLOOKUP($C72,MINIPELLE!$A$2:$D$80,4,0))</f>
        <v>0</v>
      </c>
    </row>
    <row r="73" spans="1:16" ht="15" customHeight="1" x14ac:dyDescent="0.2">
      <c r="A73" s="1560"/>
      <c r="B73" s="361" t="s">
        <v>1172</v>
      </c>
      <c r="C73" s="378" t="s">
        <v>382</v>
      </c>
      <c r="D73" s="363" t="s">
        <v>52</v>
      </c>
      <c r="E73" s="364"/>
      <c r="F73" s="389"/>
      <c r="G73" s="364"/>
      <c r="H73" s="389"/>
      <c r="I73" s="364"/>
      <c r="J73" s="389">
        <f>IF($C73="","",I73*VLOOKUP($C73,MINIPELLE!$A$2:$D$28,4,0))</f>
        <v>0</v>
      </c>
      <c r="K73" s="364"/>
      <c r="L73" s="389"/>
      <c r="M73" s="364"/>
      <c r="N73" s="389"/>
      <c r="O73" s="364">
        <f>O33+IF(AND(Simulation!$G$83=1200,'collecte-exutoire'!$O$62=1),1,IF(AND(O71=0,O72=0,O62=1),1.5,0))</f>
        <v>0</v>
      </c>
      <c r="P73" s="372">
        <f>IF($C73="","",O73*VLOOKUP($C73,MINIPELLE!$A$2:$D$80,4,0))</f>
        <v>0</v>
      </c>
    </row>
    <row r="74" spans="1:16" ht="15" customHeight="1" x14ac:dyDescent="0.2">
      <c r="A74" s="1560"/>
      <c r="B74" s="361" t="s">
        <v>1168</v>
      </c>
      <c r="C74" s="378" t="s">
        <v>379</v>
      </c>
      <c r="D74" s="363" t="str">
        <f>IF(C74="","",VLOOKUP($C74,MINIPELLE!$A$2:$C$28,3,0))</f>
        <v>m3</v>
      </c>
      <c r="E74" s="364"/>
      <c r="F74" s="389">
        <f>IF($C74="","",E74*VLOOKUP($C74,MINIPELLE!$A$2:$D$28,4,0))</f>
        <v>0</v>
      </c>
      <c r="G74" s="364"/>
      <c r="H74" s="389"/>
      <c r="I74" s="364"/>
      <c r="J74" s="389">
        <f>IF($C74="","",I74*VLOOKUP($C74,MINIPELLE!$A$2:$D$28,4,0))</f>
        <v>0</v>
      </c>
      <c r="K74" s="364"/>
      <c r="L74" s="389"/>
      <c r="M74" s="364"/>
      <c r="N74" s="389"/>
      <c r="O74" s="364"/>
      <c r="P74" s="372">
        <f>IF($C74="","",O74*VLOOKUP($C74,MINIPELLE!$A$2:$D$80,4,0))</f>
        <v>0</v>
      </c>
    </row>
    <row r="75" spans="1:16" ht="15" customHeight="1" x14ac:dyDescent="0.2">
      <c r="A75" s="1560"/>
      <c r="B75" s="361" t="s">
        <v>1169</v>
      </c>
      <c r="C75" s="378" t="s">
        <v>390</v>
      </c>
      <c r="D75" s="363" t="str">
        <f>IF(C75="","",VLOOKUP($C75,MINIPELLE!$A$2:$C$28,3,0))</f>
        <v>ml</v>
      </c>
      <c r="E75" s="364"/>
      <c r="F75" s="389">
        <f>IF($C75="","",E75*VLOOKUP($C75,MINIPELLE!$A$2:$D$28,4,0))</f>
        <v>0</v>
      </c>
      <c r="G75" s="364"/>
      <c r="H75" s="389">
        <f>IF($C75="","",G75*VLOOKUP($C75,MINIPELLE!$A$2:$D$28,4,0))</f>
        <v>0</v>
      </c>
      <c r="I75" s="364"/>
      <c r="J75" s="389">
        <f>IF($C75="","",I75*VLOOKUP($C75,MINIPELLE!$A$2:$D$28,4,0))</f>
        <v>0</v>
      </c>
      <c r="K75" s="364"/>
      <c r="L75" s="389">
        <f>IF($C75="","",K75*VLOOKUP($C75,MINIPELLE!$A$2:$D$28,4,0))</f>
        <v>0</v>
      </c>
      <c r="M75" s="364"/>
      <c r="N75" s="389"/>
      <c r="O75" s="364"/>
      <c r="P75" s="372">
        <f>IF($C75="","",O75*VLOOKUP($C75,MINIPELLE!$A$2:$D$80,4,0))</f>
        <v>0</v>
      </c>
    </row>
    <row r="76" spans="1:16" ht="29.25" customHeight="1" x14ac:dyDescent="0.2">
      <c r="A76" s="1560"/>
      <c r="B76" s="384" t="s">
        <v>454</v>
      </c>
      <c r="C76" s="385" t="s">
        <v>455</v>
      </c>
      <c r="D76" s="386" t="s">
        <v>451</v>
      </c>
      <c r="E76" s="387">
        <f>F76*Simulation!$P$10</f>
        <v>12</v>
      </c>
      <c r="F76" s="388">
        <f>SUM(F68:F75)</f>
        <v>0.15</v>
      </c>
      <c r="G76" s="387">
        <f>H76*Simulation!$P$10</f>
        <v>6</v>
      </c>
      <c r="H76" s="388">
        <f>SUM(H68:H75)</f>
        <v>7.4999999999999997E-2</v>
      </c>
      <c r="I76" s="387">
        <f>J76*Simulation!$P$10</f>
        <v>0</v>
      </c>
      <c r="J76" s="388">
        <f>SUM(J68:J75)</f>
        <v>0</v>
      </c>
      <c r="K76" s="387">
        <f>L76*Simulation!$P$10</f>
        <v>12</v>
      </c>
      <c r="L76" s="388">
        <f>SUM(L68:L75)</f>
        <v>0.15</v>
      </c>
      <c r="M76" s="387">
        <f>N76*Simulation!$P$10</f>
        <v>0</v>
      </c>
      <c r="N76" s="388">
        <f>SUM(N68:N75)</f>
        <v>0</v>
      </c>
      <c r="O76" s="387">
        <f>P76*Simulation!$P$10</f>
        <v>60</v>
      </c>
      <c r="P76" s="388">
        <f>SUM(P68:P75)</f>
        <v>0.75</v>
      </c>
    </row>
    <row r="77" spans="1:16" x14ac:dyDescent="0.2">
      <c r="A77" s="199"/>
      <c r="B77" s="172"/>
      <c r="C77" s="200"/>
      <c r="D77" s="201"/>
      <c r="E77" s="202"/>
      <c r="F77" s="203"/>
      <c r="G77" s="202"/>
      <c r="H77" s="203"/>
      <c r="I77" s="202"/>
      <c r="J77" s="203"/>
      <c r="K77" s="202"/>
      <c r="L77" s="203"/>
      <c r="M77" s="495"/>
      <c r="N77" s="495"/>
      <c r="O77" s="202"/>
    </row>
    <row r="78" spans="1:16" ht="36" customHeight="1" x14ac:dyDescent="0.2">
      <c r="A78" s="204"/>
      <c r="B78" s="1561" t="s">
        <v>456</v>
      </c>
      <c r="C78" s="1564" t="s">
        <v>445</v>
      </c>
      <c r="D78" s="1564"/>
      <c r="E78" s="1547">
        <f>E76+E67+E48+E43</f>
        <v>29.173200000000001</v>
      </c>
      <c r="F78" s="1547"/>
      <c r="G78" s="1547">
        <f>G76+G67+G48+G43</f>
        <v>18.383900000000001</v>
      </c>
      <c r="H78" s="1547"/>
      <c r="I78" s="1547">
        <f>I76+I67+I48+I43</f>
        <v>3.4012799999999999</v>
      </c>
      <c r="J78" s="1547"/>
      <c r="K78" s="1547">
        <f>K76+K67+K48+K43</f>
        <v>16.5</v>
      </c>
      <c r="L78" s="1547"/>
      <c r="M78" s="1547">
        <f>M76+M67+M48+M43</f>
        <v>37.311000000000007</v>
      </c>
      <c r="N78" s="1547"/>
      <c r="O78" s="1547">
        <f>O76+O67+O48+O43</f>
        <v>1366.327</v>
      </c>
      <c r="P78" s="1547"/>
    </row>
    <row r="79" spans="1:16" ht="18" customHeight="1" x14ac:dyDescent="0.2">
      <c r="A79" s="154"/>
      <c r="B79" s="1562"/>
      <c r="C79" s="1565" t="s">
        <v>457</v>
      </c>
      <c r="D79" s="1565"/>
      <c r="E79" s="149">
        <f>E43-F43</f>
        <v>2.2392000000000003</v>
      </c>
      <c r="F79" s="207">
        <f>E79/E$78</f>
        <v>7.6755378223849299E-2</v>
      </c>
      <c r="G79" s="149">
        <f>G43-H43</f>
        <v>2.1309000000000005</v>
      </c>
      <c r="H79" s="207">
        <f>G79/G$78</f>
        <v>0.11591120491299454</v>
      </c>
      <c r="I79" s="149">
        <f>I43-J43</f>
        <v>0.26568000000000003</v>
      </c>
      <c r="J79" s="207">
        <f>I79/I$78</f>
        <v>7.8111769686706189E-2</v>
      </c>
      <c r="K79" s="149">
        <f>K43-L43</f>
        <v>0</v>
      </c>
      <c r="L79" s="207">
        <f>K79/K$78</f>
        <v>0</v>
      </c>
      <c r="M79" s="149">
        <f>M43-N43</f>
        <v>4.0410000000000004</v>
      </c>
      <c r="N79" s="207">
        <f>M79/M$78</f>
        <v>0.10830586154217253</v>
      </c>
      <c r="O79" s="149">
        <f>O43-P43</f>
        <v>283.28700000000003</v>
      </c>
      <c r="P79" s="207">
        <f>O79/O$78</f>
        <v>0.20733470099031934</v>
      </c>
    </row>
    <row r="80" spans="1:16" ht="18" customHeight="1" x14ac:dyDescent="0.2">
      <c r="A80" s="154"/>
      <c r="B80" s="1562"/>
      <c r="C80" s="1565" t="s">
        <v>9</v>
      </c>
      <c r="D80" s="1565"/>
      <c r="E80" s="149">
        <f>E43</f>
        <v>9.7032000000000007</v>
      </c>
      <c r="F80" s="207">
        <f>E80/E$78</f>
        <v>0.33260663897001358</v>
      </c>
      <c r="G80" s="149">
        <f>G43</f>
        <v>9.2339000000000002</v>
      </c>
      <c r="H80" s="207">
        <f>G80/G$78</f>
        <v>0.50228188795630957</v>
      </c>
      <c r="I80" s="149">
        <f>I43</f>
        <v>1.1512800000000001</v>
      </c>
      <c r="J80" s="207">
        <f>I80/I$78</f>
        <v>0.33848433530906014</v>
      </c>
      <c r="K80" s="149">
        <f>K43</f>
        <v>0</v>
      </c>
      <c r="L80" s="207">
        <f>K80/K$78</f>
        <v>0</v>
      </c>
      <c r="M80" s="149">
        <f>M43</f>
        <v>17.511000000000003</v>
      </c>
      <c r="N80" s="207">
        <f>M80/M$78</f>
        <v>0.46932540001608103</v>
      </c>
      <c r="O80" s="149">
        <f>O43</f>
        <v>1227.577</v>
      </c>
      <c r="P80" s="207">
        <f>O80/O$78</f>
        <v>0.89845037095805036</v>
      </c>
    </row>
    <row r="81" spans="1:16" ht="18" customHeight="1" x14ac:dyDescent="0.2">
      <c r="A81" s="154"/>
      <c r="B81" s="1562"/>
      <c r="C81" s="1565" t="s">
        <v>458</v>
      </c>
      <c r="D81" s="1565"/>
      <c r="E81" s="149">
        <f>E48</f>
        <v>0</v>
      </c>
      <c r="F81" s="207">
        <f>E81/E$78</f>
        <v>0</v>
      </c>
      <c r="G81" s="149">
        <f>G48</f>
        <v>0</v>
      </c>
      <c r="H81" s="207">
        <f>G81/G$78</f>
        <v>0</v>
      </c>
      <c r="I81" s="149">
        <f>I48</f>
        <v>0</v>
      </c>
      <c r="J81" s="207">
        <f>I81/I$78</f>
        <v>0</v>
      </c>
      <c r="K81" s="149">
        <f>K48</f>
        <v>0</v>
      </c>
      <c r="L81" s="207">
        <f>K81/K$78</f>
        <v>0</v>
      </c>
      <c r="M81" s="149">
        <f>M48</f>
        <v>0</v>
      </c>
      <c r="N81" s="207">
        <f>M81/M$78</f>
        <v>0</v>
      </c>
      <c r="O81" s="149">
        <f>O48</f>
        <v>0</v>
      </c>
      <c r="P81" s="207">
        <f>O81/O$78</f>
        <v>0</v>
      </c>
    </row>
    <row r="82" spans="1:16" ht="18" customHeight="1" x14ac:dyDescent="0.2">
      <c r="A82" s="154"/>
      <c r="B82" s="1562"/>
      <c r="C82" s="1565" t="s">
        <v>459</v>
      </c>
      <c r="D82" s="1565"/>
      <c r="E82" s="149">
        <f>E67</f>
        <v>7.4700000000000006</v>
      </c>
      <c r="F82" s="207">
        <f>E82/E$78</f>
        <v>0.25605692896219817</v>
      </c>
      <c r="G82" s="149">
        <f>G67</f>
        <v>3.1500000000000004</v>
      </c>
      <c r="H82" s="207">
        <f>G82/G$78</f>
        <v>0.17134557955602459</v>
      </c>
      <c r="I82" s="149">
        <f>I67</f>
        <v>2.25</v>
      </c>
      <c r="J82" s="207">
        <f>I82/I$78</f>
        <v>0.66151566469093992</v>
      </c>
      <c r="K82" s="149">
        <f>K67</f>
        <v>4.5</v>
      </c>
      <c r="L82" s="207">
        <f>K82/K$78</f>
        <v>0.27272727272727271</v>
      </c>
      <c r="M82" s="149">
        <f>M67</f>
        <v>19.8</v>
      </c>
      <c r="N82" s="207">
        <f>M82/M$78</f>
        <v>0.53067459998391886</v>
      </c>
      <c r="O82" s="149">
        <f>O67</f>
        <v>78.75</v>
      </c>
      <c r="P82" s="207">
        <f>O82/O$78</f>
        <v>5.7636275942728202E-2</v>
      </c>
    </row>
    <row r="83" spans="1:16" ht="18" customHeight="1" x14ac:dyDescent="0.2">
      <c r="A83" s="154"/>
      <c r="B83" s="1563"/>
      <c r="C83" s="1565" t="s">
        <v>5</v>
      </c>
      <c r="D83" s="1565"/>
      <c r="E83" s="149">
        <f>E76</f>
        <v>12</v>
      </c>
      <c r="F83" s="207">
        <f>E83/E$78</f>
        <v>0.41133643206778825</v>
      </c>
      <c r="G83" s="149">
        <f>G76</f>
        <v>6</v>
      </c>
      <c r="H83" s="207">
        <f>G83/G$78</f>
        <v>0.32637253248766585</v>
      </c>
      <c r="I83" s="149">
        <f>I76</f>
        <v>0</v>
      </c>
      <c r="J83" s="207">
        <f>I83/I$78</f>
        <v>0</v>
      </c>
      <c r="K83" s="149">
        <f>K76</f>
        <v>12</v>
      </c>
      <c r="L83" s="207">
        <f>K83/K$78</f>
        <v>0.72727272727272729</v>
      </c>
      <c r="M83" s="149">
        <f>M76</f>
        <v>0</v>
      </c>
      <c r="N83" s="207">
        <f>M83/M$78</f>
        <v>0</v>
      </c>
      <c r="O83" s="149">
        <f>O76</f>
        <v>60</v>
      </c>
      <c r="P83" s="207">
        <f>O83/O$78</f>
        <v>4.3913353099221487E-2</v>
      </c>
    </row>
    <row r="84" spans="1:16" x14ac:dyDescent="0.2">
      <c r="A84" s="154"/>
      <c r="B84" s="172"/>
      <c r="C84" s="154" t="s">
        <v>1422</v>
      </c>
      <c r="D84" s="227"/>
      <c r="E84" s="154"/>
      <c r="F84" s="154"/>
      <c r="G84" s="154"/>
      <c r="H84" s="154"/>
      <c r="I84" s="154"/>
      <c r="J84" s="154"/>
      <c r="K84" s="154"/>
      <c r="L84" s="154"/>
      <c r="M84" s="154"/>
      <c r="N84" s="154"/>
      <c r="O84" s="154"/>
    </row>
    <row r="85" spans="1:16" ht="14.25" x14ac:dyDescent="0.2">
      <c r="A85" s="535"/>
      <c r="B85" s="536"/>
      <c r="C85" s="535"/>
      <c r="D85" s="537"/>
      <c r="E85" s="535">
        <v>3</v>
      </c>
      <c r="F85" s="535"/>
      <c r="G85" s="535">
        <v>5</v>
      </c>
      <c r="H85" s="535"/>
      <c r="I85" s="535">
        <v>7</v>
      </c>
      <c r="J85" s="535"/>
      <c r="K85" s="535">
        <v>9</v>
      </c>
      <c r="L85" s="535"/>
      <c r="M85" s="535">
        <v>11</v>
      </c>
      <c r="N85" s="535"/>
      <c r="O85" s="154"/>
    </row>
    <row r="86" spans="1:16" ht="15" customHeight="1" x14ac:dyDescent="0.2">
      <c r="A86" s="154"/>
      <c r="B86" s="1375" t="s">
        <v>1462</v>
      </c>
      <c r="C86" s="1568" t="s">
        <v>1463</v>
      </c>
      <c r="D86" s="1569"/>
      <c r="E86" s="149">
        <f>(VLOOKUP("Prix HT",$C$1:$N$86,E$85,0))-(VLOOKUP("Non margé",$D$1:$N$86,E$85,0))</f>
        <v>21.709200000000003</v>
      </c>
      <c r="F86" s="207">
        <f>E86/VLOOKUP("Prix HT",$C$1:$N$86,E$85,0)</f>
        <v>0.74414873925383573</v>
      </c>
      <c r="G86" s="149">
        <f>(VLOOKUP("Prix HT",$C$1:$N$86,G$85,0))-(VLOOKUP("Non margé",$D$1:$N$86,G$85,0))</f>
        <v>11.280900000000001</v>
      </c>
      <c r="H86" s="207">
        <f>G86/VLOOKUP("Prix HT",$C$1:$N$86,G$85,0)</f>
        <v>0.61362931695668499</v>
      </c>
      <c r="I86" s="149">
        <f>(VLOOKUP("Prix HT",$C$1:$N$86,I$85,0))-(VLOOKUP("Non margé",$D$1:$N$86,I$85,0))</f>
        <v>2.5156799999999997</v>
      </c>
      <c r="J86" s="207">
        <f>I86/VLOOKUP("Prix HT",$C$1:$N$86,I$85,0)</f>
        <v>0.739627434377646</v>
      </c>
      <c r="K86" s="149">
        <f>(VLOOKUP("Prix HT",$C$1:$N$86,K$85,0))-(VLOOKUP("Non margé",$D$1:$N$86,K$85,0))</f>
        <v>16.5</v>
      </c>
      <c r="L86" s="207">
        <f>K86/VLOOKUP("Prix HT",$C$1:$N$86,K$85,0)</f>
        <v>1</v>
      </c>
      <c r="M86" s="149">
        <f>(VLOOKUP("Prix HT",$C$1:$N$86,M$85,0))-(VLOOKUP("Non margé",$D$1:$N$86,M$85,0))</f>
        <v>23.841000000000005</v>
      </c>
      <c r="N86" s="207">
        <f>M86/VLOOKUP("Prix HT",$C$1:$N$86,M$85,0)</f>
        <v>0.63898046152609156</v>
      </c>
      <c r="O86" s="154"/>
    </row>
  </sheetData>
  <mergeCells count="26">
    <mergeCell ref="C86:D86"/>
    <mergeCell ref="O78:P78"/>
    <mergeCell ref="I2:J2"/>
    <mergeCell ref="O2:P2"/>
    <mergeCell ref="M2:N2"/>
    <mergeCell ref="I78:J78"/>
    <mergeCell ref="K78:L78"/>
    <mergeCell ref="K2:L2"/>
    <mergeCell ref="M78:N78"/>
    <mergeCell ref="E78:F78"/>
    <mergeCell ref="G78:H78"/>
    <mergeCell ref="C82:D82"/>
    <mergeCell ref="C83:D83"/>
    <mergeCell ref="B2:B3"/>
    <mergeCell ref="C2:C3"/>
    <mergeCell ref="E2:F2"/>
    <mergeCell ref="G2:H2"/>
    <mergeCell ref="C81:D81"/>
    <mergeCell ref="C78:D78"/>
    <mergeCell ref="C79:D79"/>
    <mergeCell ref="C80:D80"/>
    <mergeCell ref="A4:A42"/>
    <mergeCell ref="A44:A48"/>
    <mergeCell ref="A49:A67"/>
    <mergeCell ref="A68:A76"/>
    <mergeCell ref="B78:B83"/>
  </mergeCells>
  <dataValidations xWindow="333" yWindow="817" count="9">
    <dataValidation type="list" allowBlank="1" showInputMessage="1" showErrorMessage="1" promptTitle="MO ATELIER" prompt="choisir catégorie" sqref="B44:B47" xr:uid="{00000000-0002-0000-2300-000000000000}">
      <formula1>CATEGORIE_MOA</formula1>
    </dataValidation>
    <dataValidation type="list" allowBlank="1" showInputMessage="1" showErrorMessage="1" promptTitle="MATIERES" prompt="choisir le produit" sqref="C4:C31 C33:C42" xr:uid="{00000000-0002-0000-2300-000001000000}">
      <formula1>INDIRECT(B4)</formula1>
    </dataValidation>
    <dataValidation type="list" allowBlank="1" showInputMessage="1" showErrorMessage="1" promptTitle="Catégorie MOC" prompt="choisir" sqref="B49:B66" xr:uid="{00000000-0002-0000-2300-000002000000}">
      <formula1>CATEGORIE_MOC</formula1>
    </dataValidation>
    <dataValidation type="list" allowBlank="1" showInputMessage="1" promptTitle="Main d'oeuvre CHANTIER" prompt="choisir la prestation" sqref="C49:C66" xr:uid="{00000000-0002-0000-2300-000003000000}">
      <formula1>INDIRECT(B49)</formula1>
    </dataValidation>
    <dataValidation type="list" allowBlank="1" showInputMessage="1" showErrorMessage="1" promptTitle="MINIPELLE" prompt="choisir catégorie" sqref="B68:B75" xr:uid="{00000000-0002-0000-2300-000004000000}">
      <formula1>CATEGORIE_MP</formula1>
    </dataValidation>
    <dataValidation type="list" allowBlank="1" showInputMessage="1" promptTitle="MINIPELLE" prompt="choisir la prestation" sqref="C68:C75" xr:uid="{00000000-0002-0000-2300-000005000000}">
      <formula1>INDIRECT(B68)</formula1>
    </dataValidation>
    <dataValidation type="list" allowBlank="1" showErrorMessage="1" sqref="C44:C47" xr:uid="{00000000-0002-0000-2300-000006000000}">
      <formula1>INDIRECT(B44)</formula1>
    </dataValidation>
    <dataValidation type="list" allowBlank="1" showInputMessage="1" showErrorMessage="1" promptTitle="MATIERES" prompt="choisir catégorie" sqref="B4:B42" xr:uid="{00000000-0002-0000-2300-000007000000}">
      <formula1>MA_CATEGORIE</formula1>
    </dataValidation>
    <dataValidation allowBlank="1" showErrorMessage="1" promptTitle="MATIERES" prompt="choisir le produit" sqref="C32" xr:uid="{00000000-0002-0000-2300-000008000000}"/>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published="0" codeName="Feuil36"/>
  <dimension ref="A1:N40"/>
  <sheetViews>
    <sheetView zoomScaleNormal="100" workbookViewId="0">
      <pane xSplit="4" ySplit="4" topLeftCell="E5" activePane="bottomRight" state="frozen"/>
      <selection pane="topRight" activeCell="E1" sqref="E1"/>
      <selection pane="bottomLeft" activeCell="A5" sqref="A5"/>
      <selection pane="bottomRight" activeCell="J21" sqref="J21"/>
    </sheetView>
  </sheetViews>
  <sheetFormatPr baseColWidth="10" defaultRowHeight="14.25" x14ac:dyDescent="0.2"/>
  <cols>
    <col min="1" max="1" width="18.125" customWidth="1"/>
    <col min="2" max="2" width="22.5" customWidth="1"/>
    <col min="3" max="3" width="37.5" customWidth="1"/>
    <col min="4" max="4" width="7.125" customWidth="1"/>
    <col min="5" max="5" width="10.625" customWidth="1"/>
    <col min="6" max="6" width="13.5" customWidth="1"/>
    <col min="7" max="8" width="0.5" customWidth="1"/>
    <col min="9" max="9" width="10.125" customWidth="1"/>
    <col min="10" max="10" width="13.125" customWidth="1"/>
    <col min="11" max="11" width="11" customWidth="1"/>
    <col min="12" max="13" width="14.5" customWidth="1"/>
    <col min="14" max="755" width="11.5" customWidth="1"/>
  </cols>
  <sheetData>
    <row r="1" spans="1:14" ht="14.85" customHeight="1" x14ac:dyDescent="0.2">
      <c r="A1" s="215"/>
      <c r="B1" s="216"/>
      <c r="C1" s="215"/>
      <c r="D1" s="217"/>
      <c r="E1" s="215"/>
      <c r="F1" s="215">
        <v>1</v>
      </c>
      <c r="G1" s="215"/>
      <c r="H1" s="215">
        <v>2</v>
      </c>
      <c r="I1" s="215"/>
      <c r="J1" s="215">
        <v>3</v>
      </c>
      <c r="K1" s="215"/>
      <c r="L1" s="215">
        <v>4</v>
      </c>
      <c r="M1" s="215"/>
    </row>
    <row r="2" spans="1:14" ht="14.85" customHeight="1" x14ac:dyDescent="0.2">
      <c r="A2" s="215"/>
      <c r="B2" s="216"/>
      <c r="C2" s="215"/>
      <c r="D2" s="217"/>
      <c r="E2" s="1640" t="s">
        <v>1270</v>
      </c>
      <c r="F2" s="1641"/>
      <c r="G2" s="1641" t="s">
        <v>1271</v>
      </c>
      <c r="H2" s="1641"/>
      <c r="I2" s="1641" t="s">
        <v>1272</v>
      </c>
      <c r="J2" s="1641"/>
      <c r="K2" s="1641" t="s">
        <v>1273</v>
      </c>
      <c r="L2" s="1641"/>
      <c r="M2" s="1379" t="s">
        <v>1274</v>
      </c>
    </row>
    <row r="3" spans="1:14" ht="35.1" customHeight="1" x14ac:dyDescent="0.2">
      <c r="A3" s="174"/>
      <c r="B3" s="1572" t="s">
        <v>626</v>
      </c>
      <c r="C3" s="1574" t="s">
        <v>468</v>
      </c>
      <c r="D3" s="115" t="s">
        <v>203</v>
      </c>
      <c r="E3" s="1571" t="s">
        <v>674</v>
      </c>
      <c r="F3" s="1571"/>
      <c r="G3" s="1571" t="s">
        <v>574</v>
      </c>
      <c r="H3" s="1571"/>
      <c r="I3" s="1571" t="s">
        <v>576</v>
      </c>
      <c r="J3" s="1571"/>
      <c r="K3" s="1571" t="s">
        <v>578</v>
      </c>
      <c r="L3" s="1571"/>
      <c r="M3" s="1619" t="s">
        <v>581</v>
      </c>
      <c r="N3" s="1620"/>
    </row>
    <row r="4" spans="1:14" ht="35.1" customHeight="1" x14ac:dyDescent="0.2">
      <c r="A4" s="174"/>
      <c r="B4" s="1573"/>
      <c r="C4" s="1574"/>
      <c r="D4" s="176" t="s">
        <v>222</v>
      </c>
      <c r="E4" s="236" t="s">
        <v>444</v>
      </c>
      <c r="F4" s="303" t="s">
        <v>675</v>
      </c>
      <c r="G4" s="236" t="s">
        <v>444</v>
      </c>
      <c r="H4" s="303" t="s">
        <v>676</v>
      </c>
      <c r="I4" s="236" t="s">
        <v>1793</v>
      </c>
      <c r="J4" s="303" t="s">
        <v>1275</v>
      </c>
      <c r="K4" s="236" t="s">
        <v>444</v>
      </c>
      <c r="L4" s="303" t="s">
        <v>677</v>
      </c>
      <c r="M4" s="236" t="s">
        <v>444</v>
      </c>
      <c r="N4" s="1380" t="s">
        <v>678</v>
      </c>
    </row>
    <row r="5" spans="1:14" ht="15" customHeight="1" x14ac:dyDescent="0.2">
      <c r="A5" s="1630" t="s">
        <v>1078</v>
      </c>
      <c r="B5" s="361" t="s">
        <v>239</v>
      </c>
      <c r="C5" s="362" t="s">
        <v>770</v>
      </c>
      <c r="D5" s="363" t="str">
        <f>IF($C5="","",VLOOKUP($C5,MATIERES!$A$2:$F$227,5,0))</f>
        <v>ml</v>
      </c>
      <c r="E5" s="364"/>
      <c r="F5" s="365">
        <f>IF($C5="","",E5*VLOOKUP($C5,MATIERES!$A$2:$F$349,4,0))</f>
        <v>0</v>
      </c>
      <c r="G5" s="364"/>
      <c r="H5" s="365">
        <f>IF($C5="","",G5*VLOOKUP($C5,MATIERES!$A$2:$F$349,4,0))</f>
        <v>0</v>
      </c>
      <c r="I5" s="364">
        <f>1.1*Simulation!G11</f>
        <v>14.3</v>
      </c>
      <c r="J5" s="365">
        <f>IF($C5="","",I5*VLOOKUP($C5,MATIERES!$A$2:$F$349,4,0))</f>
        <v>28.6</v>
      </c>
      <c r="K5" s="364"/>
      <c r="L5" s="365">
        <f>IF($C5="","",K5*VLOOKUP($C5,MATIERES!$A$2:$F$349,4,0))</f>
        <v>0</v>
      </c>
      <c r="M5" s="364"/>
      <c r="N5" s="365">
        <f>IF($C5="","",M5*VLOOKUP($C5,MATIERES!$A$2:$F$349,4,0))</f>
        <v>0</v>
      </c>
    </row>
    <row r="6" spans="1:14" ht="15" customHeight="1" x14ac:dyDescent="0.2">
      <c r="A6" s="1631"/>
      <c r="B6" s="361" t="s">
        <v>239</v>
      </c>
      <c r="C6" s="362" t="s">
        <v>776</v>
      </c>
      <c r="D6" s="363" t="str">
        <f>IF($C6="","",VLOOKUP($C6,MATIERES!$A$2:$F$227,5,0))</f>
        <v>m²</v>
      </c>
      <c r="E6" s="364"/>
      <c r="F6" s="365">
        <f>IF($C6="","",E6*VLOOKUP($C6,MATIERES!$A$2:$F$349,4,0))</f>
        <v>0</v>
      </c>
      <c r="G6" s="364"/>
      <c r="H6" s="365">
        <f>IF($C6="","",G6*VLOOKUP($C6,MATIERES!$A$2:$F$349,4,0))</f>
        <v>0</v>
      </c>
      <c r="I6" s="364" t="e">
        <f>Simulation!J18*Simulation!G11</f>
        <v>#VALUE!</v>
      </c>
      <c r="J6" s="365" t="e">
        <f>IF($C6="","",I6*VLOOKUP($C6,MATIERES!$A$2:$F$349,4,0))</f>
        <v>#VALUE!</v>
      </c>
      <c r="K6" s="364"/>
      <c r="L6" s="365">
        <f>IF($C6="","",K6*VLOOKUP($C6,MATIERES!$A$2:$F$349,4,0))</f>
        <v>0</v>
      </c>
      <c r="M6" s="364"/>
      <c r="N6" s="365">
        <f>IF($C6="","",M6*VLOOKUP($C6,MATIERES!$A$2:$F$349,4,0))</f>
        <v>0</v>
      </c>
    </row>
    <row r="7" spans="1:14" ht="15" customHeight="1" x14ac:dyDescent="0.2">
      <c r="A7" s="1631"/>
      <c r="B7" s="361" t="s">
        <v>239</v>
      </c>
      <c r="C7" s="362" t="s">
        <v>775</v>
      </c>
      <c r="D7" s="363" t="str">
        <f>IF($C7="","",VLOOKUP($C7,MATIERES!$A$2:$F$227,5,0))</f>
        <v>ml</v>
      </c>
      <c r="E7" s="364"/>
      <c r="F7" s="365">
        <f>IF($C7="","",E7*VLOOKUP($C7,MATIERES!$A$2:$F$349,4,0))</f>
        <v>0</v>
      </c>
      <c r="G7" s="364">
        <f>4*IF(Simulation!J18=0.9,1.3,0.9)</f>
        <v>3.6</v>
      </c>
      <c r="H7" s="365">
        <f>IF($C7="","",G7*VLOOKUP($C7,MATIERES!$A$2:$F$349,4,0))</f>
        <v>3.6936</v>
      </c>
      <c r="I7" s="364"/>
      <c r="J7" s="365">
        <f>IF($C7="","",I7*VLOOKUP($C7,MATIERES!$A$2:$F$349,4,0))</f>
        <v>0</v>
      </c>
      <c r="K7" s="364"/>
      <c r="L7" s="365">
        <f>IF($C7="","",K7*VLOOKUP($C7,MATIERES!$A$2:$F$349,4,0))</f>
        <v>0</v>
      </c>
      <c r="M7" s="364"/>
      <c r="N7" s="365">
        <f>IF($C7="","",M7*VLOOKUP($C7,MATIERES!$A$2:$F$349,4,0))</f>
        <v>0</v>
      </c>
    </row>
    <row r="8" spans="1:14" ht="15" customHeight="1" x14ac:dyDescent="0.2">
      <c r="A8" s="1631"/>
      <c r="B8" s="361" t="s">
        <v>764</v>
      </c>
      <c r="C8" s="362" t="s">
        <v>769</v>
      </c>
      <c r="D8" s="363" t="str">
        <f>IF($C8="","",VLOOKUP($C8,MATIERES!$A$2:$F$338,5,0))</f>
        <v>pc</v>
      </c>
      <c r="E8" s="364"/>
      <c r="F8" s="365">
        <f>IF($C8="","",E8*VLOOKUP($C8,MATIERES!$A$2:$F$349,4,0))</f>
        <v>0</v>
      </c>
      <c r="G8" s="364">
        <f>IF(Simulation!J18=0.9,60,38)</f>
        <v>38</v>
      </c>
      <c r="H8" s="365">
        <f>IF($C8="","",G8*VLOOKUP($C8,MATIERES!$A$2:$F$349,4,0))</f>
        <v>18.0044</v>
      </c>
      <c r="I8" s="364">
        <v>2</v>
      </c>
      <c r="J8" s="365">
        <f>IF($C8="","",I8*VLOOKUP($C8,MATIERES!$A$2:$F$349,4,0))</f>
        <v>0.9476</v>
      </c>
      <c r="K8" s="364"/>
      <c r="L8" s="365">
        <f>IF($C8="","",K8*VLOOKUP($C8,MATIERES!$A$2:$F$349,4,0))</f>
        <v>0</v>
      </c>
      <c r="M8" s="364"/>
      <c r="N8" s="365">
        <f>IF($C8="","",M8*VLOOKUP($C8,MATIERES!$A$2:$F$349,4,0))</f>
        <v>0</v>
      </c>
    </row>
    <row r="9" spans="1:14" ht="15" customHeight="1" x14ac:dyDescent="0.2">
      <c r="A9" s="1631"/>
      <c r="B9" s="361" t="s">
        <v>764</v>
      </c>
      <c r="C9" s="362" t="s">
        <v>768</v>
      </c>
      <c r="D9" s="363" t="str">
        <f>IF($C9="","",VLOOKUP($C9,MATIERES!$A$2:$F$338,5,0))</f>
        <v>pc</v>
      </c>
      <c r="E9" s="364"/>
      <c r="F9" s="365">
        <f>IF($C9="","",E9*VLOOKUP($C9,MATIERES!$A$2:$F$349,4,0))</f>
        <v>0</v>
      </c>
      <c r="G9" s="364">
        <f>IF(Simulation!J18=0.9,20,12)</f>
        <v>12</v>
      </c>
      <c r="H9" s="365">
        <f>IF($C9="","",G9*VLOOKUP($C9,MATIERES!$A$2:$F$349,4,0))</f>
        <v>4.7380000000000004</v>
      </c>
      <c r="I9" s="364">
        <v>12</v>
      </c>
      <c r="J9" s="365">
        <f>IF($C9="","",I9*VLOOKUP($C9,MATIERES!$A$2:$F$349,4,0))</f>
        <v>4.7380000000000004</v>
      </c>
      <c r="K9" s="364"/>
      <c r="L9" s="365">
        <f>IF($C9="","",K9*VLOOKUP($C9,MATIERES!$A$2:$F$349,4,0))</f>
        <v>0</v>
      </c>
      <c r="M9" s="364"/>
      <c r="N9" s="365">
        <f>IF($C9="","",M9*VLOOKUP($C9,MATIERES!$A$2:$F$349,4,0))</f>
        <v>0</v>
      </c>
    </row>
    <row r="10" spans="1:14" ht="15" customHeight="1" x14ac:dyDescent="0.2">
      <c r="A10" s="1631"/>
      <c r="B10" s="361" t="s">
        <v>764</v>
      </c>
      <c r="C10" s="362" t="s">
        <v>1269</v>
      </c>
      <c r="D10" s="363" t="str">
        <f>IF($C10="","",VLOOKUP($C10,MATIERES!$A$2:$F$338,5,0))</f>
        <v>pc</v>
      </c>
      <c r="E10" s="364"/>
      <c r="F10" s="365">
        <f>IF($C10="","",E10*VLOOKUP($C10,MATIERES!$A$2:$F$349,4,0))</f>
        <v>0</v>
      </c>
      <c r="G10" s="364"/>
      <c r="H10" s="365">
        <f>IF($C10="","",G10*VLOOKUP($C10,MATIERES!$A$2:$F$349,4,0))</f>
        <v>0</v>
      </c>
      <c r="I10" s="364">
        <f>Simulation!G11/0.15*2+8</f>
        <v>181.33333333333334</v>
      </c>
      <c r="J10" s="365">
        <f>IF($C10="","",I10*VLOOKUP($C10,MATIERES!$A$2:$F$349,4,0))</f>
        <v>27.2</v>
      </c>
      <c r="K10" s="364"/>
      <c r="L10" s="365">
        <f>IF($C10="","",K10*VLOOKUP($C10,MATIERES!$A$2:$F$349,4,0))</f>
        <v>0</v>
      </c>
      <c r="M10" s="364"/>
      <c r="N10" s="365">
        <f>IF($C10="","",M10*VLOOKUP($C10,MATIERES!$A$2:$F$349,4,0))</f>
        <v>0</v>
      </c>
    </row>
    <row r="11" spans="1:14" ht="15" customHeight="1" x14ac:dyDescent="0.2">
      <c r="A11" s="1631"/>
      <c r="B11" s="361" t="s">
        <v>239</v>
      </c>
      <c r="C11" s="362" t="s">
        <v>772</v>
      </c>
      <c r="D11" s="363" t="str">
        <f>IF($C11="","",VLOOKUP($C11,MATIERES!$A$2:$F$338,5,0))</f>
        <v>ml</v>
      </c>
      <c r="E11" s="364"/>
      <c r="F11" s="365">
        <f>IF($C11="","",E11*VLOOKUP($C11,MATIERES!$A$2:$F$430,4,0))</f>
        <v>0</v>
      </c>
      <c r="G11" s="364">
        <f>Simulation!G11*1.1*IF(Simulation!J18=0.9,5,3)</f>
        <v>42.900000000000006</v>
      </c>
      <c r="H11" s="365">
        <f>IF($C11="","",G11*VLOOKUP($C11,MATIERES!$A$2:$F$349,4,0))</f>
        <v>239.44377600000007</v>
      </c>
      <c r="I11" s="364"/>
      <c r="J11" s="365">
        <f>IF($C11="","",I11*VLOOKUP($C11,MATIERES!$A$2:$F$349,4,0))</f>
        <v>0</v>
      </c>
      <c r="K11" s="364"/>
      <c r="L11" s="365">
        <f>IF($C11="","",K11*VLOOKUP($C11,MATIERES!$A$2:$F$349,4,0))</f>
        <v>0</v>
      </c>
      <c r="M11" s="364"/>
      <c r="N11" s="365">
        <f>IF($C11="","",M11*VLOOKUP($C11,MATIERES!$A$2:$F$349,4,0))</f>
        <v>0</v>
      </c>
    </row>
    <row r="12" spans="1:14" ht="15" customHeight="1" x14ac:dyDescent="0.2">
      <c r="A12" s="1631"/>
      <c r="B12" s="361" t="s">
        <v>764</v>
      </c>
      <c r="C12" s="362" t="s">
        <v>1247</v>
      </c>
      <c r="D12" s="363" t="str">
        <f>IF($C12="","",VLOOKUP($C12,MATIERES!$A$2:$F$338,5,0))</f>
        <v>pc</v>
      </c>
      <c r="E12" s="364"/>
      <c r="F12" s="365">
        <f>IF($C12="","",E12*VLOOKUP($C12,MATIERES!$A$2:$F$430,4,0))</f>
        <v>0</v>
      </c>
      <c r="G12" s="364">
        <v>20</v>
      </c>
      <c r="H12" s="365">
        <f>IF($C12="","",G12*VLOOKUP($C12,MATIERES!$A$2:$F$349,4,0))</f>
        <v>12</v>
      </c>
      <c r="I12" s="364"/>
      <c r="J12" s="365"/>
      <c r="K12" s="364"/>
      <c r="L12" s="365"/>
      <c r="M12" s="364"/>
      <c r="N12" s="365"/>
    </row>
    <row r="13" spans="1:14" ht="15" customHeight="1" x14ac:dyDescent="0.2">
      <c r="A13" s="1631"/>
      <c r="B13" s="361" t="s">
        <v>736</v>
      </c>
      <c r="C13" s="362" t="s">
        <v>739</v>
      </c>
      <c r="D13" s="363" t="str">
        <f>IF($C13="","",VLOOKUP($C13,MATIERES!$A$2:$F$338,5,0))</f>
        <v>pc</v>
      </c>
      <c r="E13" s="364"/>
      <c r="F13" s="365">
        <f>IF($C13="","",E13*VLOOKUP($C13,MATIERES!$A$2:$F$430,4,0))</f>
        <v>0</v>
      </c>
      <c r="G13" s="364">
        <f>Simulation!G11+0.3</f>
        <v>13.3</v>
      </c>
      <c r="H13" s="365">
        <f>IF($C13="","",G13*VLOOKUP($C13,MATIERES!$A$2:$F$349,4,0))</f>
        <v>30.476950000000002</v>
      </c>
      <c r="I13" s="364"/>
      <c r="J13" s="365"/>
      <c r="K13" s="364"/>
      <c r="L13" s="365"/>
      <c r="M13" s="364"/>
      <c r="N13" s="365"/>
    </row>
    <row r="14" spans="1:14" ht="15" customHeight="1" x14ac:dyDescent="0.2">
      <c r="A14" s="1631"/>
      <c r="B14" s="361" t="s">
        <v>127</v>
      </c>
      <c r="C14" s="362" t="s">
        <v>1210</v>
      </c>
      <c r="D14" s="363" t="str">
        <f>IF($C14="","",VLOOKUP($C14,MATIERES!$A$2:$F$416,5,0))</f>
        <v>t</v>
      </c>
      <c r="E14" s="364"/>
      <c r="F14" s="365">
        <f>IF($C14="","",E14*VLOOKUP($C14,MATIERES!$A$2:$F$430,4,0))</f>
        <v>0</v>
      </c>
      <c r="G14" s="364" t="e">
        <f>Simulation!G11*0.15*Simulation!J18</f>
        <v>#VALUE!</v>
      </c>
      <c r="H14" s="365" t="e">
        <f>IF($C14="","",G14*VLOOKUP($C14,MATIERES!$A$2:$F$430,4,0))</f>
        <v>#VALUE!</v>
      </c>
      <c r="I14" s="364"/>
      <c r="J14" s="365"/>
      <c r="K14" s="364"/>
      <c r="L14" s="365"/>
      <c r="M14" s="364"/>
      <c r="N14" s="365"/>
    </row>
    <row r="15" spans="1:14" ht="15" customHeight="1" x14ac:dyDescent="0.2">
      <c r="A15" s="1631"/>
      <c r="B15" s="361" t="s">
        <v>736</v>
      </c>
      <c r="C15" s="362"/>
      <c r="D15" s="363" t="str">
        <f>IF($C15="","",VLOOKUP($C15,MATIERES!$A$2:$F$227,5,0))</f>
        <v/>
      </c>
      <c r="E15" s="364"/>
      <c r="F15" s="365" t="str">
        <f>IF($C15="","",E15*VLOOKUP($C15,MATIERES!$A$2:$F$430,4,0))</f>
        <v/>
      </c>
      <c r="G15" s="364"/>
      <c r="H15" s="365" t="str">
        <f>IF($C15="","",G15*VLOOKUP($C15,MATIERES!$A$2:$F$349,4,0))</f>
        <v/>
      </c>
      <c r="I15" s="364"/>
      <c r="J15" s="365" t="str">
        <f>IF($C15="","",I15*VLOOKUP($C15,MATIERES!$A$2:$F$349,4,0))</f>
        <v/>
      </c>
      <c r="K15" s="364"/>
      <c r="L15" s="365" t="str">
        <f>IF($C15="","",K15*VLOOKUP($C15,MATIERES!$A$2:$F$349,4,0))</f>
        <v/>
      </c>
      <c r="M15" s="364"/>
      <c r="N15" s="365" t="str">
        <f>IF($C15="","",M15*VLOOKUP($C15,MATIERES!$A$2:$F$349,4,0))</f>
        <v/>
      </c>
    </row>
    <row r="16" spans="1:14" ht="30" customHeight="1" x14ac:dyDescent="0.2">
      <c r="A16" s="449"/>
      <c r="B16" s="367" t="s">
        <v>683</v>
      </c>
      <c r="C16" s="368" t="s">
        <v>446</v>
      </c>
      <c r="D16" s="369" t="s">
        <v>447</v>
      </c>
      <c r="E16" s="370">
        <f>F16*(1+Simulation!$P$11)</f>
        <v>0</v>
      </c>
      <c r="F16" s="371">
        <f>SUM(F5:F15)</f>
        <v>0</v>
      </c>
      <c r="G16" s="370" t="e">
        <f>H16*(1+Simulation!$P$11)</f>
        <v>#VALUE!</v>
      </c>
      <c r="H16" s="371" t="e">
        <f>SUM(H5:H15)</f>
        <v>#VALUE!</v>
      </c>
      <c r="I16" s="370" t="e">
        <f>J16*(1+Simulation!$P$11)</f>
        <v>#VALUE!</v>
      </c>
      <c r="J16" s="371" t="e">
        <f>SUM(J5:J15)</f>
        <v>#VALUE!</v>
      </c>
      <c r="K16" s="370">
        <f>L16*(1+Simulation!$P$11)</f>
        <v>0</v>
      </c>
      <c r="L16" s="371">
        <f>SUM(L5:L15)</f>
        <v>0</v>
      </c>
      <c r="M16" s="370">
        <f>N16*(1+Simulation!$P$11)</f>
        <v>0</v>
      </c>
      <c r="N16" s="371">
        <f>SUM(N5:N15)</f>
        <v>0</v>
      </c>
    </row>
    <row r="17" spans="1:14" ht="15" customHeight="1" x14ac:dyDescent="0.2">
      <c r="A17" s="1624" t="s">
        <v>448</v>
      </c>
      <c r="B17" s="361" t="s">
        <v>1155</v>
      </c>
      <c r="C17" s="362"/>
      <c r="D17" s="363" t="str">
        <f>IF($C17="","",VLOOKUP($C17,ATELIER!$A$2:$E$109,3,0))</f>
        <v/>
      </c>
      <c r="E17" s="364"/>
      <c r="F17" s="372" t="str">
        <f>IF($C17="","",E17*VLOOKUP($C17,ATELIER!$A$2:$F$109,4,0))</f>
        <v/>
      </c>
      <c r="G17" s="364"/>
      <c r="H17" s="372" t="str">
        <f>IF($C17="","",G17*VLOOKUP($C17,ATELIER!$A$2:$F$109,4,0))</f>
        <v/>
      </c>
      <c r="I17" s="364">
        <f>Simulation!G11/0.14/4</f>
        <v>23.214285714285712</v>
      </c>
      <c r="J17" s="372" t="str">
        <f>IF($C17="","",I17*VLOOKUP($C17,ATELIER!$A$2:$F$109,4,0))</f>
        <v/>
      </c>
      <c r="K17" s="364"/>
      <c r="L17" s="372" t="str">
        <f>IF($C17="","",K17*VLOOKUP($C17,ATELIER!$A$2:$F$109,4,0))</f>
        <v/>
      </c>
      <c r="M17" s="364"/>
      <c r="N17" s="372" t="str">
        <f>IF($C17="","",M17*VLOOKUP($C17,ATELIER!$A$2:$F$109,4,0))</f>
        <v/>
      </c>
    </row>
    <row r="18" spans="1:14" ht="15" customHeight="1" x14ac:dyDescent="0.2">
      <c r="A18" s="1624"/>
      <c r="B18" s="361" t="s">
        <v>1155</v>
      </c>
      <c r="C18" s="362" t="s">
        <v>425</v>
      </c>
      <c r="D18" s="363" t="str">
        <f>IF($C18="","",VLOOKUP($C18,ATELIER!$A$2:$E$109,3,0))</f>
        <v>pc</v>
      </c>
      <c r="E18" s="364"/>
      <c r="F18" s="372">
        <f>IF($C18="","",E18*VLOOKUP($C18,ATELIER!$A$2:$F$109,4,0))</f>
        <v>0</v>
      </c>
      <c r="G18" s="364"/>
      <c r="H18" s="372">
        <f>IF($C18="","",G18*VLOOKUP($C18,ATELIER!$A$2:$F$109,4,0))</f>
        <v>0</v>
      </c>
      <c r="I18" s="364">
        <f>I5</f>
        <v>14.3</v>
      </c>
      <c r="J18" s="372">
        <f>IF($C18="","",I18*VLOOKUP($C18,ATELIER!$A$2:$F$109,4,0))</f>
        <v>1.1440000000000001</v>
      </c>
      <c r="K18" s="364"/>
      <c r="L18" s="372">
        <f>IF($C18="","",K18*VLOOKUP($C18,ATELIER!$A$2:$F$109,4,0))</f>
        <v>0</v>
      </c>
      <c r="M18" s="364"/>
      <c r="N18" s="372">
        <f>IF($C18="","",M18*VLOOKUP($C18,ATELIER!$A$2:$F$109,4,0))</f>
        <v>0</v>
      </c>
    </row>
    <row r="19" spans="1:14" ht="15" customHeight="1" x14ac:dyDescent="0.2">
      <c r="A19" s="1624"/>
      <c r="B19" s="361" t="s">
        <v>1155</v>
      </c>
      <c r="C19" s="362" t="s">
        <v>423</v>
      </c>
      <c r="D19" s="363" t="str">
        <f>IF($C19="","",VLOOKUP($C19,ATELIER!$A$2:$E$109,3,0))</f>
        <v>pc</v>
      </c>
      <c r="E19" s="364"/>
      <c r="F19" s="372"/>
      <c r="G19" s="364">
        <f>IF(Simulation!J18=0.9,20,12)</f>
        <v>12</v>
      </c>
      <c r="H19" s="372">
        <f>IF($C19="","",G19*VLOOKUP($C19,ATELIER!$A$2:$F$109,4,0))</f>
        <v>0.96</v>
      </c>
      <c r="I19" s="364"/>
      <c r="J19" s="372"/>
      <c r="K19" s="364"/>
      <c r="L19" s="372"/>
      <c r="M19" s="364"/>
      <c r="N19" s="372"/>
    </row>
    <row r="20" spans="1:14" ht="15" customHeight="1" x14ac:dyDescent="0.2">
      <c r="A20" s="1624"/>
      <c r="B20" s="361" t="s">
        <v>1155</v>
      </c>
      <c r="C20" s="362" t="s">
        <v>1250</v>
      </c>
      <c r="D20" s="363" t="str">
        <f>IF($C20="","",VLOOKUP($C20,ATELIER!$A$2:$E$109,3,0))</f>
        <v>pc</v>
      </c>
      <c r="E20" s="364"/>
      <c r="F20" s="372"/>
      <c r="G20" s="364">
        <f>4</f>
        <v>4</v>
      </c>
      <c r="H20" s="372">
        <f>IF($C20="","",G20*VLOOKUP($C20,ATELIER!$A$2:$F$109,4,0))</f>
        <v>0.32</v>
      </c>
      <c r="I20" s="364"/>
      <c r="J20" s="372"/>
      <c r="K20" s="364"/>
      <c r="L20" s="372"/>
      <c r="M20" s="364"/>
      <c r="N20" s="372"/>
    </row>
    <row r="21" spans="1:14" ht="15.6" customHeight="1" x14ac:dyDescent="0.2">
      <c r="A21" s="1625"/>
      <c r="B21" s="361" t="s">
        <v>1155</v>
      </c>
      <c r="C21" s="362"/>
      <c r="D21" s="363" t="str">
        <f>IF($C21="","",VLOOKUP($C21,ATELIER!$A$2:$E$109,3,0))</f>
        <v/>
      </c>
      <c r="E21" s="364"/>
      <c r="F21" s="372" t="str">
        <f>IF($C21="","",E21*VLOOKUP($C21,ATELIER!$A$2:$F$109,4,0))</f>
        <v/>
      </c>
      <c r="G21" s="364"/>
      <c r="H21" s="372" t="str">
        <f>IF($C21="","",G21*VLOOKUP($C21,ATELIER!$A$2:$F$109,4,0))</f>
        <v/>
      </c>
      <c r="I21" s="364"/>
      <c r="J21" s="372" t="str">
        <f>IF($C21="","",I21*VLOOKUP($C21,ATELIER!$A$2:$F$109,4,0))</f>
        <v/>
      </c>
      <c r="K21" s="364"/>
      <c r="L21" s="372" t="str">
        <f>IF($C21="","",K21*VLOOKUP($C21,ATELIER!$A$2:$F$109,4,0))</f>
        <v/>
      </c>
      <c r="M21" s="364"/>
      <c r="N21" s="372" t="str">
        <f>IF($C21="","",M21*VLOOKUP($C21,ATELIER!$A$2:$F$109,4,0))</f>
        <v/>
      </c>
    </row>
    <row r="22" spans="1:14" ht="35.25" customHeight="1" x14ac:dyDescent="0.2">
      <c r="A22" s="1624"/>
      <c r="B22" s="375" t="s">
        <v>449</v>
      </c>
      <c r="C22" s="376" t="s">
        <v>450</v>
      </c>
      <c r="D22" s="377" t="s">
        <v>451</v>
      </c>
      <c r="E22" s="376">
        <f>F22*Simulation!$P$8</f>
        <v>0</v>
      </c>
      <c r="F22" s="377">
        <f>SUM(F17:F21)</f>
        <v>0</v>
      </c>
      <c r="G22" s="376">
        <f>H22*Simulation!$P$8</f>
        <v>57.6</v>
      </c>
      <c r="H22" s="377">
        <f>SUM(H17:H21)</f>
        <v>1.28</v>
      </c>
      <c r="I22" s="376">
        <f>J22*Simulation!$P$8</f>
        <v>51.480000000000004</v>
      </c>
      <c r="J22" s="377">
        <f>SUM(J17:J21)</f>
        <v>1.1440000000000001</v>
      </c>
      <c r="K22" s="376">
        <f>L22*Simulation!$P$8</f>
        <v>0</v>
      </c>
      <c r="L22" s="377">
        <f>SUM(L17:L21)</f>
        <v>0</v>
      </c>
      <c r="M22" s="376">
        <f>N22*Simulation!$P$8</f>
        <v>0</v>
      </c>
      <c r="N22" s="377">
        <f>SUM(N17:N21)</f>
        <v>0</v>
      </c>
    </row>
    <row r="23" spans="1:14" ht="15" customHeight="1" x14ac:dyDescent="0.2">
      <c r="A23" s="1626" t="s">
        <v>452</v>
      </c>
      <c r="B23" s="361" t="s">
        <v>1160</v>
      </c>
      <c r="C23" s="378" t="s">
        <v>1253</v>
      </c>
      <c r="D23" s="363" t="str">
        <f>IF(C23="","",VLOOKUP($C23,CHANTIER!$A$2:$C$83,3,0))</f>
        <v>ml</v>
      </c>
      <c r="E23" s="364"/>
      <c r="F23" s="372">
        <f>IF($C23="","",E23*VLOOKUP($C23,CHANTIER!$A$2:$D$83,4,0))</f>
        <v>0</v>
      </c>
      <c r="G23" s="364"/>
      <c r="H23" s="372">
        <f>IF($C23="","",G23*VLOOKUP($C23,CHANTIER!$A$2:$D$83,4,0))</f>
        <v>0</v>
      </c>
      <c r="I23" s="364">
        <f>I5</f>
        <v>14.3</v>
      </c>
      <c r="J23" s="372">
        <f>IF($C23="","",I23*VLOOKUP($C23,CHANTIER!$A$2:$D$83,4,0))</f>
        <v>2.145</v>
      </c>
      <c r="K23" s="364"/>
      <c r="L23" s="372">
        <f>IF($C23="","",K23*VLOOKUP($C23,CHANTIER!$A$2:$D$83,4,0))</f>
        <v>0</v>
      </c>
      <c r="M23" s="364"/>
      <c r="N23" s="372">
        <f>IF($C23="","",M23*VLOOKUP($C23,CHANTIER!$A$2:$D$83,4,0))</f>
        <v>0</v>
      </c>
    </row>
    <row r="24" spans="1:14" ht="15" customHeight="1" x14ac:dyDescent="0.2">
      <c r="A24" s="1626"/>
      <c r="B24" s="361" t="s">
        <v>1160</v>
      </c>
      <c r="C24" s="378" t="s">
        <v>1252</v>
      </c>
      <c r="D24" s="363" t="str">
        <f>IF(C24="","",VLOOKUP($C24,CHANTIER!$A$2:$C$83,3,0))</f>
        <v>ml</v>
      </c>
      <c r="E24" s="364"/>
      <c r="F24" s="372">
        <f>IF($C24="","",E24*VLOOKUP($C24,CHANTIER!$A$2:$D$83,4,0))</f>
        <v>0</v>
      </c>
      <c r="G24" s="364">
        <f>G11</f>
        <v>42.900000000000006</v>
      </c>
      <c r="H24" s="372">
        <f>IF($C24="","",G24*VLOOKUP($C24,CHANTIER!$A$2:$D$83,4,0))</f>
        <v>2.5740000000000003</v>
      </c>
      <c r="I24" s="364"/>
      <c r="J24" s="372">
        <f>IF($C24="","",I24*VLOOKUP($C24,CHANTIER!$A$2:$D$83,4,0))</f>
        <v>0</v>
      </c>
      <c r="K24" s="364"/>
      <c r="L24" s="372">
        <f>IF($C24="","",K24*VLOOKUP($C24,CHANTIER!$A$2:$D$83,4,0))</f>
        <v>0</v>
      </c>
      <c r="M24" s="364"/>
      <c r="N24" s="372">
        <f>IF($C24="","",M24*VLOOKUP($C24,CHANTIER!$A$2:$D$83,4,0))</f>
        <v>0</v>
      </c>
    </row>
    <row r="25" spans="1:14" ht="15" customHeight="1" x14ac:dyDescent="0.2">
      <c r="A25" s="1626"/>
      <c r="B25" s="361" t="s">
        <v>1160</v>
      </c>
      <c r="C25" s="378" t="s">
        <v>1254</v>
      </c>
      <c r="D25" s="363" t="str">
        <f>IF(C25="","",VLOOKUP($C25,CHANTIER!$A$2:$C$83,3,0))</f>
        <v>ml</v>
      </c>
      <c r="E25" s="364"/>
      <c r="F25" s="372"/>
      <c r="G25" s="364">
        <f>G13</f>
        <v>13.3</v>
      </c>
      <c r="H25" s="372">
        <f>IF($C25="","",G25*VLOOKUP($C25,CHANTIER!$A$2:$D$83,4,0))</f>
        <v>0.66500000000000004</v>
      </c>
      <c r="I25" s="364"/>
      <c r="J25" s="372"/>
      <c r="K25" s="364"/>
      <c r="L25" s="372"/>
      <c r="M25" s="364"/>
      <c r="N25" s="372"/>
    </row>
    <row r="26" spans="1:14" ht="15" customHeight="1" x14ac:dyDescent="0.2">
      <c r="A26" s="1627"/>
      <c r="B26" s="361" t="s">
        <v>1160</v>
      </c>
      <c r="C26" s="378" t="s">
        <v>384</v>
      </c>
      <c r="D26" s="363" t="str">
        <f>IF(C26="","",VLOOKUP($C26,CHANTIER!$A$2:$C$83,3,0))</f>
        <v>ml</v>
      </c>
      <c r="E26" s="364"/>
      <c r="F26" s="372">
        <f>IF($C26="","",E26*VLOOKUP($C26,CHANTIER!$A$2:$D$83,4,0))</f>
        <v>0</v>
      </c>
      <c r="G26" s="364">
        <f>Simulation!G11</f>
        <v>13</v>
      </c>
      <c r="H26" s="372">
        <f>IF($C26="","",G26*VLOOKUP($C26,CHANTIER!$A$2:$D$83,4,0))</f>
        <v>1.04</v>
      </c>
      <c r="I26" s="364"/>
      <c r="J26" s="372">
        <f>IF($C26="","",I26*VLOOKUP($C26,CHANTIER!$A$2:$D$83,4,0))</f>
        <v>0</v>
      </c>
      <c r="K26" s="364"/>
      <c r="L26" s="372">
        <f>IF($C26="","",K26*VLOOKUP($C26,CHANTIER!$A$2:$D$83,4,0))</f>
        <v>0</v>
      </c>
      <c r="M26" s="364"/>
      <c r="N26" s="372">
        <f>IF($C26="","",M26*VLOOKUP($C26,CHANTIER!$A$2:$D$83,4,0))</f>
        <v>0</v>
      </c>
    </row>
    <row r="27" spans="1:14" ht="15" customHeight="1" x14ac:dyDescent="0.2">
      <c r="A27" s="1626"/>
      <c r="B27" s="361" t="s">
        <v>1160</v>
      </c>
      <c r="C27" s="378" t="s">
        <v>1248</v>
      </c>
      <c r="D27" s="363" t="str">
        <f>IF(C27="","",VLOOKUP($C27,CHANTIER!$A$2:$C$83,3,0))</f>
        <v>pc</v>
      </c>
      <c r="E27" s="364"/>
      <c r="F27" s="372">
        <f>IF($C27="","",E27*VLOOKUP($C27,CHANTIER!$A$2:$D$83,4,0))</f>
        <v>0</v>
      </c>
      <c r="G27" s="364">
        <f>4</f>
        <v>4</v>
      </c>
      <c r="H27" s="372">
        <f>IF($C27="","",G27*VLOOKUP($C27,CHANTIER!$A$2:$D$83,4,0))</f>
        <v>0.6</v>
      </c>
      <c r="I27" s="364"/>
      <c r="J27" s="372">
        <f>IF($C27="","",I27*VLOOKUP($C27,CHANTIER!$A$2:$D$83,4,0))</f>
        <v>0</v>
      </c>
      <c r="K27" s="364"/>
      <c r="L27" s="372">
        <f>IF($C27="","",K27*VLOOKUP($C27,CHANTIER!$A$2:$D$83,4,0))</f>
        <v>0</v>
      </c>
      <c r="M27" s="364"/>
      <c r="N27" s="372">
        <f>IF($C27="","",M27*VLOOKUP($C27,CHANTIER!$A$2:$D$83,4,0))</f>
        <v>0</v>
      </c>
    </row>
    <row r="28" spans="1:14" ht="15" customHeight="1" x14ac:dyDescent="0.2">
      <c r="A28" s="1626"/>
      <c r="B28" s="361" t="s">
        <v>1160</v>
      </c>
      <c r="C28" s="378" t="s">
        <v>1365</v>
      </c>
      <c r="D28" s="363" t="str">
        <f>IF(C28="","",VLOOKUP($C28,CHANTIER!$A$2:$C$83,3,0))</f>
        <v>m²</v>
      </c>
      <c r="E28" s="364"/>
      <c r="F28" s="372">
        <f>IF($C28="","",E28*VLOOKUP($C28,CHANTIER!$A$2:$D$83,4,0))</f>
        <v>0</v>
      </c>
      <c r="G28" s="364"/>
      <c r="H28" s="372">
        <f>IF($C28="","",G28*VLOOKUP($C28,CHANTIER!$A$2:$D$83,4,0))</f>
        <v>0</v>
      </c>
      <c r="I28" s="364" t="e">
        <f>I6</f>
        <v>#VALUE!</v>
      </c>
      <c r="J28" s="372" t="e">
        <f>IF($C28="","",I28*VLOOKUP($C28,CHANTIER!$A$2:$D$83,4,0))</f>
        <v>#VALUE!</v>
      </c>
      <c r="K28" s="364"/>
      <c r="L28" s="372">
        <f>IF($C28="","",K28*VLOOKUP($C28,CHANTIER!$A$2:$D$83,4,0))</f>
        <v>0</v>
      </c>
      <c r="M28" s="364"/>
      <c r="N28" s="372">
        <f>IF($C28="","",M28*VLOOKUP($C28,CHANTIER!$A$2:$D$83,4,0))</f>
        <v>0</v>
      </c>
    </row>
    <row r="29" spans="1:14" ht="30.75" customHeight="1" x14ac:dyDescent="0.2">
      <c r="A29" s="1626"/>
      <c r="B29" s="379" t="s">
        <v>453</v>
      </c>
      <c r="C29" s="380" t="s">
        <v>450</v>
      </c>
      <c r="D29" s="381" t="s">
        <v>451</v>
      </c>
      <c r="E29" s="382">
        <f>F29*Simulation!$P$9</f>
        <v>0</v>
      </c>
      <c r="F29" s="383">
        <f>SUM(F23:F28)</f>
        <v>0</v>
      </c>
      <c r="G29" s="382">
        <f>H29*Simulation!$P$9</f>
        <v>219.55499999999998</v>
      </c>
      <c r="H29" s="383">
        <f>SUM(H23:H28)</f>
        <v>4.8789999999999996</v>
      </c>
      <c r="I29" s="382" t="e">
        <f>J29*Simulation!$P$9</f>
        <v>#VALUE!</v>
      </c>
      <c r="J29" s="383" t="e">
        <f>SUM(J23:J28)</f>
        <v>#VALUE!</v>
      </c>
      <c r="K29" s="382">
        <f>L29*Simulation!$P$9</f>
        <v>0</v>
      </c>
      <c r="L29" s="383">
        <f>SUM(L23:L28)</f>
        <v>0</v>
      </c>
      <c r="M29" s="382">
        <f>N29*Simulation!$P$9</f>
        <v>0</v>
      </c>
      <c r="N29" s="383">
        <f>SUM(N23:N28)</f>
        <v>0</v>
      </c>
    </row>
    <row r="30" spans="1:14" ht="15" customHeight="1" x14ac:dyDescent="0.2">
      <c r="A30" s="1628" t="s">
        <v>4</v>
      </c>
      <c r="B30" s="361" t="s">
        <v>1172</v>
      </c>
      <c r="C30" s="378" t="s">
        <v>1285</v>
      </c>
      <c r="D30" s="363" t="str">
        <f>IF(C30="","",VLOOKUP($C30,MINIPELLE!$A$2:$C$28,3,0))</f>
        <v>ml</v>
      </c>
      <c r="E30" s="364">
        <f>Simulation!G11</f>
        <v>13</v>
      </c>
      <c r="F30" s="372">
        <f>IF($C30="","",E30*Simulation!$J$17*VLOOKUP($C30,MINIPELLE!$A$2:$D$28,4,0))</f>
        <v>0</v>
      </c>
      <c r="G30" s="364"/>
      <c r="H30" s="372">
        <f>IF($C30="","",G30*VLOOKUP($C30,MINIPELLE!$A$2:$D$28,4,0))</f>
        <v>0</v>
      </c>
      <c r="I30" s="364"/>
      <c r="J30" s="372">
        <f>IF($C30="","",I30*VLOOKUP($C30,MINIPELLE!$A$2:$D$28,4,0))</f>
        <v>0</v>
      </c>
      <c r="K30" s="364"/>
      <c r="L30" s="372">
        <f>IF($C30="","",K30*VLOOKUP($C30,MINIPELLE!$A$2:$D$28,4,0))</f>
        <v>0</v>
      </c>
      <c r="M30" s="364"/>
      <c r="N30" s="372">
        <f>IF($C30="","",M30*VLOOKUP($C30,MINIPELLE!$A$2:$D$28,4,0))</f>
        <v>0</v>
      </c>
    </row>
    <row r="31" spans="1:14" ht="15" customHeight="1" x14ac:dyDescent="0.2">
      <c r="A31" s="1629"/>
      <c r="B31" s="361" t="s">
        <v>1172</v>
      </c>
      <c r="C31" s="378" t="s">
        <v>1203</v>
      </c>
      <c r="D31" s="363" t="str">
        <f>IF(C31="","",VLOOKUP($C31,MINIPELLE!$A$2:$C$28,3,0))</f>
        <v>ml</v>
      </c>
      <c r="E31" s="364"/>
      <c r="F31" s="389">
        <f>IF($C31="","",E31*VLOOKUP($C31,MINIPELLE!$A$2:$D$28,4,0))</f>
        <v>0</v>
      </c>
      <c r="G31" s="364"/>
      <c r="H31" s="389">
        <f>IF($C31="","",G31*VLOOKUP($C31,MINIPELLE!$A$2:$D$28,4,0))</f>
        <v>0</v>
      </c>
      <c r="I31" s="364"/>
      <c r="J31" s="389">
        <f>IF($C31="","",I31*VLOOKUP($C31,MINIPELLE!$A$2:$D$28,4,0))</f>
        <v>0</v>
      </c>
      <c r="K31" s="364"/>
      <c r="L31" s="389">
        <f>IF($C31="","",K31*VLOOKUP($C31,MINIPELLE!$A$2:$D$28,4,0))</f>
        <v>0</v>
      </c>
      <c r="M31" s="364"/>
      <c r="N31" s="389">
        <f>IF($C31="","",M31*VLOOKUP($C31,MINIPELLE!$A$2:$D$28,4,0))</f>
        <v>0</v>
      </c>
    </row>
    <row r="32" spans="1:14" ht="15" customHeight="1" x14ac:dyDescent="0.2">
      <c r="A32" s="1629"/>
      <c r="B32" s="361"/>
      <c r="C32" s="378"/>
      <c r="D32" s="363" t="str">
        <f>IF(C32="","",VLOOKUP($C32,MINIPELLE!$A$2:$C$28,3,0))</f>
        <v/>
      </c>
      <c r="E32" s="364"/>
      <c r="F32" s="389" t="str">
        <f>IF($C32="","",E32*VLOOKUP($C32,MINIPELLE!$A$2:$D$28,4,0))</f>
        <v/>
      </c>
      <c r="G32" s="364"/>
      <c r="H32" s="389" t="str">
        <f>IF($C32="","",G32*VLOOKUP($C32,MINIPELLE!$A$2:$D$28,4,0))</f>
        <v/>
      </c>
      <c r="I32" s="364"/>
      <c r="J32" s="389" t="str">
        <f>IF($C32="","",I32*VLOOKUP($C32,MINIPELLE!$A$2:$D$28,4,0))</f>
        <v/>
      </c>
      <c r="K32" s="364"/>
      <c r="L32" s="389" t="str">
        <f>IF($C32="","",K32*VLOOKUP($C32,MINIPELLE!$A$2:$D$28,4,0))</f>
        <v/>
      </c>
      <c r="M32" s="364"/>
      <c r="N32" s="389" t="str">
        <f>IF($C32="","",M32*VLOOKUP($C32,MINIPELLE!$A$2:$D$28,4,0))</f>
        <v/>
      </c>
    </row>
    <row r="33" spans="1:14" ht="29.25" customHeight="1" x14ac:dyDescent="0.2">
      <c r="A33" s="1629"/>
      <c r="B33" s="384" t="s">
        <v>454</v>
      </c>
      <c r="C33" s="385" t="s">
        <v>455</v>
      </c>
      <c r="D33" s="386" t="s">
        <v>451</v>
      </c>
      <c r="E33" s="387">
        <f>F33*Simulation!$P$10</f>
        <v>0</v>
      </c>
      <c r="F33" s="388">
        <f>SUM(F30:F32)</f>
        <v>0</v>
      </c>
      <c r="G33" s="387">
        <f>H33*Simulation!$P$10</f>
        <v>0</v>
      </c>
      <c r="H33" s="388">
        <f>SUM(H30:H32)</f>
        <v>0</v>
      </c>
      <c r="I33" s="387">
        <f>J33*Simulation!$P$10</f>
        <v>0</v>
      </c>
      <c r="J33" s="388">
        <f>SUM(J30:J32)</f>
        <v>0</v>
      </c>
      <c r="K33" s="387">
        <f>L33*Simulation!$P$10</f>
        <v>0</v>
      </c>
      <c r="L33" s="388">
        <f>SUM(L30:L32)</f>
        <v>0</v>
      </c>
      <c r="M33" s="387">
        <f>N33*Simulation!$P$10</f>
        <v>0</v>
      </c>
      <c r="N33" s="388">
        <f>SUM(N30:N32)</f>
        <v>0</v>
      </c>
    </row>
    <row r="34" spans="1:14" ht="18" x14ac:dyDescent="0.2">
      <c r="A34" s="154"/>
      <c r="B34" s="172"/>
      <c r="C34" s="231"/>
      <c r="D34" s="227"/>
      <c r="E34" s="154"/>
      <c r="F34" s="154"/>
      <c r="G34" s="154"/>
      <c r="H34" s="154"/>
      <c r="I34" s="154"/>
      <c r="J34" s="154"/>
      <c r="K34" s="154"/>
      <c r="L34" s="154"/>
      <c r="M34" s="154"/>
      <c r="N34" s="154"/>
    </row>
    <row r="35" spans="1:14" ht="15" x14ac:dyDescent="0.2">
      <c r="A35" s="154"/>
      <c r="B35" s="1561" t="s">
        <v>456</v>
      </c>
      <c r="C35" s="1564" t="s">
        <v>445</v>
      </c>
      <c r="D35" s="1564"/>
      <c r="E35" s="1547">
        <f>E33+E29+E22+E16</f>
        <v>0</v>
      </c>
      <c r="F35" s="1547"/>
      <c r="G35" s="1547" t="e">
        <f>G33+G29+G22+G16</f>
        <v>#VALUE!</v>
      </c>
      <c r="H35" s="1547"/>
      <c r="I35" s="1547" t="e">
        <f>I33+I29+I22+I16</f>
        <v>#VALUE!</v>
      </c>
      <c r="J35" s="1547"/>
      <c r="K35" s="1547">
        <f>K33+K29+K22+K16</f>
        <v>0</v>
      </c>
      <c r="L35" s="1547"/>
      <c r="M35" s="1547">
        <f>M33+M29+M22+M16</f>
        <v>0</v>
      </c>
      <c r="N35" s="1547"/>
    </row>
    <row r="36" spans="1:14" ht="15" x14ac:dyDescent="0.2">
      <c r="A36" s="154"/>
      <c r="B36" s="1562"/>
      <c r="C36" s="1565" t="s">
        <v>457</v>
      </c>
      <c r="D36" s="1565"/>
      <c r="E36" s="149">
        <f>E16-F16</f>
        <v>0</v>
      </c>
      <c r="F36" s="207" t="e">
        <f>E36/E$35</f>
        <v>#DIV/0!</v>
      </c>
      <c r="G36" s="149" t="e">
        <f>G16-H16</f>
        <v>#VALUE!</v>
      </c>
      <c r="H36" s="207" t="e">
        <f>G36/G$35</f>
        <v>#VALUE!</v>
      </c>
      <c r="I36" s="149" t="e">
        <f>I16-J16</f>
        <v>#VALUE!</v>
      </c>
      <c r="J36" s="207" t="e">
        <f>I36/I$35</f>
        <v>#VALUE!</v>
      </c>
      <c r="K36" s="149">
        <f>K16-L16</f>
        <v>0</v>
      </c>
      <c r="L36" s="207" t="e">
        <f>K36/K$35</f>
        <v>#DIV/0!</v>
      </c>
      <c r="M36" s="149">
        <f>M16-N16</f>
        <v>0</v>
      </c>
      <c r="N36" s="207" t="e">
        <f>M36/M$35</f>
        <v>#DIV/0!</v>
      </c>
    </row>
    <row r="37" spans="1:14" ht="15" x14ac:dyDescent="0.2">
      <c r="A37" s="154"/>
      <c r="B37" s="1562"/>
      <c r="C37" s="1565" t="s">
        <v>9</v>
      </c>
      <c r="D37" s="1565"/>
      <c r="E37" s="149">
        <f>E16</f>
        <v>0</v>
      </c>
      <c r="F37" s="207" t="e">
        <f>E37/E$35</f>
        <v>#DIV/0!</v>
      </c>
      <c r="G37" s="149" t="e">
        <f>G16</f>
        <v>#VALUE!</v>
      </c>
      <c r="H37" s="207" t="e">
        <f>G37/G$35</f>
        <v>#VALUE!</v>
      </c>
      <c r="I37" s="149" t="e">
        <f>I16</f>
        <v>#VALUE!</v>
      </c>
      <c r="J37" s="207" t="e">
        <f>I37/I$35</f>
        <v>#VALUE!</v>
      </c>
      <c r="K37" s="149">
        <f>K16</f>
        <v>0</v>
      </c>
      <c r="L37" s="207" t="e">
        <f>K37/K$35</f>
        <v>#DIV/0!</v>
      </c>
      <c r="M37" s="149">
        <f>M16</f>
        <v>0</v>
      </c>
      <c r="N37" s="207" t="e">
        <f>M37/M$35</f>
        <v>#DIV/0!</v>
      </c>
    </row>
    <row r="38" spans="1:14" ht="15" x14ac:dyDescent="0.2">
      <c r="A38" s="154"/>
      <c r="B38" s="1562"/>
      <c r="C38" s="1565" t="s">
        <v>458</v>
      </c>
      <c r="D38" s="1565"/>
      <c r="E38" s="149">
        <f>E22</f>
        <v>0</v>
      </c>
      <c r="F38" s="207" t="e">
        <f>E38/E$35</f>
        <v>#DIV/0!</v>
      </c>
      <c r="G38" s="149">
        <f>G22</f>
        <v>57.6</v>
      </c>
      <c r="H38" s="207" t="e">
        <f>G38/G$35</f>
        <v>#VALUE!</v>
      </c>
      <c r="I38" s="149">
        <f>I22</f>
        <v>51.480000000000004</v>
      </c>
      <c r="J38" s="207" t="e">
        <f>I38/I$35</f>
        <v>#VALUE!</v>
      </c>
      <c r="K38" s="149">
        <f>K22</f>
        <v>0</v>
      </c>
      <c r="L38" s="207" t="e">
        <f>K38/K$35</f>
        <v>#DIV/0!</v>
      </c>
      <c r="M38" s="149">
        <f>M22</f>
        <v>0</v>
      </c>
      <c r="N38" s="207" t="e">
        <f>M38/M$35</f>
        <v>#DIV/0!</v>
      </c>
    </row>
    <row r="39" spans="1:14" ht="15" x14ac:dyDescent="0.2">
      <c r="A39" s="154"/>
      <c r="B39" s="1562"/>
      <c r="C39" s="1565" t="s">
        <v>459</v>
      </c>
      <c r="D39" s="1565"/>
      <c r="E39" s="149">
        <f>E29</f>
        <v>0</v>
      </c>
      <c r="F39" s="207" t="e">
        <f>E39/E$35</f>
        <v>#DIV/0!</v>
      </c>
      <c r="G39" s="149">
        <f>G29</f>
        <v>219.55499999999998</v>
      </c>
      <c r="H39" s="207" t="e">
        <f>G39/G$35</f>
        <v>#VALUE!</v>
      </c>
      <c r="I39" s="149" t="e">
        <f>I29</f>
        <v>#VALUE!</v>
      </c>
      <c r="J39" s="207" t="e">
        <f>I39/I$35</f>
        <v>#VALUE!</v>
      </c>
      <c r="K39" s="149">
        <f>K29</f>
        <v>0</v>
      </c>
      <c r="L39" s="207" t="e">
        <f>K39/K$35</f>
        <v>#DIV/0!</v>
      </c>
      <c r="M39" s="149">
        <f>M29</f>
        <v>0</v>
      </c>
      <c r="N39" s="207" t="e">
        <f>M39/M$35</f>
        <v>#DIV/0!</v>
      </c>
    </row>
    <row r="40" spans="1:14" ht="15" x14ac:dyDescent="0.2">
      <c r="A40" s="154"/>
      <c r="B40" s="1563"/>
      <c r="C40" s="1565" t="s">
        <v>5</v>
      </c>
      <c r="D40" s="1565"/>
      <c r="E40" s="149">
        <f>E33</f>
        <v>0</v>
      </c>
      <c r="F40" s="207" t="e">
        <f>E40/E$35</f>
        <v>#DIV/0!</v>
      </c>
      <c r="G40" s="149">
        <f>G33</f>
        <v>0</v>
      </c>
      <c r="H40" s="207" t="e">
        <f>G40/G$35</f>
        <v>#VALUE!</v>
      </c>
      <c r="I40" s="149">
        <f>I33</f>
        <v>0</v>
      </c>
      <c r="J40" s="207" t="e">
        <f>I40/I$35</f>
        <v>#VALUE!</v>
      </c>
      <c r="K40" s="149">
        <f>K33</f>
        <v>0</v>
      </c>
      <c r="L40" s="207" t="e">
        <f>K40/K$35</f>
        <v>#DIV/0!</v>
      </c>
      <c r="M40" s="149">
        <f>M33</f>
        <v>0</v>
      </c>
      <c r="N40" s="207" t="e">
        <f>M40/M$35</f>
        <v>#DIV/0!</v>
      </c>
    </row>
  </sheetData>
  <mergeCells count="27">
    <mergeCell ref="B3:B4"/>
    <mergeCell ref="C3:C4"/>
    <mergeCell ref="E3:F3"/>
    <mergeCell ref="G3:H3"/>
    <mergeCell ref="I3:J3"/>
    <mergeCell ref="A5:A15"/>
    <mergeCell ref="A17:A22"/>
    <mergeCell ref="A23:A29"/>
    <mergeCell ref="A30:A33"/>
    <mergeCell ref="B35:B40"/>
    <mergeCell ref="C35:D35"/>
    <mergeCell ref="E35:F35"/>
    <mergeCell ref="G35:H35"/>
    <mergeCell ref="I35:J35"/>
    <mergeCell ref="K35:L35"/>
    <mergeCell ref="C39:D39"/>
    <mergeCell ref="C40:D40"/>
    <mergeCell ref="C36:D36"/>
    <mergeCell ref="C37:D37"/>
    <mergeCell ref="C38:D38"/>
    <mergeCell ref="M35:N35"/>
    <mergeCell ref="E2:F2"/>
    <mergeCell ref="G2:H2"/>
    <mergeCell ref="I2:J2"/>
    <mergeCell ref="K2:L2"/>
    <mergeCell ref="M3:N3"/>
    <mergeCell ref="K3:L3"/>
  </mergeCells>
  <dataValidations xWindow="826" yWindow="924" count="8">
    <dataValidation type="list" allowBlank="1" showInputMessage="1" showErrorMessage="1" promptTitle="MINIPELLE" prompt="choisir catégorie" sqref="B30:B32" xr:uid="{00000000-0002-0000-2400-000000000000}">
      <formula1>CATEGORIE_MP</formula1>
    </dataValidation>
    <dataValidation type="list" allowBlank="1" showInputMessage="1" showErrorMessage="1" promptTitle="MO ATELIER" prompt="choisir catégorie" sqref="B17:B21" xr:uid="{00000000-0002-0000-2400-000001000000}">
      <formula1>CATEGORIE_MOA</formula1>
    </dataValidation>
    <dataValidation type="list" allowBlank="1" showInputMessage="1" showErrorMessage="1" promptTitle="Main d'oeuvre ATELIER" prompt="choisir la prestation" sqref="C17:C21" xr:uid="{00000000-0002-0000-2400-000002000000}">
      <formula1>INDIRECT(B17)</formula1>
    </dataValidation>
    <dataValidation type="list" allowBlank="1" showInputMessage="1" showErrorMessage="1" promptTitle="Catégorie MOC" prompt="choisir" sqref="B23:B28" xr:uid="{00000000-0002-0000-2400-000003000000}">
      <formula1>CATEGORIE_MOC</formula1>
    </dataValidation>
    <dataValidation type="list" allowBlank="1" showInputMessage="1" promptTitle="Main d'oeuvre CHANTIER" prompt="choisir la prestation" sqref="C23:C28" xr:uid="{00000000-0002-0000-2400-000004000000}">
      <formula1>INDIRECT(B23)</formula1>
    </dataValidation>
    <dataValidation type="list" allowBlank="1" showInputMessage="1" promptTitle="MINIPELLE" prompt="choisir la prestation" sqref="C30:C32" xr:uid="{00000000-0002-0000-2400-000005000000}">
      <formula1>INDIRECT(B30)</formula1>
    </dataValidation>
    <dataValidation type="list" allowBlank="1" showInputMessage="1" showErrorMessage="1" promptTitle="MATIERES" prompt="choisir le produit" sqref="C5:C15" xr:uid="{00000000-0002-0000-2400-000006000000}">
      <formula1>INDIRECT(B5)</formula1>
    </dataValidation>
    <dataValidation type="list" allowBlank="1" showInputMessage="1" showErrorMessage="1" sqref="B5:B15" xr:uid="{00000000-0002-0000-2400-000007000000}">
      <formula1>MA_CATEGORIE</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published="0" codeName="Feuil51"/>
  <dimension ref="A1:M72"/>
  <sheetViews>
    <sheetView zoomScaleNormal="100" workbookViewId="0">
      <selection activeCell="R26" sqref="R26"/>
    </sheetView>
  </sheetViews>
  <sheetFormatPr baseColWidth="10" defaultColWidth="11.125" defaultRowHeight="18" x14ac:dyDescent="0.2"/>
  <cols>
    <col min="1" max="1" width="18.125" style="210" customWidth="1"/>
    <col min="2" max="2" width="22.5" style="429" customWidth="1"/>
    <col min="3" max="3" width="37.5" style="231" customWidth="1"/>
    <col min="4" max="4" width="7.125" style="232" customWidth="1"/>
    <col min="5" max="5" width="10.625" style="135" hidden="1" customWidth="1"/>
    <col min="6" max="6" width="13.625" style="135" hidden="1" customWidth="1"/>
    <col min="7" max="7" width="10.625" style="135" hidden="1" customWidth="1"/>
    <col min="8" max="8" width="18.625" style="135" hidden="1" customWidth="1"/>
    <col min="9" max="9" width="10.125" style="135" hidden="1" customWidth="1"/>
    <col min="10" max="10" width="13.125" style="135" hidden="1" customWidth="1"/>
    <col min="11" max="11" width="11" style="135" customWidth="1"/>
    <col min="12" max="12" width="14.5" style="135" customWidth="1"/>
    <col min="13" max="13" width="14.5" style="135" hidden="1" customWidth="1"/>
    <col min="14" max="755" width="11.5" customWidth="1"/>
  </cols>
  <sheetData>
    <row r="1" spans="1:13" ht="14.85" customHeight="1" x14ac:dyDescent="0.2">
      <c r="A1" s="215"/>
      <c r="B1" s="216"/>
      <c r="C1" s="215"/>
      <c r="D1" s="217"/>
      <c r="E1" s="215">
        <v>3</v>
      </c>
      <c r="F1" s="215">
        <v>1</v>
      </c>
      <c r="G1" s="215">
        <v>5</v>
      </c>
      <c r="H1" s="215">
        <v>2</v>
      </c>
      <c r="I1" s="215">
        <v>7</v>
      </c>
      <c r="J1" s="215">
        <v>3</v>
      </c>
      <c r="K1" s="215">
        <v>9</v>
      </c>
      <c r="L1" s="215">
        <v>4</v>
      </c>
      <c r="M1" s="215">
        <v>11</v>
      </c>
    </row>
    <row r="2" spans="1:13" ht="35.1" customHeight="1" x14ac:dyDescent="0.2">
      <c r="A2" s="174"/>
      <c r="B2" s="1572" t="s">
        <v>1268</v>
      </c>
      <c r="C2" s="1574" t="s">
        <v>468</v>
      </c>
      <c r="D2" s="115" t="s">
        <v>203</v>
      </c>
      <c r="E2" s="1571" t="s">
        <v>589</v>
      </c>
      <c r="F2" s="1571"/>
      <c r="G2" s="1571" t="s">
        <v>592</v>
      </c>
      <c r="H2" s="1571"/>
      <c r="I2" s="1571" t="s">
        <v>594</v>
      </c>
      <c r="J2" s="1571"/>
      <c r="K2" s="1571" t="s">
        <v>1804</v>
      </c>
      <c r="L2" s="1571"/>
      <c r="M2" s="1376" t="s">
        <v>581</v>
      </c>
    </row>
    <row r="3" spans="1:13" ht="35.1" customHeight="1" x14ac:dyDescent="0.2">
      <c r="A3" s="174"/>
      <c r="B3" s="1573"/>
      <c r="C3" s="1574"/>
      <c r="D3" s="176" t="s">
        <v>222</v>
      </c>
      <c r="E3" s="236" t="s">
        <v>444</v>
      </c>
      <c r="F3" s="431" t="s">
        <v>675</v>
      </c>
      <c r="G3" s="236" t="s">
        <v>444</v>
      </c>
      <c r="H3" s="431" t="s">
        <v>675</v>
      </c>
      <c r="I3" s="236" t="s">
        <v>444</v>
      </c>
      <c r="J3" s="527" t="s">
        <v>675</v>
      </c>
      <c r="K3" s="236" t="s">
        <v>52</v>
      </c>
      <c r="L3" s="527" t="s">
        <v>675</v>
      </c>
      <c r="M3" s="236" t="s">
        <v>444</v>
      </c>
    </row>
    <row r="4" spans="1:13" ht="24" customHeight="1" x14ac:dyDescent="0.2">
      <c r="A4" s="1549" t="s">
        <v>1078</v>
      </c>
      <c r="B4" s="361" t="s">
        <v>127</v>
      </c>
      <c r="C4" s="362" t="s">
        <v>1113</v>
      </c>
      <c r="D4" s="363" t="str">
        <f>IF($C4="","",VLOOKUP($C4,MATIERES!$A$2:$F$427,5,0))</f>
        <v>t</v>
      </c>
      <c r="E4" s="364">
        <f>0</f>
        <v>0</v>
      </c>
      <c r="F4" s="365">
        <f>IF($C4="","",E4*VLOOKUP($C4,MATIERES!$A$2:$F$448,4,0))</f>
        <v>0</v>
      </c>
      <c r="G4" s="364">
        <f>0</f>
        <v>0</v>
      </c>
      <c r="H4" s="365">
        <f>IF($C4="","",G4*VLOOKUP($C4,MATIERES!$A$2:$F$448,4,0))</f>
        <v>0</v>
      </c>
      <c r="I4" s="364">
        <f>0</f>
        <v>0</v>
      </c>
      <c r="J4" s="365">
        <f>IF($C4="","",I4*VLOOKUP($C4,MATIERES!$A$2:$F$448,4,0))</f>
        <v>0</v>
      </c>
      <c r="K4" s="364">
        <f>0.05*1.6</f>
        <v>8.0000000000000016E-2</v>
      </c>
      <c r="L4" s="365">
        <f>IF($C4="","",K4*VLOOKUP($C4,MATIERES!$A$2:$F$448,4,0))</f>
        <v>2.4000000000000004</v>
      </c>
      <c r="M4" s="364">
        <f>0</f>
        <v>0</v>
      </c>
    </row>
    <row r="5" spans="1:13" ht="24" hidden="1" customHeight="1" x14ac:dyDescent="0.2">
      <c r="A5" s="1550"/>
      <c r="B5" s="361" t="s">
        <v>239</v>
      </c>
      <c r="C5" s="362" t="s">
        <v>770</v>
      </c>
      <c r="D5" s="363" t="str">
        <f>IF($C5="","",VLOOKUP($C5,MATIERES!$A$2:$F$427,5,0))</f>
        <v>ml</v>
      </c>
      <c r="E5" s="364">
        <v>1</v>
      </c>
      <c r="F5" s="365">
        <f>IF($C5="","",E5*VLOOKUP($C5,MATIERES!$A$2:$F$448,4,0))</f>
        <v>2</v>
      </c>
      <c r="G5" s="364">
        <v>0</v>
      </c>
      <c r="H5" s="365">
        <f>IF($C5="","",G5*VLOOKUP($C5,MATIERES!$A$2:$F$349,4,0))</f>
        <v>0</v>
      </c>
      <c r="I5" s="364">
        <v>0</v>
      </c>
      <c r="J5" s="365">
        <f>IF($C5="","",I5*VLOOKUP($C5,MATIERES!$A$2:$F$349,4,0))</f>
        <v>0</v>
      </c>
      <c r="K5" s="364">
        <v>0</v>
      </c>
      <c r="L5" s="365">
        <f>IF($C5="","",K5*VLOOKUP($C5,MATIERES!$A$2:$F$349,4,0))</f>
        <v>0</v>
      </c>
      <c r="M5" s="364">
        <v>6</v>
      </c>
    </row>
    <row r="6" spans="1:13" ht="24" hidden="1" customHeight="1" x14ac:dyDescent="0.2">
      <c r="A6" s="1550"/>
      <c r="B6" s="361" t="s">
        <v>239</v>
      </c>
      <c r="C6" s="362" t="s">
        <v>780</v>
      </c>
      <c r="D6" s="363" t="str">
        <f>IF($C6="","",VLOOKUP($C6,MATIERES!$A$2:$F$427,5,0))</f>
        <v>ml</v>
      </c>
      <c r="E6" s="364">
        <f>0</f>
        <v>0</v>
      </c>
      <c r="F6" s="365">
        <f>IF($C6="","",E6*VLOOKUP($C6,MATIERES!$A$2:$F$448,4,0))</f>
        <v>0</v>
      </c>
      <c r="G6" s="364">
        <f>0</f>
        <v>0</v>
      </c>
      <c r="H6" s="365">
        <f>IF($C6="","",G6*VLOOKUP($C6,MATIERES!$A$2:$F$349,4,0))</f>
        <v>0</v>
      </c>
      <c r="I6" s="364">
        <f>0</f>
        <v>0</v>
      </c>
      <c r="J6" s="365">
        <f>IF($C6="","",I6*VLOOKUP($C6,MATIERES!$A$2:$F$349,4,0))</f>
        <v>0</v>
      </c>
      <c r="K6" s="364"/>
      <c r="L6" s="365"/>
      <c r="M6" s="364">
        <v>7</v>
      </c>
    </row>
    <row r="7" spans="1:13" ht="24" hidden="1" customHeight="1" x14ac:dyDescent="0.2">
      <c r="A7" s="1550"/>
      <c r="B7" s="361" t="s">
        <v>239</v>
      </c>
      <c r="C7" s="362" t="s">
        <v>779</v>
      </c>
      <c r="D7" s="363" t="str">
        <f>IF($C7="","",VLOOKUP($C7,MATIERES!$A$2:$F$427,5,0))</f>
        <v>ml</v>
      </c>
      <c r="E7" s="364">
        <f>0</f>
        <v>0</v>
      </c>
      <c r="F7" s="365">
        <f>IF($C7="","",E7*VLOOKUP($C7,MATIERES!$A$2:$F$448,4,0))</f>
        <v>0</v>
      </c>
      <c r="G7" s="364">
        <v>0</v>
      </c>
      <c r="H7" s="365">
        <f>IF($C7="","",G7*VLOOKUP($C7,MATIERES!$A$2:$F$349,4,0))</f>
        <v>0</v>
      </c>
      <c r="I7" s="364">
        <v>0</v>
      </c>
      <c r="J7" s="365">
        <f>IF($C7="","",I7*VLOOKUP($C7,MATIERES!$A$2:$F$349,4,0))</f>
        <v>0</v>
      </c>
      <c r="K7" s="364"/>
      <c r="L7" s="365"/>
      <c r="M7" s="364">
        <v>8</v>
      </c>
    </row>
    <row r="8" spans="1:13" ht="24" hidden="1" customHeight="1" x14ac:dyDescent="0.2">
      <c r="A8" s="1550"/>
      <c r="B8" s="361" t="s">
        <v>1069</v>
      </c>
      <c r="C8" s="362" t="s">
        <v>762</v>
      </c>
      <c r="D8" s="363" t="str">
        <f>IF($C8="","",VLOOKUP($C8,MATIERES!$A$2:$F$427,5,0))</f>
        <v>pc</v>
      </c>
      <c r="E8" s="364">
        <v>1</v>
      </c>
      <c r="F8" s="365">
        <f>IF($C8="","",E8*VLOOKUP($C8,MATIERES!$A$2:$F$448,4,0))</f>
        <v>7.93</v>
      </c>
      <c r="G8" s="364">
        <f>0</f>
        <v>0</v>
      </c>
      <c r="H8" s="365">
        <f>IF($C8="","",G8*VLOOKUP($C8,MATIERES!$A$2:$F$349,4,0))</f>
        <v>0</v>
      </c>
      <c r="I8" s="364">
        <f>0</f>
        <v>0</v>
      </c>
      <c r="J8" s="365">
        <f>IF($C8="","",I8*VLOOKUP($C8,MATIERES!$A$2:$F$349,4,0))</f>
        <v>0</v>
      </c>
      <c r="K8" s="364"/>
      <c r="L8" s="365"/>
      <c r="M8" s="364">
        <v>9</v>
      </c>
    </row>
    <row r="9" spans="1:13" ht="24" hidden="1" customHeight="1" x14ac:dyDescent="0.2">
      <c r="A9" s="1550"/>
      <c r="B9" s="361" t="s">
        <v>1069</v>
      </c>
      <c r="C9" s="362" t="s">
        <v>763</v>
      </c>
      <c r="D9" s="363" t="str">
        <f>IF($C9="","",VLOOKUP($C9,MATIERES!$A$2:$F$427,5,0))</f>
        <v>pc</v>
      </c>
      <c r="E9" s="364">
        <f>0</f>
        <v>0</v>
      </c>
      <c r="F9" s="365">
        <f>IF($C9="","",E9*VLOOKUP($C9,MATIERES!$A$2:$F$448,4,0))</f>
        <v>0</v>
      </c>
      <c r="G9" s="364">
        <f>0</f>
        <v>0</v>
      </c>
      <c r="H9" s="365">
        <f>IF($C9="","",G9*VLOOKUP($C9,MATIERES!$A$2:$F$349,4,0))</f>
        <v>0</v>
      </c>
      <c r="I9" s="364">
        <f>0</f>
        <v>0</v>
      </c>
      <c r="J9" s="365">
        <f>IF($C9="","",I9*VLOOKUP($C9,MATIERES!$A$2:$F$349,4,0))</f>
        <v>0</v>
      </c>
      <c r="K9" s="364"/>
      <c r="L9" s="365"/>
      <c r="M9" s="364">
        <v>10</v>
      </c>
    </row>
    <row r="10" spans="1:13" ht="24" hidden="1" customHeight="1" x14ac:dyDescent="0.2">
      <c r="A10" s="1550"/>
      <c r="B10" s="361" t="s">
        <v>782</v>
      </c>
      <c r="C10" s="362"/>
      <c r="D10" s="363" t="str">
        <f>IF($C10="","",VLOOKUP($C10,MATIERES!$A$2:$F$427,5,0))</f>
        <v/>
      </c>
      <c r="E10" s="364">
        <f>0</f>
        <v>0</v>
      </c>
      <c r="F10" s="365" t="str">
        <f>IF($C10="","",E10*VLOOKUP($C10,MATIERES!$A$2:$F$448,4,0))</f>
        <v/>
      </c>
      <c r="G10" s="364">
        <v>0</v>
      </c>
      <c r="H10" s="365" t="str">
        <f>IF($C10="","",G10*VLOOKUP($C10,MATIERES!$A$2:$F$349,4,0))</f>
        <v/>
      </c>
      <c r="I10" s="364">
        <v>0</v>
      </c>
      <c r="J10" s="365" t="str">
        <f>IF($C10="","",I10*VLOOKUP($C10,MATIERES!$A$2:$F$349,4,0))</f>
        <v/>
      </c>
      <c r="K10" s="364"/>
      <c r="L10" s="365"/>
      <c r="M10" s="364">
        <v>11</v>
      </c>
    </row>
    <row r="11" spans="1:13" ht="24" hidden="1" customHeight="1" x14ac:dyDescent="0.2">
      <c r="A11" s="1550"/>
      <c r="B11" s="361" t="s">
        <v>791</v>
      </c>
      <c r="C11" s="362"/>
      <c r="D11" s="363" t="str">
        <f>IF($C11="","",VLOOKUP($C11,MATIERES!$A$2:$F$427,5,0))</f>
        <v/>
      </c>
      <c r="E11" s="364">
        <f>0</f>
        <v>0</v>
      </c>
      <c r="F11" s="365" t="str">
        <f>IF($C11="","",E11*VLOOKUP($C11,MATIERES!$A$2:$F$448,4,0))</f>
        <v/>
      </c>
      <c r="G11" s="364">
        <f>0</f>
        <v>0</v>
      </c>
      <c r="H11" s="365" t="str">
        <f>IF($C11="","",G11*VLOOKUP($C11,MATIERES!$A$2:$F$349,4,0))</f>
        <v/>
      </c>
      <c r="I11" s="364">
        <f>0</f>
        <v>0</v>
      </c>
      <c r="J11" s="365" t="str">
        <f>IF($C11="","",I11*VLOOKUP($C11,MATIERES!$A$2:$F$349,4,0))</f>
        <v/>
      </c>
      <c r="K11" s="364"/>
      <c r="L11" s="365"/>
      <c r="M11" s="364">
        <v>12</v>
      </c>
    </row>
    <row r="12" spans="1:13" ht="24" hidden="1" customHeight="1" x14ac:dyDescent="0.2">
      <c r="A12" s="1550"/>
      <c r="B12" s="361" t="s">
        <v>736</v>
      </c>
      <c r="C12" s="362" t="s">
        <v>1204</v>
      </c>
      <c r="D12" s="363" t="str">
        <f>IF($C12="","",VLOOKUP($C12,MATIERES!$A$2:$F$427,5,0))</f>
        <v>ml</v>
      </c>
      <c r="E12" s="364">
        <f>0</f>
        <v>0</v>
      </c>
      <c r="F12" s="365">
        <f>IF($C12="","",E12*VLOOKUP($C12,MATIERES!$A$2:$F$448,4,0))</f>
        <v>0</v>
      </c>
      <c r="G12" s="364">
        <v>0</v>
      </c>
      <c r="H12" s="365">
        <f>IF($C12="","",G12*VLOOKUP($C12,MATIERES!$A$2:$F$349,4,0))</f>
        <v>0</v>
      </c>
      <c r="I12" s="364">
        <v>0</v>
      </c>
      <c r="J12" s="365">
        <f>IF($C12="","",I12*VLOOKUP($C12,MATIERES!$A$2:$F$349,4,0))</f>
        <v>0</v>
      </c>
      <c r="K12" s="364"/>
      <c r="L12" s="365"/>
      <c r="M12" s="364">
        <v>13</v>
      </c>
    </row>
    <row r="13" spans="1:13" ht="24" hidden="1" customHeight="1" x14ac:dyDescent="0.2">
      <c r="A13" s="1550"/>
      <c r="B13" s="361" t="s">
        <v>736</v>
      </c>
      <c r="C13" s="362" t="s">
        <v>739</v>
      </c>
      <c r="D13" s="363" t="str">
        <f>IF($C13="","",VLOOKUP($C13,MATIERES!$A$2:$F$427,5,0))</f>
        <v>pc</v>
      </c>
      <c r="E13" s="364">
        <f>0</f>
        <v>0</v>
      </c>
      <c r="F13" s="365">
        <f>IF($C13="","",E13*VLOOKUP($C13,MATIERES!$A$2:$F$448,4,0))</f>
        <v>0</v>
      </c>
      <c r="G13" s="364">
        <f>0</f>
        <v>0</v>
      </c>
      <c r="H13" s="365">
        <f>IF($C13="","",G13*VLOOKUP($C13,MATIERES!$A$2:$F$349,4,0))</f>
        <v>0</v>
      </c>
      <c r="I13" s="364">
        <f>0</f>
        <v>0</v>
      </c>
      <c r="J13" s="365">
        <f>IF($C13="","",I13*VLOOKUP($C13,MATIERES!$A$2:$F$349,4,0))</f>
        <v>0</v>
      </c>
      <c r="K13" s="364"/>
      <c r="L13" s="365"/>
      <c r="M13" s="364">
        <v>14</v>
      </c>
    </row>
    <row r="14" spans="1:13" ht="24" customHeight="1" x14ac:dyDescent="0.2">
      <c r="A14" s="1550"/>
      <c r="B14" s="361" t="s">
        <v>1064</v>
      </c>
      <c r="C14" s="362" t="s">
        <v>748</v>
      </c>
      <c r="D14" s="363" t="str">
        <f>IF($C14="","",VLOOKUP($C14,MATIERES!$A$2:$F$427,5,0))</f>
        <v>m²</v>
      </c>
      <c r="E14" s="364">
        <f>0</f>
        <v>0</v>
      </c>
      <c r="F14" s="365">
        <f>IF($C14="","",E14*VLOOKUP($C14,MATIERES!$A$2:$F$448,4,0))</f>
        <v>0</v>
      </c>
      <c r="G14" s="364">
        <f>0</f>
        <v>0</v>
      </c>
      <c r="H14" s="365">
        <f>IF($C14="","",G14*VLOOKUP($C14,MATIERES!$A$2:$F$349,4,0))</f>
        <v>0</v>
      </c>
      <c r="I14" s="364">
        <f>0</f>
        <v>0</v>
      </c>
      <c r="J14" s="365">
        <f>IF($C14="","",I14*VLOOKUP($C14,MATIERES!$A$2:$F$349,4,0))</f>
        <v>0</v>
      </c>
      <c r="K14" s="364">
        <v>1</v>
      </c>
      <c r="L14" s="365">
        <f>IF($C14="","",K14*VLOOKUP($C14,MATIERES!$A$2:$F$349,4,0))</f>
        <v>0.67459999999999998</v>
      </c>
      <c r="M14" s="364">
        <v>15</v>
      </c>
    </row>
    <row r="15" spans="1:13" ht="15" hidden="1" customHeight="1" x14ac:dyDescent="0.2">
      <c r="A15" s="1550"/>
      <c r="B15" s="361" t="s">
        <v>1064</v>
      </c>
      <c r="C15" s="362"/>
      <c r="D15" s="363" t="str">
        <f>IF($C15="","",VLOOKUP($C15,MATIERES!$A$2:$F$427,5,0))</f>
        <v/>
      </c>
      <c r="E15" s="364">
        <f>0</f>
        <v>0</v>
      </c>
      <c r="F15" s="365" t="str">
        <f>IF($C15="","",E15*VLOOKUP($C15,MATIERES!$A$2:$F$448,4,0))</f>
        <v/>
      </c>
      <c r="G15" s="364">
        <v>0</v>
      </c>
      <c r="H15" s="365" t="str">
        <f>IF($C15="","",G15*VLOOKUP($C15,MATIERES!$A$2:$F$349,4,0))</f>
        <v/>
      </c>
      <c r="I15" s="364">
        <v>0</v>
      </c>
      <c r="J15" s="365" t="str">
        <f>IF($C15="","",I15*VLOOKUP($C15,MATIERES!$A$2:$F$349,4,0))</f>
        <v/>
      </c>
      <c r="K15" s="364"/>
      <c r="L15" s="365" t="str">
        <f>IF($C15="","",K15*VLOOKUP($C15,MATIERES!$A$2:$F$349,4,0))</f>
        <v/>
      </c>
      <c r="M15" s="364">
        <v>16</v>
      </c>
    </row>
    <row r="16" spans="1:13" ht="15" hidden="1" customHeight="1" x14ac:dyDescent="0.2">
      <c r="A16" s="1550"/>
      <c r="B16" s="361" t="s">
        <v>1064</v>
      </c>
      <c r="C16" s="362"/>
      <c r="D16" s="363" t="str">
        <f>IF($C16="","",VLOOKUP($C16,MATIERES!$A$2:$F$427,5,0))</f>
        <v/>
      </c>
      <c r="E16" s="364">
        <f>0</f>
        <v>0</v>
      </c>
      <c r="F16" s="365" t="str">
        <f>IF($C16="","",E16*VLOOKUP($C16,MATIERES!$A$2:$F$448,4,0))</f>
        <v/>
      </c>
      <c r="G16" s="364">
        <f>0</f>
        <v>0</v>
      </c>
      <c r="H16" s="365" t="str">
        <f>IF($C16="","",G16*VLOOKUP($C16,MATIERES!$A$2:$F$349,4,0))</f>
        <v/>
      </c>
      <c r="I16" s="364">
        <f>0</f>
        <v>0</v>
      </c>
      <c r="J16" s="365" t="str">
        <f>IF($C16="","",I16*VLOOKUP($C16,MATIERES!$A$2:$F$349,4,0))</f>
        <v/>
      </c>
      <c r="K16" s="364"/>
      <c r="L16" s="365" t="str">
        <f>IF($C16="","",K16*VLOOKUP($C16,MATIERES!$A$2:$F$349,4,0))</f>
        <v/>
      </c>
      <c r="M16" s="364">
        <v>17</v>
      </c>
    </row>
    <row r="17" spans="1:13" ht="15" hidden="1" customHeight="1" x14ac:dyDescent="0.2">
      <c r="A17" s="1551"/>
      <c r="B17" s="361" t="s">
        <v>1064</v>
      </c>
      <c r="C17" s="362"/>
      <c r="D17" s="363" t="str">
        <f>IF($C17="","",VLOOKUP($C17,MATIERES!$A$2:$F$427,5,0))</f>
        <v/>
      </c>
      <c r="E17" s="364">
        <f>0</f>
        <v>0</v>
      </c>
      <c r="F17" s="365" t="str">
        <f>IF($C17="","",E17*VLOOKUP($C17,MATIERES!$A$2:$F$448,4,0))</f>
        <v/>
      </c>
      <c r="G17" s="364">
        <v>0</v>
      </c>
      <c r="H17" s="365" t="str">
        <f>IF($C17="","",G17*VLOOKUP($C17,MATIERES!$A$2:$F$349,4,0))</f>
        <v/>
      </c>
      <c r="I17" s="364">
        <v>0</v>
      </c>
      <c r="J17" s="365" t="str">
        <f>IF($C17="","",I17*VLOOKUP($C17,MATIERES!$A$2:$F$349,4,0))</f>
        <v/>
      </c>
      <c r="K17" s="364"/>
      <c r="L17" s="365" t="str">
        <f>IF($C17="","",K17*VLOOKUP($C17,MATIERES!$A$2:$F$349,4,0))</f>
        <v/>
      </c>
      <c r="M17" s="364">
        <v>18</v>
      </c>
    </row>
    <row r="18" spans="1:13" ht="15" hidden="1" customHeight="1" x14ac:dyDescent="0.2">
      <c r="A18" s="1550"/>
      <c r="B18" s="361" t="s">
        <v>1064</v>
      </c>
      <c r="C18" s="362"/>
      <c r="D18" s="363" t="str">
        <f>IF($C18="","",VLOOKUP($C18,MATIERES!$A$2:$F$427,5,0))</f>
        <v/>
      </c>
      <c r="E18" s="364">
        <f>0</f>
        <v>0</v>
      </c>
      <c r="F18" s="365" t="str">
        <f>IF($C18="","",E18*VLOOKUP($C18,MATIERES!$A$2:$F$448,4,0))</f>
        <v/>
      </c>
      <c r="G18" s="364">
        <f>0</f>
        <v>0</v>
      </c>
      <c r="H18" s="365" t="str">
        <f>IF($C18="","",G18*VLOOKUP($C18,MATIERES!$A$2:$F$349,4,0))</f>
        <v/>
      </c>
      <c r="I18" s="364">
        <f>0</f>
        <v>0</v>
      </c>
      <c r="J18" s="365" t="str">
        <f>IF($C18="","",I18*VLOOKUP($C18,MATIERES!$A$2:$F$349,4,0))</f>
        <v/>
      </c>
      <c r="K18" s="364"/>
      <c r="L18" s="365" t="str">
        <f>IF($C18="","",K18*VLOOKUP($C18,MATIERES!$A$2:$F$349,4,0))</f>
        <v/>
      </c>
      <c r="M18" s="364">
        <v>19</v>
      </c>
    </row>
    <row r="19" spans="1:13" ht="15" hidden="1" customHeight="1" x14ac:dyDescent="0.2">
      <c r="A19" s="1550"/>
      <c r="B19" s="361" t="s">
        <v>1064</v>
      </c>
      <c r="C19" s="362"/>
      <c r="D19" s="363" t="str">
        <f>IF($C19="","",VLOOKUP($C19,MATIERES!$A$2:$F$427,5,0))</f>
        <v/>
      </c>
      <c r="E19" s="364">
        <f>0</f>
        <v>0</v>
      </c>
      <c r="F19" s="365" t="str">
        <f>IF($C19="","",E19*VLOOKUP($C19,MATIERES!$A$2:$F$448,4,0))</f>
        <v/>
      </c>
      <c r="G19" s="364">
        <f>0</f>
        <v>0</v>
      </c>
      <c r="H19" s="365" t="str">
        <f>IF($C19="","",G19*VLOOKUP($C19,MATIERES!$A$2:$F$349,4,0))</f>
        <v/>
      </c>
      <c r="I19" s="364">
        <f>0</f>
        <v>0</v>
      </c>
      <c r="J19" s="365" t="str">
        <f>IF($C19="","",I19*VLOOKUP($C19,MATIERES!$A$2:$F$349,4,0))</f>
        <v/>
      </c>
      <c r="K19" s="364"/>
      <c r="L19" s="365" t="str">
        <f>IF($C19="","",K19*VLOOKUP($C19,MATIERES!$A$2:$F$349,4,0))</f>
        <v/>
      </c>
      <c r="M19" s="364">
        <v>20</v>
      </c>
    </row>
    <row r="20" spans="1:13" ht="15" hidden="1" customHeight="1" x14ac:dyDescent="0.2">
      <c r="A20" s="1550"/>
      <c r="B20" s="361" t="s">
        <v>1064</v>
      </c>
      <c r="C20" s="362"/>
      <c r="D20" s="363" t="str">
        <f>IF($C20="","",VLOOKUP($C20,MATIERES!$A$2:$F$427,5,0))</f>
        <v/>
      </c>
      <c r="E20" s="364">
        <f>0</f>
        <v>0</v>
      </c>
      <c r="F20" s="365" t="str">
        <f>IF($C20="","",E20*VLOOKUP($C20,MATIERES!$A$2:$F$448,4,0))</f>
        <v/>
      </c>
      <c r="G20" s="364">
        <v>0</v>
      </c>
      <c r="H20" s="365" t="str">
        <f>IF($C20="","",G20*VLOOKUP($C20,MATIERES!$A$2:$F$349,4,0))</f>
        <v/>
      </c>
      <c r="I20" s="364">
        <v>0</v>
      </c>
      <c r="J20" s="365" t="str">
        <f>IF($C20="","",I20*VLOOKUP($C20,MATIERES!$A$2:$F$349,4,0))</f>
        <v/>
      </c>
      <c r="K20" s="364"/>
      <c r="L20" s="365" t="str">
        <f>IF($C20="","",K20*VLOOKUP($C20,MATIERES!$A$2:$F$349,4,0))</f>
        <v/>
      </c>
      <c r="M20" s="364">
        <v>21</v>
      </c>
    </row>
    <row r="21" spans="1:13" ht="15" hidden="1" customHeight="1" x14ac:dyDescent="0.2">
      <c r="A21" s="1550"/>
      <c r="B21" s="361" t="s">
        <v>1064</v>
      </c>
      <c r="C21" s="362"/>
      <c r="D21" s="363" t="str">
        <f>IF($C21="","",VLOOKUP($C21,MATIERES!$A$2:$F$427,5,0))</f>
        <v/>
      </c>
      <c r="E21" s="364">
        <f>0</f>
        <v>0</v>
      </c>
      <c r="F21" s="365" t="str">
        <f>IF($C21="","",E21*VLOOKUP($C21,MATIERES!$A$2:$F$448,4,0))</f>
        <v/>
      </c>
      <c r="G21" s="364">
        <f>0</f>
        <v>0</v>
      </c>
      <c r="H21" s="365" t="str">
        <f>IF($C21="","",G21*VLOOKUP($C21,MATIERES!$A$2:$F$349,4,0))</f>
        <v/>
      </c>
      <c r="I21" s="364">
        <f>0</f>
        <v>0</v>
      </c>
      <c r="J21" s="365" t="str">
        <f>IF($C21="","",I21*VLOOKUP($C21,MATIERES!$A$2:$F$349,4,0))</f>
        <v/>
      </c>
      <c r="K21" s="364"/>
      <c r="L21" s="365" t="str">
        <f>IF($C21="","",K21*VLOOKUP($C21,MATIERES!$A$2:$F$349,4,0))</f>
        <v/>
      </c>
      <c r="M21" s="364">
        <v>22</v>
      </c>
    </row>
    <row r="22" spans="1:13" ht="15" hidden="1" customHeight="1" x14ac:dyDescent="0.2">
      <c r="A22" s="1550"/>
      <c r="B22" s="361" t="s">
        <v>1064</v>
      </c>
      <c r="C22" s="362"/>
      <c r="D22" s="363" t="str">
        <f>IF($C22="","",VLOOKUP($C22,MATIERES!$A$2:$F$427,5,0))</f>
        <v/>
      </c>
      <c r="E22" s="364">
        <f>0</f>
        <v>0</v>
      </c>
      <c r="F22" s="365" t="str">
        <f>IF($C22="","",E22*VLOOKUP($C22,MATIERES!$A$2:$F$448,4,0))</f>
        <v/>
      </c>
      <c r="G22" s="364">
        <v>0</v>
      </c>
      <c r="H22" s="365" t="str">
        <f>IF($C22="","",G22*VLOOKUP($C22,MATIERES!$A$2:$F$349,4,0))</f>
        <v/>
      </c>
      <c r="I22" s="364">
        <v>0</v>
      </c>
      <c r="J22" s="365" t="str">
        <f>IF($C22="","",I22*VLOOKUP($C22,MATIERES!$A$2:$F$349,4,0))</f>
        <v/>
      </c>
      <c r="K22" s="364"/>
      <c r="L22" s="365" t="str">
        <f>IF($C22="","",K22*VLOOKUP($C22,MATIERES!$A$2:$F$349,4,0))</f>
        <v/>
      </c>
      <c r="M22" s="364">
        <v>23</v>
      </c>
    </row>
    <row r="23" spans="1:13" ht="15" hidden="1" customHeight="1" x14ac:dyDescent="0.2">
      <c r="A23" s="1550"/>
      <c r="B23" s="361"/>
      <c r="C23" s="362"/>
      <c r="D23" s="363" t="str">
        <f>IF($C23="","",VLOOKUP($C23,MATIERES!$A$2:$F$227,5,0))</f>
        <v/>
      </c>
      <c r="E23" s="364">
        <f>0</f>
        <v>0</v>
      </c>
      <c r="F23" s="365" t="str">
        <f>IF($C23="","",E23*VLOOKUP($C23,MATIERES!$A$2:$F$349,4,0))</f>
        <v/>
      </c>
      <c r="G23" s="364">
        <f>0</f>
        <v>0</v>
      </c>
      <c r="H23" s="365" t="str">
        <f>IF($C23="","",G23*VLOOKUP($C23,MATIERES!$A$2:$F$349,4,0))</f>
        <v/>
      </c>
      <c r="I23" s="364">
        <v>22</v>
      </c>
      <c r="J23" s="365" t="str">
        <f>IF($C23="","",I23*VLOOKUP($C23,MATIERES!$A$2:$F$349,4,0))</f>
        <v/>
      </c>
      <c r="K23" s="364"/>
      <c r="L23" s="365" t="str">
        <f>IF($C23="","",K23*VLOOKUP($C23,MATIERES!$A$2:$F$349,4,0))</f>
        <v/>
      </c>
      <c r="M23" s="364">
        <v>24</v>
      </c>
    </row>
    <row r="24" spans="1:13" ht="15" hidden="1" customHeight="1" x14ac:dyDescent="0.2">
      <c r="A24" s="1550"/>
      <c r="B24" s="361"/>
      <c r="C24" s="362"/>
      <c r="D24" s="363" t="str">
        <f>IF($C24="","",VLOOKUP($C24,MATIERES!$A$2:$F$227,5,0))</f>
        <v/>
      </c>
      <c r="E24" s="364">
        <f>0</f>
        <v>0</v>
      </c>
      <c r="F24" s="365" t="str">
        <f>IF($C24="","",E24*VLOOKUP($C24,MATIERES!$A$2:$F$349,4,0))</f>
        <v/>
      </c>
      <c r="G24" s="364">
        <v>22</v>
      </c>
      <c r="H24" s="365" t="str">
        <f>IF($C24="","",G24*VLOOKUP($C24,MATIERES!$A$2:$F$349,4,0))</f>
        <v/>
      </c>
      <c r="I24" s="364">
        <v>23</v>
      </c>
      <c r="J24" s="365" t="str">
        <f>IF($C24="","",I24*VLOOKUP($C24,MATIERES!$A$2:$F$349,4,0))</f>
        <v/>
      </c>
      <c r="K24" s="364"/>
      <c r="L24" s="365" t="str">
        <f>IF($C24="","",K24*VLOOKUP($C24,MATIERES!$A$2:$F$349,4,0))</f>
        <v/>
      </c>
      <c r="M24" s="364">
        <v>25</v>
      </c>
    </row>
    <row r="25" spans="1:13" ht="15" hidden="1" customHeight="1" x14ac:dyDescent="0.2">
      <c r="A25" s="1550"/>
      <c r="B25" s="361"/>
      <c r="C25" s="362"/>
      <c r="D25" s="363" t="str">
        <f>IF($C25="","",VLOOKUP($C25,MATIERES!$A$2:$F$227,5,0))</f>
        <v/>
      </c>
      <c r="E25" s="364">
        <f>0</f>
        <v>0</v>
      </c>
      <c r="F25" s="365" t="str">
        <f>IF($C25="","",E25*VLOOKUP($C25,MATIERES!$A$2:$F$349,4,0))</f>
        <v/>
      </c>
      <c r="G25" s="364">
        <v>23</v>
      </c>
      <c r="H25" s="365" t="str">
        <f>IF($C25="","",G25*VLOOKUP($C25,MATIERES!$A$2:$F$349,4,0))</f>
        <v/>
      </c>
      <c r="I25" s="364">
        <v>24</v>
      </c>
      <c r="J25" s="365" t="str">
        <f>IF($C25="","",I25*VLOOKUP($C25,MATIERES!$A$2:$F$349,4,0))</f>
        <v/>
      </c>
      <c r="K25" s="364"/>
      <c r="L25" s="365" t="str">
        <f>IF($C25="","",K25*VLOOKUP($C25,MATIERES!$A$2:$F$349,4,0))</f>
        <v/>
      </c>
      <c r="M25" s="364">
        <v>26</v>
      </c>
    </row>
    <row r="26" spans="1:13" ht="30" customHeight="1" x14ac:dyDescent="0.2">
      <c r="A26" s="366"/>
      <c r="B26" s="367" t="s">
        <v>1173</v>
      </c>
      <c r="C26" s="368" t="s">
        <v>446</v>
      </c>
      <c r="D26" s="369" t="s">
        <v>447</v>
      </c>
      <c r="E26" s="370">
        <f>F26*(1+Simulation!$P$11)</f>
        <v>12.909000000000001</v>
      </c>
      <c r="F26" s="371">
        <f>SUM(F4:F25)</f>
        <v>9.93</v>
      </c>
      <c r="G26" s="370">
        <f>H26*(1+Simulation!$P$11)</f>
        <v>0</v>
      </c>
      <c r="H26" s="371">
        <f>SUM(H4:H25)</f>
        <v>0</v>
      </c>
      <c r="I26" s="370">
        <f>J26*(1+Simulation!$P$11)</f>
        <v>0</v>
      </c>
      <c r="J26" s="371">
        <f>SUM(J4:J25)</f>
        <v>0</v>
      </c>
      <c r="K26" s="370">
        <f>L26*(1+Simulation!$P$11)</f>
        <v>3.9969800000000006</v>
      </c>
      <c r="L26" s="371">
        <f>SUM(L4:L25)</f>
        <v>3.0746000000000002</v>
      </c>
      <c r="M26" s="370" t="e">
        <f>#REF!*(1+Simulation!$P$11)</f>
        <v>#REF!</v>
      </c>
    </row>
    <row r="27" spans="1:13" ht="15" customHeight="1" x14ac:dyDescent="0.2">
      <c r="A27" s="1553" t="s">
        <v>448</v>
      </c>
      <c r="B27" s="361" t="s">
        <v>1154</v>
      </c>
      <c r="C27" s="362"/>
      <c r="D27" s="363" t="str">
        <f>IF($C27="","",VLOOKUP($C27,ATELIER!$A$2:$E$109,3,0))</f>
        <v/>
      </c>
      <c r="E27" s="364">
        <v>1</v>
      </c>
      <c r="F27" s="372" t="str">
        <f>IF($C27="","",E27*VLOOKUP($C27,ATELIER!$A$2:$F$109,4,0))</f>
        <v/>
      </c>
      <c r="G27" s="364">
        <f>0</f>
        <v>0</v>
      </c>
      <c r="H27" s="372" t="str">
        <f>IF($C27="","",G27*VLOOKUP($C27,ATELIER!$A$2:$F$109,4,0))</f>
        <v/>
      </c>
      <c r="I27" s="364">
        <f>0</f>
        <v>0</v>
      </c>
      <c r="J27" s="372" t="str">
        <f>IF($C27="","",I27*VLOOKUP($C27,ATELIER!$A$2:$F$109,4,0))</f>
        <v/>
      </c>
      <c r="K27" s="364"/>
      <c r="L27" s="372" t="str">
        <f>IF($C27="","",K27*VLOOKUP($C27,ATELIER!$A$2:$F$109,4,0))</f>
        <v/>
      </c>
      <c r="M27" s="364">
        <f>0</f>
        <v>0</v>
      </c>
    </row>
    <row r="28" spans="1:13" ht="15" hidden="1" customHeight="1" x14ac:dyDescent="0.2">
      <c r="A28" s="1553"/>
      <c r="B28" s="361" t="s">
        <v>1156</v>
      </c>
      <c r="C28" s="362"/>
      <c r="D28" s="363" t="str">
        <f>IF($C28="","",VLOOKUP($C28,ATELIER!$A$2:$E$109,3,0))</f>
        <v/>
      </c>
      <c r="E28" s="364">
        <f>0</f>
        <v>0</v>
      </c>
      <c r="F28" s="372" t="str">
        <f>IF($C28="","",E28*VLOOKUP($C28,ATELIER!$A$2:$F$109,4,0))</f>
        <v/>
      </c>
      <c r="G28" s="364">
        <f>0</f>
        <v>0</v>
      </c>
      <c r="H28" s="372" t="str">
        <f>IF($C28="","",G28*VLOOKUP($C28,ATELIER!$A$2:$F$109,4,0))</f>
        <v/>
      </c>
      <c r="I28" s="364">
        <f>0</f>
        <v>0</v>
      </c>
      <c r="J28" s="372" t="str">
        <f>IF($C28="","",I28*VLOOKUP($C28,ATELIER!$A$2:$F$109,4,0))</f>
        <v/>
      </c>
      <c r="K28" s="364">
        <f>0</f>
        <v>0</v>
      </c>
      <c r="L28" s="372" t="str">
        <f>IF($C28="","",K28*VLOOKUP($C28,ATELIER!$A$2:$F$109,4,0))</f>
        <v/>
      </c>
      <c r="M28" s="364">
        <f>0</f>
        <v>0</v>
      </c>
    </row>
    <row r="29" spans="1:13" ht="15" hidden="1" customHeight="1" x14ac:dyDescent="0.2">
      <c r="A29" s="1552"/>
      <c r="B29" s="361" t="s">
        <v>1154</v>
      </c>
      <c r="C29" s="374"/>
      <c r="D29" s="363" t="str">
        <f>IF($C29="","",VLOOKUP($C29,ATELIER!$A$2:$E$109,3,0))</f>
        <v/>
      </c>
      <c r="E29" s="364">
        <f>0</f>
        <v>0</v>
      </c>
      <c r="F29" s="372" t="str">
        <f>IF($C29="","",E29*VLOOKUP($C29,ATELIER!$A$2:$F$109,4,0))</f>
        <v/>
      </c>
      <c r="G29" s="364">
        <f>0</f>
        <v>0</v>
      </c>
      <c r="H29" s="372" t="str">
        <f>IF($C29="","",G29*VLOOKUP($C29,ATELIER!$A$2:$F$109,4,0))</f>
        <v/>
      </c>
      <c r="I29" s="364">
        <f>0</f>
        <v>0</v>
      </c>
      <c r="J29" s="372" t="str">
        <f>IF($C29="","",I29*VLOOKUP($C29,ATELIER!$A$2:$F$109,4,0))</f>
        <v/>
      </c>
      <c r="K29" s="364">
        <f>0</f>
        <v>0</v>
      </c>
      <c r="L29" s="372" t="str">
        <f>IF($C29="","",K29*VLOOKUP($C29,ATELIER!$A$2:$F$109,4,0))</f>
        <v/>
      </c>
      <c r="M29" s="364">
        <f>0</f>
        <v>0</v>
      </c>
    </row>
    <row r="30" spans="1:13" ht="15" hidden="1" customHeight="1" x14ac:dyDescent="0.2">
      <c r="A30" s="1553"/>
      <c r="B30" s="361" t="s">
        <v>1154</v>
      </c>
      <c r="C30" s="362"/>
      <c r="D30" s="363" t="str">
        <f>IF($C30="","",VLOOKUP($C30,ATELIER!$A$2:$E$109,3,0))</f>
        <v/>
      </c>
      <c r="E30" s="364">
        <f>0</f>
        <v>0</v>
      </c>
      <c r="F30" s="372" t="str">
        <f>IF($C30="","",E30*VLOOKUP($C30,ATELIER!$A$2:$F$109,4,0))</f>
        <v/>
      </c>
      <c r="G30" s="364">
        <f>0</f>
        <v>0</v>
      </c>
      <c r="H30" s="372" t="str">
        <f>IF($C30="","",G30*VLOOKUP($C30,ATELIER!$A$2:$F$109,4,0))</f>
        <v/>
      </c>
      <c r="I30" s="364">
        <f>0</f>
        <v>0</v>
      </c>
      <c r="J30" s="372" t="str">
        <f>IF($C30="","",I30*VLOOKUP($C30,ATELIER!$A$2:$F$109,4,0))</f>
        <v/>
      </c>
      <c r="K30" s="364">
        <f>0</f>
        <v>0</v>
      </c>
      <c r="L30" s="372" t="str">
        <f>IF($C30="","",K30*VLOOKUP($C30,ATELIER!$A$2:$F$109,4,0))</f>
        <v/>
      </c>
      <c r="M30" s="364">
        <f>0</f>
        <v>0</v>
      </c>
    </row>
    <row r="31" spans="1:13" ht="15" hidden="1" customHeight="1" x14ac:dyDescent="0.2">
      <c r="A31" s="1553"/>
      <c r="B31" s="361" t="s">
        <v>1154</v>
      </c>
      <c r="C31" s="362"/>
      <c r="D31" s="363" t="str">
        <f>IF($C31="","",VLOOKUP($C31,ATELIER!$A$2:$E$109,3,0))</f>
        <v/>
      </c>
      <c r="E31" s="364">
        <f>0</f>
        <v>0</v>
      </c>
      <c r="F31" s="372" t="str">
        <f>IF($C31="","",E31*VLOOKUP($C31,ATELIER!$A$2:$F$109,4,0))</f>
        <v/>
      </c>
      <c r="G31" s="364">
        <f>0</f>
        <v>0</v>
      </c>
      <c r="H31" s="372" t="str">
        <f>IF($C31="","",G31*VLOOKUP($C31,ATELIER!$A$2:$F$109,4,0))</f>
        <v/>
      </c>
      <c r="I31" s="364">
        <f>0</f>
        <v>0</v>
      </c>
      <c r="J31" s="372" t="str">
        <f>IF($C31="","",I31*VLOOKUP($C31,ATELIER!$A$2:$F$109,4,0))</f>
        <v/>
      </c>
      <c r="K31" s="364">
        <f>0</f>
        <v>0</v>
      </c>
      <c r="L31" s="372" t="str">
        <f>IF($C31="","",K31*VLOOKUP($C31,ATELIER!$A$2:$F$109,4,0))</f>
        <v/>
      </c>
      <c r="M31" s="364">
        <f>0</f>
        <v>0</v>
      </c>
    </row>
    <row r="32" spans="1:13" ht="15" hidden="1" customHeight="1" x14ac:dyDescent="0.2">
      <c r="A32" s="1553"/>
      <c r="B32" s="361" t="str">
        <f>IF($C32="","",VLOOKUP($C32,ATELIER!$B$2:$F$109,2,0))</f>
        <v/>
      </c>
      <c r="C32" s="362"/>
      <c r="D32" s="363" t="str">
        <f>IF($C32="","",VLOOKUP($C32,ATELIER!$A$2:$E$109,3,0))</f>
        <v/>
      </c>
      <c r="E32" s="364">
        <f>0</f>
        <v>0</v>
      </c>
      <c r="F32" s="372" t="str">
        <f>IF($C32="","",E32*VLOOKUP($C32,ATELIER!$A$2:$F$109,4,0))</f>
        <v/>
      </c>
      <c r="G32" s="364">
        <f>0</f>
        <v>0</v>
      </c>
      <c r="H32" s="372" t="str">
        <f>IF($C32="","",G32*VLOOKUP($C32,ATELIER!$A$2:$F$109,4,0))</f>
        <v/>
      </c>
      <c r="I32" s="364">
        <f>0</f>
        <v>0</v>
      </c>
      <c r="J32" s="372" t="str">
        <f>IF($C32="","",I32*VLOOKUP($C32,ATELIER!$A$2:$F$109,4,0))</f>
        <v/>
      </c>
      <c r="K32" s="364">
        <f>0</f>
        <v>0</v>
      </c>
      <c r="L32" s="372" t="str">
        <f>IF($C32="","",K32*VLOOKUP($C32,ATELIER!$A$2:$F$109,4,0))</f>
        <v/>
      </c>
      <c r="M32" s="364">
        <f>0</f>
        <v>0</v>
      </c>
    </row>
    <row r="33" spans="1:13" ht="15" hidden="1" customHeight="1" x14ac:dyDescent="0.2">
      <c r="A33" s="1553"/>
      <c r="B33" s="361" t="str">
        <f>IF($C33="","",VLOOKUP($C33,ATELIER!$B$2:$F$109,2,0))</f>
        <v/>
      </c>
      <c r="C33" s="362"/>
      <c r="D33" s="363" t="str">
        <f>IF($C33="","",VLOOKUP($C33,ATELIER!$A$2:$E$109,3,0))</f>
        <v/>
      </c>
      <c r="E33" s="364">
        <f>0</f>
        <v>0</v>
      </c>
      <c r="F33" s="372" t="str">
        <f>IF($C33="","",E33*VLOOKUP($C33,ATELIER!$A$2:$F$109,4,0))</f>
        <v/>
      </c>
      <c r="G33" s="364">
        <f>0</f>
        <v>0</v>
      </c>
      <c r="H33" s="372" t="str">
        <f>IF($C33="","",G33*VLOOKUP($C33,ATELIER!$A$2:$F$109,4,0))</f>
        <v/>
      </c>
      <c r="I33" s="364">
        <f>0</f>
        <v>0</v>
      </c>
      <c r="J33" s="372" t="str">
        <f>IF($C33="","",I33*VLOOKUP($C33,ATELIER!$A$2:$F$109,4,0))</f>
        <v/>
      </c>
      <c r="K33" s="364">
        <f>0</f>
        <v>0</v>
      </c>
      <c r="L33" s="372" t="str">
        <f>IF($C33="","",K33*VLOOKUP($C33,ATELIER!$A$2:$F$109,4,0))</f>
        <v/>
      </c>
      <c r="M33" s="364">
        <f>0</f>
        <v>0</v>
      </c>
    </row>
    <row r="34" spans="1:13" ht="15" hidden="1" customHeight="1" x14ac:dyDescent="0.2">
      <c r="A34" s="1553"/>
      <c r="B34" s="361" t="str">
        <f>IF($C34="","",VLOOKUP($C34,ATELIER!$B$2:$F$109,2,0))</f>
        <v/>
      </c>
      <c r="C34" s="362"/>
      <c r="D34" s="363" t="str">
        <f>IF($C34="","",VLOOKUP($C34,ATELIER!$A$2:$E$109,3,0))</f>
        <v/>
      </c>
      <c r="E34" s="364">
        <f>0</f>
        <v>0</v>
      </c>
      <c r="F34" s="372" t="str">
        <f>IF($C34="","",E34*VLOOKUP($C34,ATELIER!$A$2:$F$109,4,0))</f>
        <v/>
      </c>
      <c r="G34" s="364">
        <f>0</f>
        <v>0</v>
      </c>
      <c r="H34" s="372" t="str">
        <f>IF($C34="","",G34*VLOOKUP($C34,ATELIER!$A$2:$F$109,4,0))</f>
        <v/>
      </c>
      <c r="I34" s="364">
        <f>0</f>
        <v>0</v>
      </c>
      <c r="J34" s="372" t="str">
        <f>IF($C34="","",I34*VLOOKUP($C34,ATELIER!$A$2:$F$109,4,0))</f>
        <v/>
      </c>
      <c r="K34" s="364">
        <f>0</f>
        <v>0</v>
      </c>
      <c r="L34" s="372" t="str">
        <f>IF($C34="","",K34*VLOOKUP($C34,ATELIER!$A$2:$F$109,4,0))</f>
        <v/>
      </c>
      <c r="M34" s="364">
        <f>0</f>
        <v>0</v>
      </c>
    </row>
    <row r="35" spans="1:13" ht="15" hidden="1" customHeight="1" x14ac:dyDescent="0.2">
      <c r="A35" s="1553"/>
      <c r="B35" s="361" t="str">
        <f>IF($C35="","",VLOOKUP($C35,ATELIER!$B$2:$F$109,2,0))</f>
        <v/>
      </c>
      <c r="C35" s="362"/>
      <c r="D35" s="363" t="str">
        <f>IF($C35="","",VLOOKUP($C35,ATELIER!$A$2:$E$109,3,0))</f>
        <v/>
      </c>
      <c r="E35" s="364">
        <f>0</f>
        <v>0</v>
      </c>
      <c r="F35" s="372" t="str">
        <f>IF($C35="","",E35*VLOOKUP($C35,ATELIER!$A$2:$F$109,4,0))</f>
        <v/>
      </c>
      <c r="G35" s="364">
        <f>0</f>
        <v>0</v>
      </c>
      <c r="H35" s="372" t="str">
        <f>IF($C35="","",G35*VLOOKUP($C35,ATELIER!$A$2:$F$109,4,0))</f>
        <v/>
      </c>
      <c r="I35" s="364">
        <f>0</f>
        <v>0</v>
      </c>
      <c r="J35" s="372" t="str">
        <f>IF($C35="","",I35*VLOOKUP($C35,ATELIER!$A$2:$F$109,4,0))</f>
        <v/>
      </c>
      <c r="K35" s="364">
        <f>0</f>
        <v>0</v>
      </c>
      <c r="L35" s="372" t="str">
        <f>IF($C35="","",K35*VLOOKUP($C35,ATELIER!$A$2:$F$109,4,0))</f>
        <v/>
      </c>
      <c r="M35" s="364">
        <f>0</f>
        <v>0</v>
      </c>
    </row>
    <row r="36" spans="1:13" ht="15" hidden="1" customHeight="1" x14ac:dyDescent="0.2">
      <c r="A36" s="1553"/>
      <c r="B36" s="361" t="str">
        <f>IF($C36="","",VLOOKUP($C36,ATELIER!$B$2:$F$109,2,0))</f>
        <v/>
      </c>
      <c r="C36" s="362"/>
      <c r="D36" s="363" t="str">
        <f>IF($C36="","",VLOOKUP($C36,ATELIER!$A$2:$E$109,3,0))</f>
        <v/>
      </c>
      <c r="E36" s="364">
        <f>0</f>
        <v>0</v>
      </c>
      <c r="F36" s="372" t="str">
        <f>IF($C36="","",E36*VLOOKUP($C36,ATELIER!$A$2:$F$109,4,0))</f>
        <v/>
      </c>
      <c r="G36" s="364">
        <f>0</f>
        <v>0</v>
      </c>
      <c r="H36" s="372" t="str">
        <f>IF($C36="","",G36*VLOOKUP($C36,ATELIER!$A$2:$F$109,4,0))</f>
        <v/>
      </c>
      <c r="I36" s="364">
        <f>0</f>
        <v>0</v>
      </c>
      <c r="J36" s="372" t="str">
        <f>IF($C36="","",I36*VLOOKUP($C36,ATELIER!$A$2:$F$109,4,0))</f>
        <v/>
      </c>
      <c r="K36" s="364">
        <f>0</f>
        <v>0</v>
      </c>
      <c r="L36" s="372" t="str">
        <f>IF($C36="","",K36*VLOOKUP($C36,ATELIER!$A$2:$F$109,4,0))</f>
        <v/>
      </c>
      <c r="M36" s="364">
        <f>0</f>
        <v>0</v>
      </c>
    </row>
    <row r="37" spans="1:13" ht="15" hidden="1" customHeight="1" x14ac:dyDescent="0.2">
      <c r="A37" s="1553"/>
      <c r="B37" s="361" t="str">
        <f>IF($C37="","",VLOOKUP($C37,ATELIER!$B$2:$F$109,2,0))</f>
        <v/>
      </c>
      <c r="C37" s="362"/>
      <c r="D37" s="363" t="str">
        <f>IF($C37="","",VLOOKUP($C37,ATELIER!$A$2:$E$109,3,0))</f>
        <v/>
      </c>
      <c r="E37" s="364">
        <f>0</f>
        <v>0</v>
      </c>
      <c r="F37" s="372" t="str">
        <f>IF($C37="","",E37*VLOOKUP($C37,ATELIER!$A$2:$F$109,4,0))</f>
        <v/>
      </c>
      <c r="G37" s="364">
        <f>0</f>
        <v>0</v>
      </c>
      <c r="H37" s="372" t="str">
        <f>IF($C37="","",G37*VLOOKUP($C37,ATELIER!$A$2:$F$109,4,0))</f>
        <v/>
      </c>
      <c r="I37" s="364">
        <f>0</f>
        <v>0</v>
      </c>
      <c r="J37" s="372" t="str">
        <f>IF($C37="","",I37*VLOOKUP($C37,ATELIER!$A$2:$F$109,4,0))</f>
        <v/>
      </c>
      <c r="K37" s="364">
        <f>0</f>
        <v>0</v>
      </c>
      <c r="L37" s="372" t="str">
        <f>IF($C37="","",K37*VLOOKUP($C37,ATELIER!$A$2:$F$109,4,0))</f>
        <v/>
      </c>
      <c r="M37" s="364">
        <f>0</f>
        <v>0</v>
      </c>
    </row>
    <row r="38" spans="1:13" ht="35.25" customHeight="1" x14ac:dyDescent="0.2">
      <c r="A38" s="1553"/>
      <c r="B38" s="375" t="s">
        <v>449</v>
      </c>
      <c r="C38" s="376" t="s">
        <v>450</v>
      </c>
      <c r="D38" s="377" t="s">
        <v>451</v>
      </c>
      <c r="E38" s="376">
        <f>F38*Simulation!$P$8</f>
        <v>0</v>
      </c>
      <c r="F38" s="377">
        <f>SUM(F27:F37)</f>
        <v>0</v>
      </c>
      <c r="G38" s="376">
        <f>H38*Simulation!$P$8</f>
        <v>0</v>
      </c>
      <c r="H38" s="377">
        <f>SUM(H27:H37)</f>
        <v>0</v>
      </c>
      <c r="I38" s="376">
        <f>J38*Simulation!$P$8</f>
        <v>0</v>
      </c>
      <c r="J38" s="377">
        <f>SUM(J27:J37)</f>
        <v>0</v>
      </c>
      <c r="K38" s="376">
        <f>L38*Simulation!$P$8</f>
        <v>0</v>
      </c>
      <c r="L38" s="377">
        <f>SUM(L27:L37)</f>
        <v>0</v>
      </c>
      <c r="M38" s="376" t="e">
        <f>#REF!*Simulation!$P$8</f>
        <v>#REF!</v>
      </c>
    </row>
    <row r="39" spans="1:13" ht="15" hidden="1" customHeight="1" x14ac:dyDescent="0.2">
      <c r="A39" s="1554" t="s">
        <v>452</v>
      </c>
      <c r="B39" s="361" t="s">
        <v>1159</v>
      </c>
      <c r="C39" s="378" t="s">
        <v>378</v>
      </c>
      <c r="D39" s="363" t="str">
        <f>IF(C39="","",VLOOKUP($C39,CHANTIER!$A$2:$C$83,3,0))</f>
        <v>forfait</v>
      </c>
      <c r="E39" s="364">
        <v>1</v>
      </c>
      <c r="F39" s="372">
        <f>IF($C39="","",E39*VLOOKUP($C39,CHANTIER!$A$2:$D$83,4,0))</f>
        <v>0.25</v>
      </c>
      <c r="G39" s="364">
        <v>2</v>
      </c>
      <c r="H39" s="372">
        <f>IF($C39="","",G39*VLOOKUP($C39,CHANTIER!$A$2:$D$83,4,0))</f>
        <v>0.5</v>
      </c>
      <c r="I39" s="364">
        <v>3</v>
      </c>
      <c r="J39" s="372">
        <f>IF($C39="","",I39*VLOOKUP($C39,CHANTIER!$A$2:$D$83,4,0))</f>
        <v>0.75</v>
      </c>
      <c r="K39" s="364">
        <v>0</v>
      </c>
      <c r="L39" s="372">
        <f>IF($C39="","",K39*VLOOKUP($C39,CHANTIER!$A$2:$D$83,4,0))</f>
        <v>0</v>
      </c>
      <c r="M39" s="364">
        <v>5</v>
      </c>
    </row>
    <row r="40" spans="1:13" ht="15" hidden="1" customHeight="1" x14ac:dyDescent="0.2">
      <c r="A40" s="1554"/>
      <c r="B40" s="361" t="s">
        <v>1160</v>
      </c>
      <c r="C40" s="378" t="s">
        <v>1253</v>
      </c>
      <c r="D40" s="363" t="str">
        <f>IF(C40="","",VLOOKUP($C40,CHANTIER!$A$2:$C$83,3,0))</f>
        <v>ml</v>
      </c>
      <c r="E40" s="364">
        <v>2</v>
      </c>
      <c r="F40" s="372">
        <f>IF($C40="","",E40*VLOOKUP($C40,CHANTIER!$A$2:$D$83,4,0))</f>
        <v>0.3</v>
      </c>
      <c r="G40" s="364">
        <v>3</v>
      </c>
      <c r="H40" s="372">
        <f>IF($C40="","",G40*VLOOKUP($C40,CHANTIER!$A$2:$D$83,4,0))</f>
        <v>0.44999999999999996</v>
      </c>
      <c r="I40" s="364">
        <v>4</v>
      </c>
      <c r="J40" s="372">
        <f>IF($C40="","",I40*VLOOKUP($C40,CHANTIER!$A$2:$D$83,4,0))</f>
        <v>0.6</v>
      </c>
      <c r="K40" s="364">
        <v>0</v>
      </c>
      <c r="L40" s="372">
        <f>IF($C40="","",K40*VLOOKUP($C40,CHANTIER!$A$2:$D$83,4,0))</f>
        <v>0</v>
      </c>
      <c r="M40" s="364">
        <v>6</v>
      </c>
    </row>
    <row r="41" spans="1:13" ht="15" customHeight="1" x14ac:dyDescent="0.2">
      <c r="A41" s="1555"/>
      <c r="B41" s="361" t="s">
        <v>1163</v>
      </c>
      <c r="C41" s="378" t="s">
        <v>1037</v>
      </c>
      <c r="D41" s="363" t="str">
        <f>IF(C41="","",VLOOKUP($C41,CHANTIER!$A$2:$C$83,3,0))</f>
        <v>ml</v>
      </c>
      <c r="E41" s="364">
        <v>3</v>
      </c>
      <c r="F41" s="372">
        <f>IF($C41="","",E41*VLOOKUP($C41,CHANTIER!$A$2:$D$83,4,0))</f>
        <v>0.06</v>
      </c>
      <c r="G41" s="364">
        <v>4</v>
      </c>
      <c r="H41" s="372">
        <f>IF($C41="","",G41*VLOOKUP($C41,CHANTIER!$A$2:$D$83,4,0))</f>
        <v>0.08</v>
      </c>
      <c r="I41" s="364">
        <v>5</v>
      </c>
      <c r="J41" s="372">
        <f>IF($C41="","",I41*VLOOKUP($C41,CHANTIER!$A$2:$D$83,4,0))</f>
        <v>0.1</v>
      </c>
      <c r="K41" s="364">
        <v>1</v>
      </c>
      <c r="L41" s="372">
        <f>IF($C41="","",K41*VLOOKUP($C41,CHANTIER!$A$2:$D$83,4,0))</f>
        <v>0.02</v>
      </c>
      <c r="M41" s="364">
        <v>7</v>
      </c>
    </row>
    <row r="42" spans="1:13" ht="15" customHeight="1" x14ac:dyDescent="0.2">
      <c r="A42" s="1554"/>
      <c r="B42" s="361" t="s">
        <v>1163</v>
      </c>
      <c r="C42" s="378" t="s">
        <v>985</v>
      </c>
      <c r="D42" s="363" t="str">
        <f>IF(C42="","",VLOOKUP($C42,CHANTIER!$A$2:$C$83,3,0))</f>
        <v>T</v>
      </c>
      <c r="E42" s="364">
        <v>4</v>
      </c>
      <c r="F42" s="372">
        <f>IF($C42="","",E42*VLOOKUP($C42,CHANTIER!$A$2:$D$83,4,0))</f>
        <v>0.2</v>
      </c>
      <c r="G42" s="364">
        <v>5</v>
      </c>
      <c r="H42" s="372">
        <f>IF($C42="","",G42*VLOOKUP($C42,CHANTIER!$A$2:$D$83,4,0))</f>
        <v>0.25</v>
      </c>
      <c r="I42" s="364">
        <v>6</v>
      </c>
      <c r="J42" s="372">
        <f>IF($C42="","",I42*VLOOKUP($C42,CHANTIER!$A$2:$D$83,4,0))</f>
        <v>0.30000000000000004</v>
      </c>
      <c r="K42" s="364">
        <f>K4</f>
        <v>8.0000000000000016E-2</v>
      </c>
      <c r="L42" s="372">
        <f>IF($C42="","",K42*VLOOKUP($C42,CHANTIER!$A$2:$D$83,4,0))</f>
        <v>4.000000000000001E-3</v>
      </c>
      <c r="M42" s="364">
        <v>8</v>
      </c>
    </row>
    <row r="43" spans="1:13" ht="18.600000000000001" hidden="1" customHeight="1" x14ac:dyDescent="0.2">
      <c r="A43" s="1554"/>
      <c r="B43" s="361" t="s">
        <v>1082</v>
      </c>
      <c r="C43" s="378"/>
      <c r="D43" s="363" t="str">
        <f>IF(C43="","",VLOOKUP($C43,CHANTIER!$A$2:$C$83,3,0))</f>
        <v/>
      </c>
      <c r="E43" s="364">
        <v>5</v>
      </c>
      <c r="F43" s="372" t="str">
        <f>IF($C43="","",E43*VLOOKUP($C43,CHANTIER!$A$2:$D$83,4,0))</f>
        <v/>
      </c>
      <c r="G43" s="364">
        <v>6</v>
      </c>
      <c r="H43" s="372" t="str">
        <f>IF($C43="","",G43*VLOOKUP($C43,CHANTIER!$A$2:$D$83,4,0))</f>
        <v/>
      </c>
      <c r="I43" s="364">
        <v>7</v>
      </c>
      <c r="J43" s="372" t="str">
        <f>IF($C43="","",I43*VLOOKUP($C43,CHANTIER!$A$2:$D$83,4,0))</f>
        <v/>
      </c>
      <c r="K43" s="364">
        <v>8</v>
      </c>
      <c r="L43" s="372" t="str">
        <f>IF($C43="","",K43*VLOOKUP($C43,CHANTIER!$A$2:$D$83,4,0))</f>
        <v/>
      </c>
      <c r="M43" s="364">
        <v>9</v>
      </c>
    </row>
    <row r="44" spans="1:13" ht="15" hidden="1" customHeight="1" x14ac:dyDescent="0.2">
      <c r="A44" s="1554"/>
      <c r="B44" s="361"/>
      <c r="C44" s="378"/>
      <c r="D44" s="363" t="str">
        <f>IF(C44="","",VLOOKUP($C44,CHANTIER!$A$2:$C$83,3,0))</f>
        <v/>
      </c>
      <c r="E44" s="364">
        <v>6</v>
      </c>
      <c r="F44" s="372" t="str">
        <f>IF($C44="","",E44*VLOOKUP($C44,CHANTIER!$A$2:$D$83,4,0))</f>
        <v/>
      </c>
      <c r="G44" s="364">
        <v>7</v>
      </c>
      <c r="H44" s="372" t="str">
        <f>IF($C44="","",G44*VLOOKUP($C44,CHANTIER!$A$2:$D$83,4,0))</f>
        <v/>
      </c>
      <c r="I44" s="364">
        <v>8</v>
      </c>
      <c r="J44" s="372" t="str">
        <f>IF($C44="","",I44*VLOOKUP($C44,CHANTIER!$A$2:$D$83,4,0))</f>
        <v/>
      </c>
      <c r="K44" s="364">
        <v>9</v>
      </c>
      <c r="L44" s="372" t="str">
        <f>IF($C44="","",K44*VLOOKUP($C44,CHANTIER!$A$2:$D$83,4,0))</f>
        <v/>
      </c>
      <c r="M44" s="364">
        <v>10</v>
      </c>
    </row>
    <row r="45" spans="1:13" ht="15" hidden="1" customHeight="1" x14ac:dyDescent="0.2">
      <c r="A45" s="1554"/>
      <c r="B45" s="361"/>
      <c r="C45" s="378"/>
      <c r="D45" s="363" t="str">
        <f>IF(C45="","",VLOOKUP($C45,CHANTIER!$A$2:$C$83,3,0))</f>
        <v/>
      </c>
      <c r="E45" s="364">
        <v>7</v>
      </c>
      <c r="F45" s="372" t="str">
        <f>IF($C45="","",E45*VLOOKUP($C45,CHANTIER!$A$2:$D$83,4,0))</f>
        <v/>
      </c>
      <c r="G45" s="364">
        <v>8</v>
      </c>
      <c r="H45" s="372" t="str">
        <f>IF($C45="","",G45*VLOOKUP($C45,CHANTIER!$A$2:$D$83,4,0))</f>
        <v/>
      </c>
      <c r="I45" s="364">
        <v>9</v>
      </c>
      <c r="J45" s="372" t="str">
        <f>IF($C45="","",I45*VLOOKUP($C45,CHANTIER!$A$2:$D$83,4,0))</f>
        <v/>
      </c>
      <c r="K45" s="364">
        <v>10</v>
      </c>
      <c r="L45" s="372" t="str">
        <f>IF($C45="","",K45*VLOOKUP($C45,CHANTIER!$A$2:$D$83,4,0))</f>
        <v/>
      </c>
      <c r="M45" s="364">
        <v>11</v>
      </c>
    </row>
    <row r="46" spans="1:13" ht="15" hidden="1" customHeight="1" x14ac:dyDescent="0.2">
      <c r="A46" s="1554"/>
      <c r="B46" s="361"/>
      <c r="C46" s="378"/>
      <c r="D46" s="363" t="str">
        <f>IF(C46="","",VLOOKUP($C46,CHANTIER!$A$2:$C$83,3,0))</f>
        <v/>
      </c>
      <c r="E46" s="364">
        <v>8</v>
      </c>
      <c r="F46" s="372" t="str">
        <f>IF($C46="","",E46*VLOOKUP($C46,CHANTIER!$A$2:$D$83,4,0))</f>
        <v/>
      </c>
      <c r="G46" s="364">
        <v>9</v>
      </c>
      <c r="H46" s="372" t="str">
        <f>IF($C46="","",G46*VLOOKUP($C46,CHANTIER!$A$2:$D$83,4,0))</f>
        <v/>
      </c>
      <c r="I46" s="364">
        <v>10</v>
      </c>
      <c r="J46" s="372" t="str">
        <f>IF($C46="","",I46*VLOOKUP($C46,CHANTIER!$A$2:$D$83,4,0))</f>
        <v/>
      </c>
      <c r="K46" s="364">
        <v>11</v>
      </c>
      <c r="L46" s="372" t="str">
        <f>IF($C46="","",K46*VLOOKUP($C46,CHANTIER!$A$2:$D$83,4,0))</f>
        <v/>
      </c>
      <c r="M46" s="364">
        <v>12</v>
      </c>
    </row>
    <row r="47" spans="1:13" ht="15" hidden="1" customHeight="1" x14ac:dyDescent="0.2">
      <c r="A47" s="1554"/>
      <c r="B47" s="361"/>
      <c r="C47" s="378"/>
      <c r="D47" s="363" t="str">
        <f>IF(C47="","",VLOOKUP($C47,CHANTIER!$A$2:$C$83,3,0))</f>
        <v/>
      </c>
      <c r="E47" s="364">
        <v>9</v>
      </c>
      <c r="F47" s="372" t="str">
        <f>IF($C47="","",E47*VLOOKUP($C47,CHANTIER!$A$2:$D$83,4,0))</f>
        <v/>
      </c>
      <c r="G47" s="364">
        <v>10</v>
      </c>
      <c r="H47" s="372" t="str">
        <f>IF($C47="","",G47*VLOOKUP($C47,CHANTIER!$A$2:$D$83,4,0))</f>
        <v/>
      </c>
      <c r="I47" s="364">
        <v>11</v>
      </c>
      <c r="J47" s="372" t="str">
        <f>IF($C47="","",I47*VLOOKUP($C47,CHANTIER!$A$2:$D$83,4,0))</f>
        <v/>
      </c>
      <c r="K47" s="364">
        <v>12</v>
      </c>
      <c r="L47" s="372" t="str">
        <f>IF($C47="","",K47*VLOOKUP($C47,CHANTIER!$A$2:$D$83,4,0))</f>
        <v/>
      </c>
      <c r="M47" s="364">
        <v>13</v>
      </c>
    </row>
    <row r="48" spans="1:13" ht="15" hidden="1" customHeight="1" x14ac:dyDescent="0.2">
      <c r="A48" s="1554"/>
      <c r="B48" s="361"/>
      <c r="C48" s="378"/>
      <c r="D48" s="363" t="str">
        <f>IF(C48="","",VLOOKUP($C48,CHANTIER!$A$2:$C$83,3,0))</f>
        <v/>
      </c>
      <c r="E48" s="364">
        <v>10</v>
      </c>
      <c r="F48" s="372" t="str">
        <f>IF($C48="","",E48*VLOOKUP($C48,CHANTIER!$A$2:$D$83,4,0))</f>
        <v/>
      </c>
      <c r="G48" s="364">
        <v>11</v>
      </c>
      <c r="H48" s="372" t="str">
        <f>IF($C48="","",G48*VLOOKUP($C48,CHANTIER!$A$2:$D$83,4,0))</f>
        <v/>
      </c>
      <c r="I48" s="364">
        <v>12</v>
      </c>
      <c r="J48" s="372" t="str">
        <f>IF($C48="","",I48*VLOOKUP($C48,CHANTIER!$A$2:$D$83,4,0))</f>
        <v/>
      </c>
      <c r="K48" s="364">
        <v>13</v>
      </c>
      <c r="L48" s="372" t="str">
        <f>IF($C48="","",K48*VLOOKUP($C48,CHANTIER!$A$2:$D$83,4,0))</f>
        <v/>
      </c>
      <c r="M48" s="364">
        <v>14</v>
      </c>
    </row>
    <row r="49" spans="1:13" ht="15" hidden="1" customHeight="1" x14ac:dyDescent="0.2">
      <c r="A49" s="1554"/>
      <c r="B49" s="361"/>
      <c r="C49" s="378"/>
      <c r="D49" s="363" t="str">
        <f>IF(C49="","",VLOOKUP($C49,CHANTIER!$A$2:$C$83,3,0))</f>
        <v/>
      </c>
      <c r="E49" s="364">
        <v>11</v>
      </c>
      <c r="F49" s="372" t="str">
        <f>IF($C49="","",E49*VLOOKUP($C49,CHANTIER!$A$2:$D$83,4,0))</f>
        <v/>
      </c>
      <c r="G49" s="364">
        <v>12</v>
      </c>
      <c r="H49" s="372" t="str">
        <f>IF($C49="","",G49*VLOOKUP($C49,CHANTIER!$A$2:$D$83,4,0))</f>
        <v/>
      </c>
      <c r="I49" s="364">
        <v>13</v>
      </c>
      <c r="J49" s="372" t="str">
        <f>IF($C49="","",I49*VLOOKUP($C49,CHANTIER!$A$2:$D$83,4,0))</f>
        <v/>
      </c>
      <c r="K49" s="364">
        <v>14</v>
      </c>
      <c r="L49" s="372" t="str">
        <f>IF($C49="","",K49*VLOOKUP($C49,CHANTIER!$A$2:$D$83,4,0))</f>
        <v/>
      </c>
      <c r="M49" s="364">
        <v>15</v>
      </c>
    </row>
    <row r="50" spans="1:13" ht="30.75" customHeight="1" x14ac:dyDescent="0.2">
      <c r="A50" s="1554"/>
      <c r="B50" s="379" t="s">
        <v>453</v>
      </c>
      <c r="C50" s="380" t="s">
        <v>450</v>
      </c>
      <c r="D50" s="381" t="s">
        <v>451</v>
      </c>
      <c r="E50" s="382">
        <f>F50*Simulation!$P$9</f>
        <v>36.450000000000003</v>
      </c>
      <c r="F50" s="383">
        <f>SUM(F39:F49)</f>
        <v>0.81</v>
      </c>
      <c r="G50" s="382">
        <f>H50*Simulation!$P$9</f>
        <v>57.6</v>
      </c>
      <c r="H50" s="383">
        <f>SUM(H39:H49)</f>
        <v>1.28</v>
      </c>
      <c r="I50" s="382">
        <f>J50*Simulation!$P$9</f>
        <v>78.750000000000014</v>
      </c>
      <c r="J50" s="383">
        <f>SUM(J39:J49)</f>
        <v>1.7500000000000002</v>
      </c>
      <c r="K50" s="382">
        <f>L50*Simulation!$P$9</f>
        <v>1.08</v>
      </c>
      <c r="L50" s="383">
        <f>SUM(L39:L49)</f>
        <v>2.4E-2</v>
      </c>
      <c r="M50" s="382" t="e">
        <f>#REF!*Simulation!$P$9</f>
        <v>#REF!</v>
      </c>
    </row>
    <row r="51" spans="1:13" ht="15" customHeight="1" x14ac:dyDescent="0.2">
      <c r="A51" s="1559" t="s">
        <v>4</v>
      </c>
      <c r="B51" s="361" t="s">
        <v>371</v>
      </c>
      <c r="C51" s="378"/>
      <c r="D51" s="363" t="str">
        <f>IF(C51="","",VLOOKUP($C51,MINIPELLE!$A$2:$C$28,3,0))</f>
        <v/>
      </c>
      <c r="E51" s="364">
        <v>2</v>
      </c>
      <c r="F51" s="372" t="str">
        <f>IF($C51="","",E51*VLOOKUP($C51,MINIPELLE!$A$2:$D$28,4,0))</f>
        <v/>
      </c>
      <c r="G51" s="364">
        <v>2</v>
      </c>
      <c r="H51" s="372" t="str">
        <f>IF($C51="","",G51*VLOOKUP($C51,MINIPELLE!$A$2:$D$28,4,0))</f>
        <v/>
      </c>
      <c r="I51" s="364">
        <v>2</v>
      </c>
      <c r="J51" s="372" t="str">
        <f>IF($C51="","",I51*VLOOKUP($C51,MINIPELLE!$A$2:$D$28,4,0))</f>
        <v/>
      </c>
      <c r="K51" s="364"/>
      <c r="L51" s="372" t="str">
        <f>IF($C51="","",K51*VLOOKUP($C51,MINIPELLE!$A$2:$D$28,4,0))</f>
        <v/>
      </c>
      <c r="M51" s="364">
        <v>2</v>
      </c>
    </row>
    <row r="52" spans="1:13" ht="15" customHeight="1" x14ac:dyDescent="0.2">
      <c r="A52" s="1560"/>
      <c r="B52" s="361" t="s">
        <v>1169</v>
      </c>
      <c r="C52" s="378" t="s">
        <v>384</v>
      </c>
      <c r="D52" s="363" t="str">
        <f>IF(C52="","",VLOOKUP($C52,MINIPELLE!$A$2:$C$28,3,0))</f>
        <v>ml</v>
      </c>
      <c r="E52" s="364">
        <v>3</v>
      </c>
      <c r="F52" s="389">
        <f>IF($C52="","",E52*VLOOKUP($C52,MINIPELLE!$A$2:$D$28,4,0))</f>
        <v>0.24</v>
      </c>
      <c r="G52" s="364">
        <v>3</v>
      </c>
      <c r="H52" s="389">
        <f>IF($C52="","",G52*VLOOKUP($C52,MINIPELLE!$A$2:$D$28,4,0))</f>
        <v>0.24</v>
      </c>
      <c r="I52" s="364">
        <v>3</v>
      </c>
      <c r="J52" s="389">
        <f>IF($C52="","",I52*VLOOKUP($C52,MINIPELLE!$A$2:$D$28,4,0))</f>
        <v>0.24</v>
      </c>
      <c r="K52" s="364">
        <f>1</f>
        <v>1</v>
      </c>
      <c r="L52" s="389">
        <f>IF($C52="","",K52*VLOOKUP($C52,MINIPELLE!$A$2:$D$28,4,0))</f>
        <v>0.08</v>
      </c>
      <c r="M52" s="364">
        <v>3</v>
      </c>
    </row>
    <row r="53" spans="1:13" ht="15" customHeight="1" x14ac:dyDescent="0.2">
      <c r="A53" s="1560"/>
      <c r="B53" s="361" t="s">
        <v>371</v>
      </c>
      <c r="C53" s="378"/>
      <c r="D53" s="363" t="str">
        <f>IF(C53="","",VLOOKUP($C53,MINIPELLE!$A$2:$C$28,3,0))</f>
        <v/>
      </c>
      <c r="E53" s="364">
        <v>4</v>
      </c>
      <c r="F53" s="389" t="str">
        <f>IF($C53="","",E53*VLOOKUP($C53,MINIPELLE!$A$2:$D$28,4,0))</f>
        <v/>
      </c>
      <c r="G53" s="364">
        <v>4</v>
      </c>
      <c r="H53" s="389" t="str">
        <f>IF($C53="","",G53*VLOOKUP($C53,MINIPELLE!$A$2:$D$28,4,0))</f>
        <v/>
      </c>
      <c r="I53" s="364">
        <v>4</v>
      </c>
      <c r="J53" s="389" t="str">
        <f>IF($C53="","",I53*VLOOKUP($C53,MINIPELLE!$A$2:$D$28,4,0))</f>
        <v/>
      </c>
      <c r="K53" s="364"/>
      <c r="L53" s="389" t="str">
        <f>IF($C53="","",K53*VLOOKUP($C53,MINIPELLE!$A$2:$D$28,4,0))</f>
        <v/>
      </c>
      <c r="M53" s="364">
        <v>4</v>
      </c>
    </row>
    <row r="54" spans="1:13" ht="15" hidden="1" customHeight="1" x14ac:dyDescent="0.2">
      <c r="A54" s="1560"/>
      <c r="B54" s="361"/>
      <c r="C54" s="378"/>
      <c r="D54" s="363" t="str">
        <f>IF(C54="","",VLOOKUP($C54,MINIPELLE!$A$2:$C$28,3,0))</f>
        <v/>
      </c>
      <c r="E54" s="364">
        <v>5</v>
      </c>
      <c r="F54" s="389" t="str">
        <f>IF($C54="","",E54*VLOOKUP($C54,MINIPELLE!$A$2:$D$28,4,0))</f>
        <v/>
      </c>
      <c r="G54" s="364">
        <v>5</v>
      </c>
      <c r="H54" s="389" t="str">
        <f>IF($C54="","",G54*VLOOKUP($C54,MINIPELLE!$A$2:$D$28,4,0))</f>
        <v/>
      </c>
      <c r="I54" s="364">
        <v>5</v>
      </c>
      <c r="J54" s="389" t="str">
        <f>IF($C54="","",I54*VLOOKUP($C54,MINIPELLE!$A$2:$D$28,4,0))</f>
        <v/>
      </c>
      <c r="K54" s="364">
        <v>5</v>
      </c>
      <c r="L54" s="389" t="str">
        <f>IF($C54="","",K54*VLOOKUP($C54,MINIPELLE!$A$2:$D$28,4,0))</f>
        <v/>
      </c>
      <c r="M54" s="364">
        <v>5</v>
      </c>
    </row>
    <row r="55" spans="1:13" ht="15" hidden="1" customHeight="1" x14ac:dyDescent="0.2">
      <c r="A55" s="1560"/>
      <c r="B55" s="361"/>
      <c r="C55" s="378"/>
      <c r="D55" s="363" t="str">
        <f>IF(C55="","",VLOOKUP($C55,MINIPELLE!$A$2:$C$28,3,0))</f>
        <v/>
      </c>
      <c r="E55" s="364">
        <v>6</v>
      </c>
      <c r="F55" s="389" t="str">
        <f>IF($C55="","",E55*VLOOKUP($C55,MINIPELLE!$A$2:$D$28,4,0))</f>
        <v/>
      </c>
      <c r="G55" s="364">
        <v>6</v>
      </c>
      <c r="H55" s="389" t="str">
        <f>IF($C55="","",G55*VLOOKUP($C55,MINIPELLE!$A$2:$D$28,4,0))</f>
        <v/>
      </c>
      <c r="I55" s="364">
        <v>6</v>
      </c>
      <c r="J55" s="389" t="str">
        <f>IF($C55="","",I55*VLOOKUP($C55,MINIPELLE!$A$2:$D$28,4,0))</f>
        <v/>
      </c>
      <c r="K55" s="364">
        <v>6</v>
      </c>
      <c r="L55" s="389" t="str">
        <f>IF($C55="","",K55*VLOOKUP($C55,MINIPELLE!$A$2:$D$28,4,0))</f>
        <v/>
      </c>
      <c r="M55" s="364">
        <v>6</v>
      </c>
    </row>
    <row r="56" spans="1:13" ht="15" hidden="1" customHeight="1" x14ac:dyDescent="0.2">
      <c r="A56" s="1560"/>
      <c r="B56" s="361"/>
      <c r="C56" s="378"/>
      <c r="D56" s="363" t="str">
        <f>IF(C56="","",VLOOKUP($C56,MINIPELLE!$A$2:$C$28,3,0))</f>
        <v/>
      </c>
      <c r="E56" s="364">
        <v>7</v>
      </c>
      <c r="F56" s="389" t="str">
        <f>IF($C56="","",E56*VLOOKUP($C56,MINIPELLE!$A$2:$D$28,4,0))</f>
        <v/>
      </c>
      <c r="G56" s="364">
        <v>7</v>
      </c>
      <c r="H56" s="389" t="str">
        <f>IF($C56="","",G56*VLOOKUP($C56,MINIPELLE!$A$2:$D$28,4,0))</f>
        <v/>
      </c>
      <c r="I56" s="364">
        <v>7</v>
      </c>
      <c r="J56" s="389" t="str">
        <f>IF($C56="","",I56*VLOOKUP($C56,MINIPELLE!$A$2:$D$28,4,0))</f>
        <v/>
      </c>
      <c r="K56" s="364">
        <v>7</v>
      </c>
      <c r="L56" s="389" t="str">
        <f>IF($C56="","",K56*VLOOKUP($C56,MINIPELLE!$A$2:$D$28,4,0))</f>
        <v/>
      </c>
      <c r="M56" s="364">
        <v>7</v>
      </c>
    </row>
    <row r="57" spans="1:13" ht="15" hidden="1" customHeight="1" x14ac:dyDescent="0.2">
      <c r="A57" s="1560"/>
      <c r="B57" s="361"/>
      <c r="C57" s="378"/>
      <c r="D57" s="363" t="str">
        <f>IF(C57="","",VLOOKUP($C57,MINIPELLE!$A$2:$C$28,3,0))</f>
        <v/>
      </c>
      <c r="E57" s="364">
        <v>8</v>
      </c>
      <c r="F57" s="389" t="str">
        <f>IF($C57="","",E57*VLOOKUP($C57,MINIPELLE!$A$2:$D$28,4,0))</f>
        <v/>
      </c>
      <c r="G57" s="364">
        <v>8</v>
      </c>
      <c r="H57" s="389" t="str">
        <f>IF($C57="","",G57*VLOOKUP($C57,MINIPELLE!$A$2:$D$28,4,0))</f>
        <v/>
      </c>
      <c r="I57" s="364">
        <v>8</v>
      </c>
      <c r="J57" s="389" t="str">
        <f>IF($C57="","",I57*VLOOKUP($C57,MINIPELLE!$A$2:$D$28,4,0))</f>
        <v/>
      </c>
      <c r="K57" s="364">
        <v>8</v>
      </c>
      <c r="L57" s="389" t="str">
        <f>IF($C57="","",K57*VLOOKUP($C57,MINIPELLE!$A$2:$D$28,4,0))</f>
        <v/>
      </c>
      <c r="M57" s="364">
        <v>8</v>
      </c>
    </row>
    <row r="58" spans="1:13" ht="15" hidden="1" customHeight="1" x14ac:dyDescent="0.2">
      <c r="A58" s="1560"/>
      <c r="B58" s="361"/>
      <c r="C58" s="378"/>
      <c r="D58" s="363" t="str">
        <f>IF(C58="","",VLOOKUP($C58,MINIPELLE!$A$2:$C$28,3,0))</f>
        <v/>
      </c>
      <c r="E58" s="364">
        <v>9</v>
      </c>
      <c r="F58" s="389" t="str">
        <f>IF($C58="","",E58*VLOOKUP($C58,MINIPELLE!$A$2:$D$28,4,0))</f>
        <v/>
      </c>
      <c r="G58" s="364">
        <v>9</v>
      </c>
      <c r="H58" s="389" t="str">
        <f>IF($C58="","",G58*VLOOKUP($C58,MINIPELLE!$A$2:$D$28,4,0))</f>
        <v/>
      </c>
      <c r="I58" s="364">
        <v>9</v>
      </c>
      <c r="J58" s="389" t="str">
        <f>IF($C58="","",I58*VLOOKUP($C58,MINIPELLE!$A$2:$D$28,4,0))</f>
        <v/>
      </c>
      <c r="K58" s="364">
        <v>9</v>
      </c>
      <c r="L58" s="389" t="str">
        <f>IF($C58="","",K58*VLOOKUP($C58,MINIPELLE!$A$2:$D$28,4,0))</f>
        <v/>
      </c>
      <c r="M58" s="364">
        <v>9</v>
      </c>
    </row>
    <row r="59" spans="1:13" ht="15" hidden="1" customHeight="1" x14ac:dyDescent="0.2">
      <c r="A59" s="1560"/>
      <c r="B59" s="361"/>
      <c r="C59" s="378"/>
      <c r="D59" s="363" t="str">
        <f>IF(C59="","",VLOOKUP($C59,MINIPELLE!$A$2:$C$28,3,0))</f>
        <v/>
      </c>
      <c r="E59" s="364">
        <v>10</v>
      </c>
      <c r="F59" s="389" t="str">
        <f>IF($C59="","",E59*VLOOKUP($C59,MINIPELLE!$A$2:$D$28,4,0))</f>
        <v/>
      </c>
      <c r="G59" s="364">
        <v>10</v>
      </c>
      <c r="H59" s="389" t="str">
        <f>IF($C59="","",G59*VLOOKUP($C59,MINIPELLE!$A$2:$D$28,4,0))</f>
        <v/>
      </c>
      <c r="I59" s="364">
        <v>10</v>
      </c>
      <c r="J59" s="389" t="str">
        <f>IF($C59="","",I59*VLOOKUP($C59,MINIPELLE!$A$2:$D$28,4,0))</f>
        <v/>
      </c>
      <c r="K59" s="364">
        <v>10</v>
      </c>
      <c r="L59" s="389" t="str">
        <f>IF($C59="","",K59*VLOOKUP($C59,MINIPELLE!$A$2:$D$28,4,0))</f>
        <v/>
      </c>
      <c r="M59" s="364">
        <v>10</v>
      </c>
    </row>
    <row r="60" spans="1:13" ht="15" hidden="1" customHeight="1" x14ac:dyDescent="0.2">
      <c r="A60" s="1560"/>
      <c r="B60" s="361"/>
      <c r="C60" s="378"/>
      <c r="D60" s="363" t="str">
        <f>IF(C60="","",VLOOKUP($C60,MINIPELLE!$A$2:$C$28,3,0))</f>
        <v/>
      </c>
      <c r="E60" s="364">
        <v>11</v>
      </c>
      <c r="F60" s="389" t="str">
        <f>IF($C60="","",E60*VLOOKUP($C60,MINIPELLE!$A$2:$D$28,4,0))</f>
        <v/>
      </c>
      <c r="G60" s="364">
        <v>11</v>
      </c>
      <c r="H60" s="389" t="str">
        <f>IF($C60="","",G60*VLOOKUP($C60,MINIPELLE!$A$2:$D$28,4,0))</f>
        <v/>
      </c>
      <c r="I60" s="364">
        <v>11</v>
      </c>
      <c r="J60" s="389" t="str">
        <f>IF($C60="","",I60*VLOOKUP($C60,MINIPELLE!$A$2:$D$28,4,0))</f>
        <v/>
      </c>
      <c r="K60" s="364">
        <v>11</v>
      </c>
      <c r="L60" s="389" t="str">
        <f>IF($C60="","",K60*VLOOKUP($C60,MINIPELLE!$A$2:$D$28,4,0))</f>
        <v/>
      </c>
      <c r="M60" s="364">
        <v>11</v>
      </c>
    </row>
    <row r="61" spans="1:13" ht="15" hidden="1" customHeight="1" x14ac:dyDescent="0.2">
      <c r="A61" s="1560"/>
      <c r="B61" s="361"/>
      <c r="C61" s="378"/>
      <c r="D61" s="363" t="str">
        <f>IF(C61="","",VLOOKUP($C61,MINIPELLE!$A$2:$C$28,3,0))</f>
        <v/>
      </c>
      <c r="E61" s="364">
        <v>12</v>
      </c>
      <c r="F61" s="389" t="str">
        <f>IF($C61="","",E61*VLOOKUP($C61,MINIPELLE!$A$2:$D$28,4,0))</f>
        <v/>
      </c>
      <c r="G61" s="364">
        <v>12</v>
      </c>
      <c r="H61" s="389" t="str">
        <f>IF($C61="","",G61*VLOOKUP($C61,MINIPELLE!$A$2:$D$28,4,0))</f>
        <v/>
      </c>
      <c r="I61" s="364">
        <v>12</v>
      </c>
      <c r="J61" s="389" t="str">
        <f>IF($C61="","",I61*VLOOKUP($C61,MINIPELLE!$A$2:$D$28,4,0))</f>
        <v/>
      </c>
      <c r="K61" s="364">
        <v>12</v>
      </c>
      <c r="L61" s="389" t="str">
        <f>IF($C61="","",K61*VLOOKUP($C61,MINIPELLE!$A$2:$D$28,4,0))</f>
        <v/>
      </c>
      <c r="M61" s="364">
        <v>12</v>
      </c>
    </row>
    <row r="62" spans="1:13" ht="29.25" customHeight="1" x14ac:dyDescent="0.2">
      <c r="A62" s="1560"/>
      <c r="B62" s="384" t="s">
        <v>454</v>
      </c>
      <c r="C62" s="385" t="s">
        <v>455</v>
      </c>
      <c r="D62" s="386" t="s">
        <v>451</v>
      </c>
      <c r="E62" s="387">
        <f>F62*Simulation!$P$10</f>
        <v>19.2</v>
      </c>
      <c r="F62" s="388">
        <f>SUM(F51:F61)</f>
        <v>0.24</v>
      </c>
      <c r="G62" s="387">
        <f>H62*Simulation!$P$10</f>
        <v>19.2</v>
      </c>
      <c r="H62" s="388">
        <f>SUM(H51:H61)</f>
        <v>0.24</v>
      </c>
      <c r="I62" s="387">
        <f>J62*Simulation!$P$10</f>
        <v>19.2</v>
      </c>
      <c r="J62" s="388">
        <f>SUM(J51:J61)</f>
        <v>0.24</v>
      </c>
      <c r="K62" s="387">
        <f>L62*Simulation!$P$10</f>
        <v>6.4</v>
      </c>
      <c r="L62" s="388">
        <f>SUM(L51:L61)</f>
        <v>0.08</v>
      </c>
      <c r="M62" s="387" t="e">
        <f>#REF!*Simulation!$P$10</f>
        <v>#REF!</v>
      </c>
    </row>
    <row r="63" spans="1:13" x14ac:dyDescent="0.2">
      <c r="A63" s="154"/>
      <c r="B63" s="172"/>
      <c r="D63" s="227"/>
      <c r="E63" s="154"/>
      <c r="F63" s="154"/>
      <c r="G63" s="154"/>
      <c r="H63" s="154"/>
      <c r="I63" s="154"/>
      <c r="J63" s="154"/>
      <c r="K63" s="154"/>
      <c r="L63" s="154"/>
      <c r="M63" s="154"/>
    </row>
    <row r="64" spans="1:13" ht="15" x14ac:dyDescent="0.2">
      <c r="A64" s="154"/>
      <c r="B64" s="1561" t="s">
        <v>456</v>
      </c>
      <c r="C64" s="1564" t="s">
        <v>445</v>
      </c>
      <c r="D64" s="1564"/>
      <c r="E64" s="1547">
        <f>E62+E50+E38+E26</f>
        <v>68.559000000000012</v>
      </c>
      <c r="F64" s="1547"/>
      <c r="G64" s="1547">
        <f>G62+G50+G38+G26</f>
        <v>76.8</v>
      </c>
      <c r="H64" s="1547"/>
      <c r="I64" s="1547">
        <f>I62+I50+I38+I26</f>
        <v>97.950000000000017</v>
      </c>
      <c r="J64" s="1547"/>
      <c r="K64" s="1547">
        <f>K62+K50+K38+K26</f>
        <v>11.476980000000001</v>
      </c>
      <c r="L64" s="1547"/>
      <c r="M64" s="1374" t="e">
        <f>M62+M50+M38+M26</f>
        <v>#REF!</v>
      </c>
    </row>
    <row r="65" spans="1:13" ht="15" x14ac:dyDescent="0.2">
      <c r="A65" s="154"/>
      <c r="B65" s="1562"/>
      <c r="C65" s="1565" t="s">
        <v>457</v>
      </c>
      <c r="D65" s="1565"/>
      <c r="E65" s="149">
        <f>E26-F26</f>
        <v>2.979000000000001</v>
      </c>
      <c r="F65" s="207">
        <f>E65/E$64</f>
        <v>4.3451625607141303E-2</v>
      </c>
      <c r="G65" s="149">
        <f>G26-H26</f>
        <v>0</v>
      </c>
      <c r="H65" s="207">
        <f>G65/G$64</f>
        <v>0</v>
      </c>
      <c r="I65" s="149">
        <f>I26-J26</f>
        <v>0</v>
      </c>
      <c r="J65" s="207">
        <f>I65/I$64</f>
        <v>0</v>
      </c>
      <c r="K65" s="149">
        <f>K26-L26</f>
        <v>0.92238000000000042</v>
      </c>
      <c r="L65" s="207">
        <f>K65/K$64</f>
        <v>8.0367831955793279E-2</v>
      </c>
      <c r="M65" s="149" t="e">
        <f>M26-#REF!</f>
        <v>#REF!</v>
      </c>
    </row>
    <row r="66" spans="1:13" ht="15" x14ac:dyDescent="0.2">
      <c r="A66" s="154"/>
      <c r="B66" s="1562"/>
      <c r="C66" s="1565" t="s">
        <v>9</v>
      </c>
      <c r="D66" s="1565"/>
      <c r="E66" s="149">
        <f>E26</f>
        <v>12.909000000000001</v>
      </c>
      <c r="F66" s="207">
        <f>E66/E$64</f>
        <v>0.18829037763094558</v>
      </c>
      <c r="G66" s="149">
        <f>G26</f>
        <v>0</v>
      </c>
      <c r="H66" s="207">
        <f>G66/G$64</f>
        <v>0</v>
      </c>
      <c r="I66" s="149">
        <f>I26</f>
        <v>0</v>
      </c>
      <c r="J66" s="207">
        <f>I66/I$64</f>
        <v>0</v>
      </c>
      <c r="K66" s="149">
        <f>K26</f>
        <v>3.9969800000000006</v>
      </c>
      <c r="L66" s="207">
        <f>K66/K$64</f>
        <v>0.34826060514177076</v>
      </c>
      <c r="M66" s="149" t="e">
        <f>M26</f>
        <v>#REF!</v>
      </c>
    </row>
    <row r="67" spans="1:13" ht="15" x14ac:dyDescent="0.2">
      <c r="A67" s="154"/>
      <c r="B67" s="1562"/>
      <c r="C67" s="1565" t="s">
        <v>458</v>
      </c>
      <c r="D67" s="1565"/>
      <c r="E67" s="149">
        <f>E38</f>
        <v>0</v>
      </c>
      <c r="F67" s="207">
        <f>E67/E$64</f>
        <v>0</v>
      </c>
      <c r="G67" s="149">
        <f>G38</f>
        <v>0</v>
      </c>
      <c r="H67" s="207">
        <f>G67/G$64</f>
        <v>0</v>
      </c>
      <c r="I67" s="149">
        <f>I38</f>
        <v>0</v>
      </c>
      <c r="J67" s="207">
        <f>I67/I$64</f>
        <v>0</v>
      </c>
      <c r="K67" s="149">
        <f>K38</f>
        <v>0</v>
      </c>
      <c r="L67" s="207">
        <f>K67/K$64</f>
        <v>0</v>
      </c>
      <c r="M67" s="149" t="e">
        <f>M38</f>
        <v>#REF!</v>
      </c>
    </row>
    <row r="68" spans="1:13" ht="15" x14ac:dyDescent="0.2">
      <c r="A68" s="154"/>
      <c r="B68" s="1562"/>
      <c r="C68" s="1565" t="s">
        <v>459</v>
      </c>
      <c r="D68" s="1565"/>
      <c r="E68" s="149">
        <f>E50</f>
        <v>36.450000000000003</v>
      </c>
      <c r="F68" s="207">
        <f>E68/E$64</f>
        <v>0.53165886316894928</v>
      </c>
      <c r="G68" s="149">
        <f>G50</f>
        <v>57.6</v>
      </c>
      <c r="H68" s="207">
        <f>G68/G$64</f>
        <v>0.75</v>
      </c>
      <c r="I68" s="149">
        <f>I50</f>
        <v>78.750000000000014</v>
      </c>
      <c r="J68" s="207">
        <f>I68/I$64</f>
        <v>0.80398162327718226</v>
      </c>
      <c r="K68" s="149">
        <f>K50</f>
        <v>1.08</v>
      </c>
      <c r="L68" s="207">
        <f>K68/K$64</f>
        <v>9.4101409952792453E-2</v>
      </c>
      <c r="M68" s="149" t="e">
        <f>M50</f>
        <v>#REF!</v>
      </c>
    </row>
    <row r="69" spans="1:13" ht="15" x14ac:dyDescent="0.2">
      <c r="A69" s="154"/>
      <c r="B69" s="1563"/>
      <c r="C69" s="1565" t="s">
        <v>5</v>
      </c>
      <c r="D69" s="1565"/>
      <c r="E69" s="149">
        <f>E62</f>
        <v>19.2</v>
      </c>
      <c r="F69" s="207">
        <f>E69/E$64</f>
        <v>0.28005075920010497</v>
      </c>
      <c r="G69" s="149">
        <f>G62</f>
        <v>19.2</v>
      </c>
      <c r="H69" s="207">
        <f>G69/G$64</f>
        <v>0.25</v>
      </c>
      <c r="I69" s="149">
        <f>I62</f>
        <v>19.2</v>
      </c>
      <c r="J69" s="207">
        <f>I69/I$64</f>
        <v>0.19601837672281772</v>
      </c>
      <c r="K69" s="149">
        <f>K62</f>
        <v>6.4</v>
      </c>
      <c r="L69" s="207">
        <f>K69/K$64</f>
        <v>0.55763798490543681</v>
      </c>
      <c r="M69" s="149" t="e">
        <f>M62</f>
        <v>#REF!</v>
      </c>
    </row>
    <row r="70" spans="1:13" x14ac:dyDescent="0.2">
      <c r="A70" s="154"/>
      <c r="B70" s="172"/>
      <c r="D70" s="227"/>
      <c r="E70" s="154"/>
      <c r="F70" s="154"/>
      <c r="G70" s="154"/>
      <c r="H70" s="154"/>
      <c r="I70" s="154"/>
      <c r="J70" s="154"/>
      <c r="K70" s="154"/>
      <c r="L70" s="154"/>
      <c r="M70" s="154"/>
    </row>
    <row r="71" spans="1:13" x14ac:dyDescent="0.2">
      <c r="A71" s="154"/>
      <c r="B71" s="172"/>
      <c r="D71" s="227"/>
      <c r="E71" s="154"/>
      <c r="F71" s="154"/>
      <c r="G71" s="154"/>
      <c r="H71" s="154"/>
      <c r="I71" s="154"/>
      <c r="J71" s="154"/>
      <c r="K71" s="154"/>
      <c r="L71" s="154"/>
      <c r="M71" s="154"/>
    </row>
    <row r="72" spans="1:13" ht="36" x14ac:dyDescent="0.2">
      <c r="A72" s="154"/>
      <c r="B72" s="1375" t="s">
        <v>1462</v>
      </c>
      <c r="C72" s="1568" t="s">
        <v>1463</v>
      </c>
      <c r="D72" s="1569"/>
      <c r="E72" s="149">
        <f>(VLOOKUP("Prix HT",$C$1:$M$64,E$1,0))-(VLOOKUP("Non margé",$D$1:$M$64,E$1,0))</f>
        <v>58.629000000000012</v>
      </c>
      <c r="F72" s="207">
        <f>E72/VLOOKUP("Prix HT",$C$1:$M$64,E$1,0)</f>
        <v>0.85516124797619575</v>
      </c>
      <c r="G72" s="149">
        <f>(VLOOKUP("Prix HT",$C$1:$M$64,G$1,0))-(VLOOKUP("Non margé",$D$1:$M$64,G$1,0))</f>
        <v>76.8</v>
      </c>
      <c r="H72" s="207">
        <f>G72/VLOOKUP("Prix HT",$C$1:$M$64,G$1,0)</f>
        <v>1</v>
      </c>
      <c r="I72" s="149">
        <f>(VLOOKUP("Prix HT",$C$1:$M$64,I$1,0))-(VLOOKUP("Non margé",$D$1:$M$64,I$1,0))</f>
        <v>97.950000000000017</v>
      </c>
      <c r="J72" s="207">
        <f>I72/VLOOKUP("Prix HT",$C$1:$M$64,I$1,0)</f>
        <v>1</v>
      </c>
      <c r="K72" s="149">
        <f>(VLOOKUP("Prix HT",$C$1:$M$64,K$1,0))-(VLOOKUP("Non margé",$D$1:$M$64,K$1,0))</f>
        <v>8.4023800000000008</v>
      </c>
      <c r="L72" s="207">
        <f>K72/VLOOKUP("Prix HT",$C$1:$M$64,K$1,0)</f>
        <v>0.73210722681402252</v>
      </c>
      <c r="M72" s="149" t="e">
        <f>(VLOOKUP("Prix HT",$C$1:$M$64,M$1,0))-(VLOOKUP("Non margé",$D$1:$M$64,M$1,0))</f>
        <v>#REF!</v>
      </c>
    </row>
  </sheetData>
  <mergeCells count="22">
    <mergeCell ref="C72:D72"/>
    <mergeCell ref="K2:L2"/>
    <mergeCell ref="B64:B69"/>
    <mergeCell ref="C64:D64"/>
    <mergeCell ref="E64:F64"/>
    <mergeCell ref="G64:H64"/>
    <mergeCell ref="I64:J64"/>
    <mergeCell ref="C69:D69"/>
    <mergeCell ref="C68:D68"/>
    <mergeCell ref="B2:B3"/>
    <mergeCell ref="C2:C3"/>
    <mergeCell ref="E2:F2"/>
    <mergeCell ref="G2:H2"/>
    <mergeCell ref="I2:J2"/>
    <mergeCell ref="K64:L64"/>
    <mergeCell ref="C65:D65"/>
    <mergeCell ref="C66:D66"/>
    <mergeCell ref="C67:D67"/>
    <mergeCell ref="A4:A25"/>
    <mergeCell ref="A27:A38"/>
    <mergeCell ref="A39:A50"/>
    <mergeCell ref="A51:A62"/>
  </mergeCells>
  <dataValidations xWindow="630" yWindow="863" count="10">
    <dataValidation type="list" allowBlank="1" showInputMessage="1" showErrorMessage="1" promptTitle="MATIERES" prompt="choisir le produit" sqref="C4:C25" xr:uid="{00000000-0002-0000-2500-000000000000}">
      <formula1>INDIRECT(B4)</formula1>
    </dataValidation>
    <dataValidation type="list" allowBlank="1" showInputMessage="1" showErrorMessage="1" promptTitle="MATIERES" prompt="choisir catégorie" sqref="B23:B25" xr:uid="{00000000-0002-0000-2500-000001000000}">
      <formula1>MOA_ALIM</formula1>
    </dataValidation>
    <dataValidation type="list" allowBlank="1" showInputMessage="1" showErrorMessage="1" promptTitle="Main d'oeuvre ATELIER" prompt="choisir la prestation" sqref="C27" xr:uid="{00000000-0002-0000-2500-000002000000}">
      <formula1>INDIRECT(B27)</formula1>
    </dataValidation>
    <dataValidation type="list" allowBlank="1" showInputMessage="1" showErrorMessage="1" promptTitle="MO ATELIER" prompt="choisir catégorie" sqref="B27:B31" xr:uid="{00000000-0002-0000-2500-000003000000}">
      <formula1>CATEGORIE_MOA</formula1>
    </dataValidation>
    <dataValidation type="list" allowBlank="1" showInputMessage="1" promptTitle="Main d'oeuvre CHANTIER" prompt="choisir la prestation" sqref="C39:C49" xr:uid="{00000000-0002-0000-2500-000004000000}">
      <formula1>INDIRECT(B39)</formula1>
    </dataValidation>
    <dataValidation type="list" allowBlank="1" showInputMessage="1" showErrorMessage="1" promptTitle="Catégorie MOC" prompt="choisir" sqref="B39:B48" xr:uid="{00000000-0002-0000-2500-000005000000}">
      <formula1>CATEGORIE_MOC</formula1>
    </dataValidation>
    <dataValidation type="list" allowBlank="1" showInputMessage="1" promptTitle="MINIPELLE" prompt="choisir la prestation" sqref="C51:C61" xr:uid="{00000000-0002-0000-2500-000006000000}">
      <formula1>INDIRECT(B51)</formula1>
    </dataValidation>
    <dataValidation type="list" allowBlank="1" showInputMessage="1" showErrorMessage="1" promptTitle="MINIPELLE" prompt="choisir catégorie" sqref="B51 B53:B61" xr:uid="{00000000-0002-0000-2500-000007000000}">
      <formula1>CATEGORIE_MP</formula1>
    </dataValidation>
    <dataValidation type="list" allowBlank="1" showInputMessage="1" showErrorMessage="1" promptTitle="MATIERES" prompt="choisir catégorie" sqref="B4:B22" xr:uid="{00000000-0002-0000-2500-000008000000}">
      <formula1>MA_CATEGORIE</formula1>
    </dataValidation>
    <dataValidation type="list" allowBlank="1" showInputMessage="1" showErrorMessage="1" promptTitle="MINIPELLE" prompt="choisir catégorie" sqref="B52" xr:uid="{40300C99-A216-41DF-A221-FEC43269C65B}">
      <formula1>CATEGORIEMP2</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xWindow="630" yWindow="863" count="1">
        <x14:dataValidation type="list" allowBlank="1" showErrorMessage="1" xr:uid="{00000000-0002-0000-2500-000009000000}">
          <x14:formula1>
            <xm:f>ATELIER!$B$2:$B$109</xm:f>
          </x14:formula1>
          <xm:sqref>C28:C37</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published="0" codeName="Feuil41"/>
  <dimension ref="A1:AM53"/>
  <sheetViews>
    <sheetView workbookViewId="0">
      <pane xSplit="4" ySplit="3" topLeftCell="M32" activePane="bottomRight" state="frozen"/>
      <selection pane="topRight" activeCell="E1" sqref="E1"/>
      <selection pane="bottomLeft" activeCell="A4" sqref="A4"/>
      <selection pane="bottomRight" activeCell="N40" sqref="N40"/>
    </sheetView>
  </sheetViews>
  <sheetFormatPr baseColWidth="10" defaultColWidth="11.125" defaultRowHeight="18" x14ac:dyDescent="0.2"/>
  <cols>
    <col min="1" max="1" width="16.625" style="210" customWidth="1"/>
    <col min="2" max="2" width="19.625" style="492" customWidth="1"/>
    <col min="3" max="3" width="29.625" style="231" customWidth="1"/>
    <col min="4" max="4" width="7.125" style="232" customWidth="1"/>
    <col min="5" max="5" width="13" style="135" customWidth="1"/>
    <col min="6" max="9" width="11" style="135" customWidth="1"/>
    <col min="10" max="11" width="18.125" style="135" customWidth="1"/>
    <col min="12" max="13" width="16.5" style="135" customWidth="1"/>
    <col min="14" max="14" width="11" style="135" customWidth="1"/>
    <col min="15" max="15" width="16.5" style="135" customWidth="1"/>
    <col min="16" max="16" width="11" style="135" customWidth="1"/>
    <col min="17" max="39" width="11.5" style="135" customWidth="1"/>
    <col min="40" max="781" width="11.5" customWidth="1"/>
  </cols>
  <sheetData>
    <row r="1" spans="1:39" ht="14.85" customHeight="1" x14ac:dyDescent="0.2">
      <c r="A1" s="535"/>
      <c r="B1" s="538"/>
      <c r="C1" s="535"/>
      <c r="D1" s="537"/>
      <c r="E1" s="535" t="s">
        <v>1191</v>
      </c>
      <c r="F1" s="535">
        <v>7</v>
      </c>
      <c r="G1" s="535" t="s">
        <v>1192</v>
      </c>
      <c r="H1" s="535">
        <v>8</v>
      </c>
      <c r="I1" s="535" t="s">
        <v>564</v>
      </c>
      <c r="J1" s="535" t="str">
        <f>I2</f>
        <v>ZRV aquatique</v>
      </c>
      <c r="K1" s="535" t="s">
        <v>567</v>
      </c>
      <c r="L1" s="535">
        <v>10</v>
      </c>
      <c r="M1" s="535" t="s">
        <v>65</v>
      </c>
      <c r="N1" s="535"/>
      <c r="O1" s="535" t="s">
        <v>1736</v>
      </c>
      <c r="P1" s="535"/>
      <c r="Q1" s="535"/>
      <c r="R1" s="535"/>
      <c r="S1" s="535"/>
      <c r="T1" s="535"/>
      <c r="U1" s="535"/>
      <c r="V1" s="535"/>
      <c r="W1" s="535"/>
      <c r="X1" s="535"/>
      <c r="Y1" s="535"/>
      <c r="Z1" s="535"/>
      <c r="AA1" s="535"/>
      <c r="AB1" s="535"/>
      <c r="AC1" s="535"/>
      <c r="AD1" s="535"/>
      <c r="AE1" s="535"/>
      <c r="AF1" s="535"/>
      <c r="AG1" s="535"/>
      <c r="AH1" s="535"/>
      <c r="AI1" s="535"/>
      <c r="AJ1" s="535"/>
      <c r="AK1" s="535"/>
      <c r="AL1" s="535"/>
      <c r="AM1" s="535"/>
    </row>
    <row r="2" spans="1:39" ht="35.1" customHeight="1" x14ac:dyDescent="0.2">
      <c r="A2" s="174"/>
      <c r="B2" s="1572" t="s">
        <v>975</v>
      </c>
      <c r="C2" s="1574" t="s">
        <v>468</v>
      </c>
      <c r="D2" s="115" t="s">
        <v>203</v>
      </c>
      <c r="E2" s="1571" t="s">
        <v>1413</v>
      </c>
      <c r="F2" s="1571"/>
      <c r="G2" s="1571" t="s">
        <v>1370</v>
      </c>
      <c r="H2" s="1571"/>
      <c r="I2" s="1571" t="s">
        <v>1371</v>
      </c>
      <c r="J2" s="1571"/>
      <c r="K2" s="1571" t="s">
        <v>1372</v>
      </c>
      <c r="L2" s="1571"/>
      <c r="M2" s="1614" t="s">
        <v>1698</v>
      </c>
      <c r="N2" s="1571"/>
      <c r="O2" s="1614" t="s">
        <v>1736</v>
      </c>
      <c r="P2" s="1571"/>
      <c r="Q2" s="178"/>
      <c r="R2" s="178"/>
      <c r="S2" s="178"/>
      <c r="T2" s="178"/>
      <c r="U2" s="178"/>
      <c r="V2" s="178"/>
      <c r="W2" s="178"/>
      <c r="X2" s="178"/>
      <c r="Y2" s="178"/>
      <c r="Z2" s="178"/>
      <c r="AA2" s="178"/>
      <c r="AB2" s="178"/>
      <c r="AC2" s="178"/>
      <c r="AD2" s="178"/>
      <c r="AE2" s="178"/>
      <c r="AF2" s="178"/>
      <c r="AG2" s="178"/>
      <c r="AH2" s="178"/>
      <c r="AI2" s="178"/>
      <c r="AJ2" s="178"/>
      <c r="AK2" s="178"/>
      <c r="AL2" s="178"/>
      <c r="AM2" s="178"/>
    </row>
    <row r="3" spans="1:39" ht="35.1" customHeight="1" x14ac:dyDescent="0.2">
      <c r="A3" s="174"/>
      <c r="B3" s="1573"/>
      <c r="C3" s="1574"/>
      <c r="D3" s="176" t="s">
        <v>222</v>
      </c>
      <c r="E3" s="236" t="s">
        <v>444</v>
      </c>
      <c r="F3" s="493" t="s">
        <v>477</v>
      </c>
      <c r="G3" s="220" t="s">
        <v>444</v>
      </c>
      <c r="H3" s="467" t="s">
        <v>477</v>
      </c>
      <c r="I3" s="236" t="s">
        <v>444</v>
      </c>
      <c r="J3" s="493" t="s">
        <v>477</v>
      </c>
      <c r="K3" s="236" t="s">
        <v>444</v>
      </c>
      <c r="L3" s="493" t="s">
        <v>477</v>
      </c>
      <c r="M3" s="236" t="s">
        <v>444</v>
      </c>
      <c r="N3" s="1221" t="s">
        <v>477</v>
      </c>
      <c r="O3" s="236" t="s">
        <v>444</v>
      </c>
      <c r="P3" s="1221" t="s">
        <v>477</v>
      </c>
      <c r="Q3" s="178"/>
      <c r="R3" s="178"/>
      <c r="S3" s="178"/>
      <c r="T3" s="178"/>
      <c r="U3" s="178"/>
      <c r="V3" s="178"/>
      <c r="W3" s="178"/>
      <c r="X3" s="178"/>
      <c r="Y3" s="178"/>
      <c r="Z3" s="178"/>
      <c r="AA3" s="178"/>
      <c r="AB3" s="178"/>
      <c r="AC3" s="178"/>
      <c r="AD3" s="178"/>
      <c r="AE3" s="178"/>
      <c r="AF3" s="178"/>
      <c r="AG3" s="178"/>
      <c r="AH3" s="178"/>
      <c r="AI3" s="178"/>
      <c r="AJ3" s="178"/>
      <c r="AK3" s="178"/>
      <c r="AL3" s="178"/>
      <c r="AM3" s="178"/>
    </row>
    <row r="4" spans="1:39" ht="15" customHeight="1" x14ac:dyDescent="0.2">
      <c r="A4" s="1550"/>
      <c r="B4" s="361" t="s">
        <v>1064</v>
      </c>
      <c r="C4" s="362" t="s">
        <v>1430</v>
      </c>
      <c r="D4" s="363" t="str">
        <f>IF($C4="","",VLOOKUP($C4,MATIERES!$A$2:$F$448,5,0))</f>
        <v>m²</v>
      </c>
      <c r="E4" s="364">
        <f>Simulation!$P$67</f>
        <v>0</v>
      </c>
      <c r="F4" s="365">
        <f>IF($C4="","",E4*VLOOKUP($C4,MATIERES!$A$2:$F$349,4,0))</f>
        <v>0</v>
      </c>
      <c r="G4" s="364">
        <f>Simulation!$P$67</f>
        <v>0</v>
      </c>
      <c r="H4" s="365">
        <f>IF($C4="","",G4*VLOOKUP($C4,MATIERES!$A$2:$F$349,4,0))</f>
        <v>0</v>
      </c>
      <c r="I4" s="364">
        <f>Simulation!$P$68*2</f>
        <v>10</v>
      </c>
      <c r="J4" s="365">
        <f>IF($C4="","",I4*VLOOKUP($C4,MATIERES!$A$2:$F$349,4,0))</f>
        <v>8.2999999999999989</v>
      </c>
      <c r="K4" s="364">
        <f>Simulation!$P$69</f>
        <v>0</v>
      </c>
      <c r="L4" s="365">
        <f>IF($C4="","",K4*VLOOKUP($C4,MATIERES!$A$2:$F$349,4,0))</f>
        <v>0</v>
      </c>
      <c r="M4" s="364"/>
      <c r="N4" s="365">
        <f>IF($C4="","",M4*VLOOKUP($C4,MATIERES!$A$2:$F$349,4,0))</f>
        <v>0</v>
      </c>
      <c r="O4" s="364">
        <v>5</v>
      </c>
      <c r="P4" s="365">
        <f>IF($C4="","",O4*VLOOKUP($C4,MATIERES!$A$2:$F$349,4,0))</f>
        <v>4.1499999999999995</v>
      </c>
    </row>
    <row r="5" spans="1:39" ht="15" customHeight="1" x14ac:dyDescent="0.2">
      <c r="A5" s="1550"/>
      <c r="B5" s="361" t="s">
        <v>719</v>
      </c>
      <c r="C5" s="362" t="s">
        <v>720</v>
      </c>
      <c r="D5" s="363" t="str">
        <f>IF($C5="","",VLOOKUP($C5,MATIERES!$A$2:$F$448,5,0))</f>
        <v>ml</v>
      </c>
      <c r="E5" s="364">
        <f>Simulation!$P$67*2</f>
        <v>0</v>
      </c>
      <c r="F5" s="365">
        <f>IF($C5="","",E5*VLOOKUP($C5,MATIERES!$A$2:$F$448,4,0))</f>
        <v>0</v>
      </c>
      <c r="G5" s="364">
        <f>Simulation!$P$67*2</f>
        <v>0</v>
      </c>
      <c r="H5" s="365">
        <f>IF($C5="","",G5*VLOOKUP($C5,MATIERES!$A$2:$F$448,4,0))</f>
        <v>0</v>
      </c>
      <c r="I5" s="364"/>
      <c r="J5" s="365"/>
      <c r="K5" s="364">
        <f>Simulation!$P$69</f>
        <v>0</v>
      </c>
      <c r="L5" s="365"/>
      <c r="M5" s="364">
        <f>EPANDRAINv</f>
        <v>0</v>
      </c>
      <c r="N5" s="365">
        <f>IF($C5="","",M5*VLOOKUP($C5,MATIERES!$A$2:$F$448,4,0))</f>
        <v>0</v>
      </c>
      <c r="O5" s="364"/>
      <c r="P5" s="365"/>
    </row>
    <row r="6" spans="1:39" ht="15" customHeight="1" x14ac:dyDescent="0.2">
      <c r="A6" s="1550"/>
      <c r="B6" s="361" t="s">
        <v>1074</v>
      </c>
      <c r="C6" s="362" t="s">
        <v>731</v>
      </c>
      <c r="D6" s="363"/>
      <c r="E6" s="364"/>
      <c r="F6" s="365">
        <f>IF($C6="","",E6*VLOOKUP($C6,MATIERES!$A$2:$F$448,4,0))</f>
        <v>0</v>
      </c>
      <c r="G6" s="364"/>
      <c r="H6" s="365"/>
      <c r="I6" s="364"/>
      <c r="J6" s="365"/>
      <c r="K6" s="364">
        <f>Simulation!$P$69</f>
        <v>0</v>
      </c>
      <c r="L6" s="365">
        <f>IF($C6="","",K6*VLOOKUP($C6,MATIERES!$A$2:$F$349,4,0))</f>
        <v>0</v>
      </c>
      <c r="M6" s="364"/>
      <c r="N6" s="365">
        <f>IF($C6="","",M6*VLOOKUP($C6,MATIERES!$A$2:$F$349,4,0))</f>
        <v>0</v>
      </c>
      <c r="O6" s="364">
        <v>5</v>
      </c>
      <c r="P6" s="365">
        <f>IF($C6="","",O6*VLOOKUP($C6,MATIERES!$A$2:$F$349,4,0))</f>
        <v>18.692</v>
      </c>
    </row>
    <row r="7" spans="1:39" ht="15" customHeight="1" x14ac:dyDescent="0.2">
      <c r="A7" s="1550"/>
      <c r="B7" s="361" t="s">
        <v>1074</v>
      </c>
      <c r="C7" s="362" t="s">
        <v>724</v>
      </c>
      <c r="D7" s="363" t="str">
        <f>IF($C7="","",VLOOKUP($C7,MATIERES!$A$2:$F$448,5,0))</f>
        <v>pc</v>
      </c>
      <c r="E7" s="364"/>
      <c r="F7" s="365">
        <f>IF($C7="","",E7*VLOOKUP($C7,MATIERES!$A$2:$F$448,4,0))</f>
        <v>0</v>
      </c>
      <c r="G7" s="364"/>
      <c r="H7" s="365"/>
      <c r="I7" s="364"/>
      <c r="J7" s="365"/>
      <c r="K7" s="364">
        <f>Simulation!$P$69</f>
        <v>0</v>
      </c>
      <c r="L7" s="365">
        <f>IF($C7="","",K7*VLOOKUP($C7,MATIERES!$A$2:$F$349,4,0))</f>
        <v>0</v>
      </c>
      <c r="M7" s="364"/>
      <c r="N7" s="365">
        <f>IF($C7="","",M7*VLOOKUP($C7,MATIERES!$A$2:$F$349,4,0))</f>
        <v>0</v>
      </c>
      <c r="O7" s="364"/>
      <c r="P7" s="365"/>
    </row>
    <row r="8" spans="1:39" ht="15" customHeight="1" x14ac:dyDescent="0.2">
      <c r="A8" s="1550"/>
      <c r="B8" s="361" t="s">
        <v>719</v>
      </c>
      <c r="C8" s="362" t="s">
        <v>721</v>
      </c>
      <c r="D8" s="363" t="str">
        <f>IF($C8="","",VLOOKUP($C8,MATIERES!$A$2:$F$448,5,0))</f>
        <v>ml</v>
      </c>
      <c r="E8" s="364"/>
      <c r="F8" s="365">
        <f>IF($C8="","",E8*VLOOKUP($C8,MATIERES!$A$2:$F$448,4,0))</f>
        <v>0</v>
      </c>
      <c r="G8" s="364"/>
      <c r="H8" s="365"/>
      <c r="I8" s="364"/>
      <c r="J8" s="365"/>
      <c r="K8" s="364">
        <f>Simulation!$P$69</f>
        <v>0</v>
      </c>
      <c r="L8" s="365"/>
      <c r="M8" s="364"/>
      <c r="N8" s="365">
        <v>0</v>
      </c>
      <c r="O8" s="364">
        <v>5</v>
      </c>
      <c r="P8" s="365"/>
    </row>
    <row r="9" spans="1:39" ht="15" customHeight="1" x14ac:dyDescent="0.2">
      <c r="A9" s="1550"/>
      <c r="B9" s="361" t="s">
        <v>719</v>
      </c>
      <c r="C9" s="362" t="s">
        <v>722</v>
      </c>
      <c r="D9" s="363" t="str">
        <f>IF($C9="","",VLOOKUP($C9,MATIERES!$A$2:$F$448,5,0))</f>
        <v>ml</v>
      </c>
      <c r="E9" s="364"/>
      <c r="F9" s="365">
        <f>IF($C9="","",E9*VLOOKUP($C9,MATIERES!$A$2:$F$448,4,0))</f>
        <v>0</v>
      </c>
      <c r="G9" s="364"/>
      <c r="H9" s="365"/>
      <c r="I9" s="364"/>
      <c r="J9" s="365"/>
      <c r="K9" s="364">
        <f>Simulation!$P$69</f>
        <v>0</v>
      </c>
      <c r="L9" s="365"/>
      <c r="M9" s="364"/>
      <c r="N9" s="365">
        <v>0</v>
      </c>
      <c r="O9" s="364"/>
      <c r="P9" s="365"/>
    </row>
    <row r="10" spans="1:39" ht="15" customHeight="1" x14ac:dyDescent="0.2">
      <c r="A10" s="1550"/>
      <c r="B10" s="361" t="s">
        <v>719</v>
      </c>
      <c r="C10" s="362" t="s">
        <v>723</v>
      </c>
      <c r="D10" s="363" t="str">
        <f>IF($C10="","",VLOOKUP($C10,MATIERES!$A$2:$F$448,5,0))</f>
        <v>ml</v>
      </c>
      <c r="E10" s="364"/>
      <c r="F10" s="365">
        <f>IF($C10="","",E10*VLOOKUP($C10,MATIERES!$A$2:$F$448,4,0))</f>
        <v>0</v>
      </c>
      <c r="G10" s="364"/>
      <c r="H10" s="365"/>
      <c r="I10" s="364"/>
      <c r="J10" s="365"/>
      <c r="K10" s="364">
        <f>Simulation!$P$69</f>
        <v>0</v>
      </c>
      <c r="L10" s="365"/>
      <c r="M10" s="364"/>
      <c r="N10" s="365">
        <v>0</v>
      </c>
      <c r="O10" s="364"/>
      <c r="P10" s="365"/>
    </row>
    <row r="11" spans="1:39" ht="15" customHeight="1" x14ac:dyDescent="0.2">
      <c r="A11" s="1550"/>
      <c r="B11" s="361" t="s">
        <v>1069</v>
      </c>
      <c r="C11" s="362" t="s">
        <v>760</v>
      </c>
      <c r="D11" s="363" t="str">
        <f>IF($C11="","",VLOOKUP($C11,MATIERES!$A$2:$F$448,5,0))</f>
        <v>ml</v>
      </c>
      <c r="E11" s="364"/>
      <c r="F11" s="365">
        <f>IF($C11="","",E11*VLOOKUP($C11,MATIERES!$A$2:$F$349,4,0))</f>
        <v>0</v>
      </c>
      <c r="G11" s="364"/>
      <c r="H11" s="365">
        <f>IF($C11="","",G11*VLOOKUP($C11,MATIERES!$A$2:$F$349,4,0))</f>
        <v>0</v>
      </c>
      <c r="I11" s="364">
        <f>4</f>
        <v>4</v>
      </c>
      <c r="J11" s="365">
        <f>IF($C11="","",I11*VLOOKUP($C11,MATIERES!$A$2:$F$349,4,0))</f>
        <v>17.66</v>
      </c>
      <c r="K11" s="364">
        <f>Simulation!$P$69</f>
        <v>0</v>
      </c>
      <c r="L11" s="365">
        <f>IF($C11="","",K11*VLOOKUP($C11,MATIERES!$A$2:$F$349,4,0))</f>
        <v>0</v>
      </c>
      <c r="M11" s="364">
        <v>0</v>
      </c>
      <c r="N11" s="365">
        <f>IF($C11="","",M11*VLOOKUP($C11,MATIERES!$A$2:$F$349,4,0))</f>
        <v>0</v>
      </c>
      <c r="O11" s="364">
        <f>Simulation!$P$69</f>
        <v>0</v>
      </c>
      <c r="P11" s="365">
        <f>IF($C11="","",O11*VLOOKUP($C11,MATIERES!$A$2:$F$349,4,0))</f>
        <v>0</v>
      </c>
    </row>
    <row r="12" spans="1:39" ht="15" customHeight="1" x14ac:dyDescent="0.2">
      <c r="A12" s="1550"/>
      <c r="B12" s="361" t="s">
        <v>1140</v>
      </c>
      <c r="C12" s="362" t="s">
        <v>805</v>
      </c>
      <c r="D12" s="363" t="str">
        <f>IF($C12="","",VLOOKUP($C12,MATIERES!$A$2:$F$448,5,0))</f>
        <v>pc</v>
      </c>
      <c r="E12" s="364"/>
      <c r="F12" s="365">
        <f>IF($C12="","",E12*VLOOKUP($C12,MATIERES!$A$2:$F$349,4,0))</f>
        <v>0</v>
      </c>
      <c r="G12" s="364"/>
      <c r="H12" s="365">
        <f>IF($C12="","",G12*VLOOKUP($C12,MATIERES!$A$2:$F$349,4,0))</f>
        <v>0</v>
      </c>
      <c r="I12" s="364">
        <f>Simulation!$P$68</f>
        <v>5</v>
      </c>
      <c r="J12" s="365">
        <f>IF($C12="","",I12*VLOOKUP($C12,MATIERES!$A$2:$F$349,4,0))</f>
        <v>8.25</v>
      </c>
      <c r="K12" s="364">
        <f>Simulation!$P$69</f>
        <v>0</v>
      </c>
      <c r="L12" s="365">
        <f>IF($C12="","",K12*VLOOKUP($C12,MATIERES!$A$2:$F$349,4,0))</f>
        <v>0</v>
      </c>
      <c r="M12" s="364">
        <f>Simulation!$P$69</f>
        <v>0</v>
      </c>
      <c r="N12" s="365">
        <f>IF($C12="","",M12*VLOOKUP($C12,MATIERES!$A$2:$F$349,4,0))</f>
        <v>0</v>
      </c>
      <c r="O12" s="364">
        <v>5</v>
      </c>
      <c r="P12" s="365">
        <f>IF($C12="","",O12*VLOOKUP($C12,MATIERES!$A$2:$F$349,4,0))</f>
        <v>8.25</v>
      </c>
    </row>
    <row r="13" spans="1:39" ht="15" customHeight="1" x14ac:dyDescent="0.2">
      <c r="A13" s="1550"/>
      <c r="B13" s="361" t="s">
        <v>1140</v>
      </c>
      <c r="C13" s="362" t="s">
        <v>824</v>
      </c>
      <c r="D13" s="363" t="str">
        <f>IF($C13="","",VLOOKUP($C13,MATIERES!$A$2:$F$448,5,0))</f>
        <v>pc</v>
      </c>
      <c r="E13" s="364"/>
      <c r="F13" s="365">
        <f>IF($C13="","",E13*VLOOKUP($C13,MATIERES!$A$2:$F$349,4,0))</f>
        <v>0</v>
      </c>
      <c r="G13" s="364"/>
      <c r="H13" s="365">
        <f>IF($C13="","",G13*VLOOKUP($C13,MATIERES!$A$2:$F$349,4,0))</f>
        <v>0</v>
      </c>
      <c r="I13" s="364">
        <f>Simulation!$P$68</f>
        <v>5</v>
      </c>
      <c r="J13" s="365">
        <f>IF($C13="","",I13*VLOOKUP($C13,MATIERES!$A$2:$F$349,4,0))</f>
        <v>8.25</v>
      </c>
      <c r="K13" s="364">
        <f>Simulation!$P$69</f>
        <v>0</v>
      </c>
      <c r="L13" s="365">
        <f>IF($C13="","",K13*VLOOKUP($C13,MATIERES!$A$2:$F$349,4,0))</f>
        <v>0</v>
      </c>
      <c r="M13" s="364">
        <f>Simulation!$P$69</f>
        <v>0</v>
      </c>
      <c r="N13" s="365">
        <f>IF($C13="","",M13*VLOOKUP($C13,MATIERES!$A$2:$F$349,4,0))</f>
        <v>0</v>
      </c>
      <c r="O13" s="364">
        <v>5</v>
      </c>
      <c r="P13" s="365">
        <f>IF($C13="","",O13*VLOOKUP($C13,MATIERES!$A$2:$F$349,4,0))</f>
        <v>8.25</v>
      </c>
    </row>
    <row r="14" spans="1:39" ht="15" customHeight="1" x14ac:dyDescent="0.2">
      <c r="A14" s="1550"/>
      <c r="B14" s="361" t="s">
        <v>1140</v>
      </c>
      <c r="C14" s="362" t="s">
        <v>818</v>
      </c>
      <c r="D14" s="363" t="str">
        <f>IF($C14="","",VLOOKUP($C14,MATIERES!$A$2:$F$448,5,0))</f>
        <v>pc</v>
      </c>
      <c r="E14" s="364"/>
      <c r="F14" s="365">
        <f>IF($C14="","",E14*VLOOKUP($C14,MATIERES!$A$2:$F$349,4,0))</f>
        <v>0</v>
      </c>
      <c r="G14" s="364"/>
      <c r="H14" s="365">
        <f>IF($C14="","",G14*VLOOKUP($C14,MATIERES!$A$2:$F$349,4,0))</f>
        <v>0</v>
      </c>
      <c r="I14" s="364">
        <f>Simulation!$P$68</f>
        <v>5</v>
      </c>
      <c r="J14" s="365">
        <f>IF($C14="","",I14*VLOOKUP($C14,MATIERES!$A$2:$F$349,4,0))</f>
        <v>8.25</v>
      </c>
      <c r="K14" s="364">
        <f>Simulation!$P$69</f>
        <v>0</v>
      </c>
      <c r="L14" s="365">
        <f>IF($C14="","",K14*VLOOKUP($C14,MATIERES!$A$2:$F$349,4,0))</f>
        <v>0</v>
      </c>
      <c r="M14" s="364">
        <f>Simulation!$P$69</f>
        <v>0</v>
      </c>
      <c r="N14" s="365">
        <f>IF($C14="","",M14*VLOOKUP($C14,MATIERES!$A$2:$F$349,4,0))</f>
        <v>0</v>
      </c>
      <c r="O14" s="364">
        <v>5</v>
      </c>
      <c r="P14" s="365">
        <f>IF($C14="","",O14*VLOOKUP($C14,MATIERES!$A$2:$F$349,4,0))</f>
        <v>8.25</v>
      </c>
    </row>
    <row r="15" spans="1:39" ht="15" customHeight="1" x14ac:dyDescent="0.2">
      <c r="A15" s="1550"/>
      <c r="B15" s="361" t="s">
        <v>1140</v>
      </c>
      <c r="C15" s="362" t="s">
        <v>847</v>
      </c>
      <c r="D15" s="363" t="str">
        <f>IF($C15="","",VLOOKUP($C15,MATIERES!$A$2:$F$448,5,0))</f>
        <v>pc</v>
      </c>
      <c r="E15" s="364"/>
      <c r="F15" s="365">
        <f>IF($C15="","",E15*VLOOKUP($C15,MATIERES!$A$2:$F$349,4,0))</f>
        <v>0</v>
      </c>
      <c r="G15" s="364"/>
      <c r="H15" s="365">
        <f>IF($C15="","",G15*VLOOKUP($C15,MATIERES!$A$2:$F$349,4,0))</f>
        <v>0</v>
      </c>
      <c r="I15" s="364">
        <f>Simulation!$P$68</f>
        <v>5</v>
      </c>
      <c r="J15" s="365">
        <f>IF($C15="","",I15*VLOOKUP($C15,MATIERES!$A$2:$F$349,4,0))</f>
        <v>8.25</v>
      </c>
      <c r="K15" s="364">
        <f>Simulation!$P$69</f>
        <v>0</v>
      </c>
      <c r="L15" s="365">
        <f>IF($C15="","",K15*VLOOKUP($C15,MATIERES!$A$2:$F$349,4,0))</f>
        <v>0</v>
      </c>
      <c r="M15" s="364">
        <f>Simulation!$P$69</f>
        <v>0</v>
      </c>
      <c r="N15" s="365">
        <f>IF($C15="","",M15*VLOOKUP($C15,MATIERES!$A$2:$F$349,4,0))</f>
        <v>0</v>
      </c>
      <c r="O15" s="364">
        <v>5</v>
      </c>
      <c r="P15" s="365">
        <f>IF($C15="","",O15*VLOOKUP($C15,MATIERES!$A$2:$F$349,4,0))</f>
        <v>8.25</v>
      </c>
    </row>
    <row r="16" spans="1:39" ht="15" customHeight="1" x14ac:dyDescent="0.2">
      <c r="A16" s="1550"/>
      <c r="B16" s="361" t="s">
        <v>1140</v>
      </c>
      <c r="C16" s="362" t="s">
        <v>830</v>
      </c>
      <c r="D16" s="363" t="str">
        <f>IF($C16="","",VLOOKUP($C16,MATIERES!$A$2:$F$448,5,0))</f>
        <v>pc</v>
      </c>
      <c r="E16" s="364"/>
      <c r="F16" s="365">
        <f>IF($C16="","",E16*VLOOKUP($C16,MATIERES!$A$2:$F$349,4,0))</f>
        <v>0</v>
      </c>
      <c r="G16" s="364"/>
      <c r="H16" s="365">
        <f>IF($C16="","",G16*VLOOKUP($C16,MATIERES!$A$2:$F$349,4,0))</f>
        <v>0</v>
      </c>
      <c r="I16" s="364">
        <f>Simulation!$P$68</f>
        <v>5</v>
      </c>
      <c r="J16" s="365">
        <f>IF($C16="","",I16*VLOOKUP($C16,MATIERES!$A$2:$F$349,4,0))</f>
        <v>8.25</v>
      </c>
      <c r="K16" s="364">
        <f>Simulation!$P$69</f>
        <v>0</v>
      </c>
      <c r="L16" s="365">
        <f>IF($C16="","",K16*VLOOKUP($C16,MATIERES!$A$2:$F$349,4,0))</f>
        <v>0</v>
      </c>
      <c r="M16" s="364">
        <f>Simulation!$P$69</f>
        <v>0</v>
      </c>
      <c r="N16" s="365">
        <f>IF($C16="","",M16*VLOOKUP($C16,MATIERES!$A$2:$F$349,4,0))</f>
        <v>0</v>
      </c>
      <c r="O16" s="364">
        <v>5</v>
      </c>
      <c r="P16" s="365">
        <f>IF($C16="","",O16*VLOOKUP($C16,MATIERES!$A$2:$F$349,4,0))</f>
        <v>8.25</v>
      </c>
    </row>
    <row r="17" spans="1:39" ht="15" customHeight="1" x14ac:dyDescent="0.2">
      <c r="A17" s="1550"/>
      <c r="B17" s="361" t="s">
        <v>127</v>
      </c>
      <c r="C17" s="362" t="s">
        <v>1209</v>
      </c>
      <c r="D17" s="363" t="s">
        <v>1146</v>
      </c>
      <c r="E17" s="546">
        <f>1.6*0.3*Simulation!$P$67</f>
        <v>0</v>
      </c>
      <c r="F17" s="365">
        <f>IF($C17="","",E17*VLOOKUP($C17,MATIERES!$A$2:$F$448,4,0))</f>
        <v>0</v>
      </c>
      <c r="G17" s="546">
        <f>1.6*0.3*Simulation!$P$67</f>
        <v>0</v>
      </c>
      <c r="H17" s="365">
        <f>IF($C17="","",G17*VLOOKUP($C17,MATIERES!$A$2:$F$448,4,0))</f>
        <v>0</v>
      </c>
      <c r="I17" s="546">
        <f>1.6*(0.15*0.8)*Simulation!P68/2</f>
        <v>0.48</v>
      </c>
      <c r="J17" s="365">
        <f>IF($C17="","",I17*VLOOKUP($C17,MATIERES!$A$2:$F$448,4,0))</f>
        <v>14.399999999999999</v>
      </c>
      <c r="K17" s="546">
        <f>1.6*0.2*Simulation!P69</f>
        <v>0</v>
      </c>
      <c r="L17" s="365">
        <f>IF($C17="","",K17*VLOOKUP($C17,MATIERES!$A$2:$F$448,4,0))</f>
        <v>0</v>
      </c>
      <c r="M17" s="546">
        <f>1.6*0.15*EPANDRAINv</f>
        <v>0</v>
      </c>
      <c r="N17" s="365">
        <f>IF($C17="","",M17*VLOOKUP($C17,MATIERES!$A$2:$F$448,4,0))</f>
        <v>0</v>
      </c>
      <c r="O17" s="546">
        <f>5*0.1*1.6+5*0.3*1.6</f>
        <v>3.2</v>
      </c>
      <c r="P17" s="365">
        <f>IF($C17="","",O17*VLOOKUP($C17,MATIERES!$A$2:$F$448,4,0))</f>
        <v>96</v>
      </c>
    </row>
    <row r="18" spans="1:39" ht="15" customHeight="1" x14ac:dyDescent="0.2">
      <c r="A18" s="1550"/>
      <c r="B18" s="361" t="s">
        <v>127</v>
      </c>
      <c r="C18" s="362" t="s">
        <v>1113</v>
      </c>
      <c r="D18" s="363" t="str">
        <f>IF($C18="","",VLOOKUP($C18,MATIERES!$A$2:$F$448,5,0))</f>
        <v>t</v>
      </c>
      <c r="E18" s="364"/>
      <c r="F18" s="365"/>
      <c r="G18" s="364"/>
      <c r="H18" s="365"/>
      <c r="I18" s="364">
        <f>0.35*1.6*Simulation!P68</f>
        <v>2.8</v>
      </c>
      <c r="J18" s="365">
        <f>IF($C18="","",I18*VLOOKUP($C18,MATIERES!$A$2:$F$448,4,0))</f>
        <v>84</v>
      </c>
      <c r="K18" s="364">
        <f>1.6*0.1*Simulation!P69</f>
        <v>0</v>
      </c>
      <c r="L18" s="365">
        <f>IF($C18="","",K18*VLOOKUP($C18,MATIERES!$A$2:$F$448,4,0))</f>
        <v>0</v>
      </c>
      <c r="M18" s="364">
        <f>1.6*0.1*Simulation!R69</f>
        <v>0</v>
      </c>
      <c r="N18" s="365">
        <f>IF($C18="","",M18*VLOOKUP($C18,MATIERES!$A$2:$F$448,4,0))</f>
        <v>0</v>
      </c>
      <c r="O18" s="364">
        <f>5*0.1*1.6</f>
        <v>0.8</v>
      </c>
      <c r="P18" s="365">
        <f>IF($C18="","",O18*VLOOKUP($C18,MATIERES!$A$2:$F$448,4,0))</f>
        <v>24</v>
      </c>
    </row>
    <row r="19" spans="1:39" ht="15" customHeight="1" x14ac:dyDescent="0.2">
      <c r="A19" s="1550"/>
      <c r="B19" s="361" t="s">
        <v>127</v>
      </c>
      <c r="C19" s="362" t="s">
        <v>1211</v>
      </c>
      <c r="D19" s="363" t="str">
        <f>IF($C19="","",VLOOKUP($C19,MATIERES!$A$2:$F$448,5,0))</f>
        <v>t</v>
      </c>
      <c r="E19" s="364"/>
      <c r="F19" s="365"/>
      <c r="G19" s="364"/>
      <c r="H19" s="365"/>
      <c r="I19" s="364"/>
      <c r="J19" s="365"/>
      <c r="K19" s="364"/>
      <c r="L19" s="365"/>
      <c r="M19" s="364"/>
      <c r="N19" s="365"/>
      <c r="O19" s="364">
        <f>5*0.1*1.8</f>
        <v>0.9</v>
      </c>
      <c r="P19" s="365">
        <f>IF($C19="","",O19*VLOOKUP($C19,MATIERES!$A$2:$F$448,4,0))</f>
        <v>45</v>
      </c>
    </row>
    <row r="20" spans="1:39" ht="15" customHeight="1" x14ac:dyDescent="0.2">
      <c r="A20" s="1550"/>
      <c r="B20" s="361" t="s">
        <v>1069</v>
      </c>
      <c r="C20" s="362" t="s">
        <v>752</v>
      </c>
      <c r="D20" s="363" t="str">
        <f>IF($C20="","",VLOOKUP($C20,MATIERES!$A$2:$F$448,5,0))</f>
        <v>pc</v>
      </c>
      <c r="E20" s="546">
        <v>2</v>
      </c>
      <c r="F20" s="365">
        <f>IF($C20="","",E20*VLOOKUP($C20,MATIERES!$A$2:$F$448,4,0))</f>
        <v>17.86</v>
      </c>
      <c r="G20" s="546">
        <v>4</v>
      </c>
      <c r="H20" s="365">
        <f>IF($C20="","",G20*VLOOKUP($C20,MATIERES!$A$2:$F$448,4,0))</f>
        <v>35.72</v>
      </c>
      <c r="I20" s="546">
        <v>2</v>
      </c>
      <c r="J20" s="365">
        <f>IF($C20="","",I20*VLOOKUP($C20,MATIERES!$A$2:$F$448,4,0))</f>
        <v>17.86</v>
      </c>
      <c r="K20" s="546">
        <v>2</v>
      </c>
      <c r="L20" s="365">
        <f>IF($C20="","",K20*VLOOKUP($C20,MATIERES!$A$2:$F$448,4,0))</f>
        <v>17.86</v>
      </c>
      <c r="M20" s="546">
        <f>IFERROR(IF(EPANDRAINv=0,0,2),0)</f>
        <v>0</v>
      </c>
      <c r="N20" s="365">
        <f>IF($C20="","",M20*VLOOKUP($C20,MATIERES!$A$2:$F$448,4,0))</f>
        <v>0</v>
      </c>
      <c r="O20" s="546">
        <v>3</v>
      </c>
      <c r="P20" s="365">
        <f>IF($C20="","",O20*VLOOKUP($C20,MATIERES!$A$2:$F$448,4,0))</f>
        <v>26.79</v>
      </c>
    </row>
    <row r="21" spans="1:39" ht="15" customHeight="1" x14ac:dyDescent="0.2">
      <c r="A21" s="1550"/>
      <c r="B21" s="361" t="s">
        <v>1069</v>
      </c>
      <c r="C21" s="362" t="s">
        <v>759</v>
      </c>
      <c r="D21" s="363" t="str">
        <f>IF($C21="","",VLOOKUP($C21,MATIERES!$A$2:$F$448,5,0))</f>
        <v>pc</v>
      </c>
      <c r="E21" s="546">
        <v>2</v>
      </c>
      <c r="F21" s="365">
        <f>IF($C21="","",E21*VLOOKUP($C21,MATIERES!$A$2:$F$448,4,0))</f>
        <v>6.26</v>
      </c>
      <c r="G21" s="546">
        <v>2</v>
      </c>
      <c r="H21" s="365">
        <f>IF($C21="","",G21*VLOOKUP($C21,MATIERES!$A$2:$F$448,4,0))</f>
        <v>6.26</v>
      </c>
      <c r="I21" s="546">
        <v>2</v>
      </c>
      <c r="J21" s="365">
        <f>IF($C21="","",I21*VLOOKUP($C21,MATIERES!$A$2:$F$448,4,0))</f>
        <v>6.26</v>
      </c>
      <c r="K21" s="546">
        <v>2</v>
      </c>
      <c r="L21" s="365">
        <f>IF($C21="","",K21*VLOOKUP($C21,MATIERES!$A$2:$F$448,4,0))</f>
        <v>6.26</v>
      </c>
      <c r="M21" s="546">
        <f>IFERROR(IF(EPANDRAINv=0,0,2),0)</f>
        <v>0</v>
      </c>
      <c r="N21" s="365">
        <f>IF($C21="","",M21*VLOOKUP($C21,MATIERES!$A$2:$F$448,4,0))</f>
        <v>0</v>
      </c>
      <c r="O21" s="546">
        <v>3</v>
      </c>
      <c r="P21" s="365">
        <f>IF($C21="","",O21*VLOOKUP($C21,MATIERES!$A$2:$F$448,4,0))</f>
        <v>9.39</v>
      </c>
    </row>
    <row r="22" spans="1:39" ht="15" customHeight="1" x14ac:dyDescent="0.2">
      <c r="A22" s="1550"/>
      <c r="B22" s="361" t="s">
        <v>1069</v>
      </c>
      <c r="C22" s="362" t="s">
        <v>1429</v>
      </c>
      <c r="D22" s="363" t="str">
        <f>IF($C22="","",VLOOKUP($C22,MATIERES!$A$2:$F$448,5,0))</f>
        <v>ml</v>
      </c>
      <c r="E22" s="364"/>
      <c r="F22" s="365">
        <f>IF($C22="","",E22*VLOOKUP($C22,MATIERES!$A$2:$F$349,4,0))</f>
        <v>0</v>
      </c>
      <c r="G22" s="364"/>
      <c r="H22" s="365">
        <f>IF($C22="","",G22*VLOOKUP($C22,MATIERES!$A$2:$F$349,4,0))</f>
        <v>0</v>
      </c>
      <c r="I22" s="364">
        <f>I16*1.3</f>
        <v>6.5</v>
      </c>
      <c r="J22" s="365">
        <f>IF($C22="","",I22*VLOOKUP($C22,MATIERES!$A$2:$F$349,4,0))</f>
        <v>39</v>
      </c>
      <c r="K22" s="364"/>
      <c r="L22" s="365">
        <f>IF($C22="","",K22*VLOOKUP($C22,MATIERES!$A$2:$F$349,4,0))</f>
        <v>0</v>
      </c>
      <c r="M22" s="364"/>
      <c r="N22" s="365"/>
      <c r="O22" s="364">
        <f>2*3.14*0.8*2</f>
        <v>10.048000000000002</v>
      </c>
      <c r="P22" s="365">
        <f>IF($C22="","",O22*VLOOKUP($C22,MATIERES!$A$2:$F$448,4,0))</f>
        <v>60.288000000000011</v>
      </c>
    </row>
    <row r="23" spans="1:39" ht="30" customHeight="1" x14ac:dyDescent="0.2">
      <c r="A23" s="366"/>
      <c r="B23" s="367" t="s">
        <v>683</v>
      </c>
      <c r="C23" s="368" t="s">
        <v>446</v>
      </c>
      <c r="D23" s="369" t="s">
        <v>447</v>
      </c>
      <c r="E23" s="370">
        <f>F23*(1+Simulation!$P$11)</f>
        <v>31.355999999999998</v>
      </c>
      <c r="F23" s="371">
        <f>SUM(F4:F22)</f>
        <v>24.119999999999997</v>
      </c>
      <c r="G23" s="370">
        <f>H23*(1+Simulation!$P$11)</f>
        <v>54.573999999999998</v>
      </c>
      <c r="H23" s="371">
        <f>SUM(H4:H22)</f>
        <v>41.98</v>
      </c>
      <c r="I23" s="370">
        <f>J23*(1+Simulation!$P$11)</f>
        <v>297.34900000000005</v>
      </c>
      <c r="J23" s="371">
        <f>SUM(J4:J22)</f>
        <v>228.73000000000002</v>
      </c>
      <c r="K23" s="370">
        <f>L23*(1+Simulation!$P$11)</f>
        <v>31.355999999999998</v>
      </c>
      <c r="L23" s="371">
        <f>SUM(L4:L22)</f>
        <v>24.119999999999997</v>
      </c>
      <c r="M23" s="370">
        <f>N23*(1+Simulation!$P$11)</f>
        <v>0</v>
      </c>
      <c r="N23" s="371">
        <f>SUM(N4:N22)</f>
        <v>0</v>
      </c>
      <c r="O23" s="370">
        <f>P23*(1+Simulation!$P$11)</f>
        <v>423.22800000000001</v>
      </c>
      <c r="P23" s="371">
        <f>SUM(P4:P22)</f>
        <v>325.56</v>
      </c>
    </row>
    <row r="24" spans="1:39" ht="15" customHeight="1" x14ac:dyDescent="0.2">
      <c r="A24" s="1553" t="s">
        <v>448</v>
      </c>
      <c r="B24" s="361" t="s">
        <v>1153</v>
      </c>
      <c r="C24" s="362" t="s">
        <v>419</v>
      </c>
      <c r="D24" s="363" t="str">
        <f>IF($C24="","",VLOOKUP($C24,ATELIER!$A$2:$E$109,3,0))</f>
        <v>pc</v>
      </c>
      <c r="E24" s="364">
        <v>0</v>
      </c>
      <c r="F24" s="372">
        <f>IF($C24="","",E24*VLOOKUP($C24,ATELIER!$A$2:$F$109,4,0))</f>
        <v>0</v>
      </c>
      <c r="G24" s="364">
        <v>1</v>
      </c>
      <c r="H24" s="372">
        <f>IF($C24="","",G24*VLOOKUP($C24,ATELIER!$A$2:$F$109,4,0))</f>
        <v>0.08</v>
      </c>
      <c r="I24" s="364">
        <v>1</v>
      </c>
      <c r="J24" s="372">
        <f>IF($C24="","",I24*VLOOKUP($C24,ATELIER!$A$2:$F$109,4,0))</f>
        <v>0.08</v>
      </c>
      <c r="K24" s="364">
        <v>1</v>
      </c>
      <c r="L24" s="372">
        <f>IF($C24="","",K24*VLOOKUP($C24,ATELIER!$A$2:$F$109,4,0))</f>
        <v>0.08</v>
      </c>
      <c r="M24" s="364"/>
      <c r="N24" s="372"/>
      <c r="O24" s="364"/>
      <c r="P24" s="372"/>
    </row>
    <row r="25" spans="1:39" ht="15" customHeight="1" x14ac:dyDescent="0.2">
      <c r="A25" s="1553"/>
      <c r="B25" s="361" t="s">
        <v>1156</v>
      </c>
      <c r="C25" s="362" t="s">
        <v>1230</v>
      </c>
      <c r="D25" s="363" t="str">
        <f>IF($C25="","",VLOOKUP($C25,ATELIER!$A$2:$E$109,3,0))</f>
        <v>pc</v>
      </c>
      <c r="E25" s="364">
        <v>2</v>
      </c>
      <c r="F25" s="372">
        <f>IF($C25="","",E25*VLOOKUP($C25,ATELIER!$A$2:$F$109,4,0))</f>
        <v>0.3</v>
      </c>
      <c r="G25" s="364">
        <v>4</v>
      </c>
      <c r="H25" s="372">
        <f>IF($C25="","",G25*VLOOKUP($C25,ATELIER!$A$2:$F$109,4,0))</f>
        <v>0.6</v>
      </c>
      <c r="I25" s="364">
        <v>0</v>
      </c>
      <c r="J25" s="372">
        <f>IF($C25="","",I25*VLOOKUP($C25,ATELIER!$A$2:$F$109,4,0))</f>
        <v>0</v>
      </c>
      <c r="K25" s="364">
        <v>0</v>
      </c>
      <c r="L25" s="372">
        <f>IF($C25="","",K25*VLOOKUP($C25,ATELIER!$A$2:$F$109,4,0))</f>
        <v>0</v>
      </c>
      <c r="M25" s="364"/>
      <c r="N25" s="372"/>
      <c r="O25" s="364"/>
      <c r="P25" s="372"/>
    </row>
    <row r="26" spans="1:39" ht="15" customHeight="1" x14ac:dyDescent="0.2">
      <c r="A26" s="1552"/>
      <c r="B26" s="361" t="s">
        <v>1156</v>
      </c>
      <c r="C26" s="362"/>
      <c r="D26" s="363" t="str">
        <f>IF($C26="","",VLOOKUP($C26,ATELIER!$A$2:$E$109,3,0))</f>
        <v/>
      </c>
      <c r="E26" s="364">
        <v>0</v>
      </c>
      <c r="F26" s="372" t="str">
        <f>IF($C26="","",E26*VLOOKUP($C26,ATELIER!$A$2:$F$109,4,0))</f>
        <v/>
      </c>
      <c r="G26" s="364">
        <v>0</v>
      </c>
      <c r="H26" s="372" t="str">
        <f>IF($C26="","",G26*VLOOKUP($C26,ATELIER!$A$2:$F$109,4,0))</f>
        <v/>
      </c>
      <c r="I26" s="364">
        <v>0</v>
      </c>
      <c r="J26" s="372" t="str">
        <f>IF($C26="","",I26*VLOOKUP($C26,ATELIER!$A$2:$F$109,4,0))</f>
        <v/>
      </c>
      <c r="K26" s="364">
        <v>0</v>
      </c>
      <c r="L26" s="372" t="str">
        <f>IF($C26="","",K26*VLOOKUP($C26,ATELIER!$A$2:$F$109,4,0))</f>
        <v/>
      </c>
      <c r="M26" s="364"/>
      <c r="N26" s="372"/>
      <c r="O26" s="364"/>
      <c r="P26" s="372"/>
    </row>
    <row r="27" spans="1:39" ht="15" customHeight="1" x14ac:dyDescent="0.2">
      <c r="A27" s="1553"/>
      <c r="B27" s="361" t="s">
        <v>1154</v>
      </c>
      <c r="C27" s="362"/>
      <c r="D27" s="363" t="str">
        <f>IF($C27="","",VLOOKUP($C27,ATELIER!$A$2:$E$109,3,0))</f>
        <v/>
      </c>
      <c r="E27" s="364">
        <v>0</v>
      </c>
      <c r="F27" s="372" t="str">
        <f>IF($C27="","",E27*VLOOKUP($C27,ATELIER!$A$2:$F$109,4,0))</f>
        <v/>
      </c>
      <c r="G27" s="364">
        <v>0</v>
      </c>
      <c r="H27" s="372" t="str">
        <f>IF($C27="","",G27*VLOOKUP($C27,ATELIER!$A$2:$F$109,4,0))</f>
        <v/>
      </c>
      <c r="I27" s="364">
        <v>0</v>
      </c>
      <c r="J27" s="372" t="str">
        <f>IF($C27="","",I27*VLOOKUP($C27,ATELIER!$A$2:$F$109,4,0))</f>
        <v/>
      </c>
      <c r="K27" s="364">
        <v>0</v>
      </c>
      <c r="L27" s="372" t="str">
        <f>IF($C27="","",K27*VLOOKUP($C27,ATELIER!$A$2:$F$109,4,0))</f>
        <v/>
      </c>
      <c r="M27" s="364"/>
      <c r="N27" s="372"/>
      <c r="O27" s="364"/>
      <c r="P27" s="372"/>
    </row>
    <row r="28" spans="1:39" ht="35.25" customHeight="1" x14ac:dyDescent="0.2">
      <c r="A28" s="1553"/>
      <c r="B28" s="375" t="s">
        <v>449</v>
      </c>
      <c r="C28" s="376" t="s">
        <v>450</v>
      </c>
      <c r="D28" s="377" t="s">
        <v>451</v>
      </c>
      <c r="E28" s="376">
        <f>F28*Simulation!$P$8</f>
        <v>13.5</v>
      </c>
      <c r="F28" s="377">
        <f>SUM(F24:F27)</f>
        <v>0.3</v>
      </c>
      <c r="G28" s="376">
        <f>H28*Simulation!$P$8</f>
        <v>30.599999999999998</v>
      </c>
      <c r="H28" s="377">
        <f>SUM(H24:H27)</f>
        <v>0.67999999999999994</v>
      </c>
      <c r="I28" s="376">
        <f>J28*Simulation!$P$8</f>
        <v>3.6</v>
      </c>
      <c r="J28" s="377">
        <f>SUM(J24:J27)</f>
        <v>0.08</v>
      </c>
      <c r="K28" s="376">
        <f>L28*Simulation!$P$8</f>
        <v>3.6</v>
      </c>
      <c r="L28" s="377">
        <f>SUM(L24:L27)</f>
        <v>0.08</v>
      </c>
      <c r="M28" s="376">
        <f>N28*Simulation!$P$8</f>
        <v>0</v>
      </c>
      <c r="N28" s="377">
        <f t="shared" ref="N28" si="0">SUM(N24:N27)</f>
        <v>0</v>
      </c>
      <c r="O28" s="376">
        <f>P28*Simulation!$P$8</f>
        <v>0</v>
      </c>
      <c r="P28" s="376">
        <f>Q28*Simulation!$P$8</f>
        <v>0</v>
      </c>
      <c r="Q28" s="224"/>
      <c r="R28" s="224"/>
      <c r="S28" s="224"/>
      <c r="T28" s="224"/>
      <c r="U28" s="224"/>
      <c r="V28" s="224"/>
      <c r="W28" s="224"/>
      <c r="X28" s="224"/>
      <c r="Y28" s="224"/>
      <c r="Z28" s="224"/>
      <c r="AA28" s="224"/>
      <c r="AB28" s="224"/>
      <c r="AC28" s="224"/>
      <c r="AD28" s="224"/>
      <c r="AE28" s="224"/>
      <c r="AF28" s="224"/>
      <c r="AG28" s="224"/>
      <c r="AH28" s="224"/>
      <c r="AI28" s="224"/>
      <c r="AJ28" s="224"/>
      <c r="AK28" s="224"/>
      <c r="AL28" s="224"/>
      <c r="AM28" s="224"/>
    </row>
    <row r="29" spans="1:39" ht="17.850000000000001" customHeight="1" x14ac:dyDescent="0.2">
      <c r="A29" s="1554"/>
      <c r="B29" s="361" t="s">
        <v>1163</v>
      </c>
      <c r="C29" s="378" t="s">
        <v>1044</v>
      </c>
      <c r="D29" s="363" t="str">
        <f>IF(C29="","",VLOOKUP($C29,CHANTIER!$A$2:$C$83,3,0))</f>
        <v>pc</v>
      </c>
      <c r="E29" s="364">
        <v>2</v>
      </c>
      <c r="F29" s="372">
        <f>IF($C29="","",E29*VLOOKUP($C29,CHANTIER!$A$2:$D$83,4,0))</f>
        <v>0.1</v>
      </c>
      <c r="G29" s="364">
        <v>2</v>
      </c>
      <c r="H29" s="372">
        <f>IF($C29="","",G29*VLOOKUP($C29,CHANTIER!$A$2:$D$83,4,0))</f>
        <v>0.1</v>
      </c>
      <c r="I29" s="364">
        <v>2</v>
      </c>
      <c r="J29" s="372">
        <f>IF($C29="","",I29*VLOOKUP($C29,CHANTIER!$A$2:$D$83,4,0))</f>
        <v>0.1</v>
      </c>
      <c r="K29" s="364">
        <v>2</v>
      </c>
      <c r="L29" s="372">
        <f>IF($C29="","",K29*VLOOKUP($C29,CHANTIER!$A$2:$D$83,4,0))</f>
        <v>0.1</v>
      </c>
      <c r="M29" s="364">
        <f>IFERROR(IF(EPANDRAINv=0,0,2),0)</f>
        <v>0</v>
      </c>
      <c r="N29" s="372">
        <f>IF($C29="","",M29*VLOOKUP($C29,CHANTIER!$A$2:$D$83,4,0))</f>
        <v>0</v>
      </c>
      <c r="O29" s="364">
        <f>O20</f>
        <v>3</v>
      </c>
      <c r="P29" s="372">
        <f>IF($C29="","",O29*VLOOKUP($C29,CHANTIER!$A$2:$D$83,4,0))</f>
        <v>0.15000000000000002</v>
      </c>
    </row>
    <row r="30" spans="1:39" ht="17.850000000000001" customHeight="1" x14ac:dyDescent="0.2">
      <c r="A30" s="1554"/>
      <c r="B30" s="361" t="s">
        <v>1163</v>
      </c>
      <c r="C30" s="378" t="s">
        <v>1042</v>
      </c>
      <c r="D30" s="363" t="str">
        <f>IF(C30="","",VLOOKUP($C30,CHANTIER!$A$2:$C$83,3,0))</f>
        <v>pc</v>
      </c>
      <c r="E30" s="364">
        <v>2</v>
      </c>
      <c r="F30" s="372">
        <f>IF($C30="","",E30*VLOOKUP($C30,CHANTIER!$A$2:$D$83,4,0))</f>
        <v>0.16</v>
      </c>
      <c r="G30" s="364">
        <v>2</v>
      </c>
      <c r="H30" s="372">
        <f>IF($C30="","",G30*VLOOKUP($C30,CHANTIER!$A$2:$D$83,4,0))</f>
        <v>0.16</v>
      </c>
      <c r="I30" s="364">
        <v>2</v>
      </c>
      <c r="J30" s="372">
        <f>IF($C30="","",I30*VLOOKUP($C30,CHANTIER!$A$2:$D$83,4,0))</f>
        <v>0.16</v>
      </c>
      <c r="K30" s="364">
        <v>2</v>
      </c>
      <c r="L30" s="372">
        <f>IF($C30="","",K30*VLOOKUP($C30,CHANTIER!$A$2:$D$83,4,0))</f>
        <v>0.16</v>
      </c>
      <c r="M30" s="364">
        <f>IFERROR(IF(EPANDRAINv=0,0,2),0)</f>
        <v>0</v>
      </c>
      <c r="N30" s="372">
        <f>IF($C30="","",M30*VLOOKUP($C30,CHANTIER!$A$2:$D$83,4,0))</f>
        <v>0</v>
      </c>
      <c r="O30" s="364">
        <f>O29</f>
        <v>3</v>
      </c>
      <c r="P30" s="372">
        <f>IF($C30="","",O30*VLOOKUP($C30,CHANTIER!$A$2:$D$83,4,0))</f>
        <v>0.24</v>
      </c>
    </row>
    <row r="31" spans="1:39" ht="15" customHeight="1" x14ac:dyDescent="0.2">
      <c r="A31" s="1554"/>
      <c r="B31" s="361" t="s">
        <v>1160</v>
      </c>
      <c r="C31" s="378" t="s">
        <v>410</v>
      </c>
      <c r="D31" s="363" t="str">
        <f>IF(C31="","",VLOOKUP($C31,CHANTIER!$A$2:$C$83,3,0))</f>
        <v>ml</v>
      </c>
      <c r="E31" s="364"/>
      <c r="F31" s="372">
        <f>IF($C31="","",E31*VLOOKUP($C31,CHANTIER!$A$2:$D$83,4,0))</f>
        <v>0</v>
      </c>
      <c r="G31" s="364"/>
      <c r="H31" s="372">
        <f>IF($C31="","",G31*VLOOKUP($C31,CHANTIER!$A$2:$D$83,4,0))</f>
        <v>0</v>
      </c>
      <c r="I31" s="364">
        <f>4</f>
        <v>4</v>
      </c>
      <c r="J31" s="372">
        <f>IF($C31="","",I31*VLOOKUP($C31,CHANTIER!$A$2:$D$83,4,0))</f>
        <v>0.6</v>
      </c>
      <c r="K31" s="364"/>
      <c r="L31" s="372">
        <f>IF($C31="","",K31*VLOOKUP($C31,CHANTIER!$A$2:$D$83,4,0))</f>
        <v>0</v>
      </c>
      <c r="M31" s="364"/>
      <c r="N31" s="372">
        <f>IF($C31="","",M31*VLOOKUP($C31,CHANTIER!$A$2:$D$83,4,0))</f>
        <v>0</v>
      </c>
      <c r="O31" s="364"/>
      <c r="P31" s="372">
        <f>IF($C31="","",O31*VLOOKUP($C31,CHANTIER!$A$2:$D$83,4,0))</f>
        <v>0</v>
      </c>
    </row>
    <row r="32" spans="1:39" ht="15" customHeight="1" x14ac:dyDescent="0.2">
      <c r="A32" s="1554"/>
      <c r="B32" s="361" t="s">
        <v>1163</v>
      </c>
      <c r="C32" s="378" t="s">
        <v>1039</v>
      </c>
      <c r="D32" s="363" t="str">
        <f>IF(C32="","",VLOOKUP($C32,CHANTIER!$A$2:$C$83,3,0))</f>
        <v>m²</v>
      </c>
      <c r="E32" s="364">
        <f>Simulation!$P$67</f>
        <v>0</v>
      </c>
      <c r="F32" s="372">
        <f>IF($C32="","",E32*VLOOKUP($C32,CHANTIER!$A$2:$D$83,4,0))</f>
        <v>0</v>
      </c>
      <c r="G32" s="364">
        <f>Simulation!$P$67</f>
        <v>0</v>
      </c>
      <c r="H32" s="372">
        <f>IF($C32="","",G32*VLOOKUP($C32,CHANTIER!$A$2:$D$83,4,0))</f>
        <v>0</v>
      </c>
      <c r="I32" s="364">
        <f>I16*2</f>
        <v>10</v>
      </c>
      <c r="J32" s="372">
        <f>IF($C32="","",I32*VLOOKUP($C32,CHANTIER!$A$2:$D$83,4,0))</f>
        <v>0.1</v>
      </c>
      <c r="K32" s="364">
        <f>Simulation!$P$69</f>
        <v>0</v>
      </c>
      <c r="L32" s="372">
        <f>IF($C32="","",K32*VLOOKUP($C32,CHANTIER!$A$2:$D$83,4,0))</f>
        <v>0</v>
      </c>
      <c r="M32" s="364">
        <f>0.5*EPANDRAINv</f>
        <v>0</v>
      </c>
      <c r="N32" s="372">
        <f>IF($C32="","",M32*VLOOKUP($C32,CHANTIER!$A$2:$D$83,4,0))</f>
        <v>0</v>
      </c>
      <c r="O32" s="364">
        <v>5</v>
      </c>
      <c r="P32" s="372">
        <f>IF($C32="","",O32*VLOOKUP($C32,CHANTIER!$A$2:$D$83,4,0))</f>
        <v>0.05</v>
      </c>
    </row>
    <row r="33" spans="1:16" ht="15" customHeight="1" x14ac:dyDescent="0.2">
      <c r="A33" s="1554"/>
      <c r="B33" s="361" t="s">
        <v>1163</v>
      </c>
      <c r="C33" s="378" t="s">
        <v>1005</v>
      </c>
      <c r="D33" s="363" t="str">
        <f>IF(C33="","",VLOOKUP($C33,CHANTIER!$A$2:$C$83,3,0))</f>
        <v>m²</v>
      </c>
      <c r="E33" s="364"/>
      <c r="F33" s="372"/>
      <c r="G33" s="364"/>
      <c r="H33" s="372"/>
      <c r="I33" s="364">
        <f>I16</f>
        <v>5</v>
      </c>
      <c r="J33" s="372">
        <f>IF($C33="","",I33*VLOOKUP($C33,CHANTIER!$A$2:$D$83,4,0))</f>
        <v>0.25</v>
      </c>
      <c r="K33" s="364"/>
      <c r="L33" s="372"/>
      <c r="M33" s="364"/>
      <c r="N33" s="372"/>
      <c r="O33" s="364"/>
      <c r="P33" s="372">
        <f>IF($C33="","",O33*VLOOKUP($C33,CHANTIER!$A$2:$D$83,4,0))</f>
        <v>0</v>
      </c>
    </row>
    <row r="34" spans="1:16" ht="15" customHeight="1" x14ac:dyDescent="0.2">
      <c r="A34" s="1554"/>
      <c r="B34" s="361" t="s">
        <v>1163</v>
      </c>
      <c r="C34" s="378" t="s">
        <v>985</v>
      </c>
      <c r="D34" s="363" t="str">
        <f>IF(C34="","",VLOOKUP($C34,CHANTIER!$A$2:$C$83,3,0))</f>
        <v>T</v>
      </c>
      <c r="E34" s="364">
        <f>E18/1.6</f>
        <v>0</v>
      </c>
      <c r="F34" s="372">
        <f>IF($C34="","",E34*VLOOKUP($C34,CHANTIER!$A$2:$D$83,4,0))</f>
        <v>0</v>
      </c>
      <c r="G34" s="364">
        <f>G18/1.6</f>
        <v>0</v>
      </c>
      <c r="H34" s="372">
        <f>IF($C34="","",G34*VLOOKUP($C34,CHANTIER!$A$2:$D$83,4,0))</f>
        <v>0</v>
      </c>
      <c r="I34" s="364">
        <f>(I17+I18)/1.6</f>
        <v>2.0499999999999998</v>
      </c>
      <c r="J34" s="372">
        <f>IF($C34="","",I34*VLOOKUP($C34,CHANTIER!$A$2:$D$83,4,0))</f>
        <v>0.10249999999999999</v>
      </c>
      <c r="K34" s="364">
        <f>(K18+K17)</f>
        <v>0</v>
      </c>
      <c r="L34" s="372">
        <f>IF($C34="","",K34*VLOOKUP($C34,CHANTIER!$A$2:$D$83,4,0))</f>
        <v>0</v>
      </c>
      <c r="M34" s="364"/>
      <c r="N34" s="372"/>
      <c r="O34" s="364">
        <f>O19+O18+O17</f>
        <v>4.9000000000000004</v>
      </c>
      <c r="P34" s="372">
        <f>IF($C34="","",O34*VLOOKUP($C34,CHANTIER!$A$2:$D$83,4,0))</f>
        <v>0.24500000000000002</v>
      </c>
    </row>
    <row r="35" spans="1:16" ht="15" customHeight="1" x14ac:dyDescent="0.2">
      <c r="A35" s="1554"/>
      <c r="B35" s="361" t="s">
        <v>1159</v>
      </c>
      <c r="C35" s="378" t="s">
        <v>77</v>
      </c>
      <c r="D35" s="363" t="str">
        <f>IF(C35="","",VLOOKUP($C35,CHANTIER!$A$2:$C$83,3,0))</f>
        <v>pc</v>
      </c>
      <c r="E35" s="364"/>
      <c r="F35" s="372">
        <f>IF($C35="","",E35*VLOOKUP($C35,CHANTIER!$A$2:$D$83,4,0))</f>
        <v>0</v>
      </c>
      <c r="G35" s="364"/>
      <c r="H35" s="372"/>
      <c r="I35" s="364"/>
      <c r="J35" s="372"/>
      <c r="K35" s="364">
        <f>5*Simulation!P69</f>
        <v>0</v>
      </c>
      <c r="L35" s="372">
        <f>IF($C35="","",K35*VLOOKUP($C35,CHANTIER!$A$2:$D$83,4,0))</f>
        <v>0</v>
      </c>
      <c r="M35" s="364"/>
      <c r="N35" s="372"/>
      <c r="O35" s="364"/>
      <c r="P35" s="372">
        <f>IF($C35="","",O35*VLOOKUP($C35,CHANTIER!$A$2:$D$83,4,0))</f>
        <v>0</v>
      </c>
    </row>
    <row r="36" spans="1:16" ht="15" customHeight="1" x14ac:dyDescent="0.2">
      <c r="A36" s="1554"/>
      <c r="B36" s="361" t="s">
        <v>1159</v>
      </c>
      <c r="C36" s="378" t="s">
        <v>1235</v>
      </c>
      <c r="D36" s="363"/>
      <c r="E36" s="364">
        <f>E5</f>
        <v>0</v>
      </c>
      <c r="F36" s="372">
        <f>IF($C36="","",E36*VLOOKUP($C36,CHANTIER!$A$2:$D$83,4,0))</f>
        <v>0</v>
      </c>
      <c r="G36" s="364">
        <f>G5</f>
        <v>0</v>
      </c>
      <c r="H36" s="372">
        <f>IF($C36="","",G36*VLOOKUP($C36,CHANTIER!$A$2:$D$83,4,0))</f>
        <v>0</v>
      </c>
      <c r="I36" s="364"/>
      <c r="J36" s="372"/>
      <c r="K36" s="364"/>
      <c r="L36" s="372"/>
      <c r="M36" s="364"/>
      <c r="N36" s="372"/>
      <c r="O36" s="364"/>
      <c r="P36" s="372"/>
    </row>
    <row r="37" spans="1:16" ht="15" customHeight="1" x14ac:dyDescent="0.2">
      <c r="A37" s="1554"/>
      <c r="B37" s="361" t="s">
        <v>1434</v>
      </c>
      <c r="C37" s="378" t="s">
        <v>1435</v>
      </c>
      <c r="D37" s="363" t="str">
        <f>IF(C37="","",VLOOKUP($C37,CHANTIER!$A$2:$C$83,3,0))</f>
        <v>ml</v>
      </c>
      <c r="E37" s="364"/>
      <c r="F37" s="372"/>
      <c r="G37" s="364"/>
      <c r="H37" s="372"/>
      <c r="I37" s="364"/>
      <c r="J37" s="372"/>
      <c r="K37" s="364"/>
      <c r="L37" s="372"/>
      <c r="M37" s="364"/>
      <c r="N37" s="372"/>
      <c r="O37" s="364">
        <f>O22</f>
        <v>10.048000000000002</v>
      </c>
      <c r="P37" s="372">
        <f>IF($C37="","",O37*VLOOKUP($C37,CHANTIER!$A$2:$D$83,4,0))</f>
        <v>0.50240000000000007</v>
      </c>
    </row>
    <row r="38" spans="1:16" ht="15" customHeight="1" x14ac:dyDescent="0.2">
      <c r="A38" s="1554"/>
      <c r="B38" s="361" t="s">
        <v>1159</v>
      </c>
      <c r="C38" s="378" t="s">
        <v>1224</v>
      </c>
      <c r="D38" s="363" t="str">
        <f>IF(C38="","",VLOOKUP($C38,CHANTIER!$A$2:$C$83,3,0))</f>
        <v>pc</v>
      </c>
      <c r="E38" s="364"/>
      <c r="F38" s="372"/>
      <c r="G38" s="364"/>
      <c r="H38" s="372"/>
      <c r="I38" s="364">
        <f>5*Simulation!P68</f>
        <v>25</v>
      </c>
      <c r="J38" s="372">
        <f>IF($C38="","",I38*VLOOKUP($C38,CHANTIER!$A$2:$D$83,4,0))</f>
        <v>0.375</v>
      </c>
      <c r="K38" s="364"/>
      <c r="L38" s="372"/>
      <c r="M38" s="364"/>
      <c r="N38" s="372"/>
      <c r="O38" s="364">
        <v>25</v>
      </c>
      <c r="P38" s="372">
        <f>IF($C38="","",O38*VLOOKUP($C38,CHANTIER!$A$2:$D$83,4,0))</f>
        <v>0.375</v>
      </c>
    </row>
    <row r="39" spans="1:16" ht="30.75" customHeight="1" x14ac:dyDescent="0.2">
      <c r="A39" s="1554"/>
      <c r="B39" s="379" t="s">
        <v>453</v>
      </c>
      <c r="C39" s="380" t="s">
        <v>450</v>
      </c>
      <c r="D39" s="381" t="s">
        <v>451</v>
      </c>
      <c r="E39" s="382">
        <f>F39*Simulation!$P$9</f>
        <v>11.700000000000001</v>
      </c>
      <c r="F39" s="383">
        <f>SUM(F29:F38)</f>
        <v>0.26</v>
      </c>
      <c r="G39" s="382">
        <f>H39*Simulation!$P$9</f>
        <v>11.700000000000001</v>
      </c>
      <c r="H39" s="383">
        <f>SUM(H29:H38)</f>
        <v>0.26</v>
      </c>
      <c r="I39" s="382">
        <f>J39*Simulation!$P$9</f>
        <v>75.9375</v>
      </c>
      <c r="J39" s="383">
        <f>SUM(J29:J38)</f>
        <v>1.6875</v>
      </c>
      <c r="K39" s="382">
        <f>L39*Simulation!$P$9</f>
        <v>11.700000000000001</v>
      </c>
      <c r="L39" s="383">
        <f>SUM(L29:L38)</f>
        <v>0.26</v>
      </c>
      <c r="M39" s="382">
        <f>N39*Simulation!$P$9</f>
        <v>0</v>
      </c>
      <c r="N39" s="383">
        <f t="shared" ref="N39" si="1">SUM(N29:N38)</f>
        <v>0</v>
      </c>
      <c r="O39" s="382">
        <f>P39*Simulation!$P$9</f>
        <v>70.308000000000007</v>
      </c>
      <c r="P39" s="383">
        <f t="shared" ref="P39" si="2">SUM(P29:P38)</f>
        <v>1.5624000000000002</v>
      </c>
    </row>
    <row r="40" spans="1:16" ht="15" customHeight="1" x14ac:dyDescent="0.2">
      <c r="A40" s="1560"/>
      <c r="B40" s="361" t="s">
        <v>1172</v>
      </c>
      <c r="C40" s="378" t="s">
        <v>102</v>
      </c>
      <c r="D40" s="363" t="str">
        <f>IF(C40="","",VLOOKUP($C40,MINIPELLE!$A$2:$C$28,3,0))</f>
        <v>m3</v>
      </c>
      <c r="E40" s="364">
        <f>Simulation!P67*0.5</f>
        <v>0</v>
      </c>
      <c r="F40" s="389">
        <f>IF($C40="","",E40*VLOOKUP($C40,MINIPELLE!$A$2:$D$28,4,0))</f>
        <v>0</v>
      </c>
      <c r="G40" s="364">
        <f>Simulation!P67</f>
        <v>0</v>
      </c>
      <c r="H40" s="389">
        <f>IF($C40="","",G40*VLOOKUP($C40,MINIPELLE!$A$2:$D$28,4,0))</f>
        <v>0</v>
      </c>
      <c r="I40" s="364">
        <f>I41</f>
        <v>2.0499999999999998</v>
      </c>
      <c r="J40" s="389">
        <f>IF($C40="","",I40*VLOOKUP($C40,MINIPELLE!$A$2:$D$28,4,0))</f>
        <v>0.51249999999999996</v>
      </c>
      <c r="K40" s="364">
        <f>Simulation!P69*0.3</f>
        <v>0</v>
      </c>
      <c r="L40" s="389">
        <f>IF($C40="","",K40*VLOOKUP($C40,MINIPELLE!$A$2:$D$28,4,0))</f>
        <v>0</v>
      </c>
      <c r="M40" s="364">
        <f>0.15*EPANDRAINv</f>
        <v>0</v>
      </c>
      <c r="N40" s="389">
        <f>IF($C40="","",M40*VLOOKUP($C40,MINIPELLE!$A$2:$D$28,4,0))</f>
        <v>0</v>
      </c>
      <c r="O40" s="364">
        <f>(O18+O19+O17)/1.6+1</f>
        <v>4.0625</v>
      </c>
      <c r="P40" s="389">
        <f>IF($C40="","",O40*VLOOKUP($C40,MINIPELLE!$A$2:$D$28,4,0))</f>
        <v>1.015625</v>
      </c>
    </row>
    <row r="41" spans="1:16" ht="15" customHeight="1" x14ac:dyDescent="0.2">
      <c r="A41" s="1560"/>
      <c r="B41" s="361" t="s">
        <v>1168</v>
      </c>
      <c r="C41" s="378" t="s">
        <v>379</v>
      </c>
      <c r="D41" s="363" t="str">
        <f>IF(C41="","",VLOOKUP($C41,MINIPELLE!$A$2:$C$28,3,0))</f>
        <v>m3</v>
      </c>
      <c r="E41" s="364"/>
      <c r="F41" s="389">
        <f>IF($C41="","",E41*VLOOKUP($C41,MINIPELLE!$A$2:$D$28,4,0))</f>
        <v>0</v>
      </c>
      <c r="G41" s="364"/>
      <c r="H41" s="389">
        <f>IF($C41="","",G41*VLOOKUP($C41,MINIPELLE!$A$2:$D$28,4,0))</f>
        <v>0</v>
      </c>
      <c r="I41" s="364">
        <f>(I17+I18)/1.6</f>
        <v>2.0499999999999998</v>
      </c>
      <c r="J41" s="389">
        <f>IF($C41="","",I41*VLOOKUP($C41,MINIPELLE!$A$2:$D$28,4,0))</f>
        <v>0.61499999999999988</v>
      </c>
      <c r="K41" s="364">
        <f>K34</f>
        <v>0</v>
      </c>
      <c r="L41" s="389">
        <f>IF($C41="","",K41*VLOOKUP($C41,MINIPELLE!$A$2:$D$28,4,0))</f>
        <v>0</v>
      </c>
      <c r="M41" s="364">
        <f>0.15*EPANDRAINv</f>
        <v>0</v>
      </c>
      <c r="N41" s="389">
        <f>IF($C41="","",M41*VLOOKUP($C41,MINIPELLE!$A$2:$D$28,4,0))</f>
        <v>0</v>
      </c>
      <c r="O41" s="364">
        <f>O40-1</f>
        <v>3.0625</v>
      </c>
      <c r="P41" s="389">
        <f>IF($C41="","",O41*VLOOKUP($C41,MINIPELLE!$A$2:$D$28,4,0))</f>
        <v>0.91874999999999996</v>
      </c>
    </row>
    <row r="42" spans="1:16" ht="15" customHeight="1" x14ac:dyDescent="0.2">
      <c r="A42" s="1560"/>
      <c r="B42" s="361" t="s">
        <v>1172</v>
      </c>
      <c r="C42" s="378" t="s">
        <v>389</v>
      </c>
      <c r="D42" s="363" t="str">
        <f>IF(C42="","",VLOOKUP($C42,MINIPELLE!$A$2:$C$28,3,0))</f>
        <v>m3</v>
      </c>
      <c r="E42" s="364">
        <f>Simulation!P67*0.2</f>
        <v>0</v>
      </c>
      <c r="F42" s="389">
        <f>IF($C42="","",E42*VLOOKUP($C42,MINIPELLE!$A$2:$D$28,4,0))</f>
        <v>0</v>
      </c>
      <c r="G42" s="364">
        <f>Simulation!P67*0.6</f>
        <v>0</v>
      </c>
      <c r="H42" s="389">
        <f>IF($C42="","",G42*VLOOKUP($C42,MINIPELLE!$A$2:$D$28,4,0))</f>
        <v>0</v>
      </c>
      <c r="I42" s="364">
        <v>1</v>
      </c>
      <c r="J42" s="389">
        <f>IF($C42="","",I42*VLOOKUP($C42,MINIPELLE!$A$2:$D$28,4,0))</f>
        <v>0.5</v>
      </c>
      <c r="K42" s="364"/>
      <c r="L42" s="389"/>
      <c r="M42" s="364">
        <f>0.15*EPANDRAINv</f>
        <v>0</v>
      </c>
      <c r="N42" s="389">
        <f>IF($C42="","",M42*VLOOKUP($C42,MINIPELLE!$A$2:$D$28,4,0))</f>
        <v>0</v>
      </c>
      <c r="O42" s="364">
        <v>1</v>
      </c>
      <c r="P42" s="389">
        <f>IF($C42="","",O42*VLOOKUP($C42,MINIPELLE!$A$2:$D$28,4,0))</f>
        <v>0.5</v>
      </c>
    </row>
    <row r="43" spans="1:16" ht="29.25" customHeight="1" x14ac:dyDescent="0.2">
      <c r="A43" s="1560"/>
      <c r="B43" s="384" t="s">
        <v>454</v>
      </c>
      <c r="C43" s="385" t="s">
        <v>455</v>
      </c>
      <c r="D43" s="386" t="s">
        <v>451</v>
      </c>
      <c r="E43" s="387">
        <f>F43*Simulation!$P$10</f>
        <v>0</v>
      </c>
      <c r="F43" s="388">
        <f>SUM(F40:F42)</f>
        <v>0</v>
      </c>
      <c r="G43" s="387">
        <f>H43*Simulation!$P$10</f>
        <v>0</v>
      </c>
      <c r="H43" s="388">
        <f>SUM(H40:H42)</f>
        <v>0</v>
      </c>
      <c r="I43" s="387">
        <f>J43*Simulation!$P$10</f>
        <v>130.19999999999999</v>
      </c>
      <c r="J43" s="388">
        <f>SUM(J40:J42)</f>
        <v>1.6274999999999999</v>
      </c>
      <c r="K43" s="387">
        <f>L43*Simulation!$P$10</f>
        <v>0</v>
      </c>
      <c r="L43" s="388">
        <f>SUM(L40:L42)</f>
        <v>0</v>
      </c>
      <c r="M43" s="387">
        <f>N43*Simulation!$P$10</f>
        <v>0</v>
      </c>
      <c r="N43" s="388">
        <f t="shared" ref="N43" si="3">SUM(N40:N42)</f>
        <v>0</v>
      </c>
      <c r="O43" s="387">
        <f>P43*Simulation!$P$10</f>
        <v>194.75</v>
      </c>
      <c r="P43" s="388">
        <f t="shared" ref="P43" si="4">SUM(P40:P42)</f>
        <v>2.4343750000000002</v>
      </c>
    </row>
    <row r="44" spans="1:16" x14ac:dyDescent="0.2">
      <c r="A44" s="199"/>
      <c r="B44" s="172"/>
      <c r="C44" s="200"/>
      <c r="D44" s="201"/>
      <c r="E44" s="202"/>
      <c r="F44" s="203"/>
      <c r="G44" s="202"/>
      <c r="H44" s="203"/>
      <c r="I44" s="202"/>
      <c r="J44" s="203"/>
      <c r="K44" s="202"/>
      <c r="L44" s="203"/>
      <c r="M44" s="202"/>
      <c r="N44" s="203"/>
      <c r="O44" s="202"/>
      <c r="P44" s="203"/>
    </row>
    <row r="45" spans="1:16" ht="36" customHeight="1" x14ac:dyDescent="0.2">
      <c r="A45" s="204"/>
      <c r="B45" s="1561" t="s">
        <v>456</v>
      </c>
      <c r="C45" s="1564" t="s">
        <v>445</v>
      </c>
      <c r="D45" s="1564"/>
      <c r="E45" s="1547">
        <f>E43+E39+E28+E23</f>
        <v>56.555999999999997</v>
      </c>
      <c r="F45" s="1547"/>
      <c r="G45" s="1547">
        <f>G43+G39+G28+G23</f>
        <v>96.873999999999995</v>
      </c>
      <c r="H45" s="1547"/>
      <c r="I45" s="1547">
        <f>I43+I39+I28+I23</f>
        <v>507.0865</v>
      </c>
      <c r="J45" s="1547"/>
      <c r="K45" s="1547">
        <f>K43+K39+K28+K23</f>
        <v>46.655999999999999</v>
      </c>
      <c r="L45" s="1547"/>
      <c r="M45" s="1547">
        <f t="shared" ref="M45" si="5">M43+M39+M28+M23</f>
        <v>0</v>
      </c>
      <c r="N45" s="1547"/>
      <c r="O45" s="1547">
        <f t="shared" ref="O45" si="6">O43+O39+O28+O23</f>
        <v>688.28600000000006</v>
      </c>
      <c r="P45" s="1547"/>
    </row>
    <row r="46" spans="1:16" ht="18" customHeight="1" x14ac:dyDescent="0.2">
      <c r="A46" s="154"/>
      <c r="B46" s="1562"/>
      <c r="C46" s="1565" t="s">
        <v>1440</v>
      </c>
      <c r="D46" s="1565"/>
      <c r="E46" s="1642">
        <f>E23/E45</f>
        <v>0.55442393380012733</v>
      </c>
      <c r="F46" s="1643"/>
      <c r="G46" s="1642">
        <f>G23/G45</f>
        <v>0.56335033135825918</v>
      </c>
      <c r="H46" s="1643"/>
      <c r="I46" s="1642">
        <f>I23/I45</f>
        <v>0.58638713513374952</v>
      </c>
      <c r="J46" s="1643"/>
      <c r="K46" s="1642">
        <f>K23/K45</f>
        <v>0.67206790123456783</v>
      </c>
      <c r="L46" s="1643"/>
      <c r="M46" s="1642" t="e">
        <f t="shared" ref="M46" si="7">M23/M45</f>
        <v>#DIV/0!</v>
      </c>
      <c r="N46" s="1643"/>
      <c r="O46" s="1642">
        <f t="shared" ref="O46" si="8">O23/O45</f>
        <v>0.61490136367730852</v>
      </c>
      <c r="P46" s="1643"/>
    </row>
    <row r="47" spans="1:16" ht="18" customHeight="1" x14ac:dyDescent="0.2">
      <c r="A47" s="154"/>
      <c r="B47" s="1562"/>
      <c r="C47" s="1565" t="s">
        <v>9</v>
      </c>
      <c r="D47" s="1565"/>
      <c r="E47" s="149">
        <f>E23</f>
        <v>31.355999999999998</v>
      </c>
      <c r="F47" s="207">
        <f>E47/E$45</f>
        <v>0.55442393380012733</v>
      </c>
      <c r="G47" s="149">
        <f>G23</f>
        <v>54.573999999999998</v>
      </c>
      <c r="H47" s="207">
        <f>G47/G$45</f>
        <v>0.56335033135825918</v>
      </c>
      <c r="I47" s="149">
        <f>I23</f>
        <v>297.34900000000005</v>
      </c>
      <c r="J47" s="207">
        <f>I47/I$45</f>
        <v>0.58638713513374952</v>
      </c>
      <c r="K47" s="149">
        <f>K23</f>
        <v>31.355999999999998</v>
      </c>
      <c r="L47" s="207">
        <f>K47/K$45</f>
        <v>0.67206790123456783</v>
      </c>
      <c r="M47" s="149">
        <f t="shared" ref="M47" si="9">M23</f>
        <v>0</v>
      </c>
      <c r="N47" s="207" t="e">
        <f t="shared" ref="N47" si="10">M47/M$45</f>
        <v>#DIV/0!</v>
      </c>
      <c r="O47" s="149">
        <f t="shared" ref="O47" si="11">O23</f>
        <v>423.22800000000001</v>
      </c>
      <c r="P47" s="207">
        <f t="shared" ref="P47:P50" si="12">O47/O$45</f>
        <v>0.61490136367730852</v>
      </c>
    </row>
    <row r="48" spans="1:16" ht="18" customHeight="1" x14ac:dyDescent="0.2">
      <c r="A48" s="154"/>
      <c r="B48" s="1562"/>
      <c r="C48" s="1565" t="s">
        <v>458</v>
      </c>
      <c r="D48" s="1565"/>
      <c r="E48" s="149">
        <f>E28</f>
        <v>13.5</v>
      </c>
      <c r="F48" s="207">
        <f>E48/E$45</f>
        <v>0.2387014640356461</v>
      </c>
      <c r="G48" s="149">
        <f>G28</f>
        <v>30.599999999999998</v>
      </c>
      <c r="H48" s="207">
        <f>G48/G$45</f>
        <v>0.31587422837913165</v>
      </c>
      <c r="I48" s="149">
        <f>I28</f>
        <v>3.6</v>
      </c>
      <c r="J48" s="207">
        <f>I48/I$45</f>
        <v>7.099380480450574E-3</v>
      </c>
      <c r="K48" s="149">
        <f>K28</f>
        <v>3.6</v>
      </c>
      <c r="L48" s="207">
        <f>K48/K$45</f>
        <v>7.7160493827160503E-2</v>
      </c>
      <c r="M48" s="149">
        <f t="shared" ref="M48" si="13">M28</f>
        <v>0</v>
      </c>
      <c r="N48" s="207" t="e">
        <f t="shared" ref="N48" si="14">M48/M$45</f>
        <v>#DIV/0!</v>
      </c>
      <c r="O48" s="149">
        <f t="shared" ref="O48" si="15">O28</f>
        <v>0</v>
      </c>
      <c r="P48" s="207">
        <f t="shared" si="12"/>
        <v>0</v>
      </c>
    </row>
    <row r="49" spans="1:39" ht="18" customHeight="1" x14ac:dyDescent="0.2">
      <c r="A49" s="154"/>
      <c r="B49" s="1562"/>
      <c r="C49" s="1565" t="s">
        <v>459</v>
      </c>
      <c r="D49" s="1565"/>
      <c r="E49" s="149">
        <f>E39</f>
        <v>11.700000000000001</v>
      </c>
      <c r="F49" s="207">
        <f>E49/E$45</f>
        <v>0.20687460216422662</v>
      </c>
      <c r="G49" s="149">
        <f>G39</f>
        <v>11.700000000000001</v>
      </c>
      <c r="H49" s="207">
        <f>G49/G$45</f>
        <v>0.12077544026260918</v>
      </c>
      <c r="I49" s="149">
        <f>I39</f>
        <v>75.9375</v>
      </c>
      <c r="J49" s="207">
        <f>I49/I$45</f>
        <v>0.14975255700950429</v>
      </c>
      <c r="K49" s="149">
        <f>K39</f>
        <v>11.700000000000001</v>
      </c>
      <c r="L49" s="207">
        <f>K49/K$45</f>
        <v>0.25077160493827161</v>
      </c>
      <c r="M49" s="149">
        <f t="shared" ref="M49" si="16">M39</f>
        <v>0</v>
      </c>
      <c r="N49" s="207" t="e">
        <f t="shared" ref="N49" si="17">M49/M$45</f>
        <v>#DIV/0!</v>
      </c>
      <c r="O49" s="149">
        <f t="shared" ref="O49" si="18">O39</f>
        <v>70.308000000000007</v>
      </c>
      <c r="P49" s="207">
        <f t="shared" si="12"/>
        <v>0.1021493971982577</v>
      </c>
    </row>
    <row r="50" spans="1:39" ht="18" customHeight="1" x14ac:dyDescent="0.2">
      <c r="A50" s="154"/>
      <c r="B50" s="1563"/>
      <c r="C50" s="1565" t="s">
        <v>5</v>
      </c>
      <c r="D50" s="1565"/>
      <c r="E50" s="149">
        <f>E43</f>
        <v>0</v>
      </c>
      <c r="F50" s="207">
        <f>E50/E$45</f>
        <v>0</v>
      </c>
      <c r="G50" s="149">
        <f>G43</f>
        <v>0</v>
      </c>
      <c r="H50" s="207">
        <f>G50/G$45</f>
        <v>0</v>
      </c>
      <c r="I50" s="149">
        <f>I43</f>
        <v>130.19999999999999</v>
      </c>
      <c r="J50" s="207">
        <f>I50/I$45</f>
        <v>0.25676092737629574</v>
      </c>
      <c r="K50" s="149">
        <f>K43</f>
        <v>0</v>
      </c>
      <c r="L50" s="207">
        <f>K50/K$45</f>
        <v>0</v>
      </c>
      <c r="M50" s="149">
        <f t="shared" ref="M50" si="19">M43</f>
        <v>0</v>
      </c>
      <c r="N50" s="207" t="e">
        <f t="shared" ref="N50" si="20">M50/M$45</f>
        <v>#DIV/0!</v>
      </c>
      <c r="O50" s="149">
        <f t="shared" ref="O50" si="21">O43</f>
        <v>194.75</v>
      </c>
      <c r="P50" s="207">
        <f t="shared" si="12"/>
        <v>0.2829492391244337</v>
      </c>
    </row>
    <row r="51" spans="1:39" x14ac:dyDescent="0.2">
      <c r="A51" s="154"/>
      <c r="B51" s="172"/>
      <c r="C51" s="154"/>
      <c r="D51" s="227"/>
      <c r="E51" s="154"/>
      <c r="F51" s="154"/>
      <c r="G51" s="228"/>
      <c r="H51" s="229"/>
      <c r="I51" s="154"/>
      <c r="J51" s="230"/>
      <c r="K51" s="154"/>
      <c r="L51" s="154"/>
      <c r="M51" s="154"/>
      <c r="N51" s="154"/>
      <c r="O51" s="154"/>
      <c r="P51" s="154"/>
      <c r="Q51" s="154"/>
      <c r="R51" s="154"/>
      <c r="S51" s="154"/>
      <c r="T51" s="154"/>
      <c r="U51" s="154"/>
      <c r="V51" s="154"/>
      <c r="W51" s="154"/>
      <c r="X51" s="154"/>
      <c r="Y51" s="154"/>
      <c r="Z51" s="154"/>
      <c r="AA51" s="154"/>
      <c r="AB51" s="154"/>
      <c r="AC51" s="154"/>
      <c r="AD51" s="154"/>
      <c r="AE51" s="154"/>
      <c r="AF51" s="154"/>
      <c r="AG51" s="154"/>
      <c r="AH51" s="154"/>
      <c r="AI51" s="154"/>
      <c r="AJ51" s="154"/>
      <c r="AK51" s="154"/>
      <c r="AL51" s="154"/>
      <c r="AM51" s="154"/>
    </row>
    <row r="52" spans="1:39" ht="14.25" x14ac:dyDescent="0.2">
      <c r="A52" s="569"/>
      <c r="B52" s="570"/>
      <c r="C52" s="569"/>
      <c r="D52" s="571"/>
      <c r="E52" s="569">
        <v>3</v>
      </c>
      <c r="F52" s="569"/>
      <c r="G52" s="569">
        <v>5</v>
      </c>
      <c r="H52" s="569"/>
      <c r="I52" s="569">
        <v>7</v>
      </c>
      <c r="J52" s="569"/>
      <c r="K52" s="569">
        <v>9</v>
      </c>
      <c r="L52" s="569"/>
      <c r="M52" s="569">
        <v>11</v>
      </c>
      <c r="N52" s="569"/>
      <c r="O52" s="569">
        <v>12</v>
      </c>
      <c r="P52" s="569"/>
      <c r="Q52" s="569"/>
      <c r="R52" s="569"/>
      <c r="S52" s="569"/>
      <c r="T52" s="569"/>
      <c r="U52" s="569"/>
      <c r="V52" s="569"/>
      <c r="W52" s="569"/>
      <c r="X52" s="569"/>
      <c r="Y52" s="569"/>
      <c r="Z52" s="569"/>
      <c r="AA52" s="569"/>
      <c r="AB52" s="569"/>
      <c r="AC52" s="569"/>
      <c r="AD52" s="569"/>
      <c r="AE52" s="569"/>
      <c r="AF52" s="569"/>
      <c r="AG52" s="569"/>
      <c r="AH52" s="569"/>
      <c r="AI52" s="569"/>
      <c r="AJ52" s="569"/>
      <c r="AK52" s="569"/>
      <c r="AL52" s="569"/>
      <c r="AM52" s="569"/>
    </row>
    <row r="53" spans="1:39" ht="36" x14ac:dyDescent="0.2">
      <c r="A53" s="154"/>
      <c r="B53" s="1375" t="s">
        <v>1462</v>
      </c>
      <c r="C53" s="1568" t="s">
        <v>1463</v>
      </c>
      <c r="D53" s="1569"/>
      <c r="E53" s="149">
        <f>(VLOOKUP("Prix HT",$C$1:$N$53,E$52,0))-(VLOOKUP("Non margé",$D$1:$N$53,E$52,0))</f>
        <v>32.436</v>
      </c>
      <c r="F53" s="207">
        <f>E53/VLOOKUP("Prix HT",$C$1:$N$53,E$52,0)</f>
        <v>0.57352005092297897</v>
      </c>
      <c r="G53" s="149">
        <f>(VLOOKUP("Prix HT",$C$1:$N$53,G$52,0))-(VLOOKUP("Non margé",$D$1:$N$53,G$52,0))</f>
        <v>54.893999999999998</v>
      </c>
      <c r="H53" s="207">
        <f>G53/VLOOKUP("Prix HT",$C$1:$N$53,G$52,0)</f>
        <v>0.56665359126287751</v>
      </c>
      <c r="I53" s="149">
        <f>(VLOOKUP("Prix HT",$C$1:$N$53,I$52,0))-(VLOOKUP("Non margé",$D$1:$N$53,I$52,0))</f>
        <v>278.35649999999998</v>
      </c>
      <c r="J53" s="207">
        <f>I53/VLOOKUP("Prix HT",$C$1:$N$53,I$52,0)</f>
        <v>0.54893297297403887</v>
      </c>
      <c r="K53" s="149">
        <f>(VLOOKUP("Prix HT",$C$1:$N$53,K$52,0))-(VLOOKUP("Non margé",$D$1:$N$53,K$52,0))</f>
        <v>22.536000000000001</v>
      </c>
      <c r="L53" s="207">
        <f>K53/VLOOKUP("Prix HT",$C$1:$N$53,K$52,0)</f>
        <v>0.48302469135802473</v>
      </c>
      <c r="M53" s="149">
        <f>(VLOOKUP("Prix HT",$C$1:$N$53,M$52,0))-(VLOOKUP("Non margé",$D$1:$N$53,M$52,0))</f>
        <v>0</v>
      </c>
      <c r="N53" s="207" t="e">
        <f>M53/VLOOKUP("Prix HT",$C$1:$N$53,M$52,0)</f>
        <v>#DIV/0!</v>
      </c>
      <c r="O53" s="149" t="e">
        <f>(VLOOKUP("Prix HT",$C$1:$N$53,O$52,0))-(VLOOKUP("Non margé",$D$1:$N$53,O$52,0))</f>
        <v>#REF!</v>
      </c>
      <c r="P53" s="207" t="e">
        <f>O53/VLOOKUP("Prix HT",$C$1:$N$53,O$52,0)</f>
        <v>#REF!</v>
      </c>
      <c r="Q53" s="149" t="e">
        <f>(VLOOKUP("Prix HT",$C$1:$AM$53,Q$1,0))-(VLOOKUP("Non margé",$D$1:$AM$53,Q$1,0))</f>
        <v>#VALUE!</v>
      </c>
      <c r="R53" s="207" t="e">
        <f>Q53/VLOOKUP("Prix HT",$C$1:$AM$53,Q$1,0)</f>
        <v>#VALUE!</v>
      </c>
      <c r="S53" s="149" t="e">
        <f>(VLOOKUP("Prix HT",$C$1:$AM$53,S$1,0))-(VLOOKUP("Non margé",$D$1:$AM$53,S$1,0))</f>
        <v>#VALUE!</v>
      </c>
      <c r="T53" s="207" t="e">
        <f>S53/VLOOKUP("Prix HT",$C$1:$AM$53,S$1,0)</f>
        <v>#VALUE!</v>
      </c>
      <c r="U53" s="149" t="e">
        <f>(VLOOKUP("Prix HT",$C$1:$AM$53,U$1,0))-(VLOOKUP("Non margé",$D$1:$AM$53,U$1,0))</f>
        <v>#VALUE!</v>
      </c>
      <c r="V53" s="207" t="e">
        <f>U53/VLOOKUP("Prix HT",$C$1:$AM$53,U$1,0)</f>
        <v>#VALUE!</v>
      </c>
      <c r="W53" s="149" t="e">
        <f>(VLOOKUP("Prix HT",$C$1:$AM$53,W$1,0))-(VLOOKUP("Non margé",$D$1:$AM$53,W$1,0))</f>
        <v>#VALUE!</v>
      </c>
      <c r="X53" s="207" t="e">
        <f>W53/VLOOKUP("Prix HT",$C$1:$AM$53,W$1,0)</f>
        <v>#VALUE!</v>
      </c>
      <c r="Y53" s="149" t="e">
        <f>(VLOOKUP("Prix HT",$C$1:$AM$53,Y$1,0))-(VLOOKUP("Non margé",$D$1:$AM$53,Y$1,0))</f>
        <v>#VALUE!</v>
      </c>
      <c r="Z53" s="207" t="e">
        <f>Y53/VLOOKUP("Prix HT",$C$1:$AM$53,Y$1,0)</f>
        <v>#VALUE!</v>
      </c>
      <c r="AA53" s="149" t="e">
        <f>(VLOOKUP("Prix HT",$C$1:$AM$53,AA$1,0))-(VLOOKUP("Non margé",$D$1:$AM$53,AA$1,0))</f>
        <v>#VALUE!</v>
      </c>
      <c r="AB53" s="207" t="e">
        <f>AA53/VLOOKUP("Prix HT",$C$1:$AM$53,AA$1,0)</f>
        <v>#VALUE!</v>
      </c>
      <c r="AC53" s="149" t="e">
        <f>(VLOOKUP("Prix HT",$C$1:$AM$53,AC$1,0))-(VLOOKUP("Non margé",$D$1:$AM$53,AC$1,0))</f>
        <v>#VALUE!</v>
      </c>
      <c r="AD53" s="207" t="e">
        <f>AC53/VLOOKUP("Prix HT",$C$1:$AM$53,AC$1,0)</f>
        <v>#VALUE!</v>
      </c>
      <c r="AE53" s="149" t="e">
        <f>(VLOOKUP("Prix HT",$C$1:$AM$53,AE$1,0))-(VLOOKUP("Non margé",$D$1:$AM$53,AE$1,0))</f>
        <v>#VALUE!</v>
      </c>
      <c r="AF53" s="207" t="e">
        <f>AE53/VLOOKUP("Prix HT",$C$1:$AM$53,AE$1,0)</f>
        <v>#VALUE!</v>
      </c>
      <c r="AG53" s="149" t="e">
        <f>(VLOOKUP("Prix HT",$C$1:$AM$53,AG$1,0))-(VLOOKUP("Non margé",$D$1:$AM$53,AG$1,0))</f>
        <v>#VALUE!</v>
      </c>
      <c r="AH53" s="207" t="e">
        <f>AG53/VLOOKUP("Prix HT",$C$1:$AM$53,AG$1,0)</f>
        <v>#VALUE!</v>
      </c>
      <c r="AI53" s="149" t="e">
        <f>(VLOOKUP("Prix HT",$C$1:$AM$53,AI$1,0))-(VLOOKUP("Non margé",$D$1:$AM$53,AI$1,0))</f>
        <v>#VALUE!</v>
      </c>
      <c r="AJ53" s="207" t="e">
        <f>AI53/VLOOKUP("Prix HT",$C$1:$AM$53,AI$1,0)</f>
        <v>#VALUE!</v>
      </c>
      <c r="AK53" s="149" t="e">
        <f>(VLOOKUP("Prix HT",$C$1:$AM$53,AK$1,0))-(VLOOKUP("Non margé",$D$1:$AM$53,AK$1,0))</f>
        <v>#VALUE!</v>
      </c>
      <c r="AL53" s="207" t="e">
        <f>AK53/VLOOKUP("Prix HT",$C$1:$AM$53,AK$1,0)</f>
        <v>#VALUE!</v>
      </c>
      <c r="AM53" s="149" t="e">
        <f>(VLOOKUP("Prix HT",$C$1:$AM$53,AM$1,0))-(VLOOKUP("Non margé",$D$1:$AM$53,AM$1,0))</f>
        <v>#VALUE!</v>
      </c>
    </row>
  </sheetData>
  <mergeCells count="32">
    <mergeCell ref="C53:D53"/>
    <mergeCell ref="A4:A22"/>
    <mergeCell ref="A24:A28"/>
    <mergeCell ref="A29:A39"/>
    <mergeCell ref="A40:A43"/>
    <mergeCell ref="E2:F2"/>
    <mergeCell ref="B2:B3"/>
    <mergeCell ref="C2:C3"/>
    <mergeCell ref="E45:F45"/>
    <mergeCell ref="E46:F46"/>
    <mergeCell ref="B45:B50"/>
    <mergeCell ref="C45:D45"/>
    <mergeCell ref="C50:D50"/>
    <mergeCell ref="C46:D46"/>
    <mergeCell ref="C47:D47"/>
    <mergeCell ref="C48:D48"/>
    <mergeCell ref="C49:D49"/>
    <mergeCell ref="O2:P2"/>
    <mergeCell ref="O45:P45"/>
    <mergeCell ref="M46:N46"/>
    <mergeCell ref="O46:P46"/>
    <mergeCell ref="G45:H45"/>
    <mergeCell ref="I45:J45"/>
    <mergeCell ref="K45:L45"/>
    <mergeCell ref="M45:N45"/>
    <mergeCell ref="M2:N2"/>
    <mergeCell ref="G2:H2"/>
    <mergeCell ref="I2:J2"/>
    <mergeCell ref="K2:L2"/>
    <mergeCell ref="G46:H46"/>
    <mergeCell ref="I46:J46"/>
    <mergeCell ref="K46:L46"/>
  </mergeCells>
  <dataValidations xWindow="841" yWindow="853" count="8">
    <dataValidation type="list" allowBlank="1" showErrorMessage="1" sqref="C24:C27" xr:uid="{00000000-0002-0000-2600-000000000000}">
      <formula1>INDIRECT(B24)</formula1>
    </dataValidation>
    <dataValidation type="list" allowBlank="1" showInputMessage="1" showErrorMessage="1" promptTitle="MO ATELIER" prompt="choisir catégorie" sqref="B24:B27" xr:uid="{00000000-0002-0000-2600-000001000000}">
      <formula1>CATEGORIE_MOA</formula1>
    </dataValidation>
    <dataValidation type="list" allowBlank="1" showInputMessage="1" promptTitle="MINIPELLE" prompt="choisir la prestation" sqref="C40:C42" xr:uid="{00000000-0002-0000-2600-000002000000}">
      <formula1>INDIRECT(B40)</formula1>
    </dataValidation>
    <dataValidation type="list" allowBlank="1" showInputMessage="1" showErrorMessage="1" promptTitle="MINIPELLE" prompt="choisir catégorie" sqref="B40:B42" xr:uid="{00000000-0002-0000-2600-000003000000}">
      <formula1>CATEGORIE_MP</formula1>
    </dataValidation>
    <dataValidation type="list" allowBlank="1" showInputMessage="1" promptTitle="Main d'oeuvre CHANTIER" prompt="choisir la prestation" sqref="C29:C38" xr:uid="{00000000-0002-0000-2600-000004000000}">
      <formula1>INDIRECT(B29)</formula1>
    </dataValidation>
    <dataValidation type="list" allowBlank="1" showInputMessage="1" showErrorMessage="1" promptTitle="Catégorie MOC" prompt="choisir" sqref="B29:B38" xr:uid="{00000000-0002-0000-2600-000005000000}">
      <formula1>CATEGORIE_MOC</formula1>
    </dataValidation>
    <dataValidation type="list" allowBlank="1" showInputMessage="1" showErrorMessage="1" promptTitle="MATIERES" prompt="choisir catégorie" sqref="B4:B22" xr:uid="{00000000-0002-0000-2600-000006000000}">
      <formula1>MA_CATEGORIE</formula1>
    </dataValidation>
    <dataValidation type="list" allowBlank="1" showInputMessage="1" showErrorMessage="1" promptTitle="MATIERES" prompt="choisir le produit" sqref="C4:C22" xr:uid="{00000000-0002-0000-2600-000007000000}">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published="0" codeName="Feuil37"/>
  <dimension ref="A1:V54"/>
  <sheetViews>
    <sheetView workbookViewId="0">
      <pane xSplit="4" ySplit="3" topLeftCell="E36" activePane="bottomRight" state="frozen"/>
      <selection pane="topRight" activeCell="E1" sqref="E1"/>
      <selection pane="bottomLeft" activeCell="A4" sqref="A4"/>
      <selection pane="bottomRight" activeCell="V12" sqref="V12"/>
    </sheetView>
  </sheetViews>
  <sheetFormatPr baseColWidth="10" defaultRowHeight="14.25" x14ac:dyDescent="0.2"/>
  <cols>
    <col min="1" max="1" width="18.125" customWidth="1"/>
    <col min="2" max="2" width="22.5" customWidth="1"/>
    <col min="3" max="3" width="37.5" customWidth="1"/>
    <col min="4" max="4" width="7.125" customWidth="1"/>
    <col min="5" max="5" width="10.625" customWidth="1"/>
    <col min="6" max="6" width="13.625" customWidth="1"/>
    <col min="7" max="7" width="10.625" customWidth="1"/>
    <col min="8" max="8" width="13.625" customWidth="1"/>
    <col min="9" max="9" width="10.625" customWidth="1"/>
    <col min="10" max="10" width="18.625" customWidth="1"/>
    <col min="11" max="11" width="11" customWidth="1"/>
    <col min="12" max="13" width="14.5" customWidth="1"/>
    <col min="14" max="14" width="13" customWidth="1"/>
    <col min="15" max="15" width="10.125" customWidth="1"/>
    <col min="16" max="16" width="13.125" customWidth="1"/>
    <col min="17" max="17" width="10.125" customWidth="1"/>
    <col min="18" max="18" width="13.125" customWidth="1"/>
    <col min="19" max="19" width="10.625" customWidth="1"/>
    <col min="20" max="20" width="13.625" customWidth="1"/>
    <col min="21" max="21" width="10.625" customWidth="1"/>
    <col min="22" max="733" width="11.5" customWidth="1"/>
  </cols>
  <sheetData>
    <row r="1" spans="1:22" ht="32.1" customHeight="1" x14ac:dyDescent="0.2">
      <c r="A1" s="215"/>
      <c r="B1" s="216"/>
      <c r="C1" s="215"/>
      <c r="D1" s="217"/>
      <c r="E1" s="215" t="s">
        <v>583</v>
      </c>
      <c r="F1" s="215">
        <v>1</v>
      </c>
      <c r="G1" s="215" t="s">
        <v>585</v>
      </c>
      <c r="H1" s="215">
        <v>2</v>
      </c>
      <c r="I1" s="135" t="s">
        <v>586</v>
      </c>
      <c r="J1" s="215">
        <v>3</v>
      </c>
      <c r="K1" s="215" t="s">
        <v>587</v>
      </c>
      <c r="L1" s="215">
        <v>4</v>
      </c>
      <c r="M1" s="215" t="s">
        <v>588</v>
      </c>
      <c r="N1" s="215">
        <v>5</v>
      </c>
      <c r="O1" s="215" t="s">
        <v>1402</v>
      </c>
      <c r="P1" s="215">
        <v>6</v>
      </c>
      <c r="Q1" s="215" t="s">
        <v>1405</v>
      </c>
      <c r="R1" s="215">
        <v>7</v>
      </c>
      <c r="S1" s="215" t="s">
        <v>1409</v>
      </c>
      <c r="T1" s="215">
        <v>8</v>
      </c>
      <c r="U1" s="215" t="s">
        <v>1411</v>
      </c>
    </row>
    <row r="2" spans="1:22" ht="35.1" customHeight="1" x14ac:dyDescent="0.2">
      <c r="A2" s="174"/>
      <c r="B2" s="1572" t="s">
        <v>487</v>
      </c>
      <c r="C2" s="1574" t="s">
        <v>468</v>
      </c>
      <c r="D2" s="115"/>
      <c r="E2" s="1571" t="s">
        <v>1317</v>
      </c>
      <c r="F2" s="1571"/>
      <c r="G2" s="1571" t="s">
        <v>1412</v>
      </c>
      <c r="H2" s="1571"/>
      <c r="I2" s="1571" t="s">
        <v>1363</v>
      </c>
      <c r="J2" s="1571"/>
      <c r="K2" s="1571" t="s">
        <v>1362</v>
      </c>
      <c r="L2" s="1571"/>
      <c r="M2" s="1571" t="s">
        <v>1408</v>
      </c>
      <c r="N2" s="1571"/>
      <c r="O2" s="1571" t="s">
        <v>1325</v>
      </c>
      <c r="P2" s="1571"/>
      <c r="Q2" s="1571"/>
      <c r="R2" s="1571"/>
      <c r="S2" s="1571" t="s">
        <v>1403</v>
      </c>
      <c r="T2" s="1571"/>
      <c r="U2" s="1619" t="s">
        <v>1404</v>
      </c>
      <c r="V2" s="1620"/>
    </row>
    <row r="3" spans="1:22" ht="35.1" customHeight="1" x14ac:dyDescent="0.2">
      <c r="A3" s="174"/>
      <c r="B3" s="1573"/>
      <c r="C3" s="1574"/>
      <c r="D3" s="176" t="s">
        <v>222</v>
      </c>
      <c r="E3" s="236" t="s">
        <v>444</v>
      </c>
      <c r="F3" s="303" t="s">
        <v>679</v>
      </c>
      <c r="G3" s="236" t="s">
        <v>444</v>
      </c>
      <c r="H3" s="496" t="s">
        <v>679</v>
      </c>
      <c r="I3" s="236" t="s">
        <v>444</v>
      </c>
      <c r="J3" s="303" t="s">
        <v>679</v>
      </c>
      <c r="K3" s="236" t="s">
        <v>444</v>
      </c>
      <c r="L3" s="303" t="s">
        <v>679</v>
      </c>
      <c r="M3" s="236" t="s">
        <v>444</v>
      </c>
      <c r="N3" s="303" t="s">
        <v>679</v>
      </c>
      <c r="O3" s="236" t="s">
        <v>444</v>
      </c>
      <c r="P3" s="303" t="s">
        <v>679</v>
      </c>
      <c r="Q3" s="236" t="s">
        <v>444</v>
      </c>
      <c r="R3" s="572" t="s">
        <v>679</v>
      </c>
      <c r="S3" s="236" t="s">
        <v>444</v>
      </c>
      <c r="T3" s="496" t="s">
        <v>679</v>
      </c>
      <c r="U3" s="236" t="s">
        <v>444</v>
      </c>
      <c r="V3" s="1380" t="s">
        <v>679</v>
      </c>
    </row>
    <row r="4" spans="1:22" ht="15" customHeight="1" x14ac:dyDescent="0.2">
      <c r="A4" s="1549" t="s">
        <v>1078</v>
      </c>
      <c r="B4" s="361" t="s">
        <v>239</v>
      </c>
      <c r="C4" s="362" t="s">
        <v>772</v>
      </c>
      <c r="D4" s="363" t="str">
        <f>IF($C4="","",VLOOKUP($C4,MATIERES!$A$2:$F$448,5,0))</f>
        <v>ml</v>
      </c>
      <c r="E4" s="364">
        <f>1.1*Simulation!G11</f>
        <v>14.3</v>
      </c>
      <c r="F4" s="365">
        <f>IF($C4="","",E4*VLOOKUP($C4,MATIERES!$A$2:$F$448,4,0))</f>
        <v>79.814592000000019</v>
      </c>
      <c r="G4" s="364">
        <f>2*1.1*Simulation!G11</f>
        <v>28.6</v>
      </c>
      <c r="H4" s="365">
        <f>IF($C4="","",G4*VLOOKUP($C4,MATIERES!$A$2:$F$448,4,0))</f>
        <v>159.62918400000004</v>
      </c>
      <c r="I4" s="364">
        <f>2.5*1.1*Simulation!G10</f>
        <v>11</v>
      </c>
      <c r="J4" s="365">
        <f>IF($C4="","",I4*VLOOKUP($C4,MATIERES!$A$2:$F$349,4,0))</f>
        <v>61.395840000000007</v>
      </c>
      <c r="K4" s="364">
        <v>0</v>
      </c>
      <c r="L4" s="365">
        <f>IF($C4="","",K4*VLOOKUP($C4,MATIERES!$A$2:$F$349,4,0))</f>
        <v>0</v>
      </c>
      <c r="M4" s="364">
        <f>1.1*Simulation!O18</f>
        <v>0</v>
      </c>
      <c r="N4" s="365">
        <f>IF($C4="","",M4*VLOOKUP($C4,MATIERES!$A$2:$F$349,4,0))</f>
        <v>0</v>
      </c>
      <c r="O4" s="364">
        <v>0</v>
      </c>
      <c r="P4" s="365">
        <f>IF($C4="","",O4*VLOOKUP($C4,MATIERES!$A$2:$F$349,4,0))</f>
        <v>0</v>
      </c>
      <c r="Q4" s="364">
        <v>0</v>
      </c>
      <c r="R4" s="365">
        <f>IF($C4="","",Q4*VLOOKUP($C4,MATIERES!$A$2:$F$349,4,0))</f>
        <v>0</v>
      </c>
      <c r="S4" s="364">
        <f>0</f>
        <v>0</v>
      </c>
      <c r="T4" s="365">
        <f>IF($C4="","",S4*VLOOKUP($C4,MATIERES!$A$2:$F$448,4,0))</f>
        <v>0</v>
      </c>
      <c r="U4" s="364" t="e">
        <f>1.1*Simulation!G14</f>
        <v>#VALUE!</v>
      </c>
      <c r="V4" s="365" t="e">
        <f>IF($C4="","",U4*VLOOKUP($C4,MATIERES!$A$2:$F$448,4,0))</f>
        <v>#VALUE!</v>
      </c>
    </row>
    <row r="5" spans="1:22" ht="15" customHeight="1" x14ac:dyDescent="0.2">
      <c r="A5" s="1550"/>
      <c r="B5" s="361" t="s">
        <v>764</v>
      </c>
      <c r="C5" s="362" t="s">
        <v>767</v>
      </c>
      <c r="D5" s="363" t="str">
        <f>IF($C5="","",VLOOKUP($C5,MATIERES!$A$2:$F$448,5,0))</f>
        <v>pc</v>
      </c>
      <c r="E5" s="364">
        <v>16</v>
      </c>
      <c r="F5" s="365">
        <f>IF($C5="","",E5*VLOOKUP($C5,MATIERES!$A$2:$F$448,4,0))</f>
        <v>2.992</v>
      </c>
      <c r="G5" s="364">
        <v>16</v>
      </c>
      <c r="H5" s="365">
        <f>IF($C5="","",G5*VLOOKUP($C5,MATIERES!$A$2:$F$448,4,0))</f>
        <v>2.992</v>
      </c>
      <c r="I5" s="364">
        <v>16</v>
      </c>
      <c r="J5" s="365">
        <f>IF($C5="","",I5*VLOOKUP($C5,MATIERES!$A$2:$F$349,4,0))</f>
        <v>2.992</v>
      </c>
      <c r="K5" s="364">
        <v>0</v>
      </c>
      <c r="L5" s="365">
        <f>IF($C5="","",K5*VLOOKUP($C5,MATIERES!$A$2:$F$349,4,0))</f>
        <v>0</v>
      </c>
      <c r="M5" s="364">
        <v>16</v>
      </c>
      <c r="N5" s="365">
        <f>IF($C5="","",M5*VLOOKUP($C5,MATIERES!$A$2:$F$349,4,0))</f>
        <v>2.992</v>
      </c>
      <c r="O5" s="364">
        <v>0</v>
      </c>
      <c r="P5" s="365">
        <f>IF($C5="","",O5*VLOOKUP($C5,MATIERES!$A$2:$F$349,4,0))</f>
        <v>0</v>
      </c>
      <c r="Q5" s="364">
        <v>0</v>
      </c>
      <c r="R5" s="365">
        <f>IF($C5="","",Q5*VLOOKUP($C5,MATIERES!$A$2:$F$349,4,0))</f>
        <v>0</v>
      </c>
      <c r="S5" s="364">
        <v>16</v>
      </c>
      <c r="T5" s="365">
        <f>IF($C5="","",S5*VLOOKUP($C5,MATIERES!$A$2:$F$448,4,0))</f>
        <v>2.992</v>
      </c>
      <c r="U5" s="364">
        <v>16</v>
      </c>
      <c r="V5" s="365">
        <f>IF($C5="","",U5*VLOOKUP($C5,MATIERES!$A$2:$F$448,4,0))</f>
        <v>2.992</v>
      </c>
    </row>
    <row r="6" spans="1:22" ht="15" customHeight="1" x14ac:dyDescent="0.2">
      <c r="A6" s="1550"/>
      <c r="B6" s="361" t="s">
        <v>764</v>
      </c>
      <c r="C6" s="362" t="s">
        <v>769</v>
      </c>
      <c r="D6" s="363" t="str">
        <f>IF($C6="","",VLOOKUP($C6,MATIERES!$A$2:$F$448,5,0))</f>
        <v>pc</v>
      </c>
      <c r="E6" s="364">
        <v>0</v>
      </c>
      <c r="F6" s="365">
        <f>IF($C6="","",E6*VLOOKUP($C6,MATIERES!$A$2:$F$448,4,0))</f>
        <v>0</v>
      </c>
      <c r="G6" s="364">
        <f>2*Simulation!U18</f>
        <v>0</v>
      </c>
      <c r="H6" s="365">
        <f>IF($C6="","",G6*VLOOKUP($C6,MATIERES!$A$2:$F$448,4,0))</f>
        <v>0</v>
      </c>
      <c r="I6" s="364">
        <v>4</v>
      </c>
      <c r="J6" s="365">
        <f>IF($C6="","",I6*VLOOKUP($C6,MATIERES!$A$2:$F$349,4,0))</f>
        <v>1.8952</v>
      </c>
      <c r="K6" s="364">
        <v>16</v>
      </c>
      <c r="L6" s="365">
        <f>IF($C6="","",K6*VLOOKUP($C6,MATIERES!$A$2:$F$349,4,0))</f>
        <v>7.5808</v>
      </c>
      <c r="M6" s="364">
        <f>2*Simulation!O18</f>
        <v>0</v>
      </c>
      <c r="N6" s="365">
        <f>IF($C6="","",M6*VLOOKUP($C6,MATIERES!$A$2:$F$349,4,0))</f>
        <v>0</v>
      </c>
      <c r="O6" s="364">
        <f>IFERROR(Simulation!G14*2,0)</f>
        <v>0</v>
      </c>
      <c r="P6" s="365">
        <f>IF($C6="","",O6*VLOOKUP($C6,MATIERES!$A$2:$F$349,4,0))</f>
        <v>0</v>
      </c>
      <c r="Q6" s="364">
        <f>IFERROR(Simulation!I14*2,0)</f>
        <v>0</v>
      </c>
      <c r="R6" s="365">
        <f>IF($C6="","",Q6*VLOOKUP($C6,MATIERES!$A$2:$F$349,4,0))</f>
        <v>0</v>
      </c>
      <c r="S6" s="1395" t="e">
        <f>2*S8</f>
        <v>#VALUE!</v>
      </c>
      <c r="T6" s="365" t="e">
        <f>IF($C6="","",S6*VLOOKUP($C6,MATIERES!$A$2:$F$448,4,0))</f>
        <v>#VALUE!</v>
      </c>
      <c r="U6" s="1395" t="e">
        <f>2*U4</f>
        <v>#VALUE!</v>
      </c>
      <c r="V6" s="365" t="e">
        <f>IF($C6="","",U6*VLOOKUP($C6,MATIERES!$A$2:$F$448,4,0))</f>
        <v>#VALUE!</v>
      </c>
    </row>
    <row r="7" spans="1:22" ht="15" customHeight="1" x14ac:dyDescent="0.2">
      <c r="A7" s="1550"/>
      <c r="B7" s="361" t="s">
        <v>239</v>
      </c>
      <c r="C7" s="362" t="s">
        <v>119</v>
      </c>
      <c r="D7" s="363" t="str">
        <f>IF($C7="","",VLOOKUP($C7,MATIERES!$A$2:$F$448,5,0))</f>
        <v>ml</v>
      </c>
      <c r="E7" s="364">
        <v>0</v>
      </c>
      <c r="F7" s="365">
        <f>IF($C7="","",E7*VLOOKUP($C7,MATIERES!$A$2:$F$448,4,0))</f>
        <v>0</v>
      </c>
      <c r="G7" s="364">
        <v>0</v>
      </c>
      <c r="H7" s="365">
        <f>IF($C7="","",G7*VLOOKUP($C7,MATIERES!$A$2:$F$448,4,0))</f>
        <v>0</v>
      </c>
      <c r="I7" s="364">
        <v>0</v>
      </c>
      <c r="J7" s="365">
        <f>IF($C7="","",I7*VLOOKUP($C7,MATIERES!$A$2:$F$349,4,0))</f>
        <v>0</v>
      </c>
      <c r="K7" s="364">
        <v>0</v>
      </c>
      <c r="L7" s="365">
        <f>IF($C7="","",K7*VLOOKUP($C7,MATIERES!$A$2:$F$349,4,0))</f>
        <v>0</v>
      </c>
      <c r="M7" s="364">
        <v>0</v>
      </c>
      <c r="N7" s="365">
        <f>IF($C7="","",M7*VLOOKUP($C7,MATIERES!$A$2:$F$349,4,0))</f>
        <v>0</v>
      </c>
      <c r="O7" s="364">
        <f>IFERROR(Simulation!G14*1.1,0)</f>
        <v>0</v>
      </c>
      <c r="P7" s="365">
        <f>IF($C7="","",O7*VLOOKUP($C7,MATIERES!$A$2:$F$349,4,0))</f>
        <v>0</v>
      </c>
      <c r="Q7" s="364">
        <f>IFERROR(Simulation!I14*1.1,0)</f>
        <v>0</v>
      </c>
      <c r="R7" s="365">
        <f>IF($C7="","",Q7*VLOOKUP($C7,MATIERES!$A$2:$F$349,4,0))</f>
        <v>0</v>
      </c>
      <c r="S7" s="364">
        <v>0</v>
      </c>
      <c r="T7" s="365">
        <f>IF($C7="","",S7*VLOOKUP($C7,MATIERES!$A$2:$F$448,4,0))</f>
        <v>0</v>
      </c>
      <c r="U7" s="364">
        <v>0</v>
      </c>
      <c r="V7" s="365">
        <f>IF($C7="","",U7*VLOOKUP($C7,MATIERES!$A$2:$F$448,4,0))</f>
        <v>0</v>
      </c>
    </row>
    <row r="8" spans="1:22" ht="15" customHeight="1" x14ac:dyDescent="0.2">
      <c r="A8" s="1550"/>
      <c r="B8" s="361" t="s">
        <v>239</v>
      </c>
      <c r="C8" s="362" t="s">
        <v>1050</v>
      </c>
      <c r="D8" s="363" t="str">
        <f>IF($C8="","",VLOOKUP($C8,MATIERES!$A$2:$F$448,5,0))</f>
        <v>ml</v>
      </c>
      <c r="E8" s="364">
        <v>0</v>
      </c>
      <c r="F8" s="365">
        <f>IF($C8="","",E8*VLOOKUP($C8,MATIERES!$A$2:$F$448,4,0))</f>
        <v>0</v>
      </c>
      <c r="G8" s="364">
        <v>0</v>
      </c>
      <c r="H8" s="365">
        <f>IF($C8="","",G8*VLOOKUP($C8,MATIERES!$A$2:$F$448,4,0))</f>
        <v>0</v>
      </c>
      <c r="I8" s="364">
        <v>6</v>
      </c>
      <c r="J8" s="365">
        <f>IF($C8="","",I8*VLOOKUP($C8,MATIERES!$A$2:$F$349,4,0))</f>
        <v>42</v>
      </c>
      <c r="K8" s="364">
        <f>I4</f>
        <v>11</v>
      </c>
      <c r="L8" s="365">
        <f>IF($C8="","",K8*VLOOKUP($C8,MATIERES!$A$2:$F$349,4,0))</f>
        <v>77</v>
      </c>
      <c r="M8" s="364">
        <f>1.1*Simulation!G11</f>
        <v>14.3</v>
      </c>
      <c r="N8" s="365">
        <f>IF($C8="","",M8*VLOOKUP($C8,MATIERES!$A$2:$F$349,4,0))</f>
        <v>100.10000000000001</v>
      </c>
      <c r="O8" s="364">
        <v>0</v>
      </c>
      <c r="P8" s="365">
        <f>IF($C8="","",O8*VLOOKUP($C8,MATIERES!$A$2:$F$349,4,0))</f>
        <v>0</v>
      </c>
      <c r="Q8" s="364">
        <v>0</v>
      </c>
      <c r="R8" s="365">
        <f>IF($C8="","",Q8*VLOOKUP($C8,MATIERES!$A$2:$F$349,4,0))</f>
        <v>0</v>
      </c>
      <c r="S8" s="364" t="e">
        <f>1.1*Simulation!G14</f>
        <v>#VALUE!</v>
      </c>
      <c r="T8" s="365" t="e">
        <f>IF($C8="","",S8*VLOOKUP($C8,MATIERES!$A$2:$F$448,4,0))</f>
        <v>#VALUE!</v>
      </c>
      <c r="U8" s="364"/>
      <c r="V8" s="365">
        <f>IF($C8="","",U8*VLOOKUP($C8,MATIERES!$A$2:$F$448,4,0))</f>
        <v>0</v>
      </c>
    </row>
    <row r="9" spans="1:22" ht="15" customHeight="1" x14ac:dyDescent="0.2">
      <c r="A9" s="1550"/>
      <c r="B9" s="361" t="s">
        <v>239</v>
      </c>
      <c r="C9" s="362"/>
      <c r="D9" s="363" t="str">
        <f>IF($C9="","",VLOOKUP($C9,MATIERES!$A$2:$F$448,5,0))</f>
        <v/>
      </c>
      <c r="E9" s="364">
        <v>0</v>
      </c>
      <c r="F9" s="365" t="str">
        <f>IF($C9="","",E9*VLOOKUP($C9,MATIERES!$A$2:$F$448,4,0))</f>
        <v/>
      </c>
      <c r="G9" s="364">
        <v>0</v>
      </c>
      <c r="H9" s="365" t="str">
        <f>IF($C9="","",G9*VLOOKUP($C9,MATIERES!$A$2:$F$448,4,0))</f>
        <v/>
      </c>
      <c r="I9" s="364">
        <v>0</v>
      </c>
      <c r="J9" s="365" t="str">
        <f>IF($C9="","",I9*VLOOKUP($C9,MATIERES!$A$2:$F$349,4,0))</f>
        <v/>
      </c>
      <c r="K9" s="364">
        <v>0</v>
      </c>
      <c r="L9" s="365" t="str">
        <f>IF($C9="","",K9*VLOOKUP($C9,MATIERES!$A$2:$F$349,4,0))</f>
        <v/>
      </c>
      <c r="M9" s="364">
        <v>0</v>
      </c>
      <c r="N9" s="365" t="str">
        <f>IF($C9="","",M9*VLOOKUP($C9,MATIERES!$A$2:$F$349,4,0))</f>
        <v/>
      </c>
      <c r="O9" s="364">
        <v>0</v>
      </c>
      <c r="P9" s="365" t="str">
        <f>IF($C9="","",O9*VLOOKUP($C9,MATIERES!$A$2:$F$349,4,0))</f>
        <v/>
      </c>
      <c r="Q9" s="364">
        <v>0</v>
      </c>
      <c r="R9" s="365" t="str">
        <f>IF($C9="","",Q9*VLOOKUP($C9,MATIERES!$A$2:$F$349,4,0))</f>
        <v/>
      </c>
      <c r="S9" s="364">
        <v>0</v>
      </c>
      <c r="T9" s="365" t="str">
        <f>IF($C9="","",S9*VLOOKUP($C9,MATIERES!$A$2:$F$448,4,0))</f>
        <v/>
      </c>
      <c r="U9" s="364">
        <v>0</v>
      </c>
      <c r="V9" s="365" t="str">
        <f>IF($C9="","",U9*VLOOKUP($C9,MATIERES!$A$2:$F$448,4,0))</f>
        <v/>
      </c>
    </row>
    <row r="10" spans="1:22" ht="15" customHeight="1" x14ac:dyDescent="0.2">
      <c r="A10" s="1550"/>
      <c r="B10" s="361"/>
      <c r="C10" s="362"/>
      <c r="D10" s="363" t="str">
        <f>IF($C10="","",VLOOKUP($C10,MATIERES!$A$2:$F$448,5,0))</f>
        <v/>
      </c>
      <c r="E10" s="364">
        <v>0</v>
      </c>
      <c r="F10" s="365" t="str">
        <f>IF($C10="","",E10*VLOOKUP($C10,MATIERES!$A$2:$F$448,4,0))</f>
        <v/>
      </c>
      <c r="G10" s="364">
        <v>0</v>
      </c>
      <c r="H10" s="365" t="str">
        <f>IF($C10="","",G10*VLOOKUP($C10,MATIERES!$A$2:$F$448,4,0))</f>
        <v/>
      </c>
      <c r="I10" s="364">
        <v>0</v>
      </c>
      <c r="J10" s="365" t="str">
        <f>IF($C10="","",I10*VLOOKUP($C10,MATIERES!$A$2:$F$349,4,0))</f>
        <v/>
      </c>
      <c r="K10" s="364">
        <v>0</v>
      </c>
      <c r="L10" s="365" t="str">
        <f>IF($C10="","",K10*VLOOKUP($C10,MATIERES!$A$2:$F$349,4,0))</f>
        <v/>
      </c>
      <c r="M10" s="364">
        <v>0</v>
      </c>
      <c r="N10" s="365" t="str">
        <f>IF($C10="","",M10*VLOOKUP($C10,MATIERES!$A$2:$F$349,4,0))</f>
        <v/>
      </c>
      <c r="O10" s="364">
        <v>0</v>
      </c>
      <c r="P10" s="365" t="str">
        <f>IF($C10="","",O10*VLOOKUP($C10,MATIERES!$A$2:$F$349,4,0))</f>
        <v/>
      </c>
      <c r="Q10" s="364">
        <v>0</v>
      </c>
      <c r="R10" s="365" t="str">
        <f>IF($C10="","",Q10*VLOOKUP($C10,MATIERES!$A$2:$F$349,4,0))</f>
        <v/>
      </c>
      <c r="S10" s="364">
        <v>0</v>
      </c>
      <c r="T10" s="365" t="str">
        <f>IF($C10="","",S10*VLOOKUP($C10,MATIERES!$A$2:$F$448,4,0))</f>
        <v/>
      </c>
      <c r="U10" s="364">
        <v>0</v>
      </c>
      <c r="V10" s="365" t="str">
        <f>IF($C10="","",U10*VLOOKUP($C10,MATIERES!$A$2:$F$448,4,0))</f>
        <v/>
      </c>
    </row>
    <row r="11" spans="1:22" ht="15" customHeight="1" x14ac:dyDescent="0.2">
      <c r="A11" s="1550"/>
      <c r="B11" s="361"/>
      <c r="C11" s="362"/>
      <c r="D11" s="363" t="str">
        <f>IF($C11="","",VLOOKUP($C11,MATIERES!$A$2:$F$448,5,0))</f>
        <v/>
      </c>
      <c r="E11" s="364">
        <v>0</v>
      </c>
      <c r="F11" s="365" t="str">
        <f>IF($C11="","",E11*VLOOKUP($C11,MATIERES!$A$2:$F$448,4,0))</f>
        <v/>
      </c>
      <c r="G11" s="364">
        <v>0</v>
      </c>
      <c r="H11" s="365" t="str">
        <f>IF($C11="","",G11*VLOOKUP($C11,MATIERES!$A$2:$F$448,4,0))</f>
        <v/>
      </c>
      <c r="I11" s="364">
        <v>0</v>
      </c>
      <c r="J11" s="365" t="str">
        <f>IF($C11="","",I11*VLOOKUP($C11,MATIERES!$A$2:$F$349,4,0))</f>
        <v/>
      </c>
      <c r="K11" s="364">
        <v>0</v>
      </c>
      <c r="L11" s="365" t="str">
        <f>IF($C11="","",K11*VLOOKUP($C11,MATIERES!$A$2:$F$349,4,0))</f>
        <v/>
      </c>
      <c r="M11" s="364">
        <v>0</v>
      </c>
      <c r="N11" s="365" t="str">
        <f>IF($C11="","",M11*VLOOKUP($C11,MATIERES!$A$2:$F$349,4,0))</f>
        <v/>
      </c>
      <c r="O11" s="364">
        <v>0</v>
      </c>
      <c r="P11" s="365" t="str">
        <f>IF($C11="","",O11*VLOOKUP($C11,MATIERES!$A$2:$F$349,4,0))</f>
        <v/>
      </c>
      <c r="Q11" s="364">
        <v>0</v>
      </c>
      <c r="R11" s="365" t="str">
        <f>IF($C11="","",Q11*VLOOKUP($C11,MATIERES!$A$2:$F$349,4,0))</f>
        <v/>
      </c>
      <c r="S11" s="364">
        <v>0</v>
      </c>
      <c r="T11" s="365" t="str">
        <f>IF($C11="","",S11*VLOOKUP($C11,MATIERES!$A$2:$F$448,4,0))</f>
        <v/>
      </c>
      <c r="U11" s="364">
        <v>0</v>
      </c>
      <c r="V11" s="365" t="str">
        <f>IF($C11="","",U11*VLOOKUP($C11,MATIERES!$A$2:$F$448,4,0))</f>
        <v/>
      </c>
    </row>
    <row r="12" spans="1:22" ht="15" customHeight="1" x14ac:dyDescent="0.2">
      <c r="A12" s="1550"/>
      <c r="B12" s="361"/>
      <c r="C12" s="362"/>
      <c r="D12" s="363" t="str">
        <f>IF($C12="","",VLOOKUP($C12,MATIERES!$A$2:$F$448,5,0))</f>
        <v/>
      </c>
      <c r="E12" s="364">
        <v>0</v>
      </c>
      <c r="F12" s="365" t="str">
        <f>IF($C12="","",E12*VLOOKUP($C12,MATIERES!$A$2:$F$448,4,0))</f>
        <v/>
      </c>
      <c r="G12" s="364">
        <v>0</v>
      </c>
      <c r="H12" s="365" t="str">
        <f>IF($C12="","",G12*VLOOKUP($C12,MATIERES!$A$2:$F$448,4,0))</f>
        <v/>
      </c>
      <c r="I12" s="364">
        <v>0</v>
      </c>
      <c r="J12" s="365" t="str">
        <f>IF($C12="","",I12*VLOOKUP($C12,MATIERES!$A$2:$F$349,4,0))</f>
        <v/>
      </c>
      <c r="K12" s="364">
        <v>0</v>
      </c>
      <c r="L12" s="365" t="str">
        <f>IF($C12="","",K12*VLOOKUP($C12,MATIERES!$A$2:$F$349,4,0))</f>
        <v/>
      </c>
      <c r="M12" s="364">
        <v>0</v>
      </c>
      <c r="N12" s="365" t="str">
        <f>IF($C12="","",M12*VLOOKUP($C12,MATIERES!$A$2:$F$349,4,0))</f>
        <v/>
      </c>
      <c r="O12" s="364">
        <v>0</v>
      </c>
      <c r="P12" s="365" t="str">
        <f>IF($C12="","",O12*VLOOKUP($C12,MATIERES!$A$2:$F$349,4,0))</f>
        <v/>
      </c>
      <c r="Q12" s="364">
        <v>0</v>
      </c>
      <c r="R12" s="365" t="str">
        <f>IF($C12="","",Q12*VLOOKUP($C12,MATIERES!$A$2:$F$349,4,0))</f>
        <v/>
      </c>
      <c r="S12" s="364">
        <v>0</v>
      </c>
      <c r="T12" s="365" t="str">
        <f>IF($C12="","",S12*VLOOKUP($C12,MATIERES!$A$2:$F$448,4,0))</f>
        <v/>
      </c>
      <c r="U12" s="364">
        <v>0</v>
      </c>
      <c r="V12" s="365" t="str">
        <f>IF($C12="","",U12*VLOOKUP($C12,MATIERES!$A$2:$F$448,4,0))</f>
        <v/>
      </c>
    </row>
    <row r="13" spans="1:22" ht="15" customHeight="1" x14ac:dyDescent="0.2">
      <c r="A13" s="1550"/>
      <c r="B13" s="361"/>
      <c r="C13" s="362"/>
      <c r="D13" s="363" t="str">
        <f>IF($C13="","",VLOOKUP($C13,MATIERES!$A$2:$F$448,5,0))</f>
        <v/>
      </c>
      <c r="E13" s="364">
        <v>0</v>
      </c>
      <c r="F13" s="365" t="str">
        <f>IF($C13="","",E13*VLOOKUP($C13,MATIERES!$A$2:$F$448,4,0))</f>
        <v/>
      </c>
      <c r="G13" s="364">
        <v>0</v>
      </c>
      <c r="H13" s="365" t="str">
        <f>IF($C13="","",G13*VLOOKUP($C13,MATIERES!$A$2:$F$448,4,0))</f>
        <v/>
      </c>
      <c r="I13" s="364">
        <v>0</v>
      </c>
      <c r="J13" s="365" t="str">
        <f>IF($C13="","",I13*VLOOKUP($C13,MATIERES!$A$2:$F$349,4,0))</f>
        <v/>
      </c>
      <c r="K13" s="364">
        <v>0</v>
      </c>
      <c r="L13" s="365" t="str">
        <f>IF($C13="","",K13*VLOOKUP($C13,MATIERES!$A$2:$F$349,4,0))</f>
        <v/>
      </c>
      <c r="M13" s="364">
        <v>0</v>
      </c>
      <c r="N13" s="365" t="str">
        <f>IF($C13="","",M13*VLOOKUP($C13,MATIERES!$A$2:$F$349,4,0))</f>
        <v/>
      </c>
      <c r="O13" s="364">
        <v>0</v>
      </c>
      <c r="P13" s="365" t="str">
        <f>IF($C13="","",O13*VLOOKUP($C13,MATIERES!$A$2:$F$349,4,0))</f>
        <v/>
      </c>
      <c r="Q13" s="364">
        <v>0</v>
      </c>
      <c r="R13" s="365" t="str">
        <f>IF($C13="","",Q13*VLOOKUP($C13,MATIERES!$A$2:$F$349,4,0))</f>
        <v/>
      </c>
      <c r="S13" s="364">
        <v>0</v>
      </c>
      <c r="T13" s="365" t="str">
        <f>IF($C13="","",S13*VLOOKUP($C13,MATIERES!$A$2:$F$448,4,0))</f>
        <v/>
      </c>
      <c r="U13" s="364">
        <v>0</v>
      </c>
      <c r="V13" s="365" t="str">
        <f>IF($C13="","",U13*VLOOKUP($C13,MATIERES!$A$2:$F$448,4,0))</f>
        <v/>
      </c>
    </row>
    <row r="14" spans="1:22" ht="15" customHeight="1" x14ac:dyDescent="0.2">
      <c r="A14" s="1550"/>
      <c r="B14" s="361"/>
      <c r="C14" s="362"/>
      <c r="D14" s="363" t="str">
        <f>IF($C14="","",VLOOKUP($C14,MATIERES!$A$2:$F$448,5,0))</f>
        <v/>
      </c>
      <c r="E14" s="364">
        <v>0</v>
      </c>
      <c r="F14" s="365" t="str">
        <f>IF($C14="","",E14*VLOOKUP($C14,MATIERES!$A$2:$F$448,4,0))</f>
        <v/>
      </c>
      <c r="G14" s="364">
        <v>0</v>
      </c>
      <c r="H14" s="365" t="str">
        <f>IF($C14="","",G14*VLOOKUP($C14,MATIERES!$A$2:$F$448,4,0))</f>
        <v/>
      </c>
      <c r="I14" s="364">
        <v>0</v>
      </c>
      <c r="J14" s="365" t="str">
        <f>IF($C14="","",I14*VLOOKUP($C14,MATIERES!$A$2:$F$349,4,0))</f>
        <v/>
      </c>
      <c r="K14" s="364">
        <v>0</v>
      </c>
      <c r="L14" s="365" t="str">
        <f>IF($C14="","",K14*VLOOKUP($C14,MATIERES!$A$2:$F$349,4,0))</f>
        <v/>
      </c>
      <c r="M14" s="364">
        <v>0</v>
      </c>
      <c r="N14" s="365" t="str">
        <f>IF($C14="","",M14*VLOOKUP($C14,MATIERES!$A$2:$F$349,4,0))</f>
        <v/>
      </c>
      <c r="O14" s="364">
        <v>0</v>
      </c>
      <c r="P14" s="365" t="str">
        <f>IF($C14="","",O14*VLOOKUP($C14,MATIERES!$A$2:$F$349,4,0))</f>
        <v/>
      </c>
      <c r="Q14" s="364">
        <v>0</v>
      </c>
      <c r="R14" s="365" t="str">
        <f>IF($C14="","",Q14*VLOOKUP($C14,MATIERES!$A$2:$F$349,4,0))</f>
        <v/>
      </c>
      <c r="S14" s="364">
        <v>0</v>
      </c>
      <c r="T14" s="365" t="str">
        <f>IF($C14="","",S14*VLOOKUP($C14,MATIERES!$A$2:$F$448,4,0))</f>
        <v/>
      </c>
      <c r="U14" s="364">
        <v>0</v>
      </c>
      <c r="V14" s="365" t="str">
        <f>IF($C14="","",U14*VLOOKUP($C14,MATIERES!$A$2:$F$448,4,0))</f>
        <v/>
      </c>
    </row>
    <row r="15" spans="1:22" ht="15" customHeight="1" x14ac:dyDescent="0.2">
      <c r="A15" s="1550"/>
      <c r="B15" s="361"/>
      <c r="C15" s="362"/>
      <c r="D15" s="363" t="str">
        <f>IF($C15="","",VLOOKUP($C15,MATIERES!$A$2:$F$227,5,0))</f>
        <v/>
      </c>
      <c r="E15" s="364">
        <v>0</v>
      </c>
      <c r="F15" s="365" t="str">
        <f>IF($C15="","",E15*VLOOKUP($C15,MATIERES!$A$2:$F$448,4,0))</f>
        <v/>
      </c>
      <c r="G15" s="364">
        <v>0</v>
      </c>
      <c r="H15" s="365" t="str">
        <f>IF($C15="","",G15*VLOOKUP($C15,MATIERES!$A$2:$F$448,4,0))</f>
        <v/>
      </c>
      <c r="I15" s="364">
        <v>0</v>
      </c>
      <c r="J15" s="365" t="str">
        <f>IF($C15="","",I15*VLOOKUP($C15,MATIERES!$A$2:$F$349,4,0))</f>
        <v/>
      </c>
      <c r="K15" s="364">
        <v>0</v>
      </c>
      <c r="L15" s="365" t="str">
        <f>IF($C15="","",K15*VLOOKUP($C15,MATIERES!$A$2:$F$349,4,0))</f>
        <v/>
      </c>
      <c r="M15" s="364">
        <v>0</v>
      </c>
      <c r="N15" s="365" t="str">
        <f>IF($C15="","",M15*VLOOKUP($C15,MATIERES!$A$2:$F$349,4,0))</f>
        <v/>
      </c>
      <c r="O15" s="364">
        <v>0</v>
      </c>
      <c r="P15" s="365" t="str">
        <f>IF($C15="","",O15*VLOOKUP($C15,MATIERES!$A$2:$F$349,4,0))</f>
        <v/>
      </c>
      <c r="Q15" s="364">
        <v>0</v>
      </c>
      <c r="R15" s="365" t="str">
        <f>IF($C15="","",Q15*VLOOKUP($C15,MATIERES!$A$2:$F$349,4,0))</f>
        <v/>
      </c>
      <c r="S15" s="364">
        <v>0</v>
      </c>
      <c r="T15" s="365" t="str">
        <f>IF($C15="","",S15*VLOOKUP($C15,MATIERES!$A$2:$F$448,4,0))</f>
        <v/>
      </c>
      <c r="U15" s="364">
        <v>0</v>
      </c>
      <c r="V15" s="365" t="str">
        <f>IF($C15="","",U15*VLOOKUP($C15,MATIERES!$A$2:$F$448,4,0))</f>
        <v/>
      </c>
    </row>
    <row r="16" spans="1:22" ht="15" customHeight="1" x14ac:dyDescent="0.2">
      <c r="A16" s="1550"/>
      <c r="B16" s="361"/>
      <c r="C16" s="362"/>
      <c r="D16" s="363" t="str">
        <f>IF($C16="","",VLOOKUP($C16,MATIERES!$A$2:$F$227,5,0))</f>
        <v/>
      </c>
      <c r="E16" s="364">
        <v>0</v>
      </c>
      <c r="F16" s="365" t="str">
        <f>IF($C16="","",E16*VLOOKUP($C16,MATIERES!$A$2:$F$448,4,0))</f>
        <v/>
      </c>
      <c r="G16" s="364">
        <v>0</v>
      </c>
      <c r="H16" s="365" t="str">
        <f>IF($C16="","",G16*VLOOKUP($C16,MATIERES!$A$2:$F$448,4,0))</f>
        <v/>
      </c>
      <c r="I16" s="364">
        <v>0</v>
      </c>
      <c r="J16" s="365" t="str">
        <f>IF($C16="","",I16*VLOOKUP($C16,MATIERES!$A$2:$F$349,4,0))</f>
        <v/>
      </c>
      <c r="K16" s="364">
        <v>0</v>
      </c>
      <c r="L16" s="365" t="str">
        <f>IF($C16="","",K16*VLOOKUP($C16,MATIERES!$A$2:$F$349,4,0))</f>
        <v/>
      </c>
      <c r="M16" s="364">
        <v>0</v>
      </c>
      <c r="N16" s="365" t="str">
        <f>IF($C16="","",M16*VLOOKUP($C16,MATIERES!$A$2:$F$349,4,0))</f>
        <v/>
      </c>
      <c r="O16" s="364">
        <v>0</v>
      </c>
      <c r="P16" s="365" t="str">
        <f>IF($C16="","",O16*VLOOKUP($C16,MATIERES!$A$2:$F$349,4,0))</f>
        <v/>
      </c>
      <c r="Q16" s="364">
        <v>0</v>
      </c>
      <c r="R16" s="365" t="str">
        <f>IF($C16="","",Q16*VLOOKUP($C16,MATIERES!$A$2:$F$349,4,0))</f>
        <v/>
      </c>
      <c r="S16" s="364">
        <v>0</v>
      </c>
      <c r="T16" s="365" t="str">
        <f>IF($C16="","",S16*VLOOKUP($C16,MATIERES!$A$2:$F$448,4,0))</f>
        <v/>
      </c>
      <c r="U16" s="364">
        <v>0</v>
      </c>
      <c r="V16" s="365" t="str">
        <f>IF($C16="","",U16*VLOOKUP($C16,MATIERES!$A$2:$F$448,4,0))</f>
        <v/>
      </c>
    </row>
    <row r="17" spans="1:22" ht="15" customHeight="1" x14ac:dyDescent="0.2">
      <c r="A17" s="1551"/>
      <c r="B17" s="361"/>
      <c r="C17" s="362"/>
      <c r="D17" s="363" t="str">
        <f>IF($C17="","",VLOOKUP($C17,MATIERES!$A$2:$F$227,5,0))</f>
        <v/>
      </c>
      <c r="E17" s="364">
        <v>0</v>
      </c>
      <c r="F17" s="365" t="str">
        <f>IF($C17="","",E17*VLOOKUP($C17,MATIERES!$A$2:$F$448,4,0))</f>
        <v/>
      </c>
      <c r="G17" s="364">
        <v>0</v>
      </c>
      <c r="H17" s="365" t="str">
        <f>IF($C17="","",G17*VLOOKUP($C17,MATIERES!$A$2:$F$448,4,0))</f>
        <v/>
      </c>
      <c r="I17" s="364">
        <v>0</v>
      </c>
      <c r="J17" s="365" t="str">
        <f>IF($C17="","",I17*VLOOKUP($C17,MATIERES!$A$2:$F$349,4,0))</f>
        <v/>
      </c>
      <c r="K17" s="364">
        <v>0</v>
      </c>
      <c r="L17" s="365" t="str">
        <f>IF($C17="","",K17*VLOOKUP($C17,MATIERES!$A$2:$F$349,4,0))</f>
        <v/>
      </c>
      <c r="M17" s="364">
        <v>0</v>
      </c>
      <c r="N17" s="365" t="str">
        <f>IF($C17="","",M17*VLOOKUP($C17,MATIERES!$A$2:$F$349,4,0))</f>
        <v/>
      </c>
      <c r="O17" s="364">
        <v>0</v>
      </c>
      <c r="P17" s="365" t="str">
        <f>IF($C17="","",O17*VLOOKUP($C17,MATIERES!$A$2:$F$349,4,0))</f>
        <v/>
      </c>
      <c r="Q17" s="364">
        <v>0</v>
      </c>
      <c r="R17" s="365" t="str">
        <f>IF($C17="","",Q17*VLOOKUP($C17,MATIERES!$A$2:$F$349,4,0))</f>
        <v/>
      </c>
      <c r="S17" s="364">
        <v>0</v>
      </c>
      <c r="T17" s="365" t="str">
        <f>IF($C17="","",S17*VLOOKUP($C17,MATIERES!$A$2:$F$448,4,0))</f>
        <v/>
      </c>
      <c r="U17" s="364">
        <v>0</v>
      </c>
      <c r="V17" s="365" t="str">
        <f>IF($C17="","",U17*VLOOKUP($C17,MATIERES!$A$2:$F$448,4,0))</f>
        <v/>
      </c>
    </row>
    <row r="18" spans="1:22" ht="15" customHeight="1" x14ac:dyDescent="0.2">
      <c r="A18" s="1550"/>
      <c r="B18" s="361"/>
      <c r="C18" s="362"/>
      <c r="D18" s="363" t="str">
        <f>IF($C18="","",VLOOKUP($C18,MATIERES!$A$2:$F$227,5,0))</f>
        <v/>
      </c>
      <c r="E18" s="364">
        <v>0</v>
      </c>
      <c r="F18" s="365" t="str">
        <f>IF($C18="","",E18*VLOOKUP($C18,MATIERES!$A$2:$F$448,4,0))</f>
        <v/>
      </c>
      <c r="G18" s="364">
        <v>0</v>
      </c>
      <c r="H18" s="365" t="str">
        <f>IF($C18="","",G18*VLOOKUP($C18,MATIERES!$A$2:$F$448,4,0))</f>
        <v/>
      </c>
      <c r="I18" s="364">
        <v>0</v>
      </c>
      <c r="J18" s="365" t="str">
        <f>IF($C18="","",I18*VLOOKUP($C18,MATIERES!$A$2:$F$349,4,0))</f>
        <v/>
      </c>
      <c r="K18" s="364">
        <v>0</v>
      </c>
      <c r="L18" s="365" t="str">
        <f>IF($C18="","",K18*VLOOKUP($C18,MATIERES!$A$2:$F$349,4,0))</f>
        <v/>
      </c>
      <c r="M18" s="364">
        <v>0</v>
      </c>
      <c r="N18" s="365" t="str">
        <f>IF($C18="","",M18*VLOOKUP($C18,MATIERES!$A$2:$F$349,4,0))</f>
        <v/>
      </c>
      <c r="O18" s="364">
        <v>0</v>
      </c>
      <c r="P18" s="365" t="str">
        <f>IF($C18="","",O18*VLOOKUP($C18,MATIERES!$A$2:$F$349,4,0))</f>
        <v/>
      </c>
      <c r="Q18" s="364">
        <v>0</v>
      </c>
      <c r="R18" s="365" t="str">
        <f>IF($C18="","",Q18*VLOOKUP($C18,MATIERES!$A$2:$F$349,4,0))</f>
        <v/>
      </c>
      <c r="S18" s="364">
        <v>0</v>
      </c>
      <c r="T18" s="365" t="str">
        <f>IF($C18="","",S18*VLOOKUP($C18,MATIERES!$A$2:$F$448,4,0))</f>
        <v/>
      </c>
      <c r="U18" s="364">
        <v>0</v>
      </c>
      <c r="V18" s="365" t="str">
        <f>IF($C18="","",U18*VLOOKUP($C18,MATIERES!$A$2:$F$448,4,0))</f>
        <v/>
      </c>
    </row>
    <row r="19" spans="1:22" ht="15" customHeight="1" x14ac:dyDescent="0.2">
      <c r="A19" s="1550"/>
      <c r="B19" s="361"/>
      <c r="C19" s="362"/>
      <c r="D19" s="363" t="str">
        <f>IF($C19="","",VLOOKUP($C19,MATIERES!$A$2:$F$227,5,0))</f>
        <v/>
      </c>
      <c r="E19" s="364">
        <v>0</v>
      </c>
      <c r="F19" s="365" t="str">
        <f>IF($C19="","",E19*VLOOKUP($C19,MATIERES!$A$2:$F$448,4,0))</f>
        <v/>
      </c>
      <c r="G19" s="364">
        <v>0</v>
      </c>
      <c r="H19" s="365" t="str">
        <f>IF($C19="","",G19*VLOOKUP($C19,MATIERES!$A$2:$F$448,4,0))</f>
        <v/>
      </c>
      <c r="I19" s="364">
        <v>0</v>
      </c>
      <c r="J19" s="365" t="str">
        <f>IF($C19="","",I19*VLOOKUP($C19,MATIERES!$A$2:$F$349,4,0))</f>
        <v/>
      </c>
      <c r="K19" s="364">
        <v>0</v>
      </c>
      <c r="L19" s="365" t="str">
        <f>IF($C19="","",K19*VLOOKUP($C19,MATIERES!$A$2:$F$349,4,0))</f>
        <v/>
      </c>
      <c r="M19" s="364">
        <v>0</v>
      </c>
      <c r="N19" s="365" t="str">
        <f>IF($C19="","",M19*VLOOKUP($C19,MATIERES!$A$2:$F$349,4,0))</f>
        <v/>
      </c>
      <c r="O19" s="364">
        <v>0</v>
      </c>
      <c r="P19" s="365" t="str">
        <f>IF($C19="","",O19*VLOOKUP($C19,MATIERES!$A$2:$F$349,4,0))</f>
        <v/>
      </c>
      <c r="Q19" s="364">
        <v>0</v>
      </c>
      <c r="R19" s="365" t="str">
        <f>IF($C19="","",Q19*VLOOKUP($C19,MATIERES!$A$2:$F$349,4,0))</f>
        <v/>
      </c>
      <c r="S19" s="364">
        <v>0</v>
      </c>
      <c r="T19" s="365" t="str">
        <f>IF($C19="","",S19*VLOOKUP($C19,MATIERES!$A$2:$F$448,4,0))</f>
        <v/>
      </c>
      <c r="U19" s="364">
        <v>0</v>
      </c>
      <c r="V19" s="365" t="str">
        <f>IF($C19="","",U19*VLOOKUP($C19,MATIERES!$A$2:$F$448,4,0))</f>
        <v/>
      </c>
    </row>
    <row r="20" spans="1:22" ht="15" customHeight="1" x14ac:dyDescent="0.2">
      <c r="A20" s="1550"/>
      <c r="B20" s="361"/>
      <c r="C20" s="362"/>
      <c r="D20" s="363" t="str">
        <f>IF($C20="","",VLOOKUP($C20,MATIERES!$A$2:$F$227,5,0))</f>
        <v/>
      </c>
      <c r="E20" s="364">
        <v>0</v>
      </c>
      <c r="F20" s="365" t="str">
        <f>IF($C20="","",E20*VLOOKUP($C20,MATIERES!$A$2:$F$349,4,0))</f>
        <v/>
      </c>
      <c r="G20" s="364">
        <v>0</v>
      </c>
      <c r="H20" s="365" t="str">
        <f>IF($C20="","",G20*VLOOKUP($C20,MATIERES!$A$2:$F$349,4,0))</f>
        <v/>
      </c>
      <c r="I20" s="364">
        <v>0</v>
      </c>
      <c r="J20" s="365" t="str">
        <f>IF($C20="","",I20*VLOOKUP($C20,MATIERES!$A$2:$F$349,4,0))</f>
        <v/>
      </c>
      <c r="K20" s="364">
        <v>0</v>
      </c>
      <c r="L20" s="365" t="str">
        <f>IF($C20="","",K20*VLOOKUP($C20,MATIERES!$A$2:$F$349,4,0))</f>
        <v/>
      </c>
      <c r="M20" s="364">
        <v>0</v>
      </c>
      <c r="N20" s="365" t="str">
        <f>IF($C20="","",M20*VLOOKUP($C20,MATIERES!$A$2:$F$349,4,0))</f>
        <v/>
      </c>
      <c r="O20" s="364">
        <v>0</v>
      </c>
      <c r="P20" s="365" t="str">
        <f>IF($C20="","",O20*VLOOKUP($C20,MATIERES!$A$2:$F$349,4,0))</f>
        <v/>
      </c>
      <c r="Q20" s="364">
        <v>0</v>
      </c>
      <c r="R20" s="365" t="str">
        <f>IF($C20="","",Q20*VLOOKUP($C20,MATIERES!$A$2:$F$349,4,0))</f>
        <v/>
      </c>
      <c r="S20" s="364">
        <v>0</v>
      </c>
      <c r="T20" s="365" t="str">
        <f>IF($C20="","",S20*VLOOKUP($C20,MATIERES!$A$2:$F$349,4,0))</f>
        <v/>
      </c>
      <c r="U20" s="364">
        <v>0</v>
      </c>
      <c r="V20" s="365" t="str">
        <f>IF($C20="","",U20*VLOOKUP($C20,MATIERES!$A$2:$F$349,4,0))</f>
        <v/>
      </c>
    </row>
    <row r="21" spans="1:22" ht="15" customHeight="1" x14ac:dyDescent="0.2">
      <c r="A21" s="1550"/>
      <c r="B21" s="361"/>
      <c r="C21" s="362"/>
      <c r="D21" s="363" t="str">
        <f>IF($C21="","",VLOOKUP($C21,MATIERES!$A$2:$F$227,5,0))</f>
        <v/>
      </c>
      <c r="E21" s="364">
        <v>0</v>
      </c>
      <c r="F21" s="365" t="str">
        <f>IF($C21="","",E21*VLOOKUP($C21,MATIERES!$A$2:$F$349,4,0))</f>
        <v/>
      </c>
      <c r="G21" s="364">
        <v>0</v>
      </c>
      <c r="H21" s="365" t="str">
        <f>IF($C21="","",G21*VLOOKUP($C21,MATIERES!$A$2:$F$349,4,0))</f>
        <v/>
      </c>
      <c r="I21" s="364">
        <v>0</v>
      </c>
      <c r="J21" s="365" t="str">
        <f>IF($C21="","",I21*VLOOKUP($C21,MATIERES!$A$2:$F$349,4,0))</f>
        <v/>
      </c>
      <c r="K21" s="364">
        <v>0</v>
      </c>
      <c r="L21" s="365" t="str">
        <f>IF($C21="","",K21*VLOOKUP($C21,MATIERES!$A$2:$F$349,4,0))</f>
        <v/>
      </c>
      <c r="M21" s="364">
        <v>0</v>
      </c>
      <c r="N21" s="365" t="str">
        <f>IF($C21="","",M21*VLOOKUP($C21,MATIERES!$A$2:$F$349,4,0))</f>
        <v/>
      </c>
      <c r="O21" s="364">
        <v>0</v>
      </c>
      <c r="P21" s="365" t="str">
        <f>IF($C21="","",O21*VLOOKUP($C21,MATIERES!$A$2:$F$349,4,0))</f>
        <v/>
      </c>
      <c r="Q21" s="364">
        <v>0</v>
      </c>
      <c r="R21" s="365" t="str">
        <f>IF($C21="","",Q21*VLOOKUP($C21,MATIERES!$A$2:$F$349,4,0))</f>
        <v/>
      </c>
      <c r="S21" s="364">
        <v>0</v>
      </c>
      <c r="T21" s="365" t="str">
        <f>IF($C21="","",S21*VLOOKUP($C21,MATIERES!$A$2:$F$349,4,0))</f>
        <v/>
      </c>
      <c r="U21" s="364">
        <v>0</v>
      </c>
      <c r="V21" s="365" t="str">
        <f>IF($C21="","",U21*VLOOKUP($C21,MATIERES!$A$2:$F$349,4,0))</f>
        <v/>
      </c>
    </row>
    <row r="22" spans="1:22" ht="15" customHeight="1" x14ac:dyDescent="0.2">
      <c r="A22" s="1550"/>
      <c r="B22" s="361"/>
      <c r="C22" s="362"/>
      <c r="D22" s="363" t="str">
        <f>IF($C22="","",VLOOKUP($C22,MATIERES!$A$2:$F$227,5,0))</f>
        <v/>
      </c>
      <c r="E22" s="364">
        <v>0</v>
      </c>
      <c r="F22" s="365" t="str">
        <f>IF($C22="","",E22*VLOOKUP($C22,MATIERES!$A$2:$F$349,4,0))</f>
        <v/>
      </c>
      <c r="G22" s="364">
        <v>0</v>
      </c>
      <c r="H22" s="365" t="str">
        <f>IF($C22="","",G22*VLOOKUP($C22,MATIERES!$A$2:$F$349,4,0))</f>
        <v/>
      </c>
      <c r="I22" s="364">
        <v>0</v>
      </c>
      <c r="J22" s="365" t="str">
        <f>IF($C22="","",I22*VLOOKUP($C22,MATIERES!$A$2:$F$349,4,0))</f>
        <v/>
      </c>
      <c r="K22" s="364">
        <v>0</v>
      </c>
      <c r="L22" s="365" t="str">
        <f>IF($C22="","",K22*VLOOKUP($C22,MATIERES!$A$2:$F$349,4,0))</f>
        <v/>
      </c>
      <c r="M22" s="364">
        <v>0</v>
      </c>
      <c r="N22" s="365" t="str">
        <f>IF($C22="","",M22*VLOOKUP($C22,MATIERES!$A$2:$F$349,4,0))</f>
        <v/>
      </c>
      <c r="O22" s="364">
        <v>0</v>
      </c>
      <c r="P22" s="365" t="str">
        <f>IF($C22="","",O22*VLOOKUP($C22,MATIERES!$A$2:$F$349,4,0))</f>
        <v/>
      </c>
      <c r="Q22" s="364">
        <v>0</v>
      </c>
      <c r="R22" s="365" t="str">
        <f>IF($C22="","",Q22*VLOOKUP($C22,MATIERES!$A$2:$F$349,4,0))</f>
        <v/>
      </c>
      <c r="S22" s="364">
        <v>0</v>
      </c>
      <c r="T22" s="365" t="str">
        <f>IF($C22="","",S22*VLOOKUP($C22,MATIERES!$A$2:$F$349,4,0))</f>
        <v/>
      </c>
      <c r="U22" s="364">
        <v>0</v>
      </c>
      <c r="V22" s="365" t="str">
        <f>IF($C22="","",U22*VLOOKUP($C22,MATIERES!$A$2:$F$349,4,0))</f>
        <v/>
      </c>
    </row>
    <row r="23" spans="1:22" ht="15" customHeight="1" x14ac:dyDescent="0.2">
      <c r="A23" s="1550"/>
      <c r="B23" s="361"/>
      <c r="C23" s="362"/>
      <c r="D23" s="363" t="str">
        <f>IF($C23="","",VLOOKUP($C23,MATIERES!$A$2:$F$227,5,0))</f>
        <v/>
      </c>
      <c r="E23" s="364">
        <v>0</v>
      </c>
      <c r="F23" s="365" t="str">
        <f>IF($C23="","",E23*VLOOKUP($C23,MATIERES!$A$2:$F$349,4,0))</f>
        <v/>
      </c>
      <c r="G23" s="364">
        <v>0</v>
      </c>
      <c r="H23" s="365" t="str">
        <f>IF($C23="","",G23*VLOOKUP($C23,MATIERES!$A$2:$F$349,4,0))</f>
        <v/>
      </c>
      <c r="I23" s="364">
        <v>0</v>
      </c>
      <c r="J23" s="365" t="str">
        <f>IF($C23="","",I23*VLOOKUP($C23,MATIERES!$A$2:$F$349,4,0))</f>
        <v/>
      </c>
      <c r="K23" s="364">
        <v>0</v>
      </c>
      <c r="L23" s="365" t="str">
        <f>IF($C23="","",K23*VLOOKUP($C23,MATIERES!$A$2:$F$349,4,0))</f>
        <v/>
      </c>
      <c r="M23" s="364">
        <v>0</v>
      </c>
      <c r="N23" s="365" t="str">
        <f>IF($C23="","",M23*VLOOKUP($C23,MATIERES!$A$2:$F$349,4,0))</f>
        <v/>
      </c>
      <c r="O23" s="364">
        <v>0</v>
      </c>
      <c r="P23" s="365" t="str">
        <f>IF($C23="","",O23*VLOOKUP($C23,MATIERES!$A$2:$F$349,4,0))</f>
        <v/>
      </c>
      <c r="Q23" s="364">
        <v>0</v>
      </c>
      <c r="R23" s="365" t="str">
        <f>IF($C23="","",Q23*VLOOKUP($C23,MATIERES!$A$2:$F$349,4,0))</f>
        <v/>
      </c>
      <c r="S23" s="364">
        <v>0</v>
      </c>
      <c r="T23" s="365" t="str">
        <f>IF($C23="","",S23*VLOOKUP($C23,MATIERES!$A$2:$F$349,4,0))</f>
        <v/>
      </c>
      <c r="U23" s="364">
        <v>0</v>
      </c>
      <c r="V23" s="365" t="str">
        <f>IF($C23="","",U23*VLOOKUP($C23,MATIERES!$A$2:$F$349,4,0))</f>
        <v/>
      </c>
    </row>
    <row r="24" spans="1:22" ht="15" customHeight="1" x14ac:dyDescent="0.2">
      <c r="A24" s="1550"/>
      <c r="B24" s="361"/>
      <c r="C24" s="362"/>
      <c r="D24" s="363" t="str">
        <f>IF($C24="","",VLOOKUP($C24,MATIERES!$A$2:$F$227,5,0))</f>
        <v/>
      </c>
      <c r="E24" s="364">
        <v>0</v>
      </c>
      <c r="F24" s="365" t="str">
        <f>IF($C24="","",E24*VLOOKUP($C24,MATIERES!$A$2:$F$349,4,0))</f>
        <v/>
      </c>
      <c r="G24" s="364">
        <v>0</v>
      </c>
      <c r="H24" s="365" t="str">
        <f>IF($C24="","",G24*VLOOKUP($C24,MATIERES!$A$2:$F$349,4,0))</f>
        <v/>
      </c>
      <c r="I24" s="364">
        <v>0</v>
      </c>
      <c r="J24" s="365" t="str">
        <f>IF($C24="","",I24*VLOOKUP($C24,MATIERES!$A$2:$F$349,4,0))</f>
        <v/>
      </c>
      <c r="K24" s="364">
        <v>0</v>
      </c>
      <c r="L24" s="365" t="str">
        <f>IF($C24="","",K24*VLOOKUP($C24,MATIERES!$A$2:$F$349,4,0))</f>
        <v/>
      </c>
      <c r="M24" s="364">
        <v>0</v>
      </c>
      <c r="N24" s="365" t="str">
        <f>IF($C24="","",M24*VLOOKUP($C24,MATIERES!$A$2:$F$349,4,0))</f>
        <v/>
      </c>
      <c r="O24" s="364">
        <v>0</v>
      </c>
      <c r="P24" s="365" t="str">
        <f>IF($C24="","",O24*VLOOKUP($C24,MATIERES!$A$2:$F$349,4,0))</f>
        <v/>
      </c>
      <c r="Q24" s="364">
        <v>0</v>
      </c>
      <c r="R24" s="365" t="str">
        <f>IF($C24="","",Q24*VLOOKUP($C24,MATIERES!$A$2:$F$349,4,0))</f>
        <v/>
      </c>
      <c r="S24" s="364">
        <v>0</v>
      </c>
      <c r="T24" s="365" t="str">
        <f>IF($C24="","",S24*VLOOKUP($C24,MATIERES!$A$2:$F$349,4,0))</f>
        <v/>
      </c>
      <c r="U24" s="364">
        <v>0</v>
      </c>
      <c r="V24" s="365" t="str">
        <f>IF($C24="","",U24*VLOOKUP($C24,MATIERES!$A$2:$F$349,4,0))</f>
        <v/>
      </c>
    </row>
    <row r="25" spans="1:22" ht="15" customHeight="1" x14ac:dyDescent="0.2">
      <c r="A25" s="1550"/>
      <c r="B25" s="361"/>
      <c r="C25" s="362"/>
      <c r="D25" s="363" t="str">
        <f>IF($C25="","",VLOOKUP($C25,MATIERES!$A$2:$F$227,5,0))</f>
        <v/>
      </c>
      <c r="E25" s="364">
        <v>0</v>
      </c>
      <c r="F25" s="365" t="str">
        <f>IF($C25="","",E25*VLOOKUP($C25,MATIERES!$A$2:$F$349,4,0))</f>
        <v/>
      </c>
      <c r="G25" s="364">
        <v>0</v>
      </c>
      <c r="H25" s="365" t="str">
        <f>IF($C25="","",G25*VLOOKUP($C25,MATIERES!$A$2:$F$349,4,0))</f>
        <v/>
      </c>
      <c r="I25" s="364">
        <v>0</v>
      </c>
      <c r="J25" s="365" t="str">
        <f>IF($C25="","",I25*VLOOKUP($C25,MATIERES!$A$2:$F$349,4,0))</f>
        <v/>
      </c>
      <c r="K25" s="364">
        <v>0</v>
      </c>
      <c r="L25" s="365" t="str">
        <f>IF($C25="","",K25*VLOOKUP($C25,MATIERES!$A$2:$F$349,4,0))</f>
        <v/>
      </c>
      <c r="M25" s="364">
        <v>0</v>
      </c>
      <c r="N25" s="365" t="str">
        <f>IF($C25="","",M25*VLOOKUP($C25,MATIERES!$A$2:$F$349,4,0))</f>
        <v/>
      </c>
      <c r="O25" s="364">
        <v>0</v>
      </c>
      <c r="P25" s="365" t="str">
        <f>IF($C25="","",O25*VLOOKUP($C25,MATIERES!$A$2:$F$349,4,0))</f>
        <v/>
      </c>
      <c r="Q25" s="364">
        <v>0</v>
      </c>
      <c r="R25" s="365" t="str">
        <f>IF($C25="","",Q25*VLOOKUP($C25,MATIERES!$A$2:$F$349,4,0))</f>
        <v/>
      </c>
      <c r="S25" s="364">
        <v>0</v>
      </c>
      <c r="T25" s="365" t="str">
        <f>IF($C25="","",S25*VLOOKUP($C25,MATIERES!$A$2:$F$349,4,0))</f>
        <v/>
      </c>
      <c r="U25" s="364">
        <v>0</v>
      </c>
      <c r="V25" s="365" t="str">
        <f>IF($C25="","",U25*VLOOKUP($C25,MATIERES!$A$2:$F$349,4,0))</f>
        <v/>
      </c>
    </row>
    <row r="26" spans="1:22" ht="30" customHeight="1" x14ac:dyDescent="0.2">
      <c r="A26" s="366"/>
      <c r="B26" s="367" t="s">
        <v>683</v>
      </c>
      <c r="C26" s="368" t="s">
        <v>446</v>
      </c>
      <c r="D26" s="369" t="s">
        <v>447</v>
      </c>
      <c r="E26" s="370">
        <f>F26*(1+Simulation!$P$11)</f>
        <v>107.64856960000003</v>
      </c>
      <c r="F26" s="371">
        <f>SUM(F4:F25)</f>
        <v>82.806592000000023</v>
      </c>
      <c r="G26" s="370">
        <f>H26*(1+Simulation!$P$11)</f>
        <v>211.40753920000003</v>
      </c>
      <c r="H26" s="371">
        <f>SUM(H4:H25)</f>
        <v>162.62118400000003</v>
      </c>
      <c r="I26" s="370">
        <f>J26*(1+Simulation!$P$11)</f>
        <v>140.76795200000004</v>
      </c>
      <c r="J26" s="371">
        <f>SUM(J4:J25)</f>
        <v>108.28304000000001</v>
      </c>
      <c r="K26" s="370">
        <f>L26*(1+Simulation!$P$11)</f>
        <v>109.95504</v>
      </c>
      <c r="L26" s="371">
        <f>SUM(L4:L25)</f>
        <v>84.580799999999996</v>
      </c>
      <c r="M26" s="370">
        <f>N26*(1+Simulation!$P$11)</f>
        <v>134.01960000000003</v>
      </c>
      <c r="N26" s="371">
        <f>SUM(N4:N25)</f>
        <v>103.09200000000001</v>
      </c>
      <c r="O26" s="370">
        <f>P26*(1+Simulation!$P$11)</f>
        <v>0</v>
      </c>
      <c r="P26" s="371">
        <f>SUM(P4:P25)</f>
        <v>0</v>
      </c>
      <c r="Q26" s="370">
        <f>R26*(1+Simulation!$P$11)</f>
        <v>0</v>
      </c>
      <c r="R26" s="371">
        <f>SUM(R4:R25)</f>
        <v>0</v>
      </c>
      <c r="S26" s="370" t="e">
        <f>T26*(1+Simulation!$P$11)</f>
        <v>#VALUE!</v>
      </c>
      <c r="T26" s="371" t="e">
        <f>SUM(T4:T25)</f>
        <v>#VALUE!</v>
      </c>
      <c r="U26" s="370" t="e">
        <f>#REF!*(1+Simulation!$P$11)</f>
        <v>#REF!</v>
      </c>
      <c r="V26" s="371" t="e">
        <f>SUM(V4:V25)</f>
        <v>#VALUE!</v>
      </c>
    </row>
    <row r="27" spans="1:22" ht="15" customHeight="1" x14ac:dyDescent="0.2">
      <c r="A27" s="1553" t="s">
        <v>448</v>
      </c>
      <c r="B27" s="361" t="s">
        <v>1155</v>
      </c>
      <c r="C27" s="362" t="s">
        <v>423</v>
      </c>
      <c r="D27" s="363" t="str">
        <f>IF($C27="","",VLOOKUP($C27,ATELIER!$A$2:$E$109,3,0))</f>
        <v>pc</v>
      </c>
      <c r="E27" s="364">
        <f>4</f>
        <v>4</v>
      </c>
      <c r="F27" s="372">
        <f>IF($C27="","",E27*VLOOKUP($C27,ATELIER!$A$2:$F$109,4,0))</f>
        <v>0.32</v>
      </c>
      <c r="G27" s="364">
        <v>8</v>
      </c>
      <c r="H27" s="372">
        <f>IF($C27="","",G27*VLOOKUP($C27,ATELIER!$A$2:$F$109,4,0))</f>
        <v>0.64</v>
      </c>
      <c r="I27" s="364">
        <f>4</f>
        <v>4</v>
      </c>
      <c r="J27" s="372">
        <f>IF($C27="","",I27*VLOOKUP($C27,ATELIER!$A$2:$F$109,4,0))</f>
        <v>0.32</v>
      </c>
      <c r="K27" s="364">
        <v>4</v>
      </c>
      <c r="L27" s="372">
        <f>IF($C27="","",K27*VLOOKUP($C27,ATELIER!$A$2:$F$109,4,0))</f>
        <v>0.32</v>
      </c>
      <c r="M27" s="364">
        <v>0</v>
      </c>
      <c r="N27" s="372">
        <f>IF($C27="","",M27*VLOOKUP($C27,ATELIER!$A$2:$F$109,4,0))</f>
        <v>0</v>
      </c>
      <c r="O27" s="364">
        <v>3</v>
      </c>
      <c r="P27" s="372">
        <f>IF($C27="","",O27*VLOOKUP($C27,ATELIER!$A$2:$F$109,4,0))</f>
        <v>0.24</v>
      </c>
      <c r="Q27" s="364">
        <v>0</v>
      </c>
      <c r="R27" s="372">
        <f>IF($C27="","",Q27*VLOOKUP($C27,ATELIER!$A$2:$F$109,4,0))</f>
        <v>0</v>
      </c>
      <c r="S27" s="364">
        <v>0</v>
      </c>
      <c r="T27" s="372">
        <f>IF($C27="","",S27*VLOOKUP($C27,ATELIER!$A$2:$F$109,4,0))</f>
        <v>0</v>
      </c>
      <c r="U27" s="364">
        <v>4</v>
      </c>
      <c r="V27" s="372">
        <f>IF($C27="","",U27*VLOOKUP($C27,ATELIER!$A$2:$F$109,4,0))</f>
        <v>0.32</v>
      </c>
    </row>
    <row r="28" spans="1:22" ht="15" customHeight="1" x14ac:dyDescent="0.2">
      <c r="A28" s="1553"/>
      <c r="B28" s="361" t="s">
        <v>1155</v>
      </c>
      <c r="C28" s="362" t="s">
        <v>424</v>
      </c>
      <c r="D28" s="363" t="str">
        <f>IF($C28="","",VLOOKUP($C28,ATELIER!$A$2:$E$109,3,0))</f>
        <v>pc</v>
      </c>
      <c r="E28" s="364">
        <f>8</f>
        <v>8</v>
      </c>
      <c r="F28" s="372">
        <f>IF($C28="","",E28*VLOOKUP($C28,ATELIER!$A$2:$F$109,4,0))</f>
        <v>0.32</v>
      </c>
      <c r="G28" s="364">
        <v>0</v>
      </c>
      <c r="H28" s="372">
        <f>IF($C28="","",G28*VLOOKUP($C28,ATELIER!$A$2:$F$109,4,0))</f>
        <v>0</v>
      </c>
      <c r="I28" s="364">
        <v>0</v>
      </c>
      <c r="J28" s="372">
        <f>IF($C28="","",I28*VLOOKUP($C28,ATELIER!$A$2:$F$109,4,0))</f>
        <v>0</v>
      </c>
      <c r="K28" s="364">
        <v>5</v>
      </c>
      <c r="L28" s="372">
        <f>IF($C28="","",K28*VLOOKUP($C28,ATELIER!$A$2:$F$109,4,0))</f>
        <v>0.2</v>
      </c>
      <c r="M28" s="364">
        <v>0</v>
      </c>
      <c r="N28" s="372">
        <f>IF($C28="","",M28*VLOOKUP($C28,ATELIER!$A$2:$F$109,4,0))</f>
        <v>0</v>
      </c>
      <c r="O28" s="364">
        <v>4</v>
      </c>
      <c r="P28" s="372">
        <f>IF($C28="","",O28*VLOOKUP($C28,ATELIER!$A$2:$F$109,4,0))</f>
        <v>0.16</v>
      </c>
      <c r="Q28" s="364">
        <v>0</v>
      </c>
      <c r="R28" s="372">
        <f>IF($C28="","",Q28*VLOOKUP($C28,ATELIER!$A$2:$F$109,4,0))</f>
        <v>0</v>
      </c>
      <c r="S28" s="364">
        <v>0</v>
      </c>
      <c r="T28" s="372">
        <f>IF($C28="","",S28*VLOOKUP($C28,ATELIER!$A$2:$F$109,4,0))</f>
        <v>0</v>
      </c>
      <c r="U28" s="364">
        <v>8</v>
      </c>
      <c r="V28" s="372">
        <f>IF($C28="","",U28*VLOOKUP($C28,ATELIER!$A$2:$F$109,4,0))</f>
        <v>0.32</v>
      </c>
    </row>
    <row r="29" spans="1:22" ht="15" customHeight="1" x14ac:dyDescent="0.2">
      <c r="A29" s="1552"/>
      <c r="B29" s="361" t="s">
        <v>1155</v>
      </c>
      <c r="C29" s="362" t="s">
        <v>1174</v>
      </c>
      <c r="D29" s="363" t="str">
        <f>IF($C29="","",VLOOKUP($C29,ATELIER!$A$2:$E$109,3,0))</f>
        <v>pc</v>
      </c>
      <c r="E29" s="364">
        <f>2*HLOOKUP(Simulation!B10,'Outils de calculs'!E24:AM43,19,0)</f>
        <v>2</v>
      </c>
      <c r="F29" s="372">
        <f>IF($C29="","",E29*VLOOKUP($C29,ATELIER!$A$2:$F$109,4,0))</f>
        <v>0.1</v>
      </c>
      <c r="G29" s="364">
        <v>0</v>
      </c>
      <c r="H29" s="372"/>
      <c r="I29" s="364">
        <v>0</v>
      </c>
      <c r="J29" s="372">
        <f>IF($C29="","",I29*VLOOKUP($C29,ATELIER!$A$2:$F$109,4,0))</f>
        <v>0</v>
      </c>
      <c r="K29" s="364">
        <v>6</v>
      </c>
      <c r="L29" s="372">
        <f>IF($C29="","",K29*VLOOKUP($C29,ATELIER!$A$2:$F$109,4,0))</f>
        <v>0.30000000000000004</v>
      </c>
      <c r="M29" s="364">
        <v>0</v>
      </c>
      <c r="N29" s="372">
        <f>IF($C29="","",M29*VLOOKUP($C29,ATELIER!$A$2:$F$109,4,0))</f>
        <v>0</v>
      </c>
      <c r="O29" s="364">
        <v>5</v>
      </c>
      <c r="P29" s="372">
        <f>IF($C29="","",O29*VLOOKUP($C29,ATELIER!$A$2:$F$109,4,0))</f>
        <v>0.25</v>
      </c>
      <c r="Q29" s="364">
        <v>0</v>
      </c>
      <c r="R29" s="372">
        <f>IF($C29="","",Q29*VLOOKUP($C29,ATELIER!$A$2:$F$109,4,0))</f>
        <v>0</v>
      </c>
      <c r="S29" s="364">
        <v>0</v>
      </c>
      <c r="T29" s="372"/>
      <c r="U29" s="364">
        <v>0</v>
      </c>
      <c r="V29" s="372"/>
    </row>
    <row r="30" spans="1:22" ht="15" customHeight="1" x14ac:dyDescent="0.2">
      <c r="A30" s="1553"/>
      <c r="B30" s="361" t="s">
        <v>1155</v>
      </c>
      <c r="C30" s="362" t="s">
        <v>1175</v>
      </c>
      <c r="D30" s="363" t="str">
        <f>IF($C30="","",VLOOKUP($C30,ATELIER!$A$2:$E$109,3,0))</f>
        <v>ml</v>
      </c>
      <c r="E30" s="364">
        <f>IF(Simulation!B10=5,0,2)</f>
        <v>0</v>
      </c>
      <c r="F30" s="372">
        <f>IF($C30="","",E30*VLOOKUP($C30,ATELIER!$A$2:$F$109,4,0))</f>
        <v>0</v>
      </c>
      <c r="G30" s="364">
        <v>0</v>
      </c>
      <c r="H30" s="372"/>
      <c r="I30" s="364">
        <v>0</v>
      </c>
      <c r="J30" s="372">
        <f>IF($C30="","",I30*VLOOKUP($C30,ATELIER!$A$2:$F$109,4,0))</f>
        <v>0</v>
      </c>
      <c r="K30" s="364">
        <v>7</v>
      </c>
      <c r="L30" s="372">
        <f>IF($C30="","",K30*VLOOKUP($C30,ATELIER!$A$2:$F$109,4,0))</f>
        <v>0.35000000000000003</v>
      </c>
      <c r="M30" s="364">
        <v>0</v>
      </c>
      <c r="N30" s="372">
        <f>IF($C30="","",M30*VLOOKUP($C30,ATELIER!$A$2:$F$109,4,0))</f>
        <v>0</v>
      </c>
      <c r="O30" s="364">
        <v>6</v>
      </c>
      <c r="P30" s="372">
        <f>IF($C30="","",O30*VLOOKUP($C30,ATELIER!$A$2:$F$109,4,0))</f>
        <v>0.30000000000000004</v>
      </c>
      <c r="Q30" s="364">
        <v>0</v>
      </c>
      <c r="R30" s="372">
        <f>IF($C30="","",Q30*VLOOKUP($C30,ATELIER!$A$2:$F$109,4,0))</f>
        <v>0</v>
      </c>
      <c r="S30" s="364">
        <v>0</v>
      </c>
      <c r="T30" s="372"/>
      <c r="U30" s="364">
        <v>0</v>
      </c>
      <c r="V30" s="372"/>
    </row>
    <row r="31" spans="1:22" ht="15" customHeight="1" x14ac:dyDescent="0.2">
      <c r="A31" s="1553"/>
      <c r="B31" s="361" t="s">
        <v>1155</v>
      </c>
      <c r="C31" s="362"/>
      <c r="D31" s="363" t="str">
        <f>IF($C31="","",VLOOKUP($C31,ATELIER!$A$2:$E$109,3,0))</f>
        <v/>
      </c>
      <c r="E31" s="364">
        <v>0</v>
      </c>
      <c r="F31" s="372" t="str">
        <f>IF($C31="","",E31*VLOOKUP($C31,ATELIER!$A$2:$F$109,4,0))</f>
        <v/>
      </c>
      <c r="G31" s="364">
        <v>5</v>
      </c>
      <c r="H31" s="372" t="str">
        <f>IF($C31="","",G31*VLOOKUP($C31,ATELIER!$A$2:$F$109,4,0))</f>
        <v/>
      </c>
      <c r="I31" s="364">
        <v>0</v>
      </c>
      <c r="J31" s="372" t="str">
        <f>IF($C31="","",I31*VLOOKUP($C31,ATELIER!$A$2:$F$109,4,0))</f>
        <v/>
      </c>
      <c r="K31" s="364">
        <v>0</v>
      </c>
      <c r="L31" s="372" t="str">
        <f>IF($C31="","",K31*VLOOKUP($C31,ATELIER!$A$2:$F$109,4,0))</f>
        <v/>
      </c>
      <c r="M31" s="364">
        <v>0</v>
      </c>
      <c r="N31" s="372" t="str">
        <f>IF($C31="","",M31*VLOOKUP($C31,ATELIER!$A$2:$F$109,4,0))</f>
        <v/>
      </c>
      <c r="O31" s="364">
        <v>0</v>
      </c>
      <c r="P31" s="372" t="str">
        <f>IF($C31="","",O31*VLOOKUP($C31,ATELIER!$A$2:$F$109,4,0))</f>
        <v/>
      </c>
      <c r="Q31" s="364">
        <v>0</v>
      </c>
      <c r="R31" s="372" t="str">
        <f>IF($C31="","",Q31*VLOOKUP($C31,ATELIER!$A$2:$F$109,4,0))</f>
        <v/>
      </c>
      <c r="S31" s="364">
        <v>0</v>
      </c>
      <c r="T31" s="372" t="str">
        <f>IF($C31="","",S31*VLOOKUP($C31,ATELIER!$A$2:$F$109,4,0))</f>
        <v/>
      </c>
      <c r="U31" s="364">
        <v>0</v>
      </c>
      <c r="V31" s="372" t="str">
        <f>IF($C31="","",U31*VLOOKUP($C31,ATELIER!$A$2:$F$109,4,0))</f>
        <v/>
      </c>
    </row>
    <row r="32" spans="1:22" ht="15" customHeight="1" x14ac:dyDescent="0.2">
      <c r="A32" s="1553"/>
      <c r="B32" s="361" t="s">
        <v>1155</v>
      </c>
      <c r="C32" s="362"/>
      <c r="D32" s="363" t="str">
        <f>IF($C32="","",VLOOKUP($C32,ATELIER!$A$2:$E$109,3,0))</f>
        <v/>
      </c>
      <c r="E32" s="364">
        <v>0</v>
      </c>
      <c r="F32" s="372" t="str">
        <f>IF($C32="","",E32*VLOOKUP($C32,ATELIER!$A$2:$F$109,4,0))</f>
        <v/>
      </c>
      <c r="G32" s="364">
        <v>6</v>
      </c>
      <c r="H32" s="372" t="str">
        <f>IF($C32="","",G32*VLOOKUP($C32,ATELIER!$A$2:$F$109,4,0))</f>
        <v/>
      </c>
      <c r="I32" s="364">
        <v>0</v>
      </c>
      <c r="J32" s="372" t="str">
        <f>IF($C32="","",I32*VLOOKUP($C32,ATELIER!$A$2:$F$109,4,0))</f>
        <v/>
      </c>
      <c r="K32" s="364">
        <v>0</v>
      </c>
      <c r="L32" s="372" t="str">
        <f>IF($C32="","",K32*VLOOKUP($C32,ATELIER!$A$2:$F$109,4,0))</f>
        <v/>
      </c>
      <c r="M32" s="364">
        <v>0</v>
      </c>
      <c r="N32" s="372" t="str">
        <f>IF($C32="","",M32*VLOOKUP($C32,ATELIER!$A$2:$F$109,4,0))</f>
        <v/>
      </c>
      <c r="O32" s="364">
        <v>0</v>
      </c>
      <c r="P32" s="372" t="str">
        <f>IF($C32="","",O32*VLOOKUP($C32,ATELIER!$A$2:$F$109,4,0))</f>
        <v/>
      </c>
      <c r="Q32" s="364">
        <v>0</v>
      </c>
      <c r="R32" s="372" t="str">
        <f>IF($C32="","",Q32*VLOOKUP($C32,ATELIER!$A$2:$F$109,4,0))</f>
        <v/>
      </c>
      <c r="S32" s="364">
        <v>0</v>
      </c>
      <c r="T32" s="372" t="str">
        <f>IF($C32="","",S32*VLOOKUP($C32,ATELIER!$A$2:$F$109,4,0))</f>
        <v/>
      </c>
      <c r="U32" s="364">
        <v>0</v>
      </c>
      <c r="V32" s="372" t="str">
        <f>IF($C32="","",U32*VLOOKUP($C32,ATELIER!$A$2:$F$109,4,0))</f>
        <v/>
      </c>
    </row>
    <row r="33" spans="1:22" ht="15" customHeight="1" x14ac:dyDescent="0.2">
      <c r="A33" s="1553"/>
      <c r="B33" s="361" t="s">
        <v>1155</v>
      </c>
      <c r="C33" s="362"/>
      <c r="D33" s="363" t="str">
        <f>IF($C33="","",VLOOKUP($C33,ATELIER!$A$2:$E$109,3,0))</f>
        <v/>
      </c>
      <c r="E33" s="364">
        <v>0</v>
      </c>
      <c r="F33" s="372" t="str">
        <f>IF($C33="","",E33*VLOOKUP($C33,ATELIER!$A$2:$F$109,4,0))</f>
        <v/>
      </c>
      <c r="G33" s="364">
        <v>7</v>
      </c>
      <c r="H33" s="372" t="str">
        <f>IF($C33="","",G33*VLOOKUP($C33,ATELIER!$A$2:$F$109,4,0))</f>
        <v/>
      </c>
      <c r="I33" s="364">
        <v>0</v>
      </c>
      <c r="J33" s="372" t="str">
        <f>IF($C33="","",I33*VLOOKUP($C33,ATELIER!$A$2:$F$109,4,0))</f>
        <v/>
      </c>
      <c r="K33" s="364">
        <v>0</v>
      </c>
      <c r="L33" s="372" t="str">
        <f>IF($C33="","",K33*VLOOKUP($C33,ATELIER!$A$2:$F$109,4,0))</f>
        <v/>
      </c>
      <c r="M33" s="364">
        <v>0</v>
      </c>
      <c r="N33" s="372" t="str">
        <f>IF($C33="","",M33*VLOOKUP($C33,ATELIER!$A$2:$F$109,4,0))</f>
        <v/>
      </c>
      <c r="O33" s="364">
        <v>0</v>
      </c>
      <c r="P33" s="372" t="str">
        <f>IF($C33="","",O33*VLOOKUP($C33,ATELIER!$A$2:$F$109,4,0))</f>
        <v/>
      </c>
      <c r="Q33" s="364">
        <v>0</v>
      </c>
      <c r="R33" s="372" t="str">
        <f>IF($C33="","",Q33*VLOOKUP($C33,ATELIER!$A$2:$F$109,4,0))</f>
        <v/>
      </c>
      <c r="S33" s="364">
        <v>0</v>
      </c>
      <c r="T33" s="372" t="str">
        <f>IF($C33="","",S33*VLOOKUP($C33,ATELIER!$A$2:$F$109,4,0))</f>
        <v/>
      </c>
      <c r="U33" s="364">
        <v>0</v>
      </c>
      <c r="V33" s="372" t="str">
        <f>IF($C33="","",U33*VLOOKUP($C33,ATELIER!$A$2:$F$109,4,0))</f>
        <v/>
      </c>
    </row>
    <row r="34" spans="1:22" ht="15" customHeight="1" x14ac:dyDescent="0.2">
      <c r="A34" s="1553"/>
      <c r="B34" s="361" t="str">
        <f>IF($C34="","",VLOOKUP($C34,ATELIER!$A$2:$F$109,2,0))</f>
        <v/>
      </c>
      <c r="C34" s="362"/>
      <c r="D34" s="363" t="str">
        <f>IF($C34="","",VLOOKUP($C34,ATELIER!$A$2:$E$109,3,0))</f>
        <v/>
      </c>
      <c r="E34" s="364">
        <v>0</v>
      </c>
      <c r="F34" s="372" t="str">
        <f>IF($C34="","",E34*VLOOKUP($C34,ATELIER!$A$2:$F$109,4,0))</f>
        <v/>
      </c>
      <c r="G34" s="364">
        <v>8</v>
      </c>
      <c r="H34" s="372" t="str">
        <f>IF($C34="","",G34*VLOOKUP($C34,ATELIER!$A$2:$F$109,4,0))</f>
        <v/>
      </c>
      <c r="I34" s="364">
        <v>0</v>
      </c>
      <c r="J34" s="372" t="str">
        <f>IF($C34="","",I34*VLOOKUP($C34,ATELIER!$A$2:$F$109,4,0))</f>
        <v/>
      </c>
      <c r="K34" s="364">
        <v>0</v>
      </c>
      <c r="L34" s="372" t="str">
        <f>IF($C34="","",K34*VLOOKUP($C34,ATELIER!$A$2:$F$109,4,0))</f>
        <v/>
      </c>
      <c r="M34" s="364">
        <v>0</v>
      </c>
      <c r="N34" s="372" t="str">
        <f>IF($C34="","",M34*VLOOKUP($C34,ATELIER!$A$2:$F$109,4,0))</f>
        <v/>
      </c>
      <c r="O34" s="364">
        <v>0</v>
      </c>
      <c r="P34" s="372" t="str">
        <f>IF($C34="","",O34*VLOOKUP($C34,ATELIER!$A$2:$F$109,4,0))</f>
        <v/>
      </c>
      <c r="Q34" s="364">
        <v>0</v>
      </c>
      <c r="R34" s="372" t="str">
        <f>IF($C34="","",Q34*VLOOKUP($C34,ATELIER!$A$2:$F$109,4,0))</f>
        <v/>
      </c>
      <c r="S34" s="364">
        <v>0</v>
      </c>
      <c r="T34" s="372" t="str">
        <f>IF($C34="","",S34*VLOOKUP($C34,ATELIER!$A$2:$F$109,4,0))</f>
        <v/>
      </c>
      <c r="U34" s="364">
        <v>0</v>
      </c>
      <c r="V34" s="372" t="str">
        <f>IF($C34="","",U34*VLOOKUP($C34,ATELIER!$A$2:$F$109,4,0))</f>
        <v/>
      </c>
    </row>
    <row r="35" spans="1:22" ht="15" customHeight="1" x14ac:dyDescent="0.2">
      <c r="A35" s="1553"/>
      <c r="B35" s="361" t="str">
        <f>IF($C35="","",VLOOKUP($C35,ATELIER!$A$2:$F$109,2,0))</f>
        <v/>
      </c>
      <c r="C35" s="362"/>
      <c r="D35" s="363" t="str">
        <f>IF($C35="","",VLOOKUP($C35,ATELIER!$A$2:$E$109,3,0))</f>
        <v/>
      </c>
      <c r="E35" s="364">
        <v>0</v>
      </c>
      <c r="F35" s="372" t="str">
        <f>IF($C35="","",E35*VLOOKUP($C35,ATELIER!$A$2:$F$109,4,0))</f>
        <v/>
      </c>
      <c r="G35" s="364">
        <v>9</v>
      </c>
      <c r="H35" s="372" t="str">
        <f>IF($C35="","",G35*VLOOKUP($C35,ATELIER!$A$2:$F$109,4,0))</f>
        <v/>
      </c>
      <c r="I35" s="364">
        <v>0</v>
      </c>
      <c r="J35" s="372" t="str">
        <f>IF($C35="","",I35*VLOOKUP($C35,ATELIER!$A$2:$F$109,4,0))</f>
        <v/>
      </c>
      <c r="K35" s="364">
        <v>0</v>
      </c>
      <c r="L35" s="372" t="str">
        <f>IF($C35="","",K35*VLOOKUP($C35,ATELIER!$A$2:$F$109,4,0))</f>
        <v/>
      </c>
      <c r="M35" s="364">
        <v>0</v>
      </c>
      <c r="N35" s="372" t="str">
        <f>IF($C35="","",M35*VLOOKUP($C35,ATELIER!$A$2:$F$109,4,0))</f>
        <v/>
      </c>
      <c r="O35" s="364">
        <v>0</v>
      </c>
      <c r="P35" s="372" t="str">
        <f>IF($C35="","",O35*VLOOKUP($C35,ATELIER!$A$2:$F$109,4,0))</f>
        <v/>
      </c>
      <c r="Q35" s="364">
        <v>0</v>
      </c>
      <c r="R35" s="372" t="str">
        <f>IF($C35="","",Q35*VLOOKUP($C35,ATELIER!$A$2:$F$109,4,0))</f>
        <v/>
      </c>
      <c r="S35" s="364">
        <v>0</v>
      </c>
      <c r="T35" s="372" t="str">
        <f>IF($C35="","",S35*VLOOKUP($C35,ATELIER!$A$2:$F$109,4,0))</f>
        <v/>
      </c>
      <c r="U35" s="364">
        <v>0</v>
      </c>
      <c r="V35" s="372" t="str">
        <f>IF($C35="","",U35*VLOOKUP($C35,ATELIER!$A$2:$F$109,4,0))</f>
        <v/>
      </c>
    </row>
    <row r="36" spans="1:22" ht="15" customHeight="1" x14ac:dyDescent="0.2">
      <c r="A36" s="1553"/>
      <c r="B36" s="361" t="str">
        <f>IF($C36="","",VLOOKUP($C36,ATELIER!$A$2:$F$109,2,0))</f>
        <v/>
      </c>
      <c r="C36" s="362"/>
      <c r="D36" s="363" t="str">
        <f>IF($C36="","",VLOOKUP($C36,ATELIER!$A$2:$E$109,3,0))</f>
        <v/>
      </c>
      <c r="E36" s="364">
        <v>0</v>
      </c>
      <c r="F36" s="372" t="str">
        <f>IF($C36="","",E36*VLOOKUP($C36,ATELIER!$A$2:$F$109,4,0))</f>
        <v/>
      </c>
      <c r="G36" s="364">
        <v>10</v>
      </c>
      <c r="H36" s="372" t="str">
        <f>IF($C36="","",G36*VLOOKUP($C36,ATELIER!$A$2:$F$109,4,0))</f>
        <v/>
      </c>
      <c r="I36" s="364">
        <v>0</v>
      </c>
      <c r="J36" s="372" t="str">
        <f>IF($C36="","",I36*VLOOKUP($C36,ATELIER!$A$2:$F$109,4,0))</f>
        <v/>
      </c>
      <c r="K36" s="364">
        <v>0</v>
      </c>
      <c r="L36" s="372" t="str">
        <f>IF($C36="","",K36*VLOOKUP($C36,ATELIER!$A$2:$F$109,4,0))</f>
        <v/>
      </c>
      <c r="M36" s="364">
        <v>0</v>
      </c>
      <c r="N36" s="372" t="str">
        <f>IF($C36="","",M36*VLOOKUP($C36,ATELIER!$A$2:$F$109,4,0))</f>
        <v/>
      </c>
      <c r="O36" s="364">
        <v>0</v>
      </c>
      <c r="P36" s="372" t="str">
        <f>IF($C36="","",O36*VLOOKUP($C36,ATELIER!$A$2:$F$109,4,0))</f>
        <v/>
      </c>
      <c r="Q36" s="364">
        <v>0</v>
      </c>
      <c r="R36" s="372" t="str">
        <f>IF($C36="","",Q36*VLOOKUP($C36,ATELIER!$A$2:$F$109,4,0))</f>
        <v/>
      </c>
      <c r="S36" s="364">
        <v>0</v>
      </c>
      <c r="T36" s="372" t="str">
        <f>IF($C36="","",S36*VLOOKUP($C36,ATELIER!$A$2:$F$109,4,0))</f>
        <v/>
      </c>
      <c r="U36" s="364">
        <v>0</v>
      </c>
      <c r="V36" s="372" t="str">
        <f>IF($C36="","",U36*VLOOKUP($C36,ATELIER!$A$2:$F$109,4,0))</f>
        <v/>
      </c>
    </row>
    <row r="37" spans="1:22" ht="15" customHeight="1" x14ac:dyDescent="0.2">
      <c r="A37" s="1553"/>
      <c r="B37" s="361" t="str">
        <f>IF($C37="","",VLOOKUP($C37,ATELIER!$A$2:$F$109,2,0))</f>
        <v/>
      </c>
      <c r="C37" s="362"/>
      <c r="D37" s="363" t="str">
        <f>IF($C37="","",VLOOKUP($C37,ATELIER!$A$2:$E$109,3,0))</f>
        <v/>
      </c>
      <c r="E37" s="364">
        <v>0</v>
      </c>
      <c r="F37" s="372" t="str">
        <f>IF($C37="","",E37*VLOOKUP($C37,ATELIER!$A$2:$F$109,4,0))</f>
        <v/>
      </c>
      <c r="G37" s="364">
        <v>11</v>
      </c>
      <c r="H37" s="372" t="str">
        <f>IF($C37="","",G37*VLOOKUP($C37,ATELIER!$A$2:$F$109,4,0))</f>
        <v/>
      </c>
      <c r="I37" s="364">
        <v>0</v>
      </c>
      <c r="J37" s="372" t="str">
        <f>IF($C37="","",I37*VLOOKUP($C37,ATELIER!$A$2:$F$109,4,0))</f>
        <v/>
      </c>
      <c r="K37" s="364">
        <v>0</v>
      </c>
      <c r="L37" s="372" t="str">
        <f>IF($C37="","",K37*VLOOKUP($C37,ATELIER!$A$2:$F$109,4,0))</f>
        <v/>
      </c>
      <c r="M37" s="364">
        <v>0</v>
      </c>
      <c r="N37" s="372" t="str">
        <f>IF($C37="","",M37*VLOOKUP($C37,ATELIER!$A$2:$F$109,4,0))</f>
        <v/>
      </c>
      <c r="O37" s="364">
        <v>0</v>
      </c>
      <c r="P37" s="372" t="str">
        <f>IF($C37="","",O37*VLOOKUP($C37,ATELIER!$A$2:$F$109,4,0))</f>
        <v/>
      </c>
      <c r="Q37" s="364">
        <v>0</v>
      </c>
      <c r="R37" s="372" t="str">
        <f>IF($C37="","",Q37*VLOOKUP($C37,ATELIER!$A$2:$F$109,4,0))</f>
        <v/>
      </c>
      <c r="S37" s="364">
        <v>0</v>
      </c>
      <c r="T37" s="372" t="str">
        <f>IF($C37="","",S37*VLOOKUP($C37,ATELIER!$A$2:$F$109,4,0))</f>
        <v/>
      </c>
      <c r="U37" s="364">
        <v>0</v>
      </c>
      <c r="V37" s="372" t="str">
        <f>IF($C37="","",U37*VLOOKUP($C37,ATELIER!$A$2:$F$109,4,0))</f>
        <v/>
      </c>
    </row>
    <row r="38" spans="1:22" ht="35.25" customHeight="1" x14ac:dyDescent="0.2">
      <c r="A38" s="1553"/>
      <c r="B38" s="375" t="s">
        <v>449</v>
      </c>
      <c r="C38" s="376" t="s">
        <v>450</v>
      </c>
      <c r="D38" s="377" t="s">
        <v>451</v>
      </c>
      <c r="E38" s="376">
        <f>F38*Simulation!$P$8</f>
        <v>33.299999999999997</v>
      </c>
      <c r="F38" s="377">
        <f>SUM(F27:F37)</f>
        <v>0.74</v>
      </c>
      <c r="G38" s="376">
        <f>H38*Simulation!$P$8</f>
        <v>28.8</v>
      </c>
      <c r="H38" s="377">
        <f>SUM(H27:H37)</f>
        <v>0.64</v>
      </c>
      <c r="I38" s="376">
        <f>J38*Simulation!$P$8</f>
        <v>14.4</v>
      </c>
      <c r="J38" s="377">
        <f>SUM(J27:J37)</f>
        <v>0.32</v>
      </c>
      <c r="K38" s="376">
        <f>L38*Simulation!$P$8</f>
        <v>52.650000000000006</v>
      </c>
      <c r="L38" s="377">
        <f>SUM(L27:L37)</f>
        <v>1.1700000000000002</v>
      </c>
      <c r="M38" s="376">
        <f>N38*Simulation!$P$8</f>
        <v>0</v>
      </c>
      <c r="N38" s="377">
        <f>SUM(N27:N37)</f>
        <v>0</v>
      </c>
      <c r="O38" s="376">
        <f>P38*Simulation!$P$8</f>
        <v>42.75</v>
      </c>
      <c r="P38" s="377">
        <f>SUM(P27:P37)</f>
        <v>0.95000000000000007</v>
      </c>
      <c r="Q38" s="376">
        <f>R38*Simulation!$P$8</f>
        <v>0</v>
      </c>
      <c r="R38" s="377">
        <f>SUM(R27:R37)</f>
        <v>0</v>
      </c>
      <c r="S38" s="376">
        <f>T38*Simulation!$P$8</f>
        <v>0</v>
      </c>
      <c r="T38" s="377">
        <f>SUM(T27:T37)</f>
        <v>0</v>
      </c>
      <c r="U38" s="376" t="e">
        <f>#REF!*Simulation!$P$8</f>
        <v>#REF!</v>
      </c>
      <c r="V38" s="377">
        <f>SUM(V27:V37)</f>
        <v>0.64</v>
      </c>
    </row>
    <row r="39" spans="1:22" ht="15" customHeight="1" x14ac:dyDescent="0.2">
      <c r="A39" s="1554" t="s">
        <v>452</v>
      </c>
      <c r="B39" s="361" t="s">
        <v>1160</v>
      </c>
      <c r="C39" s="378" t="s">
        <v>1252</v>
      </c>
      <c r="D39" s="363" t="str">
        <f>IF(C39="","",VLOOKUP($C39,CHANTIER!$A$2:$C$83,3,0))</f>
        <v>ml</v>
      </c>
      <c r="E39" s="364">
        <f>E4</f>
        <v>14.3</v>
      </c>
      <c r="F39" s="372">
        <f>IF($C39="","",E39*VLOOKUP($C39,CHANTIER!$A$2:$D$83,4,0))</f>
        <v>0.85799999999999998</v>
      </c>
      <c r="G39" s="364">
        <v>0</v>
      </c>
      <c r="H39" s="372">
        <f>IF($C39="","",G39*VLOOKUP($C39,CHANTIER!$A$2:$D$83,4,0))</f>
        <v>0</v>
      </c>
      <c r="I39" s="364">
        <f>I4</f>
        <v>11</v>
      </c>
      <c r="J39" s="372">
        <f>IF($C39="","",I39*VLOOKUP($C39,CHANTIER!$A$2:$D$83,4,0))</f>
        <v>0.65999999999999992</v>
      </c>
      <c r="K39" s="364">
        <v>0</v>
      </c>
      <c r="L39" s="372">
        <f>IF($C39="","",K39*VLOOKUP($C39,CHANTIER!$A$2:$D$83,4,0))</f>
        <v>0</v>
      </c>
      <c r="M39" s="364">
        <v>0</v>
      </c>
      <c r="N39" s="372">
        <f>IF($C39="","",M39*VLOOKUP($C39,CHANTIER!$A$2:$D$83,4,0))</f>
        <v>0</v>
      </c>
      <c r="O39" s="364"/>
      <c r="P39" s="372">
        <f>IF($C39="","",O39*VLOOKUP($C39,CHANTIER!$A$2:$D$83,4,0))</f>
        <v>0</v>
      </c>
      <c r="Q39" s="364">
        <v>0</v>
      </c>
      <c r="R39" s="372">
        <f>IF($C39="","",Q39*VLOOKUP($C39,CHANTIER!$A$2:$D$83,4,0))</f>
        <v>0</v>
      </c>
      <c r="S39" s="364">
        <v>0</v>
      </c>
      <c r="T39" s="372">
        <f>IF($C39="","",S39*VLOOKUP($C39,CHANTIER!$A$2:$D$83,4,0))</f>
        <v>0</v>
      </c>
      <c r="U39" s="364" t="e">
        <f>U4</f>
        <v>#VALUE!</v>
      </c>
      <c r="V39" s="372" t="e">
        <f>IF($C39="","",U39*VLOOKUP($C39,CHANTIER!$A$2:$D$83,4,0))</f>
        <v>#VALUE!</v>
      </c>
    </row>
    <row r="40" spans="1:22" ht="15" customHeight="1" x14ac:dyDescent="0.2">
      <c r="A40" s="1554"/>
      <c r="B40" s="361" t="s">
        <v>1160</v>
      </c>
      <c r="C40" s="378" t="s">
        <v>1053</v>
      </c>
      <c r="D40" s="363" t="str">
        <f>IF(C40="","",VLOOKUP($C40,CHANTIER!$A$2:$C$83,3,0))</f>
        <v>ml</v>
      </c>
      <c r="E40" s="364">
        <v>0</v>
      </c>
      <c r="F40" s="372">
        <f>IF($C40="","",E40*VLOOKUP($C40,CHANTIER!$A$2:$D$83,4,0))</f>
        <v>0</v>
      </c>
      <c r="G40" s="364">
        <v>2</v>
      </c>
      <c r="H40" s="372">
        <f>IF($C40="","",G40*VLOOKUP($C40,CHANTIER!$A$2:$D$83,4,0))</f>
        <v>0.4</v>
      </c>
      <c r="I40" s="364">
        <v>0</v>
      </c>
      <c r="J40" s="372">
        <f>IF($C40="","",I40*VLOOKUP($C40,CHANTIER!$A$2:$D$83,4,0))</f>
        <v>0</v>
      </c>
      <c r="K40" s="364">
        <v>0</v>
      </c>
      <c r="L40" s="372">
        <f>IF($C40="","",K40*VLOOKUP($C40,CHANTIER!$A$2:$D$83,4,0))</f>
        <v>0</v>
      </c>
      <c r="M40" s="364">
        <v>0</v>
      </c>
      <c r="N40" s="372">
        <f>IF($C40="","",M40*VLOOKUP($C40,CHANTIER!$A$2:$D$83,4,0))</f>
        <v>0</v>
      </c>
      <c r="O40" s="364">
        <f>O7</f>
        <v>0</v>
      </c>
      <c r="P40" s="372">
        <f>IF($C40="","",O40*VLOOKUP($C40,CHANTIER!$A$2:$D$83,4,0))</f>
        <v>0</v>
      </c>
      <c r="Q40" s="364">
        <f>Q7</f>
        <v>0</v>
      </c>
      <c r="R40" s="372">
        <f>IF($C40="","",Q40*VLOOKUP($C40,CHANTIER!$A$2:$D$83,4,0))</f>
        <v>0</v>
      </c>
      <c r="S40" s="364">
        <v>0</v>
      </c>
      <c r="T40" s="372">
        <f>IF($C40="","",S40*VLOOKUP($C40,CHANTIER!$A$2:$D$83,4,0))</f>
        <v>0</v>
      </c>
      <c r="U40" s="364">
        <v>0</v>
      </c>
      <c r="V40" s="372">
        <f>IF($C40="","",U40*VLOOKUP($C40,CHANTIER!$A$2:$D$83,4,0))</f>
        <v>0</v>
      </c>
    </row>
    <row r="41" spans="1:22" ht="15" customHeight="1" x14ac:dyDescent="0.2">
      <c r="A41" s="1555"/>
      <c r="B41" s="361" t="s">
        <v>1160</v>
      </c>
      <c r="C41" s="378" t="s">
        <v>1703</v>
      </c>
      <c r="D41" s="363" t="str">
        <f>IF(C41="","",VLOOKUP($C41,CHANTIER!$A$2:$C$83,3,0))</f>
        <v>ml</v>
      </c>
      <c r="E41" s="364">
        <v>0</v>
      </c>
      <c r="F41" s="372">
        <f>IF($C41="","",E41*VLOOKUP($C41,CHANTIER!$A$2:$D$83,4,0))</f>
        <v>0</v>
      </c>
      <c r="G41" s="364">
        <f>G8</f>
        <v>0</v>
      </c>
      <c r="H41" s="372">
        <f>IF($C41="","",G41*VLOOKUP($C41,CHANTIER!$A$2:$D$83,4,0))</f>
        <v>0</v>
      </c>
      <c r="I41" s="364">
        <v>0</v>
      </c>
      <c r="J41" s="372">
        <f>IF($C41="","",I41*VLOOKUP($C41,CHANTIER!$A$2:$D$83,4,0))</f>
        <v>0</v>
      </c>
      <c r="K41" s="364">
        <f>K8</f>
        <v>11</v>
      </c>
      <c r="L41" s="372">
        <f>IF($C41="","",K41*VLOOKUP($C41,CHANTIER!$A$2:$D$83,4,0))</f>
        <v>1.1000000000000001</v>
      </c>
      <c r="M41" s="364">
        <f>M8</f>
        <v>14.3</v>
      </c>
      <c r="N41" s="372">
        <f>IF($C41="","",M41*VLOOKUP($C41,CHANTIER!$A$2:$D$83,4,0))</f>
        <v>1.4300000000000002</v>
      </c>
      <c r="O41" s="364"/>
      <c r="P41" s="372">
        <f>IF($C41="","",O41*VLOOKUP($C41,CHANTIER!$A$2:$D$83,4,0))</f>
        <v>0</v>
      </c>
      <c r="Q41" s="364">
        <v>0</v>
      </c>
      <c r="R41" s="372">
        <f>IF($C41="","",Q41*VLOOKUP($C41,CHANTIER!$A$2:$D$83,4,0))</f>
        <v>0</v>
      </c>
      <c r="S41" s="364" t="e">
        <f>S8</f>
        <v>#VALUE!</v>
      </c>
      <c r="T41" s="372" t="e">
        <f>IF($C41="","",S41*VLOOKUP($C41,CHANTIER!$A$2:$D$83,4,0))</f>
        <v>#VALUE!</v>
      </c>
      <c r="U41" s="364">
        <f>U8</f>
        <v>0</v>
      </c>
      <c r="V41" s="372">
        <f>IF($C41="","",U41*VLOOKUP($C41,CHANTIER!$A$2:$D$83,4,0))</f>
        <v>0</v>
      </c>
    </row>
    <row r="42" spans="1:22" ht="15" customHeight="1" x14ac:dyDescent="0.2">
      <c r="A42" s="1554"/>
      <c r="B42" s="361"/>
      <c r="C42" s="378"/>
      <c r="D42" s="363" t="str">
        <f>IF(C42="","",VLOOKUP($C42,CHANTIER!$A$2:$C$83,3,0))</f>
        <v/>
      </c>
      <c r="E42" s="364">
        <v>0</v>
      </c>
      <c r="F42" s="372" t="str">
        <f>IF($C42="","",E42*VLOOKUP($C42,CHANTIER!$A$2:$D$83,4,0))</f>
        <v/>
      </c>
      <c r="G42" s="364"/>
      <c r="H42" s="372" t="str">
        <f>IF($C42="","",G42*VLOOKUP($C42,CHANTIER!$A$2:$D$83,4,0))</f>
        <v/>
      </c>
      <c r="I42" s="364">
        <v>0</v>
      </c>
      <c r="J42" s="372" t="str">
        <f>IF($C42="","",I42*VLOOKUP($C42,CHANTIER!$A$2:$D$83,4,0))</f>
        <v/>
      </c>
      <c r="K42" s="364">
        <v>0</v>
      </c>
      <c r="L42" s="372" t="str">
        <f>IF($C42="","",K42*VLOOKUP($C42,CHANTIER!$A$2:$D$83,4,0))</f>
        <v/>
      </c>
      <c r="M42" s="364"/>
      <c r="N42" s="372"/>
      <c r="O42" s="364"/>
      <c r="P42" s="372" t="str">
        <f>IF($C42="","",O42*VLOOKUP($C42,CHANTIER!$A$2:$D$83,4,0))</f>
        <v/>
      </c>
      <c r="Q42" s="364"/>
      <c r="R42" s="372" t="str">
        <f>IF($C42="","",Q42*VLOOKUP($C42,CHANTIER!$A$2:$D$83,4,0))</f>
        <v/>
      </c>
      <c r="S42" s="364"/>
      <c r="T42" s="372" t="str">
        <f>IF($C42="","",S42*VLOOKUP($C42,CHANTIER!$A$2:$D$83,4,0))</f>
        <v/>
      </c>
      <c r="U42" s="364"/>
      <c r="V42" s="372" t="str">
        <f>IF($C42="","",U42*VLOOKUP($C42,CHANTIER!$A$2:$D$83,4,0))</f>
        <v/>
      </c>
    </row>
    <row r="43" spans="1:22" ht="15" customHeight="1" x14ac:dyDescent="0.2">
      <c r="A43" s="1554"/>
      <c r="B43" s="361"/>
      <c r="C43" s="378"/>
      <c r="D43" s="363" t="str">
        <f>IF(C43="","",VLOOKUP($C43,CHANTIER!$A$2:$C$83,3,0))</f>
        <v/>
      </c>
      <c r="E43" s="364">
        <v>0</v>
      </c>
      <c r="F43" s="372" t="str">
        <f>IF($C43="","",E43*VLOOKUP($C43,CHANTIER!$A$2:$D$83,4,0))</f>
        <v/>
      </c>
      <c r="G43" s="364"/>
      <c r="H43" s="372" t="str">
        <f>IF($C43="","",G43*VLOOKUP($C43,CHANTIER!$A$2:$D$83,4,0))</f>
        <v/>
      </c>
      <c r="I43" s="364">
        <v>0</v>
      </c>
      <c r="J43" s="372" t="str">
        <f>IF($C43="","",I43*VLOOKUP($C43,CHANTIER!$A$2:$D$83,4,0))</f>
        <v/>
      </c>
      <c r="K43" s="364">
        <v>0</v>
      </c>
      <c r="L43" s="372" t="str">
        <f>IF($C43="","",K43*VLOOKUP($C43,CHANTIER!$A$2:$D$83,4,0))</f>
        <v/>
      </c>
      <c r="M43" s="364"/>
      <c r="N43" s="372"/>
      <c r="O43" s="364"/>
      <c r="P43" s="372" t="str">
        <f>IF($C43="","",O43*VLOOKUP($C43,CHANTIER!$A$2:$D$83,4,0))</f>
        <v/>
      </c>
      <c r="Q43" s="364"/>
      <c r="R43" s="372" t="str">
        <f>IF($C43="","",Q43*VLOOKUP($C43,CHANTIER!$A$2:$D$83,4,0))</f>
        <v/>
      </c>
      <c r="S43" s="364"/>
      <c r="T43" s="372" t="str">
        <f>IF($C43="","",S43*VLOOKUP($C43,CHANTIER!$A$2:$D$83,4,0))</f>
        <v/>
      </c>
      <c r="U43" s="364"/>
      <c r="V43" s="372" t="str">
        <f>IF($C43="","",U43*VLOOKUP($C43,CHANTIER!$A$2:$D$83,4,0))</f>
        <v/>
      </c>
    </row>
    <row r="44" spans="1:22" ht="15" customHeight="1" x14ac:dyDescent="0.2">
      <c r="A44" s="1554"/>
      <c r="B44" s="361"/>
      <c r="C44" s="378"/>
      <c r="D44" s="363" t="str">
        <f>IF(C44="","",VLOOKUP($C44,CHANTIER!$A$2:$C$83,3,0))</f>
        <v/>
      </c>
      <c r="E44" s="364">
        <v>0</v>
      </c>
      <c r="F44" s="372" t="str">
        <f>IF($C44="","",E44*VLOOKUP($C44,CHANTIER!$A$2:$D$83,4,0))</f>
        <v/>
      </c>
      <c r="G44" s="364"/>
      <c r="H44" s="372" t="str">
        <f>IF($C44="","",G44*VLOOKUP($C44,CHANTIER!$A$2:$D$83,4,0))</f>
        <v/>
      </c>
      <c r="I44" s="364">
        <v>0</v>
      </c>
      <c r="J44" s="372" t="str">
        <f>IF($C44="","",I44*VLOOKUP($C44,CHANTIER!$A$2:$D$83,4,0))</f>
        <v/>
      </c>
      <c r="K44" s="364">
        <v>0</v>
      </c>
      <c r="L44" s="372" t="str">
        <f>IF($C44="","",K44*VLOOKUP($C44,CHANTIER!$A$2:$D$83,4,0))</f>
        <v/>
      </c>
      <c r="M44" s="364"/>
      <c r="N44" s="372"/>
      <c r="O44" s="364"/>
      <c r="P44" s="372" t="str">
        <f>IF($C44="","",O44*VLOOKUP($C44,CHANTIER!$A$2:$D$83,4,0))</f>
        <v/>
      </c>
      <c r="Q44" s="364"/>
      <c r="R44" s="372" t="str">
        <f>IF($C44="","",Q44*VLOOKUP($C44,CHANTIER!$A$2:$D$83,4,0))</f>
        <v/>
      </c>
      <c r="S44" s="364"/>
      <c r="T44" s="372" t="str">
        <f>IF($C44="","",S44*VLOOKUP($C44,CHANTIER!$A$2:$D$83,4,0))</f>
        <v/>
      </c>
      <c r="U44" s="364"/>
      <c r="V44" s="372" t="str">
        <f>IF($C44="","",U44*VLOOKUP($C44,CHANTIER!$A$2:$D$83,4,0))</f>
        <v/>
      </c>
    </row>
    <row r="45" spans="1:22" ht="30.75" customHeight="1" x14ac:dyDescent="0.2">
      <c r="A45" s="1554"/>
      <c r="B45" s="379" t="s">
        <v>453</v>
      </c>
      <c r="C45" s="380" t="s">
        <v>450</v>
      </c>
      <c r="D45" s="381" t="s">
        <v>451</v>
      </c>
      <c r="E45" s="382">
        <f>F45*Simulation!$P$9</f>
        <v>38.61</v>
      </c>
      <c r="F45" s="383">
        <f>SUM(F39:F44)</f>
        <v>0.85799999999999998</v>
      </c>
      <c r="G45" s="382">
        <f>H45*Simulation!$P$9</f>
        <v>18</v>
      </c>
      <c r="H45" s="383">
        <f>SUM(H39:H44)</f>
        <v>0.4</v>
      </c>
      <c r="I45" s="382">
        <f>J45*Simulation!$P$9</f>
        <v>29.699999999999996</v>
      </c>
      <c r="J45" s="383">
        <f>SUM(J39:J44)</f>
        <v>0.65999999999999992</v>
      </c>
      <c r="K45" s="382">
        <f>L45*Simulation!$P$9</f>
        <v>49.500000000000007</v>
      </c>
      <c r="L45" s="383">
        <f>SUM(L39:L44)</f>
        <v>1.1000000000000001</v>
      </c>
      <c r="M45" s="382">
        <f>N45*Simulation!$P$9</f>
        <v>64.350000000000009</v>
      </c>
      <c r="N45" s="383">
        <f>SUM(N39:N44)</f>
        <v>1.4300000000000002</v>
      </c>
      <c r="O45" s="382">
        <f>P45*Simulation!$P$9</f>
        <v>0</v>
      </c>
      <c r="P45" s="383">
        <f>SUM(P39:P44)</f>
        <v>0</v>
      </c>
      <c r="Q45" s="382">
        <f>R45*Simulation!$P$9</f>
        <v>0</v>
      </c>
      <c r="R45" s="383">
        <f>SUM(R39:R44)</f>
        <v>0</v>
      </c>
      <c r="S45" s="382" t="e">
        <f>T45*Simulation!$P$9</f>
        <v>#VALUE!</v>
      </c>
      <c r="T45" s="383" t="e">
        <f>SUM(T39:T44)</f>
        <v>#VALUE!</v>
      </c>
      <c r="U45" s="382" t="e">
        <f>#REF!*Simulation!$P$9</f>
        <v>#REF!</v>
      </c>
      <c r="V45" s="383" t="e">
        <f>SUM(V39:V44)</f>
        <v>#VALUE!</v>
      </c>
    </row>
    <row r="46" spans="1:22" ht="15" customHeight="1" x14ac:dyDescent="0.2">
      <c r="A46" s="1559" t="s">
        <v>4</v>
      </c>
      <c r="B46" s="361" t="s">
        <v>371</v>
      </c>
      <c r="C46" s="378"/>
      <c r="D46" s="363" t="str">
        <f>IF(C46="","",VLOOKUP($C46,MINIPELLE!$A$2:$C$28,3,0))</f>
        <v/>
      </c>
      <c r="E46" s="364">
        <v>0</v>
      </c>
      <c r="F46" s="372" t="str">
        <f>IF($C46="","",E46*VLOOKUP($C46,MINIPELLE!$A$2:$D$28,4,0))</f>
        <v/>
      </c>
      <c r="G46" s="364">
        <v>0</v>
      </c>
      <c r="H46" s="372" t="str">
        <f>IF($C46="","",G46*VLOOKUP($C46,MINIPELLE!$A$2:$D$28,4,0))</f>
        <v/>
      </c>
      <c r="I46" s="364">
        <v>0</v>
      </c>
      <c r="J46" s="372" t="str">
        <f>IF($C46="","",I46*VLOOKUP($C46,MINIPELLE!$A$2:$D$28,4,0))</f>
        <v/>
      </c>
      <c r="K46" s="364">
        <v>0</v>
      </c>
      <c r="L46" s="372" t="str">
        <f>IF($C46="","",K46*VLOOKUP($C46,MINIPELLE!$A$2:$D$28,4,0))</f>
        <v/>
      </c>
      <c r="M46" s="364">
        <v>0</v>
      </c>
      <c r="N46" s="372" t="str">
        <f>IF($C46="","",M46*VLOOKUP($C46,MINIPELLE!$A$2:$D$28,4,0))</f>
        <v/>
      </c>
      <c r="O46" s="364">
        <v>0</v>
      </c>
      <c r="P46" s="372" t="str">
        <f>IF($C46="","",O46*VLOOKUP($C46,MINIPELLE!$A$2:$D$28,4,0))</f>
        <v/>
      </c>
      <c r="Q46" s="364">
        <v>0</v>
      </c>
      <c r="R46" s="372" t="str">
        <f>IF($C46="","",Q46*VLOOKUP($C46,MINIPELLE!$A$2:$D$28,4,0))</f>
        <v/>
      </c>
      <c r="S46" s="364">
        <v>0</v>
      </c>
      <c r="T46" s="372" t="str">
        <f>IF($C46="","",S46*VLOOKUP($C46,MINIPELLE!$A$2:$D$28,4,0))</f>
        <v/>
      </c>
      <c r="U46" s="364">
        <v>0</v>
      </c>
      <c r="V46" s="372" t="str">
        <f>IF($C46="","",U46*VLOOKUP($C46,MINIPELLE!$A$2:$D$28,4,0))</f>
        <v/>
      </c>
    </row>
    <row r="47" spans="1:22" ht="29.25" customHeight="1" x14ac:dyDescent="0.2">
      <c r="A47" s="1560"/>
      <c r="B47" s="384" t="s">
        <v>454</v>
      </c>
      <c r="C47" s="385" t="s">
        <v>455</v>
      </c>
      <c r="D47" s="386" t="s">
        <v>451</v>
      </c>
      <c r="E47" s="387">
        <f>F47*Simulation!$P$10</f>
        <v>0</v>
      </c>
      <c r="F47" s="388">
        <f>SUM(F46:F46)</f>
        <v>0</v>
      </c>
      <c r="G47" s="387">
        <f>H47*Simulation!$P$10</f>
        <v>0</v>
      </c>
      <c r="H47" s="388">
        <f>SUM(H46:H46)</f>
        <v>0</v>
      </c>
      <c r="I47" s="387">
        <f>J47*Simulation!$P$10</f>
        <v>0</v>
      </c>
      <c r="J47" s="388">
        <f>SUM(J46:J46)</f>
        <v>0</v>
      </c>
      <c r="K47" s="387">
        <f>L47*Simulation!$P$10</f>
        <v>0</v>
      </c>
      <c r="L47" s="388">
        <f>SUM(L46:L46)</f>
        <v>0</v>
      </c>
      <c r="M47" s="387">
        <f>N47*Simulation!$P$10</f>
        <v>0</v>
      </c>
      <c r="N47" s="388">
        <f>SUM(N46:N46)</f>
        <v>0</v>
      </c>
      <c r="O47" s="387">
        <f>P47*Simulation!$P$10</f>
        <v>0</v>
      </c>
      <c r="P47" s="388">
        <f>SUM(P46:P46)</f>
        <v>0</v>
      </c>
      <c r="Q47" s="387">
        <f>R47*Simulation!$P$10</f>
        <v>0</v>
      </c>
      <c r="R47" s="388">
        <f>SUM(R46:R46)</f>
        <v>0</v>
      </c>
      <c r="S47" s="387">
        <f>T47*Simulation!$P$10</f>
        <v>0</v>
      </c>
      <c r="T47" s="388">
        <f>SUM(T46:T46)</f>
        <v>0</v>
      </c>
      <c r="U47" s="387" t="e">
        <f>#REF!*Simulation!$P$10</f>
        <v>#REF!</v>
      </c>
      <c r="V47" s="388">
        <f>SUM(V46:V46)</f>
        <v>0</v>
      </c>
    </row>
    <row r="48" spans="1:22" ht="18" x14ac:dyDescent="0.2">
      <c r="A48" s="199"/>
      <c r="B48" s="172"/>
      <c r="C48" s="200"/>
      <c r="D48" s="201"/>
      <c r="E48" s="202"/>
      <c r="F48" s="203"/>
      <c r="G48" s="202"/>
      <c r="H48" s="203"/>
      <c r="I48" s="202"/>
      <c r="J48" s="203"/>
      <c r="K48" s="202"/>
      <c r="L48" s="203"/>
      <c r="M48" s="202"/>
      <c r="N48" s="203"/>
      <c r="O48" s="202"/>
      <c r="P48" s="203"/>
      <c r="Q48" s="202"/>
      <c r="R48" s="203"/>
      <c r="S48" s="202"/>
      <c r="T48" s="203"/>
      <c r="U48" s="202"/>
    </row>
    <row r="49" spans="1:21" ht="36" customHeight="1" x14ac:dyDescent="0.2">
      <c r="A49" s="204"/>
      <c r="B49" s="1561" t="s">
        <v>456</v>
      </c>
      <c r="C49" s="1564" t="s">
        <v>445</v>
      </c>
      <c r="D49" s="1564"/>
      <c r="E49" s="1547">
        <f>E47+E45+E38+E26</f>
        <v>179.55856960000003</v>
      </c>
      <c r="F49" s="1547"/>
      <c r="G49" s="1547">
        <f>G47+G45+G38+G26</f>
        <v>258.20753920000004</v>
      </c>
      <c r="H49" s="1547"/>
      <c r="I49" s="1547">
        <f>I47+I45+I38+I26</f>
        <v>184.86795200000003</v>
      </c>
      <c r="J49" s="1547"/>
      <c r="K49" s="1547">
        <f>K47+K45+K38+K26</f>
        <v>212.10504</v>
      </c>
      <c r="L49" s="1547"/>
      <c r="M49" s="1547">
        <f>M47+M45+M38+M26</f>
        <v>198.36960000000005</v>
      </c>
      <c r="N49" s="1547"/>
      <c r="O49" s="1547">
        <f>O47+O45+O38+O26</f>
        <v>42.75</v>
      </c>
      <c r="P49" s="1547"/>
      <c r="Q49" s="1547">
        <f>Q47+Q45+Q38+Q26</f>
        <v>0</v>
      </c>
      <c r="R49" s="1547"/>
      <c r="S49" s="1547" t="e">
        <f>S47+S45+S38+S26</f>
        <v>#VALUE!</v>
      </c>
      <c r="T49" s="1547"/>
      <c r="U49" s="1374" t="e">
        <f>U47+U45+U38+U26</f>
        <v>#REF!</v>
      </c>
    </row>
    <row r="50" spans="1:21" ht="18" customHeight="1" x14ac:dyDescent="0.2">
      <c r="A50" s="154"/>
      <c r="B50" s="1562"/>
      <c r="C50" s="1565" t="s">
        <v>457</v>
      </c>
      <c r="D50" s="1565"/>
      <c r="E50" s="149">
        <f>E26-F26</f>
        <v>24.841977600000007</v>
      </c>
      <c r="F50" s="207">
        <f>E50/E$49</f>
        <v>0.13835027565289762</v>
      </c>
      <c r="G50" s="149">
        <f>G26-H26</f>
        <v>48.786355200000003</v>
      </c>
      <c r="H50" s="207">
        <f>G50/G$49</f>
        <v>0.18894241179461269</v>
      </c>
      <c r="I50" s="149">
        <f>I26-J26</f>
        <v>32.484912000000023</v>
      </c>
      <c r="J50" s="207">
        <f>I50/I$49</f>
        <v>0.1757195427793781</v>
      </c>
      <c r="K50" s="149">
        <f>K26-L26</f>
        <v>25.37424</v>
      </c>
      <c r="L50" s="207">
        <f>K50/K$49</f>
        <v>0.11963053777505711</v>
      </c>
      <c r="M50" s="149">
        <f>M26-N26</f>
        <v>30.927600000000012</v>
      </c>
      <c r="N50" s="207">
        <f>M50/M$49</f>
        <v>0.15590896992281078</v>
      </c>
      <c r="O50" s="149">
        <f>O26-P26</f>
        <v>0</v>
      </c>
      <c r="P50" s="207">
        <f>O50/O$49</f>
        <v>0</v>
      </c>
      <c r="Q50" s="149">
        <f>Q26-R26</f>
        <v>0</v>
      </c>
      <c r="R50" s="207" t="e">
        <f>Q50/Q$49</f>
        <v>#DIV/0!</v>
      </c>
      <c r="S50" s="149" t="e">
        <f>S26-T26</f>
        <v>#VALUE!</v>
      </c>
      <c r="T50" s="207" t="e">
        <f>S50/S$49</f>
        <v>#VALUE!</v>
      </c>
      <c r="U50" s="149" t="e">
        <f>U26-#REF!</f>
        <v>#REF!</v>
      </c>
    </row>
    <row r="51" spans="1:21" ht="18" customHeight="1" x14ac:dyDescent="0.2">
      <c r="A51" s="154"/>
      <c r="B51" s="1562"/>
      <c r="C51" s="1565" t="s">
        <v>9</v>
      </c>
      <c r="D51" s="1565"/>
      <c r="E51" s="149">
        <f>E26</f>
        <v>107.64856960000003</v>
      </c>
      <c r="F51" s="207">
        <f>E51/E$49</f>
        <v>0.59951786116255634</v>
      </c>
      <c r="G51" s="149">
        <f>G26</f>
        <v>211.40753920000003</v>
      </c>
      <c r="H51" s="207">
        <f>G51/G$49</f>
        <v>0.81875045110998834</v>
      </c>
      <c r="I51" s="149">
        <f>I26</f>
        <v>140.76795200000004</v>
      </c>
      <c r="J51" s="207">
        <f>I51/I$49</f>
        <v>0.76145135204397141</v>
      </c>
      <c r="K51" s="149">
        <f>K26</f>
        <v>109.95504</v>
      </c>
      <c r="L51" s="207">
        <f>K51/K$49</f>
        <v>0.5183989970252475</v>
      </c>
      <c r="M51" s="149">
        <f>M26</f>
        <v>134.01960000000003</v>
      </c>
      <c r="N51" s="207">
        <f>M51/M$49</f>
        <v>0.6756055363321799</v>
      </c>
      <c r="O51" s="149">
        <f>O26</f>
        <v>0</v>
      </c>
      <c r="P51" s="207">
        <f>O51/O$49</f>
        <v>0</v>
      </c>
      <c r="Q51" s="149">
        <f>Q26</f>
        <v>0</v>
      </c>
      <c r="R51" s="207" t="e">
        <f>Q51/Q$49</f>
        <v>#DIV/0!</v>
      </c>
      <c r="S51" s="149" t="e">
        <f>S26</f>
        <v>#VALUE!</v>
      </c>
      <c r="T51" s="207" t="e">
        <f>S51/S$49</f>
        <v>#VALUE!</v>
      </c>
      <c r="U51" s="149" t="e">
        <f>U26</f>
        <v>#REF!</v>
      </c>
    </row>
    <row r="52" spans="1:21" ht="18" customHeight="1" x14ac:dyDescent="0.2">
      <c r="A52" s="154"/>
      <c r="B52" s="1562"/>
      <c r="C52" s="1565" t="s">
        <v>458</v>
      </c>
      <c r="D52" s="1565"/>
      <c r="E52" s="149">
        <f>E38</f>
        <v>33.299999999999997</v>
      </c>
      <c r="F52" s="207">
        <f>E52/E$49</f>
        <v>0.18545480772197015</v>
      </c>
      <c r="G52" s="149">
        <f>G38</f>
        <v>28.8</v>
      </c>
      <c r="H52" s="207">
        <f>G52/G$49</f>
        <v>0.11153818393231485</v>
      </c>
      <c r="I52" s="149">
        <f>I38</f>
        <v>14.4</v>
      </c>
      <c r="J52" s="207">
        <f>I52/I$49</f>
        <v>7.7893436067274641E-2</v>
      </c>
      <c r="K52" s="149">
        <f>K38</f>
        <v>52.650000000000006</v>
      </c>
      <c r="L52" s="207">
        <f>K52/K$49</f>
        <v>0.24822606761253765</v>
      </c>
      <c r="M52" s="149">
        <f>M38</f>
        <v>0</v>
      </c>
      <c r="N52" s="207">
        <f>M52/M$49</f>
        <v>0</v>
      </c>
      <c r="O52" s="149">
        <f>O38</f>
        <v>42.75</v>
      </c>
      <c r="P52" s="207">
        <f>O52/O$49</f>
        <v>1</v>
      </c>
      <c r="Q52" s="149">
        <f>Q38</f>
        <v>0</v>
      </c>
      <c r="R52" s="207" t="e">
        <f>Q52/Q$49</f>
        <v>#DIV/0!</v>
      </c>
      <c r="S52" s="149">
        <f>S38</f>
        <v>0</v>
      </c>
      <c r="T52" s="207" t="e">
        <f>S52/S$49</f>
        <v>#VALUE!</v>
      </c>
      <c r="U52" s="149" t="e">
        <f>U38</f>
        <v>#REF!</v>
      </c>
    </row>
    <row r="53" spans="1:21" ht="18" customHeight="1" x14ac:dyDescent="0.2">
      <c r="A53" s="154"/>
      <c r="B53" s="1562"/>
      <c r="C53" s="1565" t="s">
        <v>459</v>
      </c>
      <c r="D53" s="1565"/>
      <c r="E53" s="149">
        <f>E45</f>
        <v>38.61</v>
      </c>
      <c r="F53" s="207">
        <f>E53/E$49</f>
        <v>0.21502733111547351</v>
      </c>
      <c r="G53" s="149">
        <f>G45</f>
        <v>18</v>
      </c>
      <c r="H53" s="207">
        <f>G53/G$49</f>
        <v>6.9711364957696781E-2</v>
      </c>
      <c r="I53" s="149">
        <f>I45</f>
        <v>29.699999999999996</v>
      </c>
      <c r="J53" s="207">
        <f>I53/I$49</f>
        <v>0.16065521188875392</v>
      </c>
      <c r="K53" s="149">
        <f>K45</f>
        <v>49.500000000000007</v>
      </c>
      <c r="L53" s="207">
        <f>K53/K$49</f>
        <v>0.2333749353622149</v>
      </c>
      <c r="M53" s="149">
        <f>M45</f>
        <v>64.350000000000009</v>
      </c>
      <c r="N53" s="207">
        <f>M53/M$49</f>
        <v>0.32439446366782004</v>
      </c>
      <c r="O53" s="149">
        <f>O45</f>
        <v>0</v>
      </c>
      <c r="P53" s="207">
        <f>O53/O$49</f>
        <v>0</v>
      </c>
      <c r="Q53" s="149">
        <f>Q45</f>
        <v>0</v>
      </c>
      <c r="R53" s="207" t="e">
        <f>Q53/Q$49</f>
        <v>#DIV/0!</v>
      </c>
      <c r="S53" s="149" t="e">
        <f>S45</f>
        <v>#VALUE!</v>
      </c>
      <c r="T53" s="207" t="e">
        <f>S53/S$49</f>
        <v>#VALUE!</v>
      </c>
      <c r="U53" s="149" t="e">
        <f>U45</f>
        <v>#REF!</v>
      </c>
    </row>
    <row r="54" spans="1:21" ht="18" customHeight="1" x14ac:dyDescent="0.2">
      <c r="A54" s="154"/>
      <c r="B54" s="1563"/>
      <c r="C54" s="1565" t="s">
        <v>5</v>
      </c>
      <c r="D54" s="1565"/>
      <c r="E54" s="149">
        <f>E47</f>
        <v>0</v>
      </c>
      <c r="F54" s="207">
        <f>E54/E$49</f>
        <v>0</v>
      </c>
      <c r="G54" s="149">
        <f>G47</f>
        <v>0</v>
      </c>
      <c r="H54" s="207">
        <f>G54/G$49</f>
        <v>0</v>
      </c>
      <c r="I54" s="149">
        <f>I47</f>
        <v>0</v>
      </c>
      <c r="J54" s="207">
        <f>I54/I$49</f>
        <v>0</v>
      </c>
      <c r="K54" s="149">
        <f>K47</f>
        <v>0</v>
      </c>
      <c r="L54" s="207">
        <f>K54/K$49</f>
        <v>0</v>
      </c>
      <c r="M54" s="149">
        <f>M47</f>
        <v>0</v>
      </c>
      <c r="N54" s="207">
        <f>M54/M$49</f>
        <v>0</v>
      </c>
      <c r="O54" s="149">
        <f>O47</f>
        <v>0</v>
      </c>
      <c r="P54" s="207">
        <f>O54/O$49</f>
        <v>0</v>
      </c>
      <c r="Q54" s="149">
        <f>Q47</f>
        <v>0</v>
      </c>
      <c r="R54" s="207" t="e">
        <f>Q54/Q$49</f>
        <v>#DIV/0!</v>
      </c>
      <c r="S54" s="149">
        <f>S47</f>
        <v>0</v>
      </c>
      <c r="T54" s="207" t="e">
        <f>S54/S$49</f>
        <v>#VALUE!</v>
      </c>
      <c r="U54" s="149" t="e">
        <f>U47</f>
        <v>#REF!</v>
      </c>
    </row>
  </sheetData>
  <mergeCells count="30">
    <mergeCell ref="B2:B3"/>
    <mergeCell ref="C2:C3"/>
    <mergeCell ref="E2:F2"/>
    <mergeCell ref="I2:J2"/>
    <mergeCell ref="O2:P2"/>
    <mergeCell ref="K2:L2"/>
    <mergeCell ref="C54:D54"/>
    <mergeCell ref="E49:F49"/>
    <mergeCell ref="I49:J49"/>
    <mergeCell ref="O49:P49"/>
    <mergeCell ref="K49:L49"/>
    <mergeCell ref="C49:D49"/>
    <mergeCell ref="C50:D50"/>
    <mergeCell ref="C51:D51"/>
    <mergeCell ref="C52:D52"/>
    <mergeCell ref="C53:D53"/>
    <mergeCell ref="A4:A25"/>
    <mergeCell ref="A27:A38"/>
    <mergeCell ref="A39:A45"/>
    <mergeCell ref="A46:A47"/>
    <mergeCell ref="B49:B54"/>
    <mergeCell ref="U2:V2"/>
    <mergeCell ref="S2:T2"/>
    <mergeCell ref="S49:T49"/>
    <mergeCell ref="G2:H2"/>
    <mergeCell ref="G49:H49"/>
    <mergeCell ref="Q2:R2"/>
    <mergeCell ref="Q49:R49"/>
    <mergeCell ref="M49:N49"/>
    <mergeCell ref="M2:N2"/>
  </mergeCells>
  <dataValidations xWindow="659" yWindow="843" count="9">
    <dataValidation type="list" allowBlank="1" showInputMessage="1" showErrorMessage="1" promptTitle="MATIERES" prompt="choisir le produit" sqref="C4:C25" xr:uid="{00000000-0002-0000-2800-000000000000}">
      <formula1>INDIRECT(B4)</formula1>
    </dataValidation>
    <dataValidation type="list" allowBlank="1" showInputMessage="1" showErrorMessage="1" promptTitle="MATIERES" prompt="choisir catégorie" sqref="B10:B25" xr:uid="{00000000-0002-0000-2800-000001000000}">
      <formula1>MOA_ALIM</formula1>
    </dataValidation>
    <dataValidation type="list" allowBlank="1" showInputMessage="1" showErrorMessage="1" promptTitle="Main d'oeuvre ATELIER" prompt="choisir la prestation" sqref="C27:C34" xr:uid="{00000000-0002-0000-2800-000002000000}">
      <formula1>INDIRECT(B27)</formula1>
    </dataValidation>
    <dataValidation type="list" allowBlank="1" showInputMessage="1" showErrorMessage="1" promptTitle="MO ATELIER" prompt="choisir catégorie" sqref="B27:B33" xr:uid="{00000000-0002-0000-2800-000003000000}">
      <formula1>CATEGORIE_MOA</formula1>
    </dataValidation>
    <dataValidation type="list" allowBlank="1" showInputMessage="1" showErrorMessage="1" promptTitle="Catégorie MOC" prompt="choisir" sqref="B39:B44" xr:uid="{00000000-0002-0000-2800-000004000000}">
      <formula1>CATEGORIE_MOC</formula1>
    </dataValidation>
    <dataValidation type="list" allowBlank="1" showInputMessage="1" showErrorMessage="1" promptTitle="MINIPELLE" prompt="choisir catégorie" sqref="B46" xr:uid="{00000000-0002-0000-2800-000005000000}">
      <formula1>CATEGORIE_MP</formula1>
    </dataValidation>
    <dataValidation type="list" allowBlank="1" showInputMessage="1" showErrorMessage="1" promptTitle="MATIERES" prompt="choisir catégorie" sqref="B4:B9" xr:uid="{00000000-0002-0000-2800-000006000000}">
      <formula1>MA_CATEGORIE</formula1>
    </dataValidation>
    <dataValidation type="list" allowBlank="1" showInputMessage="1" promptTitle="MINIPELLE" prompt="choisir la prestation" sqref="C46" xr:uid="{00000000-0002-0000-2800-000007000000}">
      <formula1>INDIRECT(B46)</formula1>
    </dataValidation>
    <dataValidation type="list" allowBlank="1" showInputMessage="1" promptTitle="Main d'oeuvre CHANTIER" prompt="choisir la prestation" sqref="C39:C44" xr:uid="{00000000-0002-0000-2800-000008000000}">
      <formula1>INDIRECT(B39)</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xWindow="659" yWindow="843" count="1">
        <x14:dataValidation type="list" allowBlank="1" showErrorMessage="1" xr:uid="{00000000-0002-0000-2800-000009000000}">
          <x14:formula1>
            <xm:f>ATELIER!$B$2:$B$109</xm:f>
          </x14:formula1>
          <xm:sqref>C35:C37</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published="0" codeName="Feuil50"/>
  <dimension ref="A1:AL34"/>
  <sheetViews>
    <sheetView zoomScaleNormal="100" workbookViewId="0">
      <pane xSplit="4" ySplit="3" topLeftCell="I24" activePane="bottomRight" state="frozen"/>
      <selection pane="topRight" activeCell="E1" sqref="E1"/>
      <selection pane="bottomLeft" activeCell="A4" sqref="A4"/>
      <selection pane="bottomRight" activeCell="M23" sqref="M23"/>
    </sheetView>
  </sheetViews>
  <sheetFormatPr baseColWidth="10" defaultColWidth="11.125" defaultRowHeight="14.25" x14ac:dyDescent="0.2"/>
  <cols>
    <col min="1" max="1" width="18.125" customWidth="1"/>
    <col min="2" max="2" width="23" customWidth="1"/>
    <col min="3" max="3" width="23.5" customWidth="1"/>
    <col min="4" max="4" width="10.125" customWidth="1"/>
    <col min="5" max="6" width="0.5" customWidth="1"/>
    <col min="7" max="7" width="7.625" bestFit="1" customWidth="1"/>
    <col min="8" max="8" width="10.625" customWidth="1"/>
    <col min="9" max="10" width="0.5" customWidth="1"/>
    <col min="11" max="11" width="13.625" customWidth="1"/>
    <col min="12" max="12" width="10.625" customWidth="1"/>
    <col min="13" max="13" width="9.5" bestFit="1" customWidth="1"/>
    <col min="14" max="14" width="10.125" customWidth="1"/>
    <col min="15" max="20" width="0.5" customWidth="1"/>
    <col min="21" max="21" width="13.125" customWidth="1"/>
    <col min="22" max="22" width="11" customWidth="1"/>
    <col min="23" max="24" width="14.5" customWidth="1"/>
    <col min="25" max="36" width="0.5" customWidth="1"/>
    <col min="37" max="37" width="13" customWidth="1"/>
    <col min="38" max="800" width="11.5" customWidth="1"/>
  </cols>
  <sheetData>
    <row r="1" spans="1:38" ht="14.85" customHeight="1" x14ac:dyDescent="0.2">
      <c r="A1" s="215"/>
      <c r="B1" s="215"/>
      <c r="C1" s="216"/>
      <c r="D1" s="215"/>
      <c r="E1" s="393"/>
      <c r="F1" s="393"/>
      <c r="G1" s="217">
        <v>3</v>
      </c>
      <c r="H1" s="215"/>
      <c r="I1" s="393"/>
      <c r="J1" s="393"/>
      <c r="K1" s="215">
        <v>5</v>
      </c>
      <c r="L1" s="215"/>
      <c r="M1" s="215">
        <v>6</v>
      </c>
      <c r="N1" s="215"/>
      <c r="O1" s="393"/>
      <c r="P1" s="393"/>
      <c r="Q1" s="393"/>
      <c r="R1" s="393"/>
      <c r="S1" s="393"/>
      <c r="T1" s="393"/>
      <c r="U1" s="215">
        <v>10</v>
      </c>
      <c r="V1" s="215"/>
      <c r="W1" s="215" t="s">
        <v>460</v>
      </c>
      <c r="X1" s="215"/>
      <c r="Y1" s="393"/>
      <c r="Z1" s="393"/>
      <c r="AA1" s="393"/>
      <c r="AB1" s="393"/>
      <c r="AC1" s="393"/>
      <c r="AD1" s="393"/>
      <c r="AE1" s="393"/>
      <c r="AF1" s="393"/>
      <c r="AG1" s="393"/>
      <c r="AH1" s="393"/>
      <c r="AI1" s="393"/>
      <c r="AJ1" s="393"/>
      <c r="AK1" s="215" t="s">
        <v>466</v>
      </c>
    </row>
    <row r="2" spans="1:38" ht="35.1" customHeight="1" x14ac:dyDescent="0.2">
      <c r="A2" s="174"/>
      <c r="B2" s="174"/>
      <c r="C2" s="1572" t="s">
        <v>1207</v>
      </c>
      <c r="D2" s="115" t="s">
        <v>203</v>
      </c>
      <c r="E2" s="504"/>
      <c r="F2" s="504"/>
      <c r="G2" s="1571">
        <v>3</v>
      </c>
      <c r="H2" s="1571"/>
      <c r="I2" s="504"/>
      <c r="J2" s="504"/>
      <c r="K2" s="1571">
        <v>5</v>
      </c>
      <c r="L2" s="1571"/>
      <c r="M2" s="1571">
        <v>6</v>
      </c>
      <c r="N2" s="1571"/>
      <c r="O2" s="504"/>
      <c r="P2" s="504"/>
      <c r="Q2" s="504"/>
      <c r="R2" s="504"/>
      <c r="S2" s="504"/>
      <c r="T2" s="504"/>
      <c r="U2" s="1571">
        <v>10</v>
      </c>
      <c r="V2" s="1571"/>
      <c r="W2" s="1571">
        <v>12</v>
      </c>
      <c r="X2" s="1571"/>
      <c r="Y2" s="504"/>
      <c r="Z2" s="504"/>
      <c r="AA2" s="504"/>
      <c r="AB2" s="504"/>
      <c r="AC2" s="504"/>
      <c r="AD2" s="504"/>
      <c r="AE2" s="504"/>
      <c r="AF2" s="504"/>
      <c r="AG2" s="504"/>
      <c r="AH2" s="504"/>
      <c r="AI2" s="504"/>
      <c r="AJ2" s="504"/>
      <c r="AK2" s="1619">
        <v>20</v>
      </c>
      <c r="AL2" s="1620"/>
    </row>
    <row r="3" spans="1:38" ht="35.1" customHeight="1" x14ac:dyDescent="0.2">
      <c r="A3" s="174"/>
      <c r="B3" s="174"/>
      <c r="C3" s="1573"/>
      <c r="D3" s="176" t="s">
        <v>222</v>
      </c>
      <c r="E3" s="505"/>
      <c r="F3" s="505"/>
      <c r="G3" s="236" t="s">
        <v>444</v>
      </c>
      <c r="H3" s="421" t="s">
        <v>477</v>
      </c>
      <c r="I3" s="505"/>
      <c r="J3" s="505"/>
      <c r="K3" s="236" t="s">
        <v>444</v>
      </c>
      <c r="L3" s="421" t="s">
        <v>477</v>
      </c>
      <c r="M3" s="236" t="s">
        <v>444</v>
      </c>
      <c r="N3" s="421" t="s">
        <v>477</v>
      </c>
      <c r="O3" s="505"/>
      <c r="P3" s="505"/>
      <c r="Q3" s="505"/>
      <c r="R3" s="505"/>
      <c r="S3" s="505"/>
      <c r="T3" s="505"/>
      <c r="U3" s="236" t="s">
        <v>444</v>
      </c>
      <c r="V3" s="421" t="s">
        <v>477</v>
      </c>
      <c r="W3" s="236" t="s">
        <v>444</v>
      </c>
      <c r="X3" s="421" t="s">
        <v>477</v>
      </c>
      <c r="Y3" s="505"/>
      <c r="Z3" s="505"/>
      <c r="AA3" s="505"/>
      <c r="AB3" s="505"/>
      <c r="AC3" s="505"/>
      <c r="AD3" s="505"/>
      <c r="AE3" s="505"/>
      <c r="AF3" s="505"/>
      <c r="AG3" s="505"/>
      <c r="AH3" s="505"/>
      <c r="AI3" s="505"/>
      <c r="AJ3" s="505"/>
      <c r="AK3" s="236" t="s">
        <v>444</v>
      </c>
      <c r="AL3" s="1380" t="s">
        <v>477</v>
      </c>
    </row>
    <row r="4" spans="1:38" ht="15" customHeight="1" x14ac:dyDescent="0.2">
      <c r="A4" s="1549" t="s">
        <v>1078</v>
      </c>
      <c r="B4" s="361" t="s">
        <v>1077</v>
      </c>
      <c r="C4" s="362" t="s">
        <v>283</v>
      </c>
      <c r="D4" s="363" t="str">
        <f>IF($C4="","",VLOOKUP($C4,MATIERES!$A$2:$F$413,5,0))</f>
        <v>pc</v>
      </c>
      <c r="E4" s="506"/>
      <c r="F4" s="506"/>
      <c r="G4" s="364">
        <f>'Outils de calculs'!E57/2</f>
        <v>1</v>
      </c>
      <c r="H4" s="365">
        <f>IF($C4="","",G4*VLOOKUP($C4,MATIERES!$A$2:$F$349,4,0))</f>
        <v>112.15</v>
      </c>
      <c r="I4" s="506"/>
      <c r="J4" s="506"/>
      <c r="K4" s="364">
        <f>'Outils de calculs'!G57/2</f>
        <v>1</v>
      </c>
      <c r="L4" s="365">
        <f>IF($C4="","",K4*VLOOKUP($C4,MATIERES!$A$2:$F$349,4,0))</f>
        <v>112.15</v>
      </c>
      <c r="M4" s="364">
        <f>'Outils de calculs'!I57/2</f>
        <v>1</v>
      </c>
      <c r="N4" s="365">
        <f>IF($C4="","",M4*VLOOKUP($C4,MATIERES!$A$2:$F$349,4,0))</f>
        <v>112.15</v>
      </c>
      <c r="O4" s="506"/>
      <c r="P4" s="506"/>
      <c r="Q4" s="506"/>
      <c r="R4" s="506"/>
      <c r="S4" s="506"/>
      <c r="T4" s="506"/>
      <c r="U4" s="364">
        <f>'Outils de calculs'!K57/2</f>
        <v>2</v>
      </c>
      <c r="V4" s="365">
        <f>IF($C4="","",U4*VLOOKUP($C4,MATIERES!$A$2:$F$349,4,0))</f>
        <v>224.3</v>
      </c>
      <c r="W4" s="364">
        <f>'Outils de calculs'!M57/2</f>
        <v>2</v>
      </c>
      <c r="X4" s="365">
        <f>IF($C4="","",W4*VLOOKUP($C4,MATIERES!$A$2:$F$349,4,0))</f>
        <v>224.3</v>
      </c>
      <c r="Y4" s="506"/>
      <c r="Z4" s="506"/>
      <c r="AA4" s="506"/>
      <c r="AB4" s="506"/>
      <c r="AC4" s="506"/>
      <c r="AD4" s="506"/>
      <c r="AE4" s="506"/>
      <c r="AF4" s="506"/>
      <c r="AG4" s="506"/>
      <c r="AH4" s="506"/>
      <c r="AI4" s="506"/>
      <c r="AJ4" s="506"/>
      <c r="AK4" s="364">
        <f>'Outils de calculs'!O57/2</f>
        <v>4</v>
      </c>
      <c r="AL4" s="365">
        <f>IF($C4="","",AK4*VLOOKUP($C4,MATIERES!$A$2:$F$349,4,0))</f>
        <v>448.6</v>
      </c>
    </row>
    <row r="5" spans="1:38" ht="15" customHeight="1" x14ac:dyDescent="0.2">
      <c r="A5" s="1550"/>
      <c r="B5" s="361" t="s">
        <v>1141</v>
      </c>
      <c r="C5" s="362" t="s">
        <v>696</v>
      </c>
      <c r="D5" s="363" t="str">
        <f>IF($C5="","",VLOOKUP($C5,MATIERES!$A$2:$F$227,5,0))</f>
        <v>pc</v>
      </c>
      <c r="E5" s="506"/>
      <c r="F5" s="506"/>
      <c r="G5" s="364">
        <v>0</v>
      </c>
      <c r="H5" s="365">
        <f>IF($C5="","",G5*VLOOKUP($C5,MATIERES!$A$2:$F$349,4,0))</f>
        <v>0</v>
      </c>
      <c r="I5" s="506"/>
      <c r="J5" s="506"/>
      <c r="K5" s="364">
        <v>0</v>
      </c>
      <c r="L5" s="365">
        <f>IF($C5="","",K5*VLOOKUP($C5,MATIERES!$A$2:$F$349,4,0))</f>
        <v>0</v>
      </c>
      <c r="M5" s="364">
        <v>0</v>
      </c>
      <c r="N5" s="365">
        <f>IF($C5="","",M5*VLOOKUP($C5,MATIERES!$A$2:$F$349,4,0))</f>
        <v>0</v>
      </c>
      <c r="O5" s="506"/>
      <c r="P5" s="506"/>
      <c r="Q5" s="506"/>
      <c r="R5" s="506"/>
      <c r="S5" s="506"/>
      <c r="T5" s="506"/>
      <c r="U5" s="364">
        <v>2</v>
      </c>
      <c r="V5" s="365">
        <f>IF($C5="","",U5*VLOOKUP($C5,MATIERES!$A$2:$F$349,4,0))</f>
        <v>5.9</v>
      </c>
      <c r="W5" s="364">
        <v>2</v>
      </c>
      <c r="X5" s="365">
        <f>IF($C5="","",W5*VLOOKUP($C5,MATIERES!$A$2:$F$349,4,0))</f>
        <v>5.9</v>
      </c>
      <c r="Y5" s="506"/>
      <c r="Z5" s="506"/>
      <c r="AA5" s="506"/>
      <c r="AB5" s="506"/>
      <c r="AC5" s="506"/>
      <c r="AD5" s="506"/>
      <c r="AE5" s="506"/>
      <c r="AF5" s="506"/>
      <c r="AG5" s="506"/>
      <c r="AH5" s="506"/>
      <c r="AI5" s="506"/>
      <c r="AJ5" s="506"/>
      <c r="AK5" s="364">
        <v>4</v>
      </c>
      <c r="AL5" s="365">
        <f>IF($C5="","",AK5*VLOOKUP($C5,MATIERES!$A$2:$F$349,4,0))</f>
        <v>11.8</v>
      </c>
    </row>
    <row r="6" spans="1:38" ht="15" customHeight="1" x14ac:dyDescent="0.2">
      <c r="A6" s="1550"/>
      <c r="B6" s="361" t="s">
        <v>1141</v>
      </c>
      <c r="C6" s="362" t="s">
        <v>690</v>
      </c>
      <c r="D6" s="363" t="str">
        <f>IF($C6="","",VLOOKUP($C6,MATIERES!$A$2:$F$227,5,0))</f>
        <v>pc</v>
      </c>
      <c r="E6" s="507"/>
      <c r="F6" s="507"/>
      <c r="G6" s="364">
        <f>'Outils de calculs'!E55</f>
        <v>3</v>
      </c>
      <c r="H6" s="365">
        <f>IF($C6="","",G6*VLOOKUP($C6,MATIERES!$A$2:$F$349,4,0))</f>
        <v>6.42</v>
      </c>
      <c r="I6" s="507"/>
      <c r="J6" s="507"/>
      <c r="K6" s="364">
        <f>'Outils de calculs'!G55</f>
        <v>4.5</v>
      </c>
      <c r="L6" s="365">
        <f>IF($C6="","",K6*VLOOKUP($C6,MATIERES!$A$2:$F$349,4,0))</f>
        <v>9.6300000000000008</v>
      </c>
      <c r="M6" s="364">
        <f>'Outils de calculs'!I55</f>
        <v>4.5</v>
      </c>
      <c r="N6" s="365">
        <f>IF($C6="","",M6*VLOOKUP($C6,MATIERES!$A$2:$F$349,4,0))</f>
        <v>9.6300000000000008</v>
      </c>
      <c r="O6" s="507"/>
      <c r="P6" s="507"/>
      <c r="Q6" s="507"/>
      <c r="R6" s="507"/>
      <c r="S6" s="507"/>
      <c r="T6" s="507"/>
      <c r="U6" s="364">
        <f>'Outils de calculs'!K55</f>
        <v>10.5</v>
      </c>
      <c r="V6" s="365">
        <f>IF($C6="","",U6*VLOOKUP($C6,MATIERES!$A$2:$F$349,4,0))</f>
        <v>22.470000000000002</v>
      </c>
      <c r="W6" s="364">
        <f>'Outils de calculs'!M55</f>
        <v>10.5</v>
      </c>
      <c r="X6" s="365">
        <f>IF($C6="","",W6*VLOOKUP($C6,MATIERES!$A$2:$F$349,4,0))</f>
        <v>22.470000000000002</v>
      </c>
      <c r="Y6" s="507"/>
      <c r="Z6" s="507"/>
      <c r="AA6" s="507"/>
      <c r="AB6" s="507"/>
      <c r="AC6" s="507"/>
      <c r="AD6" s="507"/>
      <c r="AE6" s="507"/>
      <c r="AF6" s="507"/>
      <c r="AG6" s="507"/>
      <c r="AH6" s="507"/>
      <c r="AI6" s="507"/>
      <c r="AJ6" s="507"/>
      <c r="AK6" s="364">
        <f>'Outils de calculs'!O55</f>
        <v>26</v>
      </c>
      <c r="AL6" s="365">
        <f>IF($C6="","",AK6*VLOOKUP($C6,MATIERES!$A$2:$F$349,4,0))</f>
        <v>55.64</v>
      </c>
    </row>
    <row r="7" spans="1:38" ht="15" customHeight="1" x14ac:dyDescent="0.2">
      <c r="A7" s="1550"/>
      <c r="B7" s="361" t="s">
        <v>1141</v>
      </c>
      <c r="C7" s="362" t="s">
        <v>694</v>
      </c>
      <c r="D7" s="363" t="str">
        <f>IF($C7="","",VLOOKUP($C7,MATIERES!$A$2:$F$341,5,0))</f>
        <v>pc</v>
      </c>
      <c r="E7" s="506"/>
      <c r="F7" s="506"/>
      <c r="G7" s="364">
        <f>'Outils de calculs'!E56</f>
        <v>2</v>
      </c>
      <c r="H7" s="365">
        <f>IF($C7="","",G7*VLOOKUP($C7,MATIERES!$A$2:$F$349,4,0))</f>
        <v>2.84</v>
      </c>
      <c r="I7" s="506"/>
      <c r="J7" s="506"/>
      <c r="K7" s="364">
        <f>'Outils de calculs'!G56</f>
        <v>2</v>
      </c>
      <c r="L7" s="365">
        <f>IF($C7="","",K7*VLOOKUP($C7,MATIERES!$A$2:$F$349,4,0))</f>
        <v>2.84</v>
      </c>
      <c r="M7" s="364">
        <f>'Outils de calculs'!I56</f>
        <v>2</v>
      </c>
      <c r="N7" s="365">
        <f>IF($C7="","",M7*VLOOKUP($C7,MATIERES!$A$2:$F$349,4,0))</f>
        <v>2.84</v>
      </c>
      <c r="O7" s="506"/>
      <c r="P7" s="506"/>
      <c r="Q7" s="506"/>
      <c r="R7" s="506"/>
      <c r="S7" s="506"/>
      <c r="T7" s="506"/>
      <c r="U7" s="364">
        <f>'Outils de calculs'!K56</f>
        <v>2</v>
      </c>
      <c r="V7" s="365">
        <f>IF($C7="","",U7*VLOOKUP($C7,MATIERES!$A$2:$F$349,4,0))</f>
        <v>2.84</v>
      </c>
      <c r="W7" s="364">
        <f>'Outils de calculs'!M56</f>
        <v>2</v>
      </c>
      <c r="X7" s="365">
        <f>IF($C7="","",W7*VLOOKUP($C7,MATIERES!$A$2:$F$349,4,0))</f>
        <v>2.84</v>
      </c>
      <c r="Y7" s="506"/>
      <c r="Z7" s="506"/>
      <c r="AA7" s="506"/>
      <c r="AB7" s="506"/>
      <c r="AC7" s="506"/>
      <c r="AD7" s="506"/>
      <c r="AE7" s="506"/>
      <c r="AF7" s="506"/>
      <c r="AG7" s="506"/>
      <c r="AH7" s="506"/>
      <c r="AI7" s="506"/>
      <c r="AJ7" s="506"/>
      <c r="AK7" s="364">
        <f>'Outils de calculs'!O56</f>
        <v>2</v>
      </c>
      <c r="AL7" s="365">
        <f>IF($C7="","",AK7*VLOOKUP($C7,MATIERES!$A$2:$F$349,4,0))</f>
        <v>2.84</v>
      </c>
    </row>
    <row r="8" spans="1:38" s="345" customFormat="1" ht="15" customHeight="1" x14ac:dyDescent="0.2">
      <c r="A8" s="1550"/>
      <c r="B8" s="361" t="s">
        <v>1068</v>
      </c>
      <c r="C8" s="362" t="s">
        <v>255</v>
      </c>
      <c r="D8" s="363" t="str">
        <f>IF($C8="","",VLOOKUP($C8,MATIERES!$A$2:$F$341,5,0))</f>
        <v>pc</v>
      </c>
      <c r="E8" s="506"/>
      <c r="F8" s="506"/>
      <c r="G8" s="364">
        <f>IF(Simulation!L13="DN63",G7,0)</f>
        <v>0</v>
      </c>
      <c r="H8" s="365">
        <f>IF($C8="","",G8*VLOOKUP($C8,MATIERES!$A$2:$F$349,4,0))</f>
        <v>0</v>
      </c>
      <c r="I8" s="364">
        <f>IF(Simulation!N13="DN63",I7,0)</f>
        <v>0</v>
      </c>
      <c r="J8" s="365">
        <f>IF($C8="","",I8*VLOOKUP($C8,MATIERES!$A$2:$F$349,4,0))</f>
        <v>0</v>
      </c>
      <c r="K8" s="364">
        <f>IF(Simulation!P13="DN63",K7,0)</f>
        <v>0</v>
      </c>
      <c r="L8" s="365">
        <f>IF($C8="","",K8*VLOOKUP($C8,MATIERES!$A$2:$F$349,4,0))</f>
        <v>0</v>
      </c>
      <c r="M8" s="364">
        <f>IF(Simulation!R13="DN63",M7,0)</f>
        <v>0</v>
      </c>
      <c r="N8" s="365">
        <f>IF($C8="","",M8*VLOOKUP($C8,MATIERES!$A$2:$F$349,4,0))</f>
        <v>0</v>
      </c>
      <c r="O8" s="364">
        <f>IF(Simulation!T13="DN63",O7,0)</f>
        <v>0</v>
      </c>
      <c r="P8" s="365">
        <f>IF($C8="","",O8*VLOOKUP($C8,MATIERES!$A$2:$F$349,4,0))</f>
        <v>0</v>
      </c>
      <c r="Q8" s="364">
        <f>IF(Simulation!V13="DN63",Q7,0)</f>
        <v>0</v>
      </c>
      <c r="R8" s="365">
        <f>IF($C8="","",Q8*VLOOKUP($C8,MATIERES!$A$2:$F$349,4,0))</f>
        <v>0</v>
      </c>
      <c r="S8" s="364">
        <f>IF(Simulation!X13="DN63",S7,0)</f>
        <v>0</v>
      </c>
      <c r="T8" s="365">
        <f>IF($C8="","",S8*VLOOKUP($C8,MATIERES!$A$2:$F$349,4,0))</f>
        <v>0</v>
      </c>
      <c r="U8" s="364">
        <f>IF(Simulation!Z13="DN63",U7,0)</f>
        <v>0</v>
      </c>
      <c r="V8" s="365">
        <f>IF($C8="","",U8*VLOOKUP($C8,MATIERES!$A$2:$F$349,4,0))</f>
        <v>0</v>
      </c>
      <c r="W8" s="364">
        <f>IF(Simulation!AB13="DN63",W7,0)</f>
        <v>0</v>
      </c>
      <c r="X8" s="365">
        <f>IF($C8="","",W8*VLOOKUP($C8,MATIERES!$A$2:$F$349,4,0))</f>
        <v>0</v>
      </c>
      <c r="Y8" s="364">
        <f>IF(Simulation!AD13="DN63",Y7,0)</f>
        <v>0</v>
      </c>
      <c r="Z8" s="365">
        <f>IF($C8="","",Y8*VLOOKUP($C8,MATIERES!$A$2:$F$349,4,0))</f>
        <v>0</v>
      </c>
      <c r="AA8" s="364">
        <f>IF(Simulation!AF13="DN63",AA7,0)</f>
        <v>0</v>
      </c>
      <c r="AB8" s="365">
        <f>IF($C8="","",AA8*VLOOKUP($C8,MATIERES!$A$2:$F$349,4,0))</f>
        <v>0</v>
      </c>
      <c r="AC8" s="364">
        <f>IF(Simulation!AH13="DN63",AC7,0)</f>
        <v>0</v>
      </c>
      <c r="AD8" s="365">
        <f>IF($C8="","",AC8*VLOOKUP($C8,MATIERES!$A$2:$F$349,4,0))</f>
        <v>0</v>
      </c>
      <c r="AE8" s="364">
        <f>IF(Simulation!AJ13="DN63",AE7,0)</f>
        <v>0</v>
      </c>
      <c r="AF8" s="365">
        <f>IF($C8="","",AE8*VLOOKUP($C8,MATIERES!$A$2:$F$349,4,0))</f>
        <v>0</v>
      </c>
      <c r="AG8" s="364">
        <f>IF(Simulation!AL13="DN63",AG7,0)</f>
        <v>0</v>
      </c>
      <c r="AH8" s="365">
        <f>IF($C8="","",AG8*VLOOKUP($C8,MATIERES!$A$2:$F$349,4,0))</f>
        <v>0</v>
      </c>
      <c r="AI8" s="364">
        <f>IF(Simulation!AN13="DN63",AI7,0)</f>
        <v>0</v>
      </c>
      <c r="AJ8" s="365">
        <f>IF($C8="","",AI8*VLOOKUP($C8,MATIERES!$A$2:$F$349,4,0))</f>
        <v>0</v>
      </c>
      <c r="AK8" s="364">
        <f>IF(Simulation!AP13="DN63",AK7,0)</f>
        <v>0</v>
      </c>
      <c r="AL8" s="365">
        <f>IF($C8="","",AK8*VLOOKUP($C8,MATIERES!$A$2:$F$349,4,0))</f>
        <v>0</v>
      </c>
    </row>
    <row r="9" spans="1:38" ht="15" customHeight="1" x14ac:dyDescent="0.2">
      <c r="A9" s="1550"/>
      <c r="B9" s="361" t="s">
        <v>1068</v>
      </c>
      <c r="C9" s="362" t="s">
        <v>256</v>
      </c>
      <c r="D9" s="363" t="str">
        <f>IF($C9="","",VLOOKUP($C9,MATIERES!$A$2:$F$341,5,0))</f>
        <v>pc</v>
      </c>
      <c r="E9" s="506"/>
      <c r="F9" s="506"/>
      <c r="G9" s="364">
        <f>IF(Simulation!L13="DN50",G7,0)</f>
        <v>2</v>
      </c>
      <c r="H9" s="365">
        <f>IF($C9="","",G9*VLOOKUP($C9,MATIERES!$A$2:$F$349,4,0))</f>
        <v>8.84</v>
      </c>
      <c r="I9" s="364">
        <f>IF(Simulation!N13="DN50",I7,0)</f>
        <v>0</v>
      </c>
      <c r="J9" s="365">
        <f>IF($C9="","",I9*VLOOKUP($C9,MATIERES!$A$2:$F$349,4,0))</f>
        <v>0</v>
      </c>
      <c r="K9" s="364">
        <f>IF(Simulation!P13="DN50",K7,0)</f>
        <v>0</v>
      </c>
      <c r="L9" s="365">
        <f>IF($C9="","",K9*VLOOKUP($C9,MATIERES!$A$2:$F$349,4,0))</f>
        <v>0</v>
      </c>
      <c r="M9" s="364">
        <f>IF(Simulation!R13="DN50",M7,0)</f>
        <v>0</v>
      </c>
      <c r="N9" s="365">
        <f>IF($C9="","",M9*VLOOKUP($C9,MATIERES!$A$2:$F$349,4,0))</f>
        <v>0</v>
      </c>
      <c r="O9" s="364">
        <f>IF(Simulation!T13="DN50",O7,0)</f>
        <v>0</v>
      </c>
      <c r="P9" s="365">
        <f>IF($C9="","",O9*VLOOKUP($C9,MATIERES!$A$2:$F$349,4,0))</f>
        <v>0</v>
      </c>
      <c r="Q9" s="364">
        <f>IF(Simulation!V13="DN50",Q7,0)</f>
        <v>0</v>
      </c>
      <c r="R9" s="365">
        <f>IF($C9="","",Q9*VLOOKUP($C9,MATIERES!$A$2:$F$349,4,0))</f>
        <v>0</v>
      </c>
      <c r="S9" s="364">
        <f>IF(Simulation!X13="DN50",S7,0)</f>
        <v>0</v>
      </c>
      <c r="T9" s="365">
        <f>IF($C9="","",S9*VLOOKUP($C9,MATIERES!$A$2:$F$349,4,0))</f>
        <v>0</v>
      </c>
      <c r="U9" s="364">
        <f>IF(Simulation!Z13="DN50",U7,0)</f>
        <v>0</v>
      </c>
      <c r="V9" s="365">
        <f>IF($C9="","",U9*VLOOKUP($C9,MATIERES!$A$2:$F$349,4,0))</f>
        <v>0</v>
      </c>
      <c r="W9" s="364">
        <f>IF(Simulation!AB13="DN50",W7,0)</f>
        <v>0</v>
      </c>
      <c r="X9" s="365">
        <f>IF($C9="","",W9*VLOOKUP($C9,MATIERES!$A$2:$F$349,4,0))</f>
        <v>0</v>
      </c>
      <c r="Y9" s="364">
        <f>IF(Simulation!AD13="DN50",Y7,0)</f>
        <v>0</v>
      </c>
      <c r="Z9" s="365">
        <f>IF($C9="","",Y9*VLOOKUP($C9,MATIERES!$A$2:$F$349,4,0))</f>
        <v>0</v>
      </c>
      <c r="AA9" s="364">
        <f>IF(Simulation!AF13="DN50",AA7,0)</f>
        <v>0</v>
      </c>
      <c r="AB9" s="365">
        <f>IF($C9="","",AA9*VLOOKUP($C9,MATIERES!$A$2:$F$349,4,0))</f>
        <v>0</v>
      </c>
      <c r="AC9" s="364">
        <f>IF(Simulation!AH13="DN50",AC7,0)</f>
        <v>0</v>
      </c>
      <c r="AD9" s="365">
        <f>IF($C9="","",AC9*VLOOKUP($C9,MATIERES!$A$2:$F$349,4,0))</f>
        <v>0</v>
      </c>
      <c r="AE9" s="364">
        <f>IF(Simulation!AJ13="DN50",AE7,0)</f>
        <v>0</v>
      </c>
      <c r="AF9" s="365">
        <f>IF($C9="","",AE9*VLOOKUP($C9,MATIERES!$A$2:$F$349,4,0))</f>
        <v>0</v>
      </c>
      <c r="AG9" s="364">
        <f>IF(Simulation!AL13="DN50",AG7,0)</f>
        <v>0</v>
      </c>
      <c r="AH9" s="365">
        <f>IF($C9="","",AG9*VLOOKUP($C9,MATIERES!$A$2:$F$349,4,0))</f>
        <v>0</v>
      </c>
      <c r="AI9" s="364">
        <f>IF(Simulation!AN13="DN50",AI7,0)</f>
        <v>0</v>
      </c>
      <c r="AJ9" s="365">
        <f>IF($C9="","",AI9*VLOOKUP($C9,MATIERES!$A$2:$F$349,4,0))</f>
        <v>0</v>
      </c>
      <c r="AK9" s="364">
        <f>IF(Simulation!AP13="DN50",AK7,0)</f>
        <v>0</v>
      </c>
      <c r="AL9" s="365">
        <f>IF($C9="","",AK9*VLOOKUP($C9,MATIERES!$A$2:$F$349,4,0))</f>
        <v>0</v>
      </c>
    </row>
    <row r="10" spans="1:38" ht="15" customHeight="1" x14ac:dyDescent="0.2">
      <c r="A10" s="1550"/>
      <c r="B10" s="361" t="s">
        <v>1077</v>
      </c>
      <c r="C10" s="362"/>
      <c r="D10" s="363" t="str">
        <f>IF($C10="","",VLOOKUP($C10,MATIERES!$A$2:$F$341,5,0))</f>
        <v/>
      </c>
      <c r="E10" s="508"/>
      <c r="F10" s="508"/>
      <c r="G10" s="364"/>
      <c r="H10" s="365"/>
      <c r="I10" s="508"/>
      <c r="J10" s="508"/>
      <c r="K10" s="364"/>
      <c r="L10" s="365"/>
      <c r="M10" s="364"/>
      <c r="N10" s="365"/>
      <c r="O10" s="508"/>
      <c r="P10" s="508"/>
      <c r="Q10" s="508"/>
      <c r="R10" s="508"/>
      <c r="S10" s="508"/>
      <c r="T10" s="508"/>
      <c r="U10" s="364"/>
      <c r="V10" s="365"/>
      <c r="W10" s="364"/>
      <c r="X10" s="365"/>
      <c r="Y10" s="508"/>
      <c r="Z10" s="508"/>
      <c r="AA10" s="508"/>
      <c r="AB10" s="508"/>
      <c r="AC10" s="508"/>
      <c r="AD10" s="508"/>
      <c r="AE10" s="508"/>
      <c r="AF10" s="508"/>
      <c r="AG10" s="508"/>
      <c r="AH10" s="508"/>
      <c r="AI10" s="508"/>
      <c r="AJ10" s="508"/>
      <c r="AK10" s="364"/>
      <c r="AL10" s="365"/>
    </row>
    <row r="11" spans="1:38" ht="15" customHeight="1" x14ac:dyDescent="0.2">
      <c r="A11" s="1550"/>
      <c r="B11" s="361" t="s">
        <v>1077</v>
      </c>
      <c r="C11" s="362"/>
      <c r="D11" s="363" t="str">
        <f>IF($C11="","",VLOOKUP($C11,MATIERES!$A$2:$F$341,5,0))</f>
        <v/>
      </c>
      <c r="E11" s="506"/>
      <c r="F11" s="506"/>
      <c r="G11" s="364"/>
      <c r="H11" s="365"/>
      <c r="I11" s="506"/>
      <c r="J11" s="506"/>
      <c r="K11" s="364"/>
      <c r="L11" s="365"/>
      <c r="M11" s="364"/>
      <c r="N11" s="365"/>
      <c r="O11" s="506"/>
      <c r="P11" s="506"/>
      <c r="Q11" s="506"/>
      <c r="R11" s="506"/>
      <c r="S11" s="506"/>
      <c r="T11" s="506"/>
      <c r="U11" s="364"/>
      <c r="V11" s="365"/>
      <c r="W11" s="364"/>
      <c r="X11" s="365"/>
      <c r="Y11" s="506"/>
      <c r="Z11" s="506"/>
      <c r="AA11" s="506"/>
      <c r="AB11" s="506"/>
      <c r="AC11" s="506"/>
      <c r="AD11" s="506"/>
      <c r="AE11" s="506"/>
      <c r="AF11" s="506"/>
      <c r="AG11" s="506"/>
      <c r="AH11" s="506"/>
      <c r="AI11" s="506"/>
      <c r="AJ11" s="506"/>
      <c r="AK11" s="364"/>
      <c r="AL11" s="365"/>
    </row>
    <row r="12" spans="1:38" ht="30" customHeight="1" x14ac:dyDescent="0.2">
      <c r="A12" s="366"/>
      <c r="B12" s="367" t="s">
        <v>683</v>
      </c>
      <c r="C12" s="368" t="s">
        <v>446</v>
      </c>
      <c r="D12" s="369" t="s">
        <v>447</v>
      </c>
      <c r="E12" s="506"/>
      <c r="F12" s="506"/>
      <c r="G12" s="370">
        <f>H12*(1+Simulation!$P$11)</f>
        <v>169.32500000000002</v>
      </c>
      <c r="H12" s="371">
        <f>SUM(H4:H11)</f>
        <v>130.25</v>
      </c>
      <c r="I12" s="506"/>
      <c r="J12" s="506"/>
      <c r="K12" s="370">
        <f>L12*(1+Simulation!$P$11)</f>
        <v>162.006</v>
      </c>
      <c r="L12" s="371">
        <f>SUM(L4:L11)</f>
        <v>124.62</v>
      </c>
      <c r="M12" s="370">
        <f>N12*(1+Simulation!$P$11)</f>
        <v>162.006</v>
      </c>
      <c r="N12" s="371">
        <f>SUM(N4:N11)</f>
        <v>124.62</v>
      </c>
      <c r="O12" s="506"/>
      <c r="P12" s="506"/>
      <c r="Q12" s="506"/>
      <c r="R12" s="506"/>
      <c r="S12" s="506"/>
      <c r="T12" s="506"/>
      <c r="U12" s="370">
        <f>V12*(1+Simulation!$P$11)</f>
        <v>332.16300000000001</v>
      </c>
      <c r="V12" s="371">
        <f>SUM(V4:V11)</f>
        <v>255.51000000000002</v>
      </c>
      <c r="W12" s="370">
        <f>X12*(1+Simulation!$P$11)</f>
        <v>332.16300000000001</v>
      </c>
      <c r="X12" s="371">
        <f>SUM(X4:X11)</f>
        <v>255.51000000000002</v>
      </c>
      <c r="Y12" s="506"/>
      <c r="Z12" s="506"/>
      <c r="AA12" s="506"/>
      <c r="AB12" s="506"/>
      <c r="AC12" s="506"/>
      <c r="AD12" s="506"/>
      <c r="AE12" s="506"/>
      <c r="AF12" s="506"/>
      <c r="AG12" s="506"/>
      <c r="AH12" s="506"/>
      <c r="AI12" s="506"/>
      <c r="AJ12" s="506"/>
      <c r="AK12" s="370">
        <f>AL12*(1+Simulation!$P$11)</f>
        <v>674.54400000000021</v>
      </c>
      <c r="AL12" s="371">
        <f>SUM(AL4:AL11)</f>
        <v>518.88000000000011</v>
      </c>
    </row>
    <row r="13" spans="1:38" ht="15" customHeight="1" x14ac:dyDescent="0.2">
      <c r="A13" s="1553" t="s">
        <v>448</v>
      </c>
      <c r="B13" s="361" t="s">
        <v>1153</v>
      </c>
      <c r="C13" s="362" t="s">
        <v>419</v>
      </c>
      <c r="D13" s="363" t="str">
        <f>IF($C13="","",VLOOKUP($C13,ATELIER!$A$2:$E$109,3,0))</f>
        <v>pc</v>
      </c>
      <c r="E13" s="509"/>
      <c r="F13" s="509"/>
      <c r="G13" s="364">
        <v>2</v>
      </c>
      <c r="H13" s="372">
        <f>IF($C13="","",G13*VLOOKUP($C13,ATELIER!$A$2:$F$109,4,0))</f>
        <v>0.16</v>
      </c>
      <c r="I13" s="509"/>
      <c r="J13" s="509"/>
      <c r="K13" s="364">
        <v>2</v>
      </c>
      <c r="L13" s="372">
        <f>IF($C13="","",K13*VLOOKUP($C13,ATELIER!$A$2:$F$109,4,0))</f>
        <v>0.16</v>
      </c>
      <c r="M13" s="364">
        <v>2</v>
      </c>
      <c r="N13" s="372">
        <f>IF($C13="","",M13*VLOOKUP($C13,ATELIER!$A$2:$F$109,4,0))</f>
        <v>0.16</v>
      </c>
      <c r="O13" s="509"/>
      <c r="P13" s="509"/>
      <c r="Q13" s="509"/>
      <c r="R13" s="509"/>
      <c r="S13" s="509"/>
      <c r="T13" s="509"/>
      <c r="U13" s="364">
        <v>4</v>
      </c>
      <c r="V13" s="372">
        <f>IF($C13="","",U13*VLOOKUP($C13,ATELIER!$A$2:$F$109,4,0))</f>
        <v>0.32</v>
      </c>
      <c r="W13" s="364">
        <v>4</v>
      </c>
      <c r="X13" s="372">
        <f>IF($C13="","",W13*VLOOKUP($C13,ATELIER!$A$2:$F$109,4,0))</f>
        <v>0.32</v>
      </c>
      <c r="Y13" s="509"/>
      <c r="Z13" s="509"/>
      <c r="AA13" s="509"/>
      <c r="AB13" s="509"/>
      <c r="AC13" s="509"/>
      <c r="AD13" s="509"/>
      <c r="AE13" s="509"/>
      <c r="AF13" s="509"/>
      <c r="AG13" s="509"/>
      <c r="AH13" s="509"/>
      <c r="AI13" s="509"/>
      <c r="AJ13" s="509"/>
      <c r="AK13" s="364">
        <v>8</v>
      </c>
      <c r="AL13" s="372">
        <f>IF($C13="","",AK13*VLOOKUP($C13,ATELIER!$A$2:$F$109,4,0))</f>
        <v>0.64</v>
      </c>
    </row>
    <row r="14" spans="1:38" ht="15" customHeight="1" x14ac:dyDescent="0.2">
      <c r="A14" s="1553"/>
      <c r="B14" s="361" t="s">
        <v>1156</v>
      </c>
      <c r="C14" s="362" t="s">
        <v>1660</v>
      </c>
      <c r="D14" s="363" t="str">
        <f>IF($C14="","",VLOOKUP($C14,ATELIER!$A$2:$E$109,3,0))</f>
        <v>pc</v>
      </c>
      <c r="E14" s="506"/>
      <c r="F14" s="506"/>
      <c r="G14" s="364">
        <f>G9</f>
        <v>2</v>
      </c>
      <c r="H14" s="372">
        <f>IF($C14="","",G14*VLOOKUP($C14,ATELIER!$A$2:$F$109,4,0))</f>
        <v>0.24</v>
      </c>
      <c r="I14" s="506"/>
      <c r="J14" s="506"/>
      <c r="K14" s="364">
        <f>K9</f>
        <v>0</v>
      </c>
      <c r="L14" s="372">
        <f>IF($C14="","",K14*VLOOKUP($C14,ATELIER!$A$2:$F$109,4,0))</f>
        <v>0</v>
      </c>
      <c r="M14" s="364">
        <f>M9</f>
        <v>0</v>
      </c>
      <c r="N14" s="372">
        <f>IF($C14="","",M14*VLOOKUP($C14,ATELIER!$A$2:$F$109,4,0))</f>
        <v>0</v>
      </c>
      <c r="O14" s="506"/>
      <c r="P14" s="506"/>
      <c r="Q14" s="506"/>
      <c r="R14" s="506"/>
      <c r="S14" s="506"/>
      <c r="T14" s="506"/>
      <c r="U14" s="364">
        <f>U9</f>
        <v>0</v>
      </c>
      <c r="V14" s="372">
        <f>IF($C14="","",U14*VLOOKUP($C14,ATELIER!$A$2:$F$109,4,0))</f>
        <v>0</v>
      </c>
      <c r="W14" s="364">
        <f>W9</f>
        <v>0</v>
      </c>
      <c r="X14" s="372">
        <f>IF($C14="","",W14*VLOOKUP($C14,ATELIER!$A$2:$F$109,4,0))</f>
        <v>0</v>
      </c>
      <c r="Y14" s="506"/>
      <c r="Z14" s="506"/>
      <c r="AA14" s="506"/>
      <c r="AB14" s="506"/>
      <c r="AC14" s="506"/>
      <c r="AD14" s="506"/>
      <c r="AE14" s="506"/>
      <c r="AF14" s="506"/>
      <c r="AG14" s="506"/>
      <c r="AH14" s="506"/>
      <c r="AI14" s="506"/>
      <c r="AJ14" s="506"/>
      <c r="AK14" s="364">
        <f>AK9</f>
        <v>0</v>
      </c>
      <c r="AL14" s="372">
        <f>IF($C14="","",AK14*VLOOKUP($C14,ATELIER!$A$2:$F$109,4,0))</f>
        <v>0</v>
      </c>
    </row>
    <row r="15" spans="1:38" ht="15" customHeight="1" x14ac:dyDescent="0.2">
      <c r="A15" s="1552"/>
      <c r="B15" s="361" t="s">
        <v>1153</v>
      </c>
      <c r="C15" s="362"/>
      <c r="D15" s="363" t="str">
        <f>IF($C15="","",VLOOKUP($C15,ATELIER!$A$2:$E$109,3,0))</f>
        <v/>
      </c>
      <c r="E15" s="506"/>
      <c r="F15" s="506"/>
      <c r="G15" s="364"/>
      <c r="H15" s="372"/>
      <c r="I15" s="506"/>
      <c r="J15" s="506"/>
      <c r="K15" s="364"/>
      <c r="L15" s="372"/>
      <c r="M15" s="364"/>
      <c r="N15" s="372"/>
      <c r="O15" s="506"/>
      <c r="P15" s="506"/>
      <c r="Q15" s="506"/>
      <c r="R15" s="506"/>
      <c r="S15" s="506"/>
      <c r="T15" s="506"/>
      <c r="U15" s="364"/>
      <c r="V15" s="372"/>
      <c r="W15" s="364"/>
      <c r="X15" s="372"/>
      <c r="Y15" s="506"/>
      <c r="Z15" s="506"/>
      <c r="AA15" s="506"/>
      <c r="AB15" s="506"/>
      <c r="AC15" s="506"/>
      <c r="AD15" s="506"/>
      <c r="AE15" s="506"/>
      <c r="AF15" s="506"/>
      <c r="AG15" s="506"/>
      <c r="AH15" s="506"/>
      <c r="AI15" s="506"/>
      <c r="AJ15" s="506"/>
      <c r="AK15" s="364"/>
      <c r="AL15" s="372"/>
    </row>
    <row r="16" spans="1:38" ht="15" customHeight="1" x14ac:dyDescent="0.2">
      <c r="A16" s="1553"/>
      <c r="B16" s="361" t="s">
        <v>1153</v>
      </c>
      <c r="C16" s="362" t="s">
        <v>416</v>
      </c>
      <c r="D16" s="363" t="str">
        <f>IF($C16="","",VLOOKUP($C16,ATELIER!$A$2:$E$109,3,0))</f>
        <v>pc</v>
      </c>
      <c r="E16" s="510"/>
      <c r="F16" s="510"/>
      <c r="G16" s="364">
        <v>2</v>
      </c>
      <c r="H16" s="372">
        <f>IF($C16="","",G16*VLOOKUP($C16,ATELIER!$A$2:$F$109,4,0))</f>
        <v>0.5</v>
      </c>
      <c r="I16" s="510"/>
      <c r="J16" s="510"/>
      <c r="K16" s="364">
        <v>2</v>
      </c>
      <c r="L16" s="372">
        <f>IF($C16="","",K16*VLOOKUP($C16,ATELIER!$A$2:$F$109,4,0))</f>
        <v>0.5</v>
      </c>
      <c r="M16" s="364">
        <v>2</v>
      </c>
      <c r="N16" s="372">
        <f>IF($C16="","",M16*VLOOKUP($C16,ATELIER!$A$2:$F$109,4,0))</f>
        <v>0.5</v>
      </c>
      <c r="O16" s="510"/>
      <c r="P16" s="510"/>
      <c r="Q16" s="510"/>
      <c r="R16" s="510"/>
      <c r="S16" s="510"/>
      <c r="T16" s="510"/>
      <c r="U16" s="364">
        <v>4</v>
      </c>
      <c r="V16" s="372">
        <f>IF($C16="","",U16*VLOOKUP($C16,ATELIER!$A$2:$F$109,4,0))</f>
        <v>1</v>
      </c>
      <c r="W16" s="364">
        <v>4</v>
      </c>
      <c r="X16" s="372">
        <f>IF($C16="","",W16*VLOOKUP($C16,ATELIER!$A$2:$F$109,4,0))</f>
        <v>1</v>
      </c>
      <c r="Y16" s="510"/>
      <c r="Z16" s="510"/>
      <c r="AA16" s="510"/>
      <c r="AB16" s="510"/>
      <c r="AC16" s="510"/>
      <c r="AD16" s="510"/>
      <c r="AE16" s="510"/>
      <c r="AF16" s="510"/>
      <c r="AG16" s="510"/>
      <c r="AH16" s="510"/>
      <c r="AI16" s="510"/>
      <c r="AJ16" s="510"/>
      <c r="AK16" s="364">
        <v>8</v>
      </c>
      <c r="AL16" s="372">
        <f>IF($C16="","",AK16*VLOOKUP($C16,ATELIER!$A$2:$F$109,4,0))</f>
        <v>2</v>
      </c>
    </row>
    <row r="17" spans="1:38" ht="15" customHeight="1" x14ac:dyDescent="0.2">
      <c r="A17" s="1553"/>
      <c r="B17" s="361"/>
      <c r="C17" s="362"/>
      <c r="D17" s="363"/>
      <c r="E17" s="511"/>
      <c r="F17" s="511"/>
      <c r="G17" s="364"/>
      <c r="H17" s="372"/>
      <c r="I17" s="511"/>
      <c r="J17" s="511"/>
      <c r="K17" s="364"/>
      <c r="L17" s="372"/>
      <c r="M17" s="364"/>
      <c r="N17" s="372"/>
      <c r="O17" s="511"/>
      <c r="P17" s="511"/>
      <c r="Q17" s="511"/>
      <c r="R17" s="511"/>
      <c r="S17" s="511"/>
      <c r="T17" s="511"/>
      <c r="U17" s="364"/>
      <c r="V17" s="372"/>
      <c r="W17" s="364"/>
      <c r="X17" s="372"/>
      <c r="Y17" s="511"/>
      <c r="Z17" s="511"/>
      <c r="AA17" s="511"/>
      <c r="AB17" s="511"/>
      <c r="AC17" s="511"/>
      <c r="AD17" s="511"/>
      <c r="AE17" s="511"/>
      <c r="AF17" s="511"/>
      <c r="AG17" s="511"/>
      <c r="AH17" s="511"/>
      <c r="AI17" s="511"/>
      <c r="AJ17" s="511"/>
      <c r="AK17" s="364"/>
      <c r="AL17" s="372"/>
    </row>
    <row r="18" spans="1:38" ht="35.25" customHeight="1" x14ac:dyDescent="0.2">
      <c r="A18" s="1553"/>
      <c r="B18" s="375" t="s">
        <v>449</v>
      </c>
      <c r="C18" s="376" t="s">
        <v>450</v>
      </c>
      <c r="D18" s="377" t="s">
        <v>451</v>
      </c>
      <c r="E18" s="513"/>
      <c r="F18" s="513"/>
      <c r="G18" s="376">
        <f>H18*Simulation!$P$8</f>
        <v>40.5</v>
      </c>
      <c r="H18" s="377">
        <f>SUM(H13:H17)</f>
        <v>0.9</v>
      </c>
      <c r="I18" s="513"/>
      <c r="J18" s="513"/>
      <c r="K18" s="376">
        <f>L18*Simulation!$P$8</f>
        <v>29.700000000000003</v>
      </c>
      <c r="L18" s="377">
        <f>SUM(L13:L17)</f>
        <v>0.66</v>
      </c>
      <c r="M18" s="376">
        <f>N18*Simulation!$P$8</f>
        <v>29.700000000000003</v>
      </c>
      <c r="N18" s="377">
        <f>SUM(N13:N17)</f>
        <v>0.66</v>
      </c>
      <c r="O18" s="513"/>
      <c r="P18" s="513"/>
      <c r="Q18" s="513"/>
      <c r="R18" s="513"/>
      <c r="S18" s="513"/>
      <c r="T18" s="513"/>
      <c r="U18" s="376">
        <f>V18*Simulation!$P$8</f>
        <v>59.400000000000006</v>
      </c>
      <c r="V18" s="377">
        <f>SUM(V13:V17)</f>
        <v>1.32</v>
      </c>
      <c r="W18" s="376">
        <f>X18*Simulation!$P$8</f>
        <v>59.400000000000006</v>
      </c>
      <c r="X18" s="377">
        <f>SUM(X13:X17)</f>
        <v>1.32</v>
      </c>
      <c r="Y18" s="513"/>
      <c r="Z18" s="513"/>
      <c r="AA18" s="513"/>
      <c r="AB18" s="513"/>
      <c r="AC18" s="513"/>
      <c r="AD18" s="513"/>
      <c r="AE18" s="513"/>
      <c r="AF18" s="513"/>
      <c r="AG18" s="513"/>
      <c r="AH18" s="513"/>
      <c r="AI18" s="513"/>
      <c r="AJ18" s="513"/>
      <c r="AK18" s="376">
        <f>AL18*Simulation!$P$8</f>
        <v>118.80000000000001</v>
      </c>
      <c r="AL18" s="377">
        <f>SUM(AL13:AL17)</f>
        <v>2.64</v>
      </c>
    </row>
    <row r="19" spans="1:38" ht="15" customHeight="1" x14ac:dyDescent="0.2">
      <c r="A19" s="1554" t="s">
        <v>452</v>
      </c>
      <c r="B19" s="361" t="s">
        <v>1164</v>
      </c>
      <c r="C19" s="378" t="s">
        <v>1000</v>
      </c>
      <c r="D19" s="363" t="str">
        <f>IF(C19="","",VLOOKUP($C19,CHANTIER!$A$2:$C$83,3,0))</f>
        <v>pc</v>
      </c>
      <c r="E19" s="513"/>
      <c r="F19" s="513"/>
      <c r="G19" s="364">
        <f>IF(G2&lt;12,2,4)</f>
        <v>2</v>
      </c>
      <c r="H19" s="372">
        <f>IF($C19="","",G19*VLOOKUP($C19,CHANTIER!$A$2:$D$83,4,0))</f>
        <v>0.7</v>
      </c>
      <c r="I19" s="364">
        <f t="shared" ref="I19" si="0">IF(I2&lt;12,2,4)</f>
        <v>2</v>
      </c>
      <c r="J19" s="372">
        <f>IF($C19="","",I19*VLOOKUP($C19,CHANTIER!$A$2:$D$83,4,0))</f>
        <v>0.7</v>
      </c>
      <c r="K19" s="364">
        <f t="shared" ref="K19" si="1">IF(K2&lt;12,2,4)</f>
        <v>2</v>
      </c>
      <c r="L19" s="372">
        <f>IF($C19="","",K19*VLOOKUP($C19,CHANTIER!$A$2:$D$83,4,0))</f>
        <v>0.7</v>
      </c>
      <c r="M19" s="364">
        <f t="shared" ref="M19" si="2">IF(M2&lt;12,2,4)</f>
        <v>2</v>
      </c>
      <c r="N19" s="372">
        <f>IF($C19="","",M19*VLOOKUP($C19,CHANTIER!$A$2:$D$83,4,0))</f>
        <v>0.7</v>
      </c>
      <c r="O19" s="364">
        <f t="shared" ref="O19" si="3">IF(O2&lt;12,2,4)</f>
        <v>2</v>
      </c>
      <c r="P19" s="372">
        <f>IF($C19="","",O19*VLOOKUP($C19,CHANTIER!$A$2:$D$83,4,0))</f>
        <v>0.7</v>
      </c>
      <c r="Q19" s="364">
        <f t="shared" ref="Q19" si="4">IF(Q2&lt;12,2,4)</f>
        <v>2</v>
      </c>
      <c r="R19" s="372">
        <f>IF($C19="","",Q19*VLOOKUP($C19,CHANTIER!$A$2:$D$83,4,0))</f>
        <v>0.7</v>
      </c>
      <c r="S19" s="364">
        <f t="shared" ref="S19" si="5">IF(S2&lt;12,2,4)</f>
        <v>2</v>
      </c>
      <c r="T19" s="372">
        <f>IF($C19="","",S19*VLOOKUP($C19,CHANTIER!$A$2:$D$83,4,0))</f>
        <v>0.7</v>
      </c>
      <c r="U19" s="364">
        <f t="shared" ref="U19" si="6">IF(U2&lt;12,2,4)</f>
        <v>2</v>
      </c>
      <c r="V19" s="372">
        <f>IF($C19="","",U19*VLOOKUP($C19,CHANTIER!$A$2:$D$83,4,0))</f>
        <v>0.7</v>
      </c>
      <c r="W19" s="364">
        <f t="shared" ref="W19" si="7">IF(W2&lt;12,2,4)</f>
        <v>4</v>
      </c>
      <c r="X19" s="372">
        <f>IF($C19="","",W19*VLOOKUP($C19,CHANTIER!$A$2:$D$83,4,0))</f>
        <v>1.4</v>
      </c>
      <c r="Y19" s="364">
        <f t="shared" ref="Y19" si="8">IF(Y2&lt;12,2,4)</f>
        <v>2</v>
      </c>
      <c r="Z19" s="372">
        <f>IF($C19="","",Y19*VLOOKUP($C19,CHANTIER!$A$2:$D$83,4,0))</f>
        <v>0.7</v>
      </c>
      <c r="AA19" s="364">
        <f t="shared" ref="AA19" si="9">IF(AA2&lt;12,2,4)</f>
        <v>2</v>
      </c>
      <c r="AB19" s="372">
        <f>IF($C19="","",AA19*VLOOKUP($C19,CHANTIER!$A$2:$D$83,4,0))</f>
        <v>0.7</v>
      </c>
      <c r="AC19" s="364">
        <f t="shared" ref="AC19" si="10">IF(AC2&lt;12,2,4)</f>
        <v>2</v>
      </c>
      <c r="AD19" s="372">
        <f>IF($C19="","",AC19*VLOOKUP($C19,CHANTIER!$A$2:$D$83,4,0))</f>
        <v>0.7</v>
      </c>
      <c r="AE19" s="364">
        <f t="shared" ref="AE19" si="11">IF(AE2&lt;12,2,4)</f>
        <v>2</v>
      </c>
      <c r="AF19" s="372">
        <f>IF($C19="","",AE19*VLOOKUP($C19,CHANTIER!$A$2:$D$83,4,0))</f>
        <v>0.7</v>
      </c>
      <c r="AG19" s="364">
        <f t="shared" ref="AG19" si="12">IF(AG2&lt;12,2,4)</f>
        <v>2</v>
      </c>
      <c r="AH19" s="372">
        <f>IF($C19="","",AG19*VLOOKUP($C19,CHANTIER!$A$2:$D$83,4,0))</f>
        <v>0.7</v>
      </c>
      <c r="AI19" s="364">
        <f t="shared" ref="AI19" si="13">IF(AI2&lt;12,2,4)</f>
        <v>2</v>
      </c>
      <c r="AJ19" s="372">
        <f>IF($C19="","",AI19*VLOOKUP($C19,CHANTIER!$A$2:$D$83,4,0))</f>
        <v>0.7</v>
      </c>
      <c r="AK19" s="364">
        <f>IF(AK2&lt;12,2,4)</f>
        <v>4</v>
      </c>
      <c r="AL19" s="372">
        <f>IF($C19="","",AK19*VLOOKUP($C19,CHANTIER!$A$2:$D$83,4,0))</f>
        <v>1.4</v>
      </c>
    </row>
    <row r="20" spans="1:38" ht="15" customHeight="1" x14ac:dyDescent="0.2">
      <c r="A20" s="1554"/>
      <c r="B20" s="361" t="s">
        <v>1164</v>
      </c>
      <c r="C20" s="378"/>
      <c r="D20" s="363" t="str">
        <f>IF(C20="","",VLOOKUP($C20,CHANTIER!$A$2:$C$83,3,0))</f>
        <v/>
      </c>
      <c r="E20" s="513"/>
      <c r="F20" s="513"/>
      <c r="G20" s="364"/>
      <c r="H20" s="372" t="str">
        <f>IF($C20="","",G20*VLOOKUP($C20,CHANTIER!$A$2:$D$83,4,0))</f>
        <v/>
      </c>
      <c r="I20" s="513"/>
      <c r="J20" s="513"/>
      <c r="K20" s="364"/>
      <c r="L20" s="372" t="str">
        <f>IF($C20="","",K20*VLOOKUP($C20,CHANTIER!$A$2:$D$83,4,0))</f>
        <v/>
      </c>
      <c r="M20" s="364"/>
      <c r="N20" s="372" t="str">
        <f>IF($C20="","",M20*VLOOKUP($C20,CHANTIER!$A$2:$D$83,4,0))</f>
        <v/>
      </c>
      <c r="O20" s="513"/>
      <c r="P20" s="513"/>
      <c r="Q20" s="513"/>
      <c r="R20" s="513"/>
      <c r="S20" s="513"/>
      <c r="T20" s="513"/>
      <c r="U20" s="364"/>
      <c r="V20" s="372" t="str">
        <f>IF($C20="","",U20*VLOOKUP($C20,CHANTIER!$A$2:$D$83,4,0))</f>
        <v/>
      </c>
      <c r="W20" s="364"/>
      <c r="X20" s="372" t="str">
        <f>IF($C20="","",W20*VLOOKUP($C20,CHANTIER!$A$2:$D$83,4,0))</f>
        <v/>
      </c>
      <c r="Y20" s="513"/>
      <c r="Z20" s="513"/>
      <c r="AA20" s="513"/>
      <c r="AB20" s="513"/>
      <c r="AC20" s="513"/>
      <c r="AD20" s="513"/>
      <c r="AE20" s="513"/>
      <c r="AF20" s="513"/>
      <c r="AG20" s="513"/>
      <c r="AH20" s="513"/>
      <c r="AI20" s="513"/>
      <c r="AJ20" s="513"/>
      <c r="AK20" s="364"/>
      <c r="AL20" s="372" t="str">
        <f>IF($C20="","",AK20*VLOOKUP($C20,CHANTIER!$A$2:$D$83,4,0))</f>
        <v/>
      </c>
    </row>
    <row r="21" spans="1:38" s="345" customFormat="1" ht="15" customHeight="1" x14ac:dyDescent="0.2">
      <c r="A21" s="1554"/>
      <c r="B21" s="361"/>
      <c r="C21" s="378"/>
      <c r="D21" s="363"/>
      <c r="E21" s="513"/>
      <c r="F21" s="513"/>
      <c r="G21" s="364"/>
      <c r="H21" s="372"/>
      <c r="I21" s="513"/>
      <c r="J21" s="513"/>
      <c r="K21" s="364"/>
      <c r="L21" s="372"/>
      <c r="M21" s="364"/>
      <c r="N21" s="372"/>
      <c r="O21" s="513"/>
      <c r="P21" s="513"/>
      <c r="Q21" s="513"/>
      <c r="R21" s="513"/>
      <c r="S21" s="513"/>
      <c r="T21" s="513"/>
      <c r="U21" s="364"/>
      <c r="V21" s="372"/>
      <c r="W21" s="364"/>
      <c r="X21" s="372"/>
      <c r="Y21" s="513"/>
      <c r="Z21" s="513"/>
      <c r="AA21" s="513"/>
      <c r="AB21" s="513"/>
      <c r="AC21" s="513"/>
      <c r="AD21" s="513"/>
      <c r="AE21" s="513"/>
      <c r="AF21" s="513"/>
      <c r="AG21" s="513"/>
      <c r="AH21" s="513"/>
      <c r="AI21" s="513"/>
      <c r="AJ21" s="513"/>
      <c r="AK21" s="364"/>
      <c r="AL21" s="372"/>
    </row>
    <row r="22" spans="1:38" ht="15" customHeight="1" x14ac:dyDescent="0.2">
      <c r="A22" s="1555"/>
      <c r="B22" s="361" t="s">
        <v>1164</v>
      </c>
      <c r="C22" s="378"/>
      <c r="D22" s="363" t="str">
        <f>IF(C22="","",VLOOKUP($C22,CHANTIER!$A$2:$C$83,3,0))</f>
        <v/>
      </c>
      <c r="E22" s="513"/>
      <c r="F22" s="513"/>
      <c r="G22" s="364"/>
      <c r="H22" s="372" t="str">
        <f>IF($C22="","",G22*VLOOKUP($C22,CHANTIER!$A$2:$D$83,4,0))</f>
        <v/>
      </c>
      <c r="I22" s="513"/>
      <c r="J22" s="513"/>
      <c r="K22" s="364"/>
      <c r="L22" s="372" t="str">
        <f>IF($C22="","",K22*VLOOKUP($C22,CHANTIER!$A$2:$D$83,4,0))</f>
        <v/>
      </c>
      <c r="M22" s="364"/>
      <c r="N22" s="372" t="str">
        <f>IF($C22="","",M22*VLOOKUP($C22,CHANTIER!$A$2:$D$83,4,0))</f>
        <v/>
      </c>
      <c r="O22" s="513"/>
      <c r="P22" s="513"/>
      <c r="Q22" s="513"/>
      <c r="R22" s="513"/>
      <c r="S22" s="513"/>
      <c r="T22" s="513"/>
      <c r="U22" s="364"/>
      <c r="V22" s="372" t="str">
        <f>IF($C22="","",U22*VLOOKUP($C22,CHANTIER!$A$2:$D$83,4,0))</f>
        <v/>
      </c>
      <c r="W22" s="364"/>
      <c r="X22" s="372" t="str">
        <f>IF($C22="","",W22*VLOOKUP($C22,CHANTIER!$A$2:$D$83,4,0))</f>
        <v/>
      </c>
      <c r="Y22" s="513"/>
      <c r="Z22" s="513"/>
      <c r="AA22" s="513"/>
      <c r="AB22" s="513"/>
      <c r="AC22" s="513"/>
      <c r="AD22" s="513"/>
      <c r="AE22" s="513"/>
      <c r="AF22" s="513"/>
      <c r="AG22" s="513"/>
      <c r="AH22" s="513"/>
      <c r="AI22" s="513"/>
      <c r="AJ22" s="513"/>
      <c r="AK22" s="364"/>
      <c r="AL22" s="372" t="str">
        <f>IF($C22="","",AK22*VLOOKUP($C22,CHANTIER!$A$2:$D$83,4,0))</f>
        <v/>
      </c>
    </row>
    <row r="23" spans="1:38" ht="15" customHeight="1" x14ac:dyDescent="0.2">
      <c r="A23" s="1554"/>
      <c r="B23" s="361" t="s">
        <v>1164</v>
      </c>
      <c r="C23" s="378"/>
      <c r="D23" s="363" t="str">
        <f>IF(C23="","",VLOOKUP($C23,CHANTIER!$A$2:$C$83,3,0))</f>
        <v/>
      </c>
      <c r="E23" s="390"/>
      <c r="F23" s="390"/>
      <c r="G23" s="364"/>
      <c r="H23" s="372" t="str">
        <f>IF($C23="","",G23*VLOOKUP($C23,CHANTIER!$A$2:$D$83,4,0))</f>
        <v/>
      </c>
      <c r="I23" s="390"/>
      <c r="J23" s="390"/>
      <c r="K23" s="364"/>
      <c r="L23" s="372" t="str">
        <f>IF($C23="","",K23*VLOOKUP($C23,CHANTIER!$A$2:$D$83,4,0))</f>
        <v/>
      </c>
      <c r="M23" s="364"/>
      <c r="N23" s="372" t="str">
        <f>IF($C23="","",M23*VLOOKUP($C23,CHANTIER!$A$2:$D$83,4,0))</f>
        <v/>
      </c>
      <c r="O23" s="390"/>
      <c r="P23" s="390"/>
      <c r="Q23" s="390"/>
      <c r="R23" s="390"/>
      <c r="S23" s="390"/>
      <c r="T23" s="390"/>
      <c r="U23" s="364"/>
      <c r="V23" s="372" t="str">
        <f>IF($C23="","",U23*VLOOKUP($C23,CHANTIER!$A$2:$D$83,4,0))</f>
        <v/>
      </c>
      <c r="W23" s="364"/>
      <c r="X23" s="372" t="str">
        <f>IF($C23="","",W23*VLOOKUP($C23,CHANTIER!$A$2:$D$83,4,0))</f>
        <v/>
      </c>
      <c r="Y23" s="390"/>
      <c r="Z23" s="390"/>
      <c r="AA23" s="390"/>
      <c r="AB23" s="390"/>
      <c r="AC23" s="390"/>
      <c r="AD23" s="390"/>
      <c r="AE23" s="390"/>
      <c r="AF23" s="390"/>
      <c r="AG23" s="390"/>
      <c r="AH23" s="390"/>
      <c r="AI23" s="390"/>
      <c r="AJ23" s="390"/>
      <c r="AK23" s="364"/>
      <c r="AL23" s="372" t="str">
        <f>IF($C23="","",AK23*VLOOKUP($C23,CHANTIER!$A$2:$D$83,4,0))</f>
        <v/>
      </c>
    </row>
    <row r="24" spans="1:38" ht="15" customHeight="1" x14ac:dyDescent="0.2">
      <c r="A24" s="1554"/>
      <c r="B24" s="361"/>
      <c r="C24" s="378"/>
      <c r="D24" s="363" t="str">
        <f>IF(C24="","",VLOOKUP($C24,CHANTIER!$A$2:$C$83,3,0))</f>
        <v/>
      </c>
      <c r="E24" s="393"/>
      <c r="F24" s="393"/>
      <c r="G24" s="364"/>
      <c r="H24" s="372" t="str">
        <f>IF($C24="","",G24*VLOOKUP($C24,CHANTIER!$A$2:$D$83,4,0))</f>
        <v/>
      </c>
      <c r="I24" s="393"/>
      <c r="J24" s="393"/>
      <c r="K24" s="364"/>
      <c r="L24" s="372" t="str">
        <f>IF($C24="","",K24*VLOOKUP($C24,CHANTIER!$A$2:$D$83,4,0))</f>
        <v/>
      </c>
      <c r="M24" s="364"/>
      <c r="N24" s="372" t="str">
        <f>IF($C24="","",M24*VLOOKUP($C24,CHANTIER!$A$2:$D$83,4,0))</f>
        <v/>
      </c>
      <c r="O24" s="393"/>
      <c r="P24" s="393"/>
      <c r="Q24" s="393"/>
      <c r="R24" s="393"/>
      <c r="S24" s="393"/>
      <c r="T24" s="393"/>
      <c r="U24" s="364"/>
      <c r="V24" s="372" t="str">
        <f>IF($C24="","",U24*VLOOKUP($C24,CHANTIER!$A$2:$D$83,4,0))</f>
        <v/>
      </c>
      <c r="W24" s="364"/>
      <c r="X24" s="372" t="str">
        <f>IF($C24="","",W24*VLOOKUP($C24,CHANTIER!$A$2:$D$83,4,0))</f>
        <v/>
      </c>
      <c r="Y24" s="393"/>
      <c r="Z24" s="393"/>
      <c r="AA24" s="393"/>
      <c r="AB24" s="393"/>
      <c r="AC24" s="393"/>
      <c r="AD24" s="393"/>
      <c r="AE24" s="393"/>
      <c r="AF24" s="393"/>
      <c r="AG24" s="393"/>
      <c r="AH24" s="393"/>
      <c r="AI24" s="393"/>
      <c r="AJ24" s="393"/>
      <c r="AK24" s="364"/>
      <c r="AL24" s="372" t="str">
        <f>IF($C24="","",AK24*VLOOKUP($C24,CHANTIER!$A$2:$D$83,4,0))</f>
        <v/>
      </c>
    </row>
    <row r="25" spans="1:38" ht="30.75" customHeight="1" x14ac:dyDescent="0.2">
      <c r="A25" s="1554"/>
      <c r="B25" s="379" t="s">
        <v>453</v>
      </c>
      <c r="C25" s="380" t="s">
        <v>450</v>
      </c>
      <c r="D25" s="381" t="s">
        <v>451</v>
      </c>
      <c r="E25" s="393"/>
      <c r="F25" s="393"/>
      <c r="G25" s="382">
        <f>H25*Simulation!$P$9</f>
        <v>31.499999999999996</v>
      </c>
      <c r="H25" s="383">
        <f>SUM(H19:H24)</f>
        <v>0.7</v>
      </c>
      <c r="I25" s="393"/>
      <c r="J25" s="393"/>
      <c r="K25" s="382">
        <f>L25*Simulation!$P$9</f>
        <v>31.499999999999996</v>
      </c>
      <c r="L25" s="383">
        <f>SUM(L19:L24)</f>
        <v>0.7</v>
      </c>
      <c r="M25" s="382">
        <f>N25*Simulation!$P$9</f>
        <v>31.499999999999996</v>
      </c>
      <c r="N25" s="383">
        <f>SUM(N19:N24)</f>
        <v>0.7</v>
      </c>
      <c r="O25" s="393"/>
      <c r="P25" s="393"/>
      <c r="Q25" s="393"/>
      <c r="R25" s="393"/>
      <c r="S25" s="393"/>
      <c r="T25" s="393"/>
      <c r="U25" s="382">
        <f>V25*Simulation!$P$9</f>
        <v>31.499999999999996</v>
      </c>
      <c r="V25" s="383">
        <f>SUM(V19:V24)</f>
        <v>0.7</v>
      </c>
      <c r="W25" s="382">
        <f>X25*Simulation!$P$9</f>
        <v>62.999999999999993</v>
      </c>
      <c r="X25" s="383">
        <f>SUM(X19:X24)</f>
        <v>1.4</v>
      </c>
      <c r="Y25" s="393"/>
      <c r="Z25" s="393"/>
      <c r="AA25" s="393"/>
      <c r="AB25" s="393"/>
      <c r="AC25" s="393"/>
      <c r="AD25" s="393"/>
      <c r="AE25" s="393"/>
      <c r="AF25" s="393"/>
      <c r="AG25" s="393"/>
      <c r="AH25" s="393"/>
      <c r="AI25" s="393"/>
      <c r="AJ25" s="393"/>
      <c r="AK25" s="382">
        <f>AL25*Simulation!$P$9</f>
        <v>62.999999999999993</v>
      </c>
      <c r="AL25" s="383">
        <f>SUM(AL19:AL24)</f>
        <v>1.4</v>
      </c>
    </row>
    <row r="26" spans="1:38" ht="15" customHeight="1" x14ac:dyDescent="0.2">
      <c r="A26" s="1560"/>
      <c r="B26" s="361"/>
      <c r="C26" s="378"/>
      <c r="D26" s="363"/>
      <c r="E26" s="393"/>
      <c r="F26" s="393"/>
      <c r="G26" s="364"/>
      <c r="H26" s="389"/>
      <c r="I26" s="393"/>
      <c r="J26" s="393"/>
      <c r="K26" s="364"/>
      <c r="L26" s="389"/>
      <c r="M26" s="364"/>
      <c r="N26" s="389"/>
      <c r="O26" s="393"/>
      <c r="P26" s="393"/>
      <c r="Q26" s="393"/>
      <c r="R26" s="393"/>
      <c r="S26" s="393"/>
      <c r="T26" s="393"/>
      <c r="U26" s="364"/>
      <c r="V26" s="389"/>
      <c r="W26" s="364"/>
      <c r="X26" s="389"/>
      <c r="Y26" s="393"/>
      <c r="Z26" s="393"/>
      <c r="AA26" s="393"/>
      <c r="AB26" s="393"/>
      <c r="AC26" s="393"/>
      <c r="AD26" s="393"/>
      <c r="AE26" s="393"/>
      <c r="AF26" s="393"/>
      <c r="AG26" s="393"/>
      <c r="AH26" s="393"/>
      <c r="AI26" s="393"/>
      <c r="AJ26" s="393"/>
      <c r="AK26" s="364"/>
      <c r="AL26" s="389"/>
    </row>
    <row r="27" spans="1:38" ht="29.25" customHeight="1" x14ac:dyDescent="0.2">
      <c r="A27" s="1560"/>
      <c r="B27" s="384" t="s">
        <v>454</v>
      </c>
      <c r="C27" s="385" t="s">
        <v>455</v>
      </c>
      <c r="D27" s="386" t="s">
        <v>451</v>
      </c>
      <c r="E27" s="393"/>
      <c r="F27" s="393"/>
      <c r="G27" s="387">
        <f>H27*Simulation!$P$10</f>
        <v>0</v>
      </c>
      <c r="H27" s="388">
        <f>SUM(H26:H26)</f>
        <v>0</v>
      </c>
      <c r="I27" s="393"/>
      <c r="J27" s="393"/>
      <c r="K27" s="387">
        <f>L27*Simulation!$P$10</f>
        <v>0</v>
      </c>
      <c r="L27" s="388">
        <f>SUM(L26:L26)</f>
        <v>0</v>
      </c>
      <c r="M27" s="387">
        <f>N27*Simulation!$P$10</f>
        <v>0</v>
      </c>
      <c r="N27" s="388">
        <f>SUM(N26:N26)</f>
        <v>0</v>
      </c>
      <c r="O27" s="393"/>
      <c r="P27" s="393"/>
      <c r="Q27" s="393"/>
      <c r="R27" s="393"/>
      <c r="S27" s="393"/>
      <c r="T27" s="393"/>
      <c r="U27" s="387">
        <f>V27*Simulation!$P$10</f>
        <v>0</v>
      </c>
      <c r="V27" s="388">
        <f>SUM(V26:V26)</f>
        <v>0</v>
      </c>
      <c r="W27" s="387">
        <f>X27*Simulation!$P$10</f>
        <v>0</v>
      </c>
      <c r="X27" s="388">
        <f>SUM(X26:X26)</f>
        <v>0</v>
      </c>
      <c r="Y27" s="393"/>
      <c r="Z27" s="393"/>
      <c r="AA27" s="393"/>
      <c r="AB27" s="393"/>
      <c r="AC27" s="393"/>
      <c r="AD27" s="393"/>
      <c r="AE27" s="393"/>
      <c r="AF27" s="393"/>
      <c r="AG27" s="393"/>
      <c r="AH27" s="393"/>
      <c r="AI27" s="393"/>
      <c r="AJ27" s="393"/>
      <c r="AK27" s="387" t="e">
        <f>#REF!*Simulation!$P$10</f>
        <v>#REF!</v>
      </c>
      <c r="AL27" s="388">
        <f>SUM(AL26:AL26)</f>
        <v>0</v>
      </c>
    </row>
    <row r="28" spans="1:38" ht="18" x14ac:dyDescent="0.2">
      <c r="A28" s="199"/>
      <c r="B28" s="199"/>
      <c r="C28" s="172"/>
      <c r="D28" s="200"/>
      <c r="E28" s="393"/>
      <c r="F28" s="393"/>
      <c r="G28" s="201"/>
      <c r="H28" s="202"/>
      <c r="I28" s="393"/>
      <c r="J28" s="393"/>
      <c r="K28" s="203"/>
      <c r="L28" s="202"/>
      <c r="M28" s="203"/>
      <c r="N28" s="202"/>
      <c r="O28" s="393"/>
      <c r="P28" s="393"/>
      <c r="Q28" s="393"/>
      <c r="R28" s="393"/>
      <c r="S28" s="393"/>
      <c r="T28" s="393"/>
      <c r="U28" s="203"/>
      <c r="V28" s="202"/>
      <c r="W28" s="203"/>
      <c r="X28" s="202"/>
      <c r="Y28" s="393"/>
      <c r="Z28" s="393"/>
      <c r="AA28" s="393"/>
      <c r="AB28" s="393"/>
      <c r="AC28" s="393"/>
      <c r="AD28" s="393"/>
      <c r="AE28" s="393"/>
      <c r="AF28" s="393"/>
      <c r="AG28" s="393"/>
      <c r="AH28" s="393"/>
      <c r="AI28" s="393"/>
      <c r="AJ28" s="393"/>
      <c r="AK28" s="203"/>
    </row>
    <row r="29" spans="1:38" ht="36" customHeight="1" x14ac:dyDescent="0.2">
      <c r="A29" s="1644" t="s">
        <v>456</v>
      </c>
      <c r="B29" s="1645"/>
      <c r="C29" s="1646" t="s">
        <v>445</v>
      </c>
      <c r="D29" s="1647"/>
      <c r="E29" s="393"/>
      <c r="F29" s="393"/>
      <c r="G29" s="1547">
        <f>G27+G25+G18+G12</f>
        <v>241.32500000000002</v>
      </c>
      <c r="H29" s="1547"/>
      <c r="I29" s="393"/>
      <c r="J29" s="393"/>
      <c r="K29" s="1547">
        <f>K27+K25+K18+K12</f>
        <v>223.20600000000002</v>
      </c>
      <c r="L29" s="1547"/>
      <c r="M29" s="1547">
        <f>M27+M25+M18+M12</f>
        <v>223.20600000000002</v>
      </c>
      <c r="N29" s="1547"/>
      <c r="O29" s="393"/>
      <c r="P29" s="393"/>
      <c r="Q29" s="393"/>
      <c r="R29" s="393"/>
      <c r="S29" s="393"/>
      <c r="T29" s="393"/>
      <c r="U29" s="1547">
        <f>U27+U25+U18+U12</f>
        <v>423.06299999999999</v>
      </c>
      <c r="V29" s="1547"/>
      <c r="W29" s="1547">
        <f>W27+W25+W18+W12</f>
        <v>454.56299999999999</v>
      </c>
      <c r="X29" s="1547"/>
      <c r="Y29" s="393"/>
      <c r="Z29" s="393"/>
      <c r="AA29" s="393"/>
      <c r="AB29" s="393"/>
      <c r="AC29" s="393"/>
      <c r="AD29" s="393"/>
      <c r="AE29" s="393"/>
      <c r="AF29" s="393"/>
      <c r="AG29" s="393"/>
      <c r="AH29" s="393"/>
      <c r="AI29" s="393"/>
      <c r="AJ29" s="393"/>
      <c r="AK29" s="1547" t="e">
        <f>AK27+AK25+AK18+AK12</f>
        <v>#REF!</v>
      </c>
      <c r="AL29" s="1547"/>
    </row>
    <row r="30" spans="1:38" ht="18" customHeight="1" x14ac:dyDescent="0.2">
      <c r="A30" s="1644"/>
      <c r="B30" s="1645"/>
      <c r="C30" s="1648" t="s">
        <v>457</v>
      </c>
      <c r="D30" s="1649"/>
      <c r="E30" s="393"/>
      <c r="F30" s="393"/>
      <c r="G30" s="149">
        <f>G12-H12</f>
        <v>39.075000000000017</v>
      </c>
      <c r="H30" s="207">
        <f>G30/G$29</f>
        <v>0.16191857453641362</v>
      </c>
      <c r="I30" s="393"/>
      <c r="J30" s="393"/>
      <c r="K30" s="149">
        <f>K12-L12</f>
        <v>37.385999999999996</v>
      </c>
      <c r="L30" s="207">
        <f>K30/K$29</f>
        <v>0.16749549743286468</v>
      </c>
      <c r="M30" s="149">
        <f>M12-N12</f>
        <v>37.385999999999996</v>
      </c>
      <c r="N30" s="207">
        <f>M30/M$29</f>
        <v>0.16749549743286468</v>
      </c>
      <c r="O30" s="393"/>
      <c r="P30" s="393"/>
      <c r="Q30" s="393"/>
      <c r="R30" s="393"/>
      <c r="S30" s="393"/>
      <c r="T30" s="393"/>
      <c r="U30" s="149">
        <f>U12-V12</f>
        <v>76.652999999999992</v>
      </c>
      <c r="V30" s="207">
        <f>U30/U$29</f>
        <v>0.18118578084115131</v>
      </c>
      <c r="W30" s="149">
        <f>W12-X12</f>
        <v>76.652999999999992</v>
      </c>
      <c r="X30" s="207">
        <f>W30/W$29</f>
        <v>0.16863009087849207</v>
      </c>
      <c r="Y30" s="393"/>
      <c r="Z30" s="393"/>
      <c r="AA30" s="393"/>
      <c r="AB30" s="393"/>
      <c r="AC30" s="393"/>
      <c r="AD30" s="393"/>
      <c r="AE30" s="393"/>
      <c r="AF30" s="393"/>
      <c r="AG30" s="393"/>
      <c r="AH30" s="393"/>
      <c r="AI30" s="393"/>
      <c r="AJ30" s="393"/>
      <c r="AK30" s="149">
        <f>AK12-AL12</f>
        <v>155.6640000000001</v>
      </c>
      <c r="AL30" s="207" t="e">
        <f>AK30/AK$29</f>
        <v>#REF!</v>
      </c>
    </row>
    <row r="31" spans="1:38" ht="18" customHeight="1" x14ac:dyDescent="0.2">
      <c r="A31" s="1644"/>
      <c r="B31" s="1645"/>
      <c r="C31" s="1650" t="s">
        <v>9</v>
      </c>
      <c r="D31" s="1651"/>
      <c r="E31" s="393"/>
      <c r="F31" s="393"/>
      <c r="G31" s="149">
        <f>G12</f>
        <v>169.32500000000002</v>
      </c>
      <c r="H31" s="207">
        <f>G31/G$29</f>
        <v>0.70164715632445873</v>
      </c>
      <c r="I31" s="393"/>
      <c r="J31" s="393"/>
      <c r="K31" s="149">
        <f>K12</f>
        <v>162.006</v>
      </c>
      <c r="L31" s="207">
        <f>K31/K$29</f>
        <v>0.72581382220908031</v>
      </c>
      <c r="M31" s="149">
        <f>M12</f>
        <v>162.006</v>
      </c>
      <c r="N31" s="207">
        <f>M31/M$29</f>
        <v>0.72581382220908031</v>
      </c>
      <c r="O31" s="393"/>
      <c r="P31" s="393"/>
      <c r="Q31" s="393"/>
      <c r="R31" s="393"/>
      <c r="S31" s="393"/>
      <c r="T31" s="393"/>
      <c r="U31" s="149">
        <f>U12</f>
        <v>332.16300000000001</v>
      </c>
      <c r="V31" s="207">
        <f>U31/U$29</f>
        <v>0.78513838364498911</v>
      </c>
      <c r="W31" s="149">
        <f>W12</f>
        <v>332.16300000000001</v>
      </c>
      <c r="X31" s="207">
        <f>W31/W$29</f>
        <v>0.73073039380679905</v>
      </c>
      <c r="Y31" s="393"/>
      <c r="Z31" s="393"/>
      <c r="AA31" s="393"/>
      <c r="AB31" s="393"/>
      <c r="AC31" s="393"/>
      <c r="AD31" s="393"/>
      <c r="AE31" s="393"/>
      <c r="AF31" s="393"/>
      <c r="AG31" s="393"/>
      <c r="AH31" s="393"/>
      <c r="AI31" s="393"/>
      <c r="AJ31" s="393"/>
      <c r="AK31" s="149">
        <f>AK12</f>
        <v>674.54400000000021</v>
      </c>
      <c r="AL31" s="207" t="e">
        <f>AK31/AK$29</f>
        <v>#REF!</v>
      </c>
    </row>
    <row r="32" spans="1:38" ht="18" customHeight="1" x14ac:dyDescent="0.2">
      <c r="A32" s="1644"/>
      <c r="B32" s="1645"/>
      <c r="C32" s="1648" t="s">
        <v>458</v>
      </c>
      <c r="D32" s="1649"/>
      <c r="E32" s="393"/>
      <c r="F32" s="393"/>
      <c r="G32" s="149">
        <f>G18</f>
        <v>40.5</v>
      </c>
      <c r="H32" s="207">
        <f>G32/G$29</f>
        <v>0.16782347456749197</v>
      </c>
      <c r="I32" s="393"/>
      <c r="J32" s="393"/>
      <c r="K32" s="149">
        <f>K18</f>
        <v>29.700000000000003</v>
      </c>
      <c r="L32" s="207">
        <f>K32/K$29</f>
        <v>0.13306093922206391</v>
      </c>
      <c r="M32" s="149">
        <f>M18</f>
        <v>29.700000000000003</v>
      </c>
      <c r="N32" s="207">
        <f>M32/M$29</f>
        <v>0.13306093922206391</v>
      </c>
      <c r="O32" s="393"/>
      <c r="P32" s="393"/>
      <c r="Q32" s="393"/>
      <c r="R32" s="393"/>
      <c r="S32" s="393"/>
      <c r="T32" s="393"/>
      <c r="U32" s="149">
        <f>U18</f>
        <v>59.400000000000006</v>
      </c>
      <c r="V32" s="207">
        <f>U32/U$29</f>
        <v>0.14040462058842301</v>
      </c>
      <c r="W32" s="149">
        <f>W18</f>
        <v>59.400000000000006</v>
      </c>
      <c r="X32" s="207">
        <f>W32/W$29</f>
        <v>0.13067495594670048</v>
      </c>
      <c r="Y32" s="393"/>
      <c r="Z32" s="393"/>
      <c r="AA32" s="393"/>
      <c r="AB32" s="393"/>
      <c r="AC32" s="393"/>
      <c r="AD32" s="393"/>
      <c r="AE32" s="393"/>
      <c r="AF32" s="393"/>
      <c r="AG32" s="393"/>
      <c r="AH32" s="393"/>
      <c r="AI32" s="393"/>
      <c r="AJ32" s="393"/>
      <c r="AK32" s="149">
        <f>AK18</f>
        <v>118.80000000000001</v>
      </c>
      <c r="AL32" s="207" t="e">
        <f>AK32/AK$29</f>
        <v>#REF!</v>
      </c>
    </row>
    <row r="33" spans="1:38" ht="18" customHeight="1" x14ac:dyDescent="0.2">
      <c r="A33" s="1644"/>
      <c r="B33" s="1645"/>
      <c r="C33" s="1650" t="s">
        <v>459</v>
      </c>
      <c r="D33" s="1651"/>
      <c r="E33" s="393"/>
      <c r="F33" s="393"/>
      <c r="G33" s="149">
        <f>G25</f>
        <v>31.499999999999996</v>
      </c>
      <c r="H33" s="207">
        <f>G33/G$29</f>
        <v>0.1305293691080493</v>
      </c>
      <c r="I33" s="393"/>
      <c r="J33" s="393"/>
      <c r="K33" s="149">
        <f>K25</f>
        <v>31.499999999999996</v>
      </c>
      <c r="L33" s="207">
        <f>K33/K$29</f>
        <v>0.14112523856885564</v>
      </c>
      <c r="M33" s="149">
        <f>M25</f>
        <v>31.499999999999996</v>
      </c>
      <c r="N33" s="207">
        <f>M33/M$29</f>
        <v>0.14112523856885564</v>
      </c>
      <c r="O33" s="393"/>
      <c r="P33" s="393"/>
      <c r="Q33" s="393"/>
      <c r="R33" s="393"/>
      <c r="S33" s="393"/>
      <c r="T33" s="393"/>
      <c r="U33" s="149">
        <f>U25</f>
        <v>31.499999999999996</v>
      </c>
      <c r="V33" s="207">
        <f>U33/U$29</f>
        <v>7.4456995766587944E-2</v>
      </c>
      <c r="W33" s="149">
        <f>W25</f>
        <v>62.999999999999993</v>
      </c>
      <c r="X33" s="207">
        <f>W33/W$29</f>
        <v>0.13859465024650047</v>
      </c>
      <c r="Y33" s="393"/>
      <c r="Z33" s="393"/>
      <c r="AA33" s="393"/>
      <c r="AB33" s="393"/>
      <c r="AC33" s="393"/>
      <c r="AD33" s="393"/>
      <c r="AE33" s="393"/>
      <c r="AF33" s="393"/>
      <c r="AG33" s="393"/>
      <c r="AH33" s="393"/>
      <c r="AI33" s="393"/>
      <c r="AJ33" s="393"/>
      <c r="AK33" s="149">
        <f>AK25</f>
        <v>62.999999999999993</v>
      </c>
      <c r="AL33" s="207" t="e">
        <f>AK33/AK$29</f>
        <v>#REF!</v>
      </c>
    </row>
    <row r="34" spans="1:38" ht="18" customHeight="1" x14ac:dyDescent="0.2">
      <c r="A34" s="1644"/>
      <c r="B34" s="1645"/>
      <c r="C34" s="1652" t="s">
        <v>5</v>
      </c>
      <c r="D34" s="1653"/>
      <c r="E34" s="393"/>
      <c r="F34" s="393"/>
      <c r="G34" s="149">
        <f>G27</f>
        <v>0</v>
      </c>
      <c r="H34" s="207">
        <f>G34/G$29</f>
        <v>0</v>
      </c>
      <c r="I34" s="393"/>
      <c r="J34" s="393"/>
      <c r="K34" s="149">
        <f>K27</f>
        <v>0</v>
      </c>
      <c r="L34" s="207">
        <f>K34/K$29</f>
        <v>0</v>
      </c>
      <c r="M34" s="149">
        <f>M27</f>
        <v>0</v>
      </c>
      <c r="N34" s="207">
        <f>M34/M$29</f>
        <v>0</v>
      </c>
      <c r="O34" s="393"/>
      <c r="P34" s="393"/>
      <c r="Q34" s="393"/>
      <c r="R34" s="393"/>
      <c r="S34" s="393"/>
      <c r="T34" s="393"/>
      <c r="U34" s="149">
        <f>U27</f>
        <v>0</v>
      </c>
      <c r="V34" s="207">
        <f>U34/U$29</f>
        <v>0</v>
      </c>
      <c r="W34" s="149">
        <f>W27</f>
        <v>0</v>
      </c>
      <c r="X34" s="207">
        <f>W34/W$29</f>
        <v>0</v>
      </c>
      <c r="Y34" s="393"/>
      <c r="Z34" s="393"/>
      <c r="AA34" s="393"/>
      <c r="AB34" s="393"/>
      <c r="AC34" s="393"/>
      <c r="AD34" s="393"/>
      <c r="AE34" s="393"/>
      <c r="AF34" s="393"/>
      <c r="AG34" s="393"/>
      <c r="AH34" s="393"/>
      <c r="AI34" s="393"/>
      <c r="AJ34" s="393"/>
      <c r="AK34" s="149" t="e">
        <f>AK27</f>
        <v>#REF!</v>
      </c>
      <c r="AL34" s="207" t="e">
        <f>AK34/AK$29</f>
        <v>#REF!</v>
      </c>
    </row>
  </sheetData>
  <mergeCells count="24">
    <mergeCell ref="AK29:AL29"/>
    <mergeCell ref="AK2:AL2"/>
    <mergeCell ref="U2:V2"/>
    <mergeCell ref="W2:X2"/>
    <mergeCell ref="C32:D32"/>
    <mergeCell ref="G29:H29"/>
    <mergeCell ref="K29:L29"/>
    <mergeCell ref="A4:A11"/>
    <mergeCell ref="C2:C3"/>
    <mergeCell ref="G2:H2"/>
    <mergeCell ref="K2:L2"/>
    <mergeCell ref="M2:N2"/>
    <mergeCell ref="A29:B34"/>
    <mergeCell ref="U29:V29"/>
    <mergeCell ref="W29:X29"/>
    <mergeCell ref="A13:A18"/>
    <mergeCell ref="A19:A25"/>
    <mergeCell ref="A26:A27"/>
    <mergeCell ref="C29:D29"/>
    <mergeCell ref="M29:N29"/>
    <mergeCell ref="C30:D30"/>
    <mergeCell ref="C31:D31"/>
    <mergeCell ref="C33:D33"/>
    <mergeCell ref="C34:D34"/>
  </mergeCells>
  <dataValidations count="9">
    <dataValidation type="list" allowBlank="1" showInputMessage="1" showErrorMessage="1" promptTitle="Catégorie MOC" prompt="choisir" sqref="B19:B24" xr:uid="{00000000-0002-0000-2900-000000000000}">
      <formula1>CATEGORIE_MOC</formula1>
    </dataValidation>
    <dataValidation type="list" allowBlank="1" showInputMessage="1" promptTitle="MINIPELLE" prompt="choisir la prestation" sqref="C26" xr:uid="{00000000-0002-0000-2900-000001000000}">
      <formula1>INDIRECT(B26)</formula1>
    </dataValidation>
    <dataValidation type="list" allowBlank="1" showInputMessage="1" showErrorMessage="1" promptTitle="MINIPELLE" prompt="choisir catégorie" sqref="B26" xr:uid="{00000000-0002-0000-2900-000002000000}">
      <formula1>CATEGORIE_MP</formula1>
    </dataValidation>
    <dataValidation type="list" allowBlank="1" showInputMessage="1" promptTitle="Main d'oeuvre CHANTIER" prompt="choisir la prestation" sqref="C19:C24" xr:uid="{00000000-0002-0000-2900-000003000000}">
      <formula1>INDIRECT(B19)</formula1>
    </dataValidation>
    <dataValidation type="list" allowBlank="1" showInputMessage="1" showErrorMessage="1" promptTitle="MO ATELIER" prompt="choisir catégorie" sqref="B13:B17" xr:uid="{00000000-0002-0000-2900-000004000000}">
      <formula1>CATEGORIE_MOA</formula1>
    </dataValidation>
    <dataValidation type="list" allowBlank="1" showInputMessage="1" showErrorMessage="1" promptTitle="MATIERES" prompt="choisir catégorie" sqref="B10:B11 B4:B7" xr:uid="{00000000-0002-0000-2900-000005000000}">
      <formula1>MOA_ALIM</formula1>
    </dataValidation>
    <dataValidation type="list" allowBlank="1" showInputMessage="1" showErrorMessage="1" promptTitle="MATIERES" prompt="choisir le produit" sqref="C4:C11" xr:uid="{00000000-0002-0000-2900-000006000000}">
      <formula1>INDIRECT(B4)</formula1>
    </dataValidation>
    <dataValidation type="list" allowBlank="1" showInputMessage="1" showErrorMessage="1" promptTitle="MATIERES" prompt="choisir catégorie" sqref="B8:B9" xr:uid="{00000000-0002-0000-2900-000007000000}">
      <formula1>CATEGORIE_MA</formula1>
    </dataValidation>
    <dataValidation type="list" allowBlank="1" showInputMessage="1" showErrorMessage="1" promptTitle="Main d'oeuvre ATELIER" prompt="choisir la prestation" sqref="C13:C17" xr:uid="{00000000-0002-0000-2900-000008000000}">
      <formula1>INDIRECT(B13)</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published="0" codeName="Feuil49"/>
  <dimension ref="A1:R33"/>
  <sheetViews>
    <sheetView zoomScaleNormal="100" workbookViewId="0">
      <pane xSplit="4" ySplit="3" topLeftCell="N20" activePane="bottomRight" state="frozen"/>
      <selection pane="topRight" activeCell="E1" sqref="E1"/>
      <selection pane="bottomLeft" activeCell="A4" sqref="A4"/>
      <selection pane="bottomRight" activeCell="Q16" sqref="Q16"/>
    </sheetView>
  </sheetViews>
  <sheetFormatPr baseColWidth="10" defaultColWidth="11.125" defaultRowHeight="14.25" x14ac:dyDescent="0.2"/>
  <cols>
    <col min="1" max="2" width="18.125" customWidth="1"/>
    <col min="3" max="3" width="28.625" customWidth="1"/>
    <col min="4" max="4" width="10.125" customWidth="1"/>
    <col min="5" max="6" width="0.5" customWidth="1"/>
    <col min="7" max="7" width="7.625" bestFit="1" customWidth="1"/>
    <col min="8" max="8" width="10.625" customWidth="1"/>
    <col min="9" max="9" width="13.625" customWidth="1"/>
    <col min="10" max="10" width="10.625" customWidth="1"/>
    <col min="11" max="11" width="18.625" customWidth="1"/>
    <col min="12" max="12" width="11.5" customWidth="1"/>
    <col min="13" max="13" width="18.625" style="345" customWidth="1"/>
    <col min="14" max="14" width="11.5" style="345" customWidth="1"/>
    <col min="15" max="15" width="18.625" style="345" customWidth="1"/>
    <col min="16" max="16" width="11.5" style="345" customWidth="1"/>
    <col min="17" max="17" width="18.625" style="345" customWidth="1"/>
    <col min="18" max="18" width="11.5" style="345" customWidth="1"/>
    <col min="19" max="753" width="11.5" customWidth="1"/>
  </cols>
  <sheetData>
    <row r="1" spans="1:18" ht="14.85" customHeight="1" x14ac:dyDescent="0.2">
      <c r="A1" s="215"/>
      <c r="B1" s="215"/>
      <c r="C1" s="216"/>
      <c r="D1" s="215"/>
      <c r="E1" s="393"/>
      <c r="F1" s="393"/>
      <c r="G1" s="217">
        <v>3</v>
      </c>
      <c r="H1" s="215"/>
      <c r="I1" s="215">
        <v>5</v>
      </c>
      <c r="J1" s="215"/>
      <c r="K1" s="215">
        <v>6</v>
      </c>
      <c r="M1" s="215">
        <v>10</v>
      </c>
      <c r="O1" s="215">
        <v>12</v>
      </c>
      <c r="Q1" s="215">
        <v>20</v>
      </c>
    </row>
    <row r="2" spans="1:18" ht="35.1" customHeight="1" x14ac:dyDescent="0.2">
      <c r="A2" s="174"/>
      <c r="B2" s="174"/>
      <c r="C2" s="1572" t="s">
        <v>1208</v>
      </c>
      <c r="D2" s="115" t="s">
        <v>203</v>
      </c>
      <c r="E2" s="504"/>
      <c r="F2" s="504"/>
      <c r="G2" s="1571">
        <v>3</v>
      </c>
      <c r="H2" s="1571"/>
      <c r="I2" s="1571">
        <v>5</v>
      </c>
      <c r="J2" s="1571"/>
      <c r="K2" s="1619">
        <v>6</v>
      </c>
      <c r="L2" s="1620"/>
      <c r="M2" s="1619">
        <v>10</v>
      </c>
      <c r="N2" s="1620"/>
      <c r="O2" s="1619">
        <v>12</v>
      </c>
      <c r="P2" s="1620"/>
      <c r="Q2" s="1619">
        <v>20</v>
      </c>
      <c r="R2" s="1620"/>
    </row>
    <row r="3" spans="1:18" ht="35.1" customHeight="1" x14ac:dyDescent="0.2">
      <c r="A3" s="174"/>
      <c r="B3" s="174"/>
      <c r="C3" s="1573"/>
      <c r="D3" s="176" t="s">
        <v>222</v>
      </c>
      <c r="E3" s="505"/>
      <c r="F3" s="505"/>
      <c r="G3" s="236" t="s">
        <v>444</v>
      </c>
      <c r="H3" s="421" t="s">
        <v>477</v>
      </c>
      <c r="I3" s="236" t="s">
        <v>444</v>
      </c>
      <c r="J3" s="421" t="s">
        <v>477</v>
      </c>
      <c r="K3" s="236" t="s">
        <v>444</v>
      </c>
      <c r="L3" s="1397" t="s">
        <v>477</v>
      </c>
      <c r="M3" s="236" t="s">
        <v>444</v>
      </c>
      <c r="N3" s="1422" t="s">
        <v>477</v>
      </c>
      <c r="O3" s="236" t="s">
        <v>444</v>
      </c>
      <c r="P3" s="1422" t="s">
        <v>477</v>
      </c>
      <c r="Q3" s="236" t="s">
        <v>444</v>
      </c>
      <c r="R3" s="1422" t="s">
        <v>477</v>
      </c>
    </row>
    <row r="4" spans="1:18" ht="15" customHeight="1" x14ac:dyDescent="0.2">
      <c r="A4" s="1654">
        <v>5</v>
      </c>
      <c r="B4" s="361" t="s">
        <v>1077</v>
      </c>
      <c r="C4" s="362"/>
      <c r="D4" s="363" t="str">
        <f>IF($C4="","",VLOOKUP($C4,MATIERES!$A$2:$F$413,5,0))</f>
        <v/>
      </c>
      <c r="E4" s="506"/>
      <c r="F4" s="506"/>
      <c r="G4" s="364">
        <v>1</v>
      </c>
      <c r="H4" s="365" t="str">
        <f>IF($C4="","",G4*VLOOKUP($C4,MATIERES!$A$2:$F$349,4,0))</f>
        <v/>
      </c>
      <c r="I4" s="364">
        <v>1</v>
      </c>
      <c r="J4" s="365" t="str">
        <f>IF($C4="","",I4*VLOOKUP($C4,MATIERES!$A$2:$F$349,4,0))</f>
        <v/>
      </c>
      <c r="K4" s="364">
        <v>1</v>
      </c>
      <c r="L4" s="365" t="str">
        <f>IF($C4="","",K4*VLOOKUP($C4,MATIERES!$A$2:$F$349,4,0))</f>
        <v/>
      </c>
      <c r="M4" s="364">
        <v>1</v>
      </c>
      <c r="N4" s="365" t="str">
        <f>IF($C4="","",M4*VLOOKUP($C4,MATIERES!$A$2:$F$349,4,0))</f>
        <v/>
      </c>
      <c r="O4" s="364">
        <v>1</v>
      </c>
      <c r="P4" s="365" t="str">
        <f>IF($C4="","",O4*VLOOKUP($C4,MATIERES!$A$2:$F$349,4,0))</f>
        <v/>
      </c>
      <c r="Q4" s="364">
        <v>1</v>
      </c>
      <c r="R4" s="365" t="str">
        <f>IF($C4="","",Q4*VLOOKUP($C4,MATIERES!$A$2:$F$349,4,0))</f>
        <v/>
      </c>
    </row>
    <row r="5" spans="1:18" ht="15" customHeight="1" x14ac:dyDescent="0.2">
      <c r="A5" s="1655"/>
      <c r="B5" s="361" t="s">
        <v>1068</v>
      </c>
      <c r="C5" s="362" t="s">
        <v>254</v>
      </c>
      <c r="D5" s="363" t="str">
        <f>IF($C5="","",VLOOKUP($C5,MATIERES!$A$2:$F$227,5,0))</f>
        <v>pc</v>
      </c>
      <c r="E5" s="506"/>
      <c r="F5" s="506"/>
      <c r="G5" s="364">
        <f>'Outils de calculs'!E67</f>
        <v>2</v>
      </c>
      <c r="H5" s="365">
        <f>IF($C5="","",G5*VLOOKUP($C5,MATIERES!$A$2:$F$349,4,0))</f>
        <v>8.7200000000000006</v>
      </c>
      <c r="I5" s="364">
        <f>'Outils de calculs'!G67</f>
        <v>2</v>
      </c>
      <c r="J5" s="365">
        <f>IF($C5="","",I5*VLOOKUP($C5,MATIERES!$A$2:$F$349,4,0))</f>
        <v>8.7200000000000006</v>
      </c>
      <c r="K5" s="364">
        <f>'Outils de calculs'!I67</f>
        <v>2</v>
      </c>
      <c r="L5" s="365">
        <f>IF($C5="","",K5*VLOOKUP($C5,MATIERES!$A$2:$F$349,4,0))</f>
        <v>8.7200000000000006</v>
      </c>
      <c r="M5" s="364">
        <f>'Outils de calculs'!K67</f>
        <v>4</v>
      </c>
      <c r="N5" s="365">
        <f>IF($C5="","",M5*VLOOKUP($C5,MATIERES!$A$2:$F$349,4,0))</f>
        <v>17.440000000000001</v>
      </c>
      <c r="O5" s="364">
        <f>'Outils de calculs'!M67</f>
        <v>4</v>
      </c>
      <c r="P5" s="365">
        <f>IF($C5="","",O5*VLOOKUP($C5,MATIERES!$A$2:$F$349,4,0))</f>
        <v>17.440000000000001</v>
      </c>
      <c r="Q5" s="364">
        <f>'Outils de calculs'!O67</f>
        <v>8</v>
      </c>
      <c r="R5" s="365">
        <f>IF($C5="","",Q5*VLOOKUP($C5,MATIERES!$A$2:$F$349,4,0))</f>
        <v>34.880000000000003</v>
      </c>
    </row>
    <row r="6" spans="1:18" ht="15" customHeight="1" x14ac:dyDescent="0.2">
      <c r="A6" s="1655"/>
      <c r="B6" s="361" t="s">
        <v>719</v>
      </c>
      <c r="C6" s="362" t="s">
        <v>721</v>
      </c>
      <c r="D6" s="363" t="str">
        <f>IF($C6="","",VLOOKUP($C6,MATIERES!$A$2:$F$413,5,0))</f>
        <v>ml</v>
      </c>
      <c r="E6" s="507"/>
      <c r="F6" s="507"/>
      <c r="G6" s="364">
        <f>'Outils de calculs'!E66</f>
        <v>4</v>
      </c>
      <c r="H6" s="365">
        <f>IF($C6="","",G6*VLOOKUP($C6,MATIERES!$A$2:$F$424,4,0))</f>
        <v>7.56</v>
      </c>
      <c r="I6" s="364">
        <f>'Outils de calculs'!G66</f>
        <v>8</v>
      </c>
      <c r="J6" s="365">
        <f>IF($C6="","",I6*VLOOKUP($C6,MATIERES!$A$2:$F$424,4,0))</f>
        <v>15.12</v>
      </c>
      <c r="K6" s="364">
        <f>'Outils de calculs'!I66</f>
        <v>8</v>
      </c>
      <c r="L6" s="365">
        <f>IF($C6="","",K6*VLOOKUP($C6,MATIERES!$A$2:$F$424,4,0))</f>
        <v>15.12</v>
      </c>
      <c r="M6" s="364">
        <f>'Outils de calculs'!K66</f>
        <v>18</v>
      </c>
      <c r="N6" s="365">
        <f>IF($C6="","",M6*VLOOKUP($C6,MATIERES!$A$2:$F$424,4,0))</f>
        <v>34.019999999999996</v>
      </c>
      <c r="O6" s="364">
        <f>'Outils de calculs'!M66</f>
        <v>18</v>
      </c>
      <c r="P6" s="365">
        <f>IF($C6="","",O6*VLOOKUP($C6,MATIERES!$A$2:$F$424,4,0))</f>
        <v>34.019999999999996</v>
      </c>
      <c r="Q6" s="364">
        <f>'Outils de calculs'!O66</f>
        <v>32</v>
      </c>
      <c r="R6" s="365">
        <f>IF($C6="","",Q6*VLOOKUP($C6,MATIERES!$A$2:$F$424,4,0))</f>
        <v>60.48</v>
      </c>
    </row>
    <row r="7" spans="1:18" s="345" customFormat="1" ht="15" customHeight="1" x14ac:dyDescent="0.2">
      <c r="A7" s="1655"/>
      <c r="B7" s="361" t="s">
        <v>1142</v>
      </c>
      <c r="C7" s="362" t="s">
        <v>708</v>
      </c>
      <c r="D7" s="363" t="str">
        <f>IF($C7="","",VLOOKUP($C7,MATIERES!$A$2:$F$227,5,0))</f>
        <v>pc</v>
      </c>
      <c r="E7" s="507"/>
      <c r="F7" s="507"/>
      <c r="G7" s="364"/>
      <c r="H7" s="365"/>
      <c r="I7" s="364"/>
      <c r="J7" s="365"/>
      <c r="K7" s="364"/>
      <c r="L7" s="365"/>
      <c r="M7" s="364"/>
      <c r="N7" s="365"/>
      <c r="O7" s="364"/>
      <c r="P7" s="365"/>
      <c r="Q7" s="364"/>
      <c r="R7" s="365"/>
    </row>
    <row r="8" spans="1:18" ht="15" customHeight="1" x14ac:dyDescent="0.2">
      <c r="A8" s="1655"/>
      <c r="B8" s="361" t="s">
        <v>1142</v>
      </c>
      <c r="C8" s="362" t="s">
        <v>693</v>
      </c>
      <c r="D8" s="363" t="str">
        <f>IF($C8="","",VLOOKUP($C8,MATIERES!$A$2:$F$227,5,0))</f>
        <v>pc</v>
      </c>
      <c r="E8" s="506"/>
      <c r="F8" s="506"/>
      <c r="G8" s="364">
        <f>'Outils de calculs'!E67</f>
        <v>2</v>
      </c>
      <c r="H8" s="365">
        <f>IF($C8="","",G8*VLOOKUP($C8,MATIERES!$A$2:$F$349,4,0))</f>
        <v>5.86</v>
      </c>
      <c r="I8" s="364">
        <f>'Outils de calculs'!G67</f>
        <v>2</v>
      </c>
      <c r="J8" s="365">
        <f>IF($C8="","",I8*VLOOKUP($C8,MATIERES!$A$2:$F$349,4,0))</f>
        <v>5.86</v>
      </c>
      <c r="K8" s="364">
        <f>'Outils de calculs'!I67</f>
        <v>2</v>
      </c>
      <c r="L8" s="365">
        <f>IF($C8="","",K8*VLOOKUP($C8,MATIERES!$A$2:$F$349,4,0))</f>
        <v>5.86</v>
      </c>
      <c r="M8" s="364">
        <f>'Outils de calculs'!K67</f>
        <v>4</v>
      </c>
      <c r="N8" s="365">
        <f>IF($C8="","",M8*VLOOKUP($C8,MATIERES!$A$2:$F$349,4,0))</f>
        <v>11.72</v>
      </c>
      <c r="O8" s="364">
        <f>'Outils de calculs'!M67</f>
        <v>4</v>
      </c>
      <c r="P8" s="365">
        <f>IF($C8="","",O8*VLOOKUP($C8,MATIERES!$A$2:$F$349,4,0))</f>
        <v>11.72</v>
      </c>
      <c r="Q8" s="364">
        <f>'Outils de calculs'!O67</f>
        <v>8</v>
      </c>
      <c r="R8" s="365">
        <f>IF($C8="","",Q8*VLOOKUP($C8,MATIERES!$A$2:$F$349,4,0))</f>
        <v>23.44</v>
      </c>
    </row>
    <row r="9" spans="1:18" ht="15" customHeight="1" x14ac:dyDescent="0.2">
      <c r="A9" s="1655"/>
      <c r="B9" s="361" t="s">
        <v>1077</v>
      </c>
      <c r="C9" s="362" t="s">
        <v>275</v>
      </c>
      <c r="D9" s="363" t="str">
        <f>IF($C9="","",VLOOKUP($C9,MATIERES!$A$2:$F$341,5,0))</f>
        <v>pc</v>
      </c>
      <c r="E9" s="506"/>
      <c r="F9" s="506"/>
      <c r="G9" s="364">
        <f>'Outils de calculs'!E67</f>
        <v>2</v>
      </c>
      <c r="H9" s="365">
        <f>IF($C9="","",G9*VLOOKUP($C9,MATIERES!$A$2:$F$349,4,0))</f>
        <v>100</v>
      </c>
      <c r="I9" s="364">
        <f>'Outils de calculs'!G67</f>
        <v>2</v>
      </c>
      <c r="J9" s="365">
        <f>IF($C9="","",I9*VLOOKUP($C9,MATIERES!$A$2:$F$349,4,0))</f>
        <v>100</v>
      </c>
      <c r="K9" s="364">
        <f>'Outils de calculs'!I67</f>
        <v>2</v>
      </c>
      <c r="L9" s="365">
        <f>IF($C9="","",K9*VLOOKUP($C9,MATIERES!$A$2:$F$349,4,0))</f>
        <v>100</v>
      </c>
      <c r="M9" s="364">
        <f>'Outils de calculs'!K67</f>
        <v>4</v>
      </c>
      <c r="N9" s="365">
        <f>IF($C9="","",M9*VLOOKUP($C9,MATIERES!$A$2:$F$349,4,0))</f>
        <v>200</v>
      </c>
      <c r="O9" s="364">
        <f>'Outils de calculs'!M67</f>
        <v>4</v>
      </c>
      <c r="P9" s="365">
        <f>IF($C9="","",O9*VLOOKUP($C9,MATIERES!$A$2:$F$349,4,0))</f>
        <v>200</v>
      </c>
      <c r="Q9" s="364">
        <f>'Outils de calculs'!O67</f>
        <v>8</v>
      </c>
      <c r="R9" s="365">
        <f>IF($C9="","",Q9*VLOOKUP($C9,MATIERES!$A$2:$F$349,4,0))</f>
        <v>400</v>
      </c>
    </row>
    <row r="10" spans="1:18" ht="15" customHeight="1" x14ac:dyDescent="0.2">
      <c r="A10" s="1655"/>
      <c r="B10" s="361" t="s">
        <v>1077</v>
      </c>
      <c r="C10" s="362"/>
      <c r="D10" s="363" t="str">
        <f>IF($C10="","",VLOOKUP($C10,MATIERES!$A$2:$F$341,5,0))</f>
        <v/>
      </c>
      <c r="E10" s="508"/>
      <c r="F10" s="508"/>
      <c r="G10" s="364"/>
      <c r="H10" s="365"/>
      <c r="I10" s="364"/>
      <c r="J10" s="365"/>
      <c r="K10" s="364"/>
      <c r="L10" s="365"/>
      <c r="M10" s="364"/>
      <c r="N10" s="365"/>
      <c r="O10" s="364"/>
      <c r="P10" s="365"/>
      <c r="Q10" s="364"/>
      <c r="R10" s="365"/>
    </row>
    <row r="11" spans="1:18" ht="15" customHeight="1" x14ac:dyDescent="0.2">
      <c r="A11" s="1655"/>
      <c r="B11" s="361" t="s">
        <v>1077</v>
      </c>
      <c r="C11" s="362"/>
      <c r="D11" s="363" t="str">
        <f>IF($C11="","",VLOOKUP($C11,MATIERES!$A$2:$F$413,5,0))</f>
        <v/>
      </c>
      <c r="E11" s="506"/>
      <c r="F11" s="506"/>
      <c r="G11" s="364"/>
      <c r="H11" s="365"/>
      <c r="I11" s="364"/>
      <c r="J11" s="365"/>
      <c r="K11" s="364"/>
      <c r="L11" s="365"/>
      <c r="M11" s="364"/>
      <c r="N11" s="365"/>
      <c r="O11" s="364"/>
      <c r="P11" s="365"/>
      <c r="Q11" s="364"/>
      <c r="R11" s="365"/>
    </row>
    <row r="12" spans="1:18" ht="30" customHeight="1" x14ac:dyDescent="0.2">
      <c r="A12" s="450"/>
      <c r="B12" s="367" t="s">
        <v>683</v>
      </c>
      <c r="C12" s="368" t="s">
        <v>446</v>
      </c>
      <c r="D12" s="369" t="s">
        <v>447</v>
      </c>
      <c r="E12" s="509"/>
      <c r="F12" s="509"/>
      <c r="G12" s="370">
        <f>H12*(1+Simulation!$P$11)</f>
        <v>158.78200000000001</v>
      </c>
      <c r="H12" s="371">
        <f>SUM(H4:H11)</f>
        <v>122.14</v>
      </c>
      <c r="I12" s="370">
        <f>J12*(1+Simulation!$P$11)</f>
        <v>168.60999999999999</v>
      </c>
      <c r="J12" s="371">
        <f>SUM(J4:J11)</f>
        <v>129.69999999999999</v>
      </c>
      <c r="K12" s="370">
        <f>L12*(1+Simulation!$P$11)</f>
        <v>168.60999999999999</v>
      </c>
      <c r="L12" s="371">
        <f>SUM(L4:L11)</f>
        <v>129.69999999999999</v>
      </c>
      <c r="M12" s="370">
        <f>N12*(1+Simulation!$P$11)</f>
        <v>342.13400000000001</v>
      </c>
      <c r="N12" s="371">
        <f>SUM(N4:N11)</f>
        <v>263.18</v>
      </c>
      <c r="O12" s="370">
        <f>P12*(1+Simulation!$P$11)</f>
        <v>342.13400000000001</v>
      </c>
      <c r="P12" s="371">
        <f>SUM(P4:P11)</f>
        <v>263.18</v>
      </c>
      <c r="Q12" s="370">
        <f>R12*(1+Simulation!$P$11)</f>
        <v>674.43999999999994</v>
      </c>
      <c r="R12" s="371">
        <f>SUM(R4:R11)</f>
        <v>518.79999999999995</v>
      </c>
    </row>
    <row r="13" spans="1:18" ht="15" customHeight="1" x14ac:dyDescent="0.2">
      <c r="A13" s="1624" t="s">
        <v>448</v>
      </c>
      <c r="B13" s="361" t="s">
        <v>1153</v>
      </c>
      <c r="C13" s="362" t="s">
        <v>419</v>
      </c>
      <c r="D13" s="363" t="str">
        <f>IF($C13="","",VLOOKUP($C13,ATELIER!$A$2:$E$109,3,0))</f>
        <v>pc</v>
      </c>
      <c r="E13" s="506"/>
      <c r="F13" s="506"/>
      <c r="G13" s="364">
        <f>2*'Outils de calculs'!E67</f>
        <v>4</v>
      </c>
      <c r="H13" s="372">
        <f>IF($C13="","",G13*VLOOKUP($C13,ATELIER!$A$2:$F$109,4,0))</f>
        <v>0.32</v>
      </c>
      <c r="I13" s="364">
        <f>2*'Outils de calculs'!G67</f>
        <v>4</v>
      </c>
      <c r="J13" s="372">
        <f>IF($C13="","",I13*VLOOKUP($C13,ATELIER!$A$2:$F$109,4,0))</f>
        <v>0.32</v>
      </c>
      <c r="K13" s="364">
        <f>2*'Outils de calculs'!I67</f>
        <v>4</v>
      </c>
      <c r="L13" s="372">
        <f>IF($C13="","",K13*VLOOKUP($C13,ATELIER!$A$2:$F$109,4,0))</f>
        <v>0.32</v>
      </c>
      <c r="M13" s="364">
        <f>2*'Outils de calculs'!K67</f>
        <v>8</v>
      </c>
      <c r="N13" s="372">
        <f>IF($C13="","",M13*VLOOKUP($C13,ATELIER!$A$2:$F$109,4,0))</f>
        <v>0.64</v>
      </c>
      <c r="O13" s="364">
        <f>2*'Outils de calculs'!M67</f>
        <v>8</v>
      </c>
      <c r="P13" s="372">
        <f>IF($C13="","",O13*VLOOKUP($C13,ATELIER!$A$2:$F$109,4,0))</f>
        <v>0.64</v>
      </c>
      <c r="Q13" s="364">
        <f>2*'Outils de calculs'!O67</f>
        <v>16</v>
      </c>
      <c r="R13" s="372">
        <f>IF($C13="","",Q13*VLOOKUP($C13,ATELIER!$A$2:$F$109,4,0))</f>
        <v>1.28</v>
      </c>
    </row>
    <row r="14" spans="1:18" ht="15" customHeight="1" x14ac:dyDescent="0.2">
      <c r="A14" s="1624"/>
      <c r="B14" s="361" t="s">
        <v>1153</v>
      </c>
      <c r="C14" s="362" t="s">
        <v>416</v>
      </c>
      <c r="D14" s="363" t="str">
        <f>IF($C14="","",VLOOKUP($C14,ATELIER!$A$2:$E$109,3,0))</f>
        <v>pc</v>
      </c>
      <c r="E14" s="506"/>
      <c r="F14" s="506"/>
      <c r="G14" s="364">
        <f>'Outils de calculs'!E69</f>
        <v>1</v>
      </c>
      <c r="H14" s="372">
        <f>IF($C14="","",G14*VLOOKUP($C14,ATELIER!$A$2:$F$109,4,0))</f>
        <v>0.25</v>
      </c>
      <c r="I14" s="364">
        <f>'Outils de calculs'!G69</f>
        <v>2</v>
      </c>
      <c r="J14" s="372">
        <f>IF($C14="","",I14*VLOOKUP($C14,ATELIER!$A$2:$F$109,4,0))</f>
        <v>0.5</v>
      </c>
      <c r="K14" s="364">
        <f>'Outils de calculs'!I69</f>
        <v>2</v>
      </c>
      <c r="L14" s="372">
        <f>IF($C14="","",K14*VLOOKUP($C14,ATELIER!$A$2:$F$109,4,0))</f>
        <v>0.5</v>
      </c>
      <c r="M14" s="364">
        <f>'Outils de calculs'!K69</f>
        <v>4</v>
      </c>
      <c r="N14" s="372">
        <f>IF($C14="","",M14*VLOOKUP($C14,ATELIER!$A$2:$F$109,4,0))</f>
        <v>1</v>
      </c>
      <c r="O14" s="364">
        <f>'Outils de calculs'!M69</f>
        <v>4</v>
      </c>
      <c r="P14" s="372">
        <f>IF($C14="","",O14*VLOOKUP($C14,ATELIER!$A$2:$F$109,4,0))</f>
        <v>1</v>
      </c>
      <c r="Q14" s="364">
        <f>'Outils de calculs'!O69</f>
        <v>8</v>
      </c>
      <c r="R14" s="372">
        <f>IF($C14="","",Q14*VLOOKUP($C14,ATELIER!$A$2:$F$109,4,0))</f>
        <v>2</v>
      </c>
    </row>
    <row r="15" spans="1:18" ht="15" customHeight="1" x14ac:dyDescent="0.2">
      <c r="A15" s="1624"/>
      <c r="B15" s="361" t="s">
        <v>1156</v>
      </c>
      <c r="C15" s="362" t="s">
        <v>1659</v>
      </c>
      <c r="D15" s="363" t="str">
        <f>IF($C15="","",VLOOKUP($C15,ATELIER!$A$2:$E$109,3,0))</f>
        <v>pc</v>
      </c>
      <c r="E15" s="510"/>
      <c r="F15" s="510"/>
      <c r="G15" s="364">
        <f>'Outils de calculs'!E67</f>
        <v>2</v>
      </c>
      <c r="H15" s="372">
        <f>IF($C15="","",G15*VLOOKUP($C15,ATELIER!$A$2:$F$109,4,0))</f>
        <v>0.5</v>
      </c>
      <c r="I15" s="364">
        <f>'Outils de calculs'!G67</f>
        <v>2</v>
      </c>
      <c r="J15" s="372">
        <f>IF($C15="","",I15*VLOOKUP($C15,ATELIER!$A$2:$F$109,4,0))</f>
        <v>0.5</v>
      </c>
      <c r="K15" s="364">
        <f>'Outils de calculs'!I67</f>
        <v>2</v>
      </c>
      <c r="L15" s="372">
        <f>IF($C15="","",K15*VLOOKUP($C15,ATELIER!$A$2:$F$109,4,0))</f>
        <v>0.5</v>
      </c>
      <c r="M15" s="364">
        <f>'Outils de calculs'!K67</f>
        <v>4</v>
      </c>
      <c r="N15" s="372">
        <f>IF($C15="","",M15*VLOOKUP($C15,ATELIER!$A$2:$F$109,4,0))</f>
        <v>1</v>
      </c>
      <c r="O15" s="364">
        <f>'Outils de calculs'!M67</f>
        <v>4</v>
      </c>
      <c r="P15" s="372">
        <f>IF($C15="","",O15*VLOOKUP($C15,ATELIER!$A$2:$F$109,4,0))</f>
        <v>1</v>
      </c>
      <c r="Q15" s="364">
        <f>'Outils de calculs'!O67</f>
        <v>8</v>
      </c>
      <c r="R15" s="372">
        <f>IF($C15="","",Q15*VLOOKUP($C15,ATELIER!$A$2:$F$109,4,0))</f>
        <v>2</v>
      </c>
    </row>
    <row r="16" spans="1:18" ht="15" customHeight="1" x14ac:dyDescent="0.2">
      <c r="A16" s="1624"/>
      <c r="B16" s="361" t="s">
        <v>1153</v>
      </c>
      <c r="C16" s="362"/>
      <c r="D16" s="363"/>
      <c r="E16" s="511"/>
      <c r="F16" s="511"/>
      <c r="G16" s="364"/>
      <c r="H16" s="372"/>
      <c r="I16" s="364"/>
      <c r="J16" s="372"/>
      <c r="K16" s="364"/>
      <c r="L16" s="372"/>
      <c r="M16" s="364"/>
      <c r="N16" s="372"/>
      <c r="O16" s="364"/>
      <c r="P16" s="372"/>
      <c r="Q16" s="364"/>
      <c r="R16" s="372"/>
    </row>
    <row r="17" spans="1:18" ht="15" customHeight="1" x14ac:dyDescent="0.2">
      <c r="A17" s="1624"/>
      <c r="B17" s="361"/>
      <c r="C17" s="362"/>
      <c r="D17" s="363"/>
      <c r="E17" s="512"/>
      <c r="F17" s="512"/>
      <c r="G17" s="364"/>
      <c r="H17" s="372"/>
      <c r="I17" s="364"/>
      <c r="J17" s="372"/>
      <c r="K17" s="364"/>
      <c r="L17" s="372"/>
      <c r="M17" s="364"/>
      <c r="N17" s="372"/>
      <c r="O17" s="364"/>
      <c r="P17" s="372"/>
      <c r="Q17" s="364"/>
      <c r="R17" s="372"/>
    </row>
    <row r="18" spans="1:18" ht="15" customHeight="1" x14ac:dyDescent="0.2">
      <c r="A18" s="1624"/>
      <c r="B18" s="361" t="str">
        <f>IF($C18="","",VLOOKUP($C18,ATELIER!$A$2:$F$109,2,0))</f>
        <v/>
      </c>
      <c r="C18" s="362"/>
      <c r="D18" s="363" t="str">
        <f>IF($C18="","",VLOOKUP($C18,ATELIER!$A$2:$E$109,3,0))</f>
        <v/>
      </c>
      <c r="E18" s="513"/>
      <c r="F18" s="513"/>
      <c r="G18" s="364"/>
      <c r="H18" s="372" t="str">
        <f>IF($C18="","",G18*VLOOKUP($C18,ATELIER!$A$2:$F$109,4,0))</f>
        <v/>
      </c>
      <c r="I18" s="364"/>
      <c r="J18" s="372" t="str">
        <f>IF($C18="","",I18*VLOOKUP($C18,ATELIER!$A$2:$F$109,4,0))</f>
        <v/>
      </c>
      <c r="K18" s="364"/>
      <c r="L18" s="372" t="str">
        <f>IF($C18="","",K18*VLOOKUP($C18,ATELIER!$A$2:$F$109,4,0))</f>
        <v/>
      </c>
      <c r="M18" s="364"/>
      <c r="N18" s="372" t="str">
        <f>IF($C18="","",M18*VLOOKUP($C18,ATELIER!$A$2:$F$109,4,0))</f>
        <v/>
      </c>
      <c r="O18" s="364"/>
      <c r="P18" s="372" t="str">
        <f>IF($C18="","",O18*VLOOKUP($C18,ATELIER!$A$2:$F$109,4,0))</f>
        <v/>
      </c>
      <c r="Q18" s="364"/>
      <c r="R18" s="372" t="str">
        <f>IF($C18="","",Q18*VLOOKUP($C18,ATELIER!$A$2:$F$109,4,0))</f>
        <v/>
      </c>
    </row>
    <row r="19" spans="1:18" ht="35.25" customHeight="1" x14ac:dyDescent="0.2">
      <c r="A19" s="1624"/>
      <c r="B19" s="375" t="s">
        <v>449</v>
      </c>
      <c r="C19" s="376" t="s">
        <v>450</v>
      </c>
      <c r="D19" s="377" t="s">
        <v>451</v>
      </c>
      <c r="E19" s="513"/>
      <c r="F19" s="513"/>
      <c r="G19" s="376">
        <f>H19*Simulation!$P$8</f>
        <v>48.150000000000006</v>
      </c>
      <c r="H19" s="377">
        <f>SUM(H13:H18)</f>
        <v>1.07</v>
      </c>
      <c r="I19" s="376">
        <f>J19*Simulation!$P$8</f>
        <v>59.400000000000006</v>
      </c>
      <c r="J19" s="377">
        <f>SUM(J13:J18)</f>
        <v>1.32</v>
      </c>
      <c r="K19" s="376">
        <f>L19*Simulation!$P$8</f>
        <v>59.400000000000006</v>
      </c>
      <c r="L19" s="377">
        <f>SUM(L13:L18)</f>
        <v>1.32</v>
      </c>
      <c r="M19" s="376">
        <f>N19*Simulation!$P$8</f>
        <v>118.80000000000001</v>
      </c>
      <c r="N19" s="377">
        <f t="shared" ref="N19" si="0">SUM(N13:N18)</f>
        <v>2.64</v>
      </c>
      <c r="O19" s="376">
        <f>P19*Simulation!$P$8</f>
        <v>118.80000000000001</v>
      </c>
      <c r="P19" s="377">
        <f t="shared" ref="P19" si="1">SUM(P13:P18)</f>
        <v>2.64</v>
      </c>
      <c r="Q19" s="376">
        <f>R19*Simulation!$P$8</f>
        <v>237.60000000000002</v>
      </c>
      <c r="R19" s="377">
        <f t="shared" ref="R19" si="2">SUM(R13:R18)</f>
        <v>5.28</v>
      </c>
    </row>
    <row r="20" spans="1:18" ht="15" customHeight="1" x14ac:dyDescent="0.2">
      <c r="A20" s="1632" t="s">
        <v>452</v>
      </c>
      <c r="B20" s="361" t="s">
        <v>1164</v>
      </c>
      <c r="C20" s="378" t="s">
        <v>1000</v>
      </c>
      <c r="D20" s="363" t="str">
        <f>IF(C20="","",VLOOKUP($C20,CHANTIER!$A$2:$C$83,3,0))</f>
        <v>pc</v>
      </c>
      <c r="E20" s="513"/>
      <c r="F20" s="513"/>
      <c r="G20" s="364">
        <f>G9</f>
        <v>2</v>
      </c>
      <c r="H20" s="372">
        <f>IF($C20="","",G20*VLOOKUP($C20,CHANTIER!$A$2:$D$83,4,0))</f>
        <v>0.7</v>
      </c>
      <c r="I20" s="364">
        <v>2</v>
      </c>
      <c r="J20" s="372">
        <f>IF($C20="","",I20*VLOOKUP($C20,CHANTIER!$A$2:$D$83,4,0))</f>
        <v>0.7</v>
      </c>
      <c r="K20" s="364">
        <v>2</v>
      </c>
      <c r="L20" s="372">
        <f>IF($C20="","",K20*VLOOKUP($C20,CHANTIER!$A$2:$D$83,4,0))</f>
        <v>0.7</v>
      </c>
      <c r="M20" s="364">
        <v>4</v>
      </c>
      <c r="N20" s="372">
        <f>IF($C20="","",M20*VLOOKUP($C20,CHANTIER!$A$2:$D$83,4,0))</f>
        <v>1.4</v>
      </c>
      <c r="O20" s="364">
        <v>4</v>
      </c>
      <c r="P20" s="372">
        <f>IF($C20="","",O20*VLOOKUP($C20,CHANTIER!$A$2:$D$83,4,0))</f>
        <v>1.4</v>
      </c>
      <c r="Q20" s="364">
        <v>8</v>
      </c>
      <c r="R20" s="372">
        <f>IF($C20="","",Q20*VLOOKUP($C20,CHANTIER!$A$2:$D$83,4,0))</f>
        <v>2.8</v>
      </c>
    </row>
    <row r="21" spans="1:18" ht="15" customHeight="1" x14ac:dyDescent="0.2">
      <c r="A21" s="1632"/>
      <c r="B21" s="361" t="s">
        <v>1164</v>
      </c>
      <c r="C21" s="378"/>
      <c r="D21" s="363" t="str">
        <f>IF(C21="","",VLOOKUP($C21,CHANTIER!$A$2:$C$83,3,0))</f>
        <v/>
      </c>
      <c r="E21" s="513"/>
      <c r="F21" s="513"/>
      <c r="G21" s="364"/>
      <c r="H21" s="372" t="str">
        <f>IF($C21="","",G21*VLOOKUP($C21,CHANTIER!$A$2:$D$83,4,0))</f>
        <v/>
      </c>
      <c r="I21" s="364"/>
      <c r="J21" s="372" t="str">
        <f>IF($C21="","",I21*VLOOKUP($C21,CHANTIER!$A$2:$D$83,4,0))</f>
        <v/>
      </c>
      <c r="K21" s="364"/>
      <c r="L21" s="372" t="str">
        <f>IF($C21="","",K21*VLOOKUP($C21,CHANTIER!$A$2:$D$83,4,0))</f>
        <v/>
      </c>
      <c r="M21" s="364"/>
      <c r="N21" s="372" t="str">
        <f>IF($C21="","",M21*VLOOKUP($C21,CHANTIER!$A$2:$D$83,4,0))</f>
        <v/>
      </c>
      <c r="O21" s="364"/>
      <c r="P21" s="372" t="str">
        <f>IF($C21="","",O21*VLOOKUP($C21,CHANTIER!$A$2:$D$83,4,0))</f>
        <v/>
      </c>
      <c r="Q21" s="364"/>
      <c r="R21" s="372" t="str">
        <f>IF($C21="","",Q21*VLOOKUP($C21,CHANTIER!$A$2:$D$83,4,0))</f>
        <v/>
      </c>
    </row>
    <row r="22" spans="1:18" ht="15" customHeight="1" x14ac:dyDescent="0.2">
      <c r="A22" s="1633"/>
      <c r="B22" s="361" t="s">
        <v>1164</v>
      </c>
      <c r="C22" s="378"/>
      <c r="D22" s="363" t="str">
        <f>IF(C22="","",VLOOKUP($C22,CHANTIER!$A$2:$C$83,3,0))</f>
        <v/>
      </c>
      <c r="E22" s="513"/>
      <c r="F22" s="513"/>
      <c r="G22" s="364"/>
      <c r="H22" s="372" t="str">
        <f>IF($C22="","",G22*VLOOKUP($C22,CHANTIER!$A$2:$D$83,4,0))</f>
        <v/>
      </c>
      <c r="I22" s="364"/>
      <c r="J22" s="372" t="str">
        <f>IF($C22="","",I22*VLOOKUP($C22,CHANTIER!$A$2:$D$83,4,0))</f>
        <v/>
      </c>
      <c r="K22" s="364"/>
      <c r="L22" s="372" t="str">
        <f>IF($C22="","",K22*VLOOKUP($C22,CHANTIER!$A$2:$D$83,4,0))</f>
        <v/>
      </c>
      <c r="M22" s="364"/>
      <c r="N22" s="372" t="str">
        <f>IF($C22="","",M22*VLOOKUP($C22,CHANTIER!$A$2:$D$83,4,0))</f>
        <v/>
      </c>
      <c r="O22" s="364"/>
      <c r="P22" s="372" t="str">
        <f>IF($C22="","",O22*VLOOKUP($C22,CHANTIER!$A$2:$D$83,4,0))</f>
        <v/>
      </c>
      <c r="Q22" s="364"/>
      <c r="R22" s="372" t="str">
        <f>IF($C22="","",Q22*VLOOKUP($C22,CHANTIER!$A$2:$D$83,4,0))</f>
        <v/>
      </c>
    </row>
    <row r="23" spans="1:18" ht="30.75" customHeight="1" x14ac:dyDescent="0.2">
      <c r="A23" s="1632"/>
      <c r="B23" s="379" t="s">
        <v>453</v>
      </c>
      <c r="C23" s="380" t="s">
        <v>450</v>
      </c>
      <c r="D23" s="381" t="s">
        <v>451</v>
      </c>
      <c r="E23" s="390"/>
      <c r="F23" s="390"/>
      <c r="G23" s="382">
        <f>H23*Simulation!$P$9</f>
        <v>31.499999999999996</v>
      </c>
      <c r="H23" s="383">
        <f>SUM(H20:H22)</f>
        <v>0.7</v>
      </c>
      <c r="I23" s="382">
        <f>J23*Simulation!$P$9</f>
        <v>31.499999999999996</v>
      </c>
      <c r="J23" s="383">
        <f>SUM(J20:J22)</f>
        <v>0.7</v>
      </c>
      <c r="K23" s="382">
        <f>L23*Simulation!$P$9</f>
        <v>31.499999999999996</v>
      </c>
      <c r="L23" s="383">
        <f>SUM(L20:L22)</f>
        <v>0.7</v>
      </c>
      <c r="M23" s="382">
        <f>N23*Simulation!$P$9</f>
        <v>62.999999999999993</v>
      </c>
      <c r="N23" s="383">
        <f t="shared" ref="N23" si="3">SUM(N20:N22)</f>
        <v>1.4</v>
      </c>
      <c r="O23" s="382">
        <f>P23*Simulation!$P$9</f>
        <v>62.999999999999993</v>
      </c>
      <c r="P23" s="383">
        <f t="shared" ref="P23" si="4">SUM(P20:P22)</f>
        <v>1.4</v>
      </c>
      <c r="Q23" s="382">
        <f>R23*Simulation!$P$9</f>
        <v>125.99999999999999</v>
      </c>
      <c r="R23" s="383">
        <f t="shared" ref="R23" si="5">SUM(R20:R22)</f>
        <v>2.8</v>
      </c>
    </row>
    <row r="24" spans="1:18" ht="15" customHeight="1" x14ac:dyDescent="0.2">
      <c r="A24" s="1634" t="s">
        <v>4</v>
      </c>
      <c r="B24" s="361" t="s">
        <v>371</v>
      </c>
      <c r="C24" s="378" t="s">
        <v>392</v>
      </c>
      <c r="D24" s="363" t="str">
        <f>IF(C24="","",VLOOKUP($C24,MINIPELLE!$A$2:$C$28,3,0))</f>
        <v>ml</v>
      </c>
      <c r="E24" s="393"/>
      <c r="F24" s="393"/>
      <c r="G24" s="364">
        <f>'Outils de calculs'!E66</f>
        <v>4</v>
      </c>
      <c r="H24" s="372">
        <f>IF($C24="","",G24*VLOOKUP($C24,MINIPELLE!$A$2:$D$28,4,0))</f>
        <v>0.6</v>
      </c>
      <c r="I24" s="364">
        <f>'Outils de calculs'!G66</f>
        <v>8</v>
      </c>
      <c r="J24" s="372">
        <f>IF($C24="","",I24*VLOOKUP($C24,MINIPELLE!$A$2:$D$28,4,0))</f>
        <v>1.2</v>
      </c>
      <c r="K24" s="364">
        <f>'Outils de calculs'!I66</f>
        <v>8</v>
      </c>
      <c r="L24" s="372">
        <f>IF($C24="","",K24*VLOOKUP($C24,MINIPELLE!$A$2:$D$28,4,0))</f>
        <v>1.2</v>
      </c>
      <c r="M24" s="364">
        <f>'Outils de calculs'!K66</f>
        <v>18</v>
      </c>
      <c r="N24" s="372">
        <f>IF($C24="","",M24*VLOOKUP($C24,MINIPELLE!$A$2:$D$28,4,0))</f>
        <v>2.6999999999999997</v>
      </c>
      <c r="O24" s="364">
        <f>'Outils de calculs'!M66</f>
        <v>18</v>
      </c>
      <c r="P24" s="372">
        <f>IF($C24="","",O24*VLOOKUP($C24,MINIPELLE!$A$2:$D$28,4,0))</f>
        <v>2.6999999999999997</v>
      </c>
      <c r="Q24" s="364">
        <f>'Outils de calculs'!O66</f>
        <v>32</v>
      </c>
      <c r="R24" s="372">
        <f>IF($C24="","",Q24*VLOOKUP($C24,MINIPELLE!$A$2:$D$28,4,0))</f>
        <v>4.8</v>
      </c>
    </row>
    <row r="25" spans="1:18" ht="15" customHeight="1" x14ac:dyDescent="0.2">
      <c r="A25" s="1635"/>
      <c r="B25" s="361"/>
      <c r="C25" s="378"/>
      <c r="D25" s="363" t="str">
        <f>IF(C25="","",VLOOKUP($C25,MINIPELLE!$A$2:$C$28,3,0))</f>
        <v/>
      </c>
      <c r="E25" s="393"/>
      <c r="F25" s="393"/>
      <c r="G25" s="364"/>
      <c r="H25" s="389" t="str">
        <f>IF($C25="","",G25*VLOOKUP($C25,MINIPELLE!$A$2:$D$28,4,0))</f>
        <v/>
      </c>
      <c r="I25" s="364"/>
      <c r="J25" s="389" t="str">
        <f>IF($C25="","",I25*VLOOKUP($C25,MINIPELLE!$A$2:$D$28,4,0))</f>
        <v/>
      </c>
      <c r="K25" s="364"/>
      <c r="L25" s="389" t="str">
        <f>IF($C25="","",K25*VLOOKUP($C25,MINIPELLE!$A$2:$D$28,4,0))</f>
        <v/>
      </c>
      <c r="M25" s="364"/>
      <c r="N25" s="389" t="str">
        <f>IF($C25="","",M25*VLOOKUP($C25,MINIPELLE!$A$2:$D$28,4,0))</f>
        <v/>
      </c>
      <c r="O25" s="364"/>
      <c r="P25" s="389" t="str">
        <f>IF($C25="","",O25*VLOOKUP($C25,MINIPELLE!$A$2:$D$28,4,0))</f>
        <v/>
      </c>
      <c r="Q25" s="364"/>
      <c r="R25" s="389" t="str">
        <f>IF($C25="","",Q25*VLOOKUP($C25,MINIPELLE!$A$2:$D$28,4,0))</f>
        <v/>
      </c>
    </row>
    <row r="26" spans="1:18" ht="29.25" customHeight="1" x14ac:dyDescent="0.2">
      <c r="A26" s="1635"/>
      <c r="B26" s="384" t="s">
        <v>454</v>
      </c>
      <c r="C26" s="385" t="s">
        <v>455</v>
      </c>
      <c r="D26" s="386" t="s">
        <v>451</v>
      </c>
      <c r="E26" s="393"/>
      <c r="F26" s="393"/>
      <c r="G26" s="387">
        <f>H26*Simulation!$P$10</f>
        <v>48</v>
      </c>
      <c r="H26" s="388">
        <f>SUM(H24:H25)</f>
        <v>0.6</v>
      </c>
      <c r="I26" s="387">
        <f>J26*Simulation!$P$10</f>
        <v>96</v>
      </c>
      <c r="J26" s="388">
        <f>SUM(J24:J25)</f>
        <v>1.2</v>
      </c>
      <c r="K26" s="387">
        <f>L26*Simulation!$P$10</f>
        <v>96</v>
      </c>
      <c r="L26" s="388">
        <f>SUM(L24:L25)</f>
        <v>1.2</v>
      </c>
      <c r="M26" s="387">
        <f>N26*Simulation!$P$10</f>
        <v>215.99999999999997</v>
      </c>
      <c r="N26" s="388">
        <f t="shared" ref="N26" si="6">SUM(N24:N25)</f>
        <v>2.6999999999999997</v>
      </c>
      <c r="O26" s="387">
        <f>P26*Simulation!$P$10</f>
        <v>215.99999999999997</v>
      </c>
      <c r="P26" s="388">
        <f t="shared" ref="P26" si="7">SUM(P24:P25)</f>
        <v>2.6999999999999997</v>
      </c>
      <c r="Q26" s="387">
        <f>R26*Simulation!$P$10</f>
        <v>384</v>
      </c>
      <c r="R26" s="388">
        <f t="shared" ref="R26" si="8">SUM(R24:R25)</f>
        <v>4.8</v>
      </c>
    </row>
    <row r="27" spans="1:18" ht="18" x14ac:dyDescent="0.2">
      <c r="A27" s="199"/>
      <c r="B27" s="199"/>
      <c r="C27" s="172"/>
      <c r="D27" s="200"/>
      <c r="E27" s="393"/>
      <c r="F27" s="393"/>
      <c r="G27" s="201"/>
      <c r="H27" s="202"/>
      <c r="I27" s="203"/>
      <c r="J27" s="202"/>
      <c r="K27" s="203"/>
      <c r="M27" s="203"/>
      <c r="O27" s="203"/>
      <c r="Q27" s="203"/>
    </row>
    <row r="28" spans="1:18" ht="36" customHeight="1" x14ac:dyDescent="0.2">
      <c r="A28" s="1644" t="s">
        <v>456</v>
      </c>
      <c r="B28" s="1645"/>
      <c r="C28" s="1646" t="s">
        <v>445</v>
      </c>
      <c r="D28" s="1647"/>
      <c r="E28" s="393"/>
      <c r="F28" s="393"/>
      <c r="G28" s="1547">
        <f>G26+G23+G19+G12</f>
        <v>286.43200000000002</v>
      </c>
      <c r="H28" s="1547"/>
      <c r="I28" s="1547">
        <f>I26+I23+I19+I12</f>
        <v>355.51</v>
      </c>
      <c r="J28" s="1547"/>
      <c r="K28" s="1547">
        <f>K26+K23+K19+K12</f>
        <v>355.51</v>
      </c>
      <c r="L28" s="1547"/>
      <c r="M28" s="1547">
        <f t="shared" ref="M28" si="9">M26+M23+M19+M12</f>
        <v>739.93399999999997</v>
      </c>
      <c r="N28" s="1547"/>
      <c r="O28" s="1547">
        <f t="shared" ref="O28" si="10">O26+O23+O19+O12</f>
        <v>739.93399999999997</v>
      </c>
      <c r="P28" s="1547"/>
      <c r="Q28" s="1547">
        <f t="shared" ref="Q28" si="11">Q26+Q23+Q19+Q12</f>
        <v>1422.04</v>
      </c>
      <c r="R28" s="1547"/>
    </row>
    <row r="29" spans="1:18" ht="18" customHeight="1" x14ac:dyDescent="0.2">
      <c r="A29" s="1644"/>
      <c r="B29" s="1645"/>
      <c r="C29" s="1648" t="s">
        <v>457</v>
      </c>
      <c r="D29" s="1649"/>
      <c r="E29" s="393"/>
      <c r="F29" s="393"/>
      <c r="G29" s="149">
        <f>G12-H12</f>
        <v>36.64200000000001</v>
      </c>
      <c r="H29" s="207">
        <f>G29/G$28</f>
        <v>0.12792565076527765</v>
      </c>
      <c r="I29" s="149">
        <f>I12-J12</f>
        <v>38.909999999999997</v>
      </c>
      <c r="J29" s="207">
        <f>I29/I$28</f>
        <v>0.10944839807600348</v>
      </c>
      <c r="K29" s="149">
        <f>K12-L12</f>
        <v>38.909999999999997</v>
      </c>
      <c r="L29" s="207">
        <f>K29/K$28</f>
        <v>0.10944839807600348</v>
      </c>
      <c r="M29" s="149">
        <f t="shared" ref="M29" si="12">M12-N12</f>
        <v>78.954000000000008</v>
      </c>
      <c r="N29" s="207">
        <f t="shared" ref="N29" si="13">M29/M$28</f>
        <v>0.10670411144777779</v>
      </c>
      <c r="O29" s="149">
        <f t="shared" ref="O29" si="14">O12-P12</f>
        <v>78.954000000000008</v>
      </c>
      <c r="P29" s="207">
        <f t="shared" ref="P29" si="15">O29/O$28</f>
        <v>0.10670411144777779</v>
      </c>
      <c r="Q29" s="149">
        <f t="shared" ref="Q29" si="16">Q12-R12</f>
        <v>155.63999999999999</v>
      </c>
      <c r="R29" s="207">
        <f t="shared" ref="R29:R33" si="17">Q29/Q$28</f>
        <v>0.10944839807600348</v>
      </c>
    </row>
    <row r="30" spans="1:18" ht="18" customHeight="1" x14ac:dyDescent="0.2">
      <c r="A30" s="1644"/>
      <c r="B30" s="1645"/>
      <c r="C30" s="1650" t="s">
        <v>9</v>
      </c>
      <c r="D30" s="1651"/>
      <c r="E30" s="393"/>
      <c r="F30" s="393"/>
      <c r="G30" s="149">
        <f>G12</f>
        <v>158.78200000000001</v>
      </c>
      <c r="H30" s="207">
        <f>G30/G$28</f>
        <v>0.55434448664953639</v>
      </c>
      <c r="I30" s="149">
        <f>I12</f>
        <v>168.60999999999999</v>
      </c>
      <c r="J30" s="207">
        <f>I30/I$28</f>
        <v>0.47427639166268176</v>
      </c>
      <c r="K30" s="149">
        <f>K12</f>
        <v>168.60999999999999</v>
      </c>
      <c r="L30" s="207">
        <f>K30/K$28</f>
        <v>0.47427639166268176</v>
      </c>
      <c r="M30" s="149">
        <f t="shared" ref="M30" si="18">M12</f>
        <v>342.13400000000001</v>
      </c>
      <c r="N30" s="207">
        <f t="shared" ref="N30" si="19">M30/M$28</f>
        <v>0.46238448294037038</v>
      </c>
      <c r="O30" s="149">
        <f t="shared" ref="O30" si="20">O12</f>
        <v>342.13400000000001</v>
      </c>
      <c r="P30" s="207">
        <f t="shared" ref="P30" si="21">O30/O$28</f>
        <v>0.46238448294037038</v>
      </c>
      <c r="Q30" s="149">
        <f t="shared" ref="Q30" si="22">Q12</f>
        <v>674.43999999999994</v>
      </c>
      <c r="R30" s="207">
        <f t="shared" si="17"/>
        <v>0.47427639166268176</v>
      </c>
    </row>
    <row r="31" spans="1:18" ht="18" customHeight="1" x14ac:dyDescent="0.2">
      <c r="A31" s="1644"/>
      <c r="B31" s="1645"/>
      <c r="C31" s="1648" t="s">
        <v>458</v>
      </c>
      <c r="D31" s="1649"/>
      <c r="E31" s="393"/>
      <c r="F31" s="393"/>
      <c r="G31" s="149">
        <f>G19</f>
        <v>48.150000000000006</v>
      </c>
      <c r="H31" s="207">
        <f>G31/G$28</f>
        <v>0.16810272595240755</v>
      </c>
      <c r="I31" s="149">
        <f>I19</f>
        <v>59.400000000000006</v>
      </c>
      <c r="J31" s="207">
        <f>I31/I$28</f>
        <v>0.16708390762566455</v>
      </c>
      <c r="K31" s="149">
        <f>K19</f>
        <v>59.400000000000006</v>
      </c>
      <c r="L31" s="207">
        <f>K31/K$28</f>
        <v>0.16708390762566455</v>
      </c>
      <c r="M31" s="149">
        <f t="shared" ref="M31" si="23">M19</f>
        <v>118.80000000000001</v>
      </c>
      <c r="N31" s="207">
        <f t="shared" ref="N31" si="24">M31/M$28</f>
        <v>0.16055486029835095</v>
      </c>
      <c r="O31" s="149">
        <f t="shared" ref="O31" si="25">O19</f>
        <v>118.80000000000001</v>
      </c>
      <c r="P31" s="207">
        <f t="shared" ref="P31" si="26">O31/O$28</f>
        <v>0.16055486029835095</v>
      </c>
      <c r="Q31" s="149">
        <f t="shared" ref="Q31" si="27">Q19</f>
        <v>237.60000000000002</v>
      </c>
      <c r="R31" s="207">
        <f t="shared" si="17"/>
        <v>0.16708390762566455</v>
      </c>
    </row>
    <row r="32" spans="1:18" ht="18" customHeight="1" x14ac:dyDescent="0.2">
      <c r="A32" s="1644"/>
      <c r="B32" s="1645"/>
      <c r="C32" s="1650" t="s">
        <v>459</v>
      </c>
      <c r="D32" s="1651"/>
      <c r="E32" s="393"/>
      <c r="F32" s="393"/>
      <c r="G32" s="149">
        <f>G23</f>
        <v>31.499999999999996</v>
      </c>
      <c r="H32" s="207">
        <f>G32/G$28</f>
        <v>0.10997374595017315</v>
      </c>
      <c r="I32" s="149">
        <f>I23</f>
        <v>31.499999999999996</v>
      </c>
      <c r="J32" s="207">
        <f>I32/I$28</f>
        <v>8.8605102528761484E-2</v>
      </c>
      <c r="K32" s="149">
        <f>K23</f>
        <v>31.499999999999996</v>
      </c>
      <c r="L32" s="207">
        <f>K32/K$28</f>
        <v>8.8605102528761484E-2</v>
      </c>
      <c r="M32" s="149">
        <f t="shared" ref="M32" si="28">M23</f>
        <v>62.999999999999993</v>
      </c>
      <c r="N32" s="207">
        <f t="shared" ref="N32" si="29">M32/M$28</f>
        <v>8.5142728946095189E-2</v>
      </c>
      <c r="O32" s="149">
        <f t="shared" ref="O32" si="30">O23</f>
        <v>62.999999999999993</v>
      </c>
      <c r="P32" s="207">
        <f t="shared" ref="P32" si="31">O32/O$28</f>
        <v>8.5142728946095189E-2</v>
      </c>
      <c r="Q32" s="149">
        <f t="shared" ref="Q32" si="32">Q23</f>
        <v>125.99999999999999</v>
      </c>
      <c r="R32" s="207">
        <f t="shared" si="17"/>
        <v>8.8605102528761484E-2</v>
      </c>
    </row>
    <row r="33" spans="1:18" ht="18" customHeight="1" x14ac:dyDescent="0.2">
      <c r="A33" s="1644"/>
      <c r="B33" s="1645"/>
      <c r="C33" s="1652" t="s">
        <v>5</v>
      </c>
      <c r="D33" s="1653"/>
      <c r="E33" s="393"/>
      <c r="F33" s="393"/>
      <c r="G33" s="149">
        <f>G26</f>
        <v>48</v>
      </c>
      <c r="H33" s="207">
        <f>G33/G$28</f>
        <v>0.16757904144788291</v>
      </c>
      <c r="I33" s="149">
        <f>I26</f>
        <v>96</v>
      </c>
      <c r="J33" s="207">
        <f>I33/I$28</f>
        <v>0.27003459818289222</v>
      </c>
      <c r="K33" s="149">
        <f>K26</f>
        <v>96</v>
      </c>
      <c r="L33" s="207">
        <f>K33/K$28</f>
        <v>0.27003459818289222</v>
      </c>
      <c r="M33" s="149">
        <f t="shared" ref="M33" si="33">M26</f>
        <v>215.99999999999997</v>
      </c>
      <c r="N33" s="207">
        <f t="shared" ref="N33" si="34">M33/M$28</f>
        <v>0.2919179278151835</v>
      </c>
      <c r="O33" s="149">
        <f t="shared" ref="O33" si="35">O26</f>
        <v>215.99999999999997</v>
      </c>
      <c r="P33" s="207">
        <f t="shared" ref="P33" si="36">O33/O$28</f>
        <v>0.2919179278151835</v>
      </c>
      <c r="Q33" s="149">
        <f t="shared" ref="Q33" si="37">Q26</f>
        <v>384</v>
      </c>
      <c r="R33" s="207">
        <f t="shared" si="17"/>
        <v>0.27003459818289222</v>
      </c>
    </row>
  </sheetData>
  <mergeCells count="24">
    <mergeCell ref="M2:N2"/>
    <mergeCell ref="O2:P2"/>
    <mergeCell ref="Q2:R2"/>
    <mergeCell ref="M28:N28"/>
    <mergeCell ref="O28:P28"/>
    <mergeCell ref="Q28:R28"/>
    <mergeCell ref="C31:D31"/>
    <mergeCell ref="C32:D32"/>
    <mergeCell ref="C33:D33"/>
    <mergeCell ref="A28:B33"/>
    <mergeCell ref="C29:D29"/>
    <mergeCell ref="C28:D28"/>
    <mergeCell ref="C30:D30"/>
    <mergeCell ref="K2:L2"/>
    <mergeCell ref="K28:L28"/>
    <mergeCell ref="A4:A11"/>
    <mergeCell ref="C2:C3"/>
    <mergeCell ref="G2:H2"/>
    <mergeCell ref="I2:J2"/>
    <mergeCell ref="I28:J28"/>
    <mergeCell ref="A13:A19"/>
    <mergeCell ref="A20:A23"/>
    <mergeCell ref="A24:A26"/>
    <mergeCell ref="G28:H28"/>
  </mergeCells>
  <dataValidations count="9">
    <dataValidation type="list" allowBlank="1" showInputMessage="1" showErrorMessage="1" promptTitle="MATIERES" prompt="choisir catégorie" sqref="B4:B8" xr:uid="{00000000-0002-0000-2A00-000001000000}">
      <formula1>MOA_ALIM</formula1>
    </dataValidation>
    <dataValidation type="list" allowBlank="1" showInputMessage="1" showErrorMessage="1" promptTitle="MINIPELLE" prompt="choisir catégorie" sqref="B24:B25" xr:uid="{00000000-0002-0000-2A00-000002000000}">
      <formula1>CATEGORIE_MP</formula1>
    </dataValidation>
    <dataValidation type="list" allowBlank="1" showInputMessage="1" showErrorMessage="1" promptTitle="Catégorie MOC" prompt="choisir" sqref="B20:B22" xr:uid="{00000000-0002-0000-2A00-000003000000}">
      <formula1>CATEGORIE_MOC</formula1>
    </dataValidation>
    <dataValidation type="list" allowBlank="1" showInputMessage="1" promptTitle="Main d'oeuvre CHANTIER" prompt="choisir la prestation" sqref="C20:C22" xr:uid="{00000000-0002-0000-2A00-000004000000}">
      <formula1>INDIRECT(B20)</formula1>
    </dataValidation>
    <dataValidation type="list" allowBlank="1" showInputMessage="1" promptTitle="MINIPELLE" prompt="choisir la prestation" sqref="C24:C25" xr:uid="{00000000-0002-0000-2A00-000005000000}">
      <formula1>INDIRECT(B24)</formula1>
    </dataValidation>
    <dataValidation type="list" allowBlank="1" showInputMessage="1" showErrorMessage="1" promptTitle="Main d'oeuvre ATELIER" prompt="choisir la prestation" sqref="C13:C17" xr:uid="{00000000-0002-0000-2A00-000006000000}">
      <formula1>INDIRECT(B13)</formula1>
    </dataValidation>
    <dataValidation type="list" allowBlank="1" showInputMessage="1" showErrorMessage="1" promptTitle="MO ATELIER" prompt="choisir catégorie" sqref="B13:B17" xr:uid="{00000000-0002-0000-2A00-000007000000}">
      <formula1>CATEGORIE_MOA</formula1>
    </dataValidation>
    <dataValidation type="list" allowBlank="1" showInputMessage="1" showErrorMessage="1" promptTitle="MATIERES" prompt="choisir catégorie" sqref="B9:B11" xr:uid="{17B21FA3-F4FA-4568-9AB1-839E4F82CF86}">
      <formula1>MA_CATEGORIE</formula1>
    </dataValidation>
    <dataValidation type="list" allowBlank="1" showInputMessage="1" showErrorMessage="1" promptTitle="MATIERES" prompt="choisir le produit" sqref="C4:C11" xr:uid="{00000000-0002-0000-2A00-000000000000}">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ErrorMessage="1" xr:uid="{00000000-0002-0000-2A00-000008000000}">
          <x14:formula1>
            <xm:f>ATELIER!$B$2:$B$109</xm:f>
          </x14:formula1>
          <xm:sqref>C18</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published="0" codeName="Feuil39"/>
  <dimension ref="A1:AN35"/>
  <sheetViews>
    <sheetView zoomScaleNormal="100" workbookViewId="0">
      <pane xSplit="4" ySplit="3" topLeftCell="E16" activePane="bottomRight" state="frozen"/>
      <selection pane="topRight" activeCell="E1" sqref="E1"/>
      <selection pane="bottomLeft" activeCell="A4" sqref="A4"/>
      <selection pane="bottomRight" activeCell="F38" sqref="F38"/>
    </sheetView>
  </sheetViews>
  <sheetFormatPr baseColWidth="10" defaultRowHeight="14.25" x14ac:dyDescent="0.2"/>
  <cols>
    <col min="1" max="1" width="18.125" customWidth="1"/>
    <col min="2" max="2" width="28.125" customWidth="1"/>
    <col min="3" max="3" width="26.625" customWidth="1"/>
    <col min="4" max="4" width="10.125" customWidth="1"/>
    <col min="5" max="5" width="7.625" bestFit="1" customWidth="1"/>
    <col min="6" max="6" width="10.625" customWidth="1"/>
    <col min="7" max="7" width="8.125" bestFit="1" customWidth="1"/>
    <col min="8" max="8" width="10.625" customWidth="1"/>
    <col min="9" max="9" width="8.125" bestFit="1" customWidth="1"/>
    <col min="10" max="10" width="10.125" customWidth="1"/>
    <col min="11" max="11" width="9.125" bestFit="1" customWidth="1"/>
    <col min="12" max="12" width="11" customWidth="1"/>
    <col min="13" max="13" width="9.125" bestFit="1" customWidth="1"/>
    <col min="14" max="14" width="11.5" bestFit="1" customWidth="1"/>
    <col min="15" max="15" width="9.125" bestFit="1" customWidth="1"/>
    <col min="16" max="16" width="11.5" bestFit="1" customWidth="1"/>
    <col min="17" max="17" width="9.125" bestFit="1" customWidth="1"/>
    <col min="18" max="18" width="9.625" bestFit="1" customWidth="1"/>
    <col min="19" max="19" width="9.125" bestFit="1" customWidth="1"/>
    <col min="20" max="20" width="9.625" bestFit="1" customWidth="1"/>
    <col min="21" max="21" width="9.125" style="345" bestFit="1" customWidth="1"/>
    <col min="22" max="22" width="9.625" style="345" bestFit="1" customWidth="1"/>
    <col min="23" max="23" width="9.125" style="345" bestFit="1" customWidth="1"/>
    <col min="24" max="24" width="9.625" style="345" bestFit="1" customWidth="1"/>
    <col min="25" max="25" width="9.125" style="345" bestFit="1" customWidth="1"/>
    <col min="26" max="26" width="9.625" style="345" bestFit="1" customWidth="1"/>
    <col min="27" max="27" width="9.125" style="345" bestFit="1" customWidth="1"/>
    <col min="28" max="28" width="9.625" style="345" bestFit="1" customWidth="1"/>
    <col min="29" max="29" width="9.125" style="345" bestFit="1" customWidth="1"/>
    <col min="30" max="30" width="9.625" style="345" bestFit="1" customWidth="1"/>
    <col min="31" max="31" width="9.125" style="345" bestFit="1" customWidth="1"/>
    <col min="32" max="32" width="9.625" style="345" bestFit="1" customWidth="1"/>
    <col min="33" max="33" width="9.125" style="345" bestFit="1" customWidth="1"/>
    <col min="34" max="34" width="9.625" style="345" bestFit="1" customWidth="1"/>
    <col min="35" max="35" width="9.125" style="345" bestFit="1" customWidth="1"/>
    <col min="36" max="36" width="9.625" style="345" bestFit="1" customWidth="1"/>
    <col min="37" max="37" width="9.125" style="345" bestFit="1" customWidth="1"/>
    <col min="38" max="38" width="9.625" style="345" bestFit="1" customWidth="1"/>
    <col min="39" max="39" width="9.125" style="345" bestFit="1" customWidth="1"/>
    <col min="40" max="40" width="9.625" style="345" bestFit="1" customWidth="1"/>
    <col min="41" max="769" width="11.5" customWidth="1"/>
  </cols>
  <sheetData>
    <row r="1" spans="1:40" ht="14.85" customHeight="1" x14ac:dyDescent="0.2">
      <c r="A1" s="215"/>
      <c r="B1" s="215"/>
      <c r="C1" s="216"/>
      <c r="D1" s="215"/>
      <c r="E1" s="215">
        <v>2</v>
      </c>
      <c r="F1" s="215">
        <v>2</v>
      </c>
      <c r="G1" s="215">
        <v>3</v>
      </c>
      <c r="H1" s="215">
        <v>3</v>
      </c>
      <c r="I1" s="215">
        <v>4</v>
      </c>
      <c r="J1" s="215">
        <v>4</v>
      </c>
      <c r="K1" s="215">
        <v>5</v>
      </c>
      <c r="L1" s="215">
        <v>5</v>
      </c>
      <c r="M1" s="215">
        <v>6</v>
      </c>
      <c r="N1" s="215">
        <v>6</v>
      </c>
      <c r="O1" s="215">
        <v>7</v>
      </c>
      <c r="P1" s="215">
        <v>7</v>
      </c>
      <c r="Q1" s="215">
        <v>8</v>
      </c>
      <c r="R1" s="215">
        <v>8</v>
      </c>
      <c r="S1" s="215">
        <v>9</v>
      </c>
      <c r="T1" s="215">
        <v>9</v>
      </c>
      <c r="U1" s="215">
        <v>10</v>
      </c>
      <c r="V1" s="215">
        <v>10</v>
      </c>
      <c r="W1" s="215" t="s">
        <v>460</v>
      </c>
      <c r="X1" s="215" t="s">
        <v>460</v>
      </c>
      <c r="Y1" s="215" t="s">
        <v>461</v>
      </c>
      <c r="Z1" s="215" t="s">
        <v>461</v>
      </c>
      <c r="AA1" s="215" t="s">
        <v>462</v>
      </c>
      <c r="AB1" s="215">
        <v>9</v>
      </c>
      <c r="AC1" s="215">
        <v>9</v>
      </c>
      <c r="AD1" s="215">
        <v>9</v>
      </c>
      <c r="AE1" s="215">
        <v>9</v>
      </c>
      <c r="AF1" s="215">
        <v>9</v>
      </c>
      <c r="AG1" s="215">
        <v>9</v>
      </c>
      <c r="AH1" s="215">
        <v>9</v>
      </c>
      <c r="AI1" s="215">
        <v>9</v>
      </c>
      <c r="AJ1" s="215">
        <v>9</v>
      </c>
      <c r="AK1" s="215">
        <v>9</v>
      </c>
      <c r="AL1" s="215">
        <v>9</v>
      </c>
      <c r="AM1" s="215">
        <v>9</v>
      </c>
      <c r="AN1" s="215">
        <v>9</v>
      </c>
    </row>
    <row r="2" spans="1:40" ht="35.1" customHeight="1" x14ac:dyDescent="0.2">
      <c r="A2" s="174"/>
      <c r="B2" s="174"/>
      <c r="C2" s="1572" t="s">
        <v>1206</v>
      </c>
      <c r="D2" s="115" t="s">
        <v>203</v>
      </c>
      <c r="E2" s="1571">
        <v>2</v>
      </c>
      <c r="F2" s="1571"/>
      <c r="G2" s="1571">
        <v>3</v>
      </c>
      <c r="H2" s="1571"/>
      <c r="I2" s="1571">
        <v>4</v>
      </c>
      <c r="J2" s="1571"/>
      <c r="K2" s="1571">
        <v>5</v>
      </c>
      <c r="L2" s="1571"/>
      <c r="M2" s="1571">
        <v>6</v>
      </c>
      <c r="N2" s="1571"/>
      <c r="O2" s="1571">
        <v>7</v>
      </c>
      <c r="P2" s="1571"/>
      <c r="Q2" s="1571">
        <v>8</v>
      </c>
      <c r="R2" s="1571"/>
      <c r="S2" s="1571">
        <v>9</v>
      </c>
      <c r="T2" s="1571"/>
      <c r="U2" s="1571">
        <v>10</v>
      </c>
      <c r="V2" s="1571"/>
      <c r="W2" s="1571" t="s">
        <v>460</v>
      </c>
      <c r="X2" s="1571"/>
      <c r="Y2" s="1571" t="s">
        <v>461</v>
      </c>
      <c r="Z2" s="1571"/>
      <c r="AA2" s="1571" t="s">
        <v>462</v>
      </c>
      <c r="AB2" s="1571"/>
      <c r="AC2" s="1571">
        <v>14</v>
      </c>
      <c r="AD2" s="1571"/>
      <c r="AE2" s="1571">
        <v>16</v>
      </c>
      <c r="AF2" s="1571"/>
      <c r="AG2" s="1571" t="s">
        <v>464</v>
      </c>
      <c r="AH2" s="1571"/>
      <c r="AI2" s="1614" t="s">
        <v>465</v>
      </c>
      <c r="AJ2" s="1571"/>
      <c r="AK2" s="1571" t="s">
        <v>466</v>
      </c>
      <c r="AL2" s="1571"/>
      <c r="AM2" s="1571" t="s">
        <v>467</v>
      </c>
      <c r="AN2" s="1571"/>
    </row>
    <row r="3" spans="1:40" ht="35.1" customHeight="1" x14ac:dyDescent="0.2">
      <c r="A3" s="174"/>
      <c r="B3" s="174"/>
      <c r="C3" s="1573"/>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1422" t="s">
        <v>477</v>
      </c>
      <c r="W3" s="236" t="s">
        <v>444</v>
      </c>
      <c r="X3" s="1422" t="s">
        <v>477</v>
      </c>
      <c r="Y3" s="236" t="s">
        <v>444</v>
      </c>
      <c r="Z3" s="1422" t="s">
        <v>477</v>
      </c>
      <c r="AA3" s="236" t="s">
        <v>444</v>
      </c>
      <c r="AB3" s="1422" t="s">
        <v>477</v>
      </c>
      <c r="AC3" s="236" t="s">
        <v>444</v>
      </c>
      <c r="AD3" s="1422" t="s">
        <v>477</v>
      </c>
      <c r="AE3" s="236" t="s">
        <v>444</v>
      </c>
      <c r="AF3" s="1422" t="s">
        <v>477</v>
      </c>
      <c r="AG3" s="236" t="s">
        <v>444</v>
      </c>
      <c r="AH3" s="1422" t="s">
        <v>477</v>
      </c>
      <c r="AI3" s="236" t="s">
        <v>444</v>
      </c>
      <c r="AJ3" s="1422" t="s">
        <v>477</v>
      </c>
      <c r="AK3" s="236" t="s">
        <v>444</v>
      </c>
      <c r="AL3" s="1422" t="s">
        <v>477</v>
      </c>
      <c r="AM3" s="236" t="s">
        <v>444</v>
      </c>
      <c r="AN3" s="1422" t="s">
        <v>477</v>
      </c>
    </row>
    <row r="4" spans="1:40" ht="15" customHeight="1" x14ac:dyDescent="0.2">
      <c r="A4" s="1630" t="s">
        <v>1078</v>
      </c>
      <c r="B4" s="361" t="s">
        <v>1077</v>
      </c>
      <c r="C4" s="362" t="s">
        <v>275</v>
      </c>
      <c r="D4" s="363" t="str">
        <f>IF($C4="","",VLOOKUP($C4,MATIERES!$A$2:$F$413,5,0))</f>
        <v>pc</v>
      </c>
      <c r="E4" s="364">
        <f>'Outils de calculs'!E63</f>
        <v>2</v>
      </c>
      <c r="F4" s="365">
        <f>IF($C4="","",E4*VLOOKUP($C4,MATIERES!$A$2:$F$349,4,0))</f>
        <v>100</v>
      </c>
      <c r="G4" s="364">
        <f>'Outils de calculs'!G63</f>
        <v>2</v>
      </c>
      <c r="H4" s="365">
        <f>IF($C4="","",G4*VLOOKUP($C4,MATIERES!$A$2:$F$349,4,0))</f>
        <v>100</v>
      </c>
      <c r="I4" s="364">
        <f>'Outils de calculs'!I63</f>
        <v>2</v>
      </c>
      <c r="J4" s="365">
        <f>IF($C4="","",I4*VLOOKUP($C4,MATIERES!$A$2:$F$349,4,0))</f>
        <v>100</v>
      </c>
      <c r="K4" s="364">
        <f>'Outils de calculs'!K63</f>
        <v>2</v>
      </c>
      <c r="L4" s="365">
        <f>IF($C4="","",K4*VLOOKUP($C4,MATIERES!$A$2:$F$349,4,0))</f>
        <v>100</v>
      </c>
      <c r="M4" s="364">
        <f>'Outils de calculs'!M63</f>
        <v>2</v>
      </c>
      <c r="N4" s="365">
        <f>IF($C4="","",M4*VLOOKUP($C4,MATIERES!$A$2:$F$349,4,0))</f>
        <v>100</v>
      </c>
      <c r="O4" s="364">
        <f>'Outils de calculs'!O63</f>
        <v>2</v>
      </c>
      <c r="P4" s="365">
        <f>IF($C4="","",O4*VLOOKUP($C4,MATIERES!$A$2:$F$349,4,0))</f>
        <v>100</v>
      </c>
      <c r="Q4" s="364">
        <f>'Outils de calculs'!Q63</f>
        <v>2</v>
      </c>
      <c r="R4" s="365">
        <f>IF($C4="","",Q4*VLOOKUP($C4,MATIERES!$A$2:$F$349,4,0))</f>
        <v>100</v>
      </c>
      <c r="S4" s="364">
        <f>'Outils de calculs'!S63</f>
        <v>2</v>
      </c>
      <c r="T4" s="365">
        <f>IF($C4="","",S4*VLOOKUP($C4,MATIERES!$A$2:$F$349,4,0))</f>
        <v>100</v>
      </c>
      <c r="U4" s="364">
        <f>'Outils de calculs'!U63</f>
        <v>2</v>
      </c>
      <c r="V4" s="365">
        <f>IF($C4="","",U4*VLOOKUP($C4,MATIERES!$A$2:$F$349,4,0))</f>
        <v>100</v>
      </c>
      <c r="W4" s="364">
        <f>'Outils de calculs'!W63</f>
        <v>4</v>
      </c>
      <c r="X4" s="365">
        <f>IF($C4="","",W4*VLOOKUP($C4,MATIERES!$A$2:$F$349,4,0))</f>
        <v>200</v>
      </c>
      <c r="Y4" s="364">
        <f>'Outils de calculs'!Y63</f>
        <v>4</v>
      </c>
      <c r="Z4" s="365">
        <f>IF($C4="","",Y4*VLOOKUP($C4,MATIERES!$A$2:$F$349,4,0))</f>
        <v>200</v>
      </c>
      <c r="AA4" s="364">
        <f>'Outils de calculs'!AA63</f>
        <v>4</v>
      </c>
      <c r="AB4" s="365">
        <f>IF($C4="","",AA4*VLOOKUP($C4,MATIERES!$A$2:$F$349,4,0))</f>
        <v>200</v>
      </c>
      <c r="AC4" s="364">
        <f>'Outils de calculs'!AC63</f>
        <v>4</v>
      </c>
      <c r="AD4" s="365">
        <f>IF($C4="","",AC4*VLOOKUP($C4,MATIERES!$A$2:$F$349,4,0))</f>
        <v>200</v>
      </c>
      <c r="AE4" s="364">
        <f>'Outils de calculs'!AE63</f>
        <v>4</v>
      </c>
      <c r="AF4" s="365">
        <f>IF($C4="","",AE4*VLOOKUP($C4,MATIERES!$A$2:$F$349,4,0))</f>
        <v>200</v>
      </c>
      <c r="AG4" s="364">
        <f>'Outils de calculs'!AG63</f>
        <v>4</v>
      </c>
      <c r="AH4" s="365">
        <f>IF($C4="","",AG4*VLOOKUP($C4,MATIERES!$A$2:$F$349,4,0))</f>
        <v>200</v>
      </c>
      <c r="AI4" s="364">
        <f>'Outils de calculs'!AI63</f>
        <v>4</v>
      </c>
      <c r="AJ4" s="365">
        <f>IF($C4="","",AI4*VLOOKUP($C4,MATIERES!$A$2:$F$349,4,0))</f>
        <v>200</v>
      </c>
      <c r="AK4" s="364">
        <f>'Outils de calculs'!AK63</f>
        <v>4</v>
      </c>
      <c r="AL4" s="365">
        <f>IF($C4="","",AK4*VLOOKUP($C4,MATIERES!$A$2:$F$349,4,0))</f>
        <v>200</v>
      </c>
      <c r="AM4" s="364">
        <f>'Outils de calculs'!AM63</f>
        <v>4</v>
      </c>
      <c r="AN4" s="365">
        <f>IF($C4="","",AM4*VLOOKUP($C4,MATIERES!$A$2:$F$349,4,0))</f>
        <v>200</v>
      </c>
    </row>
    <row r="5" spans="1:40" ht="15" customHeight="1" x14ac:dyDescent="0.2">
      <c r="A5" s="1631"/>
      <c r="B5" s="361" t="s">
        <v>1142</v>
      </c>
      <c r="C5" s="362" t="s">
        <v>708</v>
      </c>
      <c r="D5" s="363" t="str">
        <f>IF($C5="","",VLOOKUP($C5,MATIERES!$A$2:$F$227,5,0))</f>
        <v>pc</v>
      </c>
      <c r="E5" s="364">
        <f>'Outils de calculs'!E64</f>
        <v>0</v>
      </c>
      <c r="F5" s="365">
        <f>IF($C5="","",E5*VLOOKUP($C5,MATIERES!$A$2:$F$349,4,0))</f>
        <v>0</v>
      </c>
      <c r="G5" s="364">
        <f>'Outils de calculs'!G64</f>
        <v>0</v>
      </c>
      <c r="H5" s="365">
        <f>IF($C5="","",G5*VLOOKUP($C5,MATIERES!$A$2:$F$349,4,0))</f>
        <v>0</v>
      </c>
      <c r="I5" s="364">
        <f>'Outils de calculs'!I64</f>
        <v>0</v>
      </c>
      <c r="J5" s="365">
        <f>IF($C5="","",I5*VLOOKUP($C5,MATIERES!$A$2:$F$349,4,0))</f>
        <v>0</v>
      </c>
      <c r="K5" s="364">
        <f>'Outils de calculs'!K64</f>
        <v>0</v>
      </c>
      <c r="L5" s="365">
        <f>IF($C5="","",K5*VLOOKUP($C5,MATIERES!$A$2:$F$349,4,0))</f>
        <v>0</v>
      </c>
      <c r="M5" s="364">
        <f>'Outils de calculs'!M64</f>
        <v>0</v>
      </c>
      <c r="N5" s="365">
        <f>IF($C5="","",M5*VLOOKUP($C5,MATIERES!$A$2:$F$349,4,0))</f>
        <v>0</v>
      </c>
      <c r="O5" s="364">
        <f>'Outils de calculs'!O64</f>
        <v>0</v>
      </c>
      <c r="P5" s="365">
        <f>IF($C5="","",O5*VLOOKUP($C5,MATIERES!$A$2:$F$349,4,0))</f>
        <v>0</v>
      </c>
      <c r="Q5" s="364">
        <f>'Outils de calculs'!Q64</f>
        <v>0</v>
      </c>
      <c r="R5" s="365">
        <f>IF($C5="","",Q5*VLOOKUP($C5,MATIERES!$A$2:$F$349,4,0))</f>
        <v>0</v>
      </c>
      <c r="S5" s="364">
        <f>'Outils de calculs'!S64</f>
        <v>0</v>
      </c>
      <c r="T5" s="365">
        <f>IF($C5="","",S5*VLOOKUP($C5,MATIERES!$A$2:$F$349,4,0))</f>
        <v>0</v>
      </c>
      <c r="U5" s="364">
        <f>'Outils de calculs'!U64</f>
        <v>0</v>
      </c>
      <c r="V5" s="365">
        <f>IF($C5="","",U5*VLOOKUP($C5,MATIERES!$A$2:$F$349,4,0))</f>
        <v>0</v>
      </c>
      <c r="W5" s="364">
        <f>'Outils de calculs'!W64</f>
        <v>2</v>
      </c>
      <c r="X5" s="365">
        <f>IF($C5="","",W5*VLOOKUP($C5,MATIERES!$A$2:$F$349,4,0))</f>
        <v>8.24</v>
      </c>
      <c r="Y5" s="364">
        <f>'Outils de calculs'!Y64</f>
        <v>0</v>
      </c>
      <c r="Z5" s="365">
        <f>IF($C5="","",Y5*VLOOKUP($C5,MATIERES!$A$2:$F$349,4,0))</f>
        <v>0</v>
      </c>
      <c r="AA5" s="364">
        <f>'Outils de calculs'!AA64</f>
        <v>2</v>
      </c>
      <c r="AB5" s="365">
        <f>IF($C5="","",AA5*VLOOKUP($C5,MATIERES!$A$2:$F$349,4,0))</f>
        <v>8.24</v>
      </c>
      <c r="AC5" s="364">
        <f>'Outils de calculs'!AC64</f>
        <v>0</v>
      </c>
      <c r="AD5" s="365">
        <f>IF($C5="","",AC5*VLOOKUP($C5,MATIERES!$A$2:$F$349,4,0))</f>
        <v>0</v>
      </c>
      <c r="AE5" s="364">
        <f>'Outils de calculs'!AE64</f>
        <v>2</v>
      </c>
      <c r="AF5" s="365">
        <f>IF($C5="","",AE5*VLOOKUP($C5,MATIERES!$A$2:$F$349,4,0))</f>
        <v>8.24</v>
      </c>
      <c r="AG5" s="364">
        <f>'Outils de calculs'!AG64</f>
        <v>2</v>
      </c>
      <c r="AH5" s="365">
        <f>IF($C5="","",AG5*VLOOKUP($C5,MATIERES!$A$2:$F$349,4,0))</f>
        <v>8.24</v>
      </c>
      <c r="AI5" s="364">
        <f>'Outils de calculs'!AI64</f>
        <v>0</v>
      </c>
      <c r="AJ5" s="365">
        <f>IF($C5="","",AI5*VLOOKUP($C5,MATIERES!$A$2:$F$349,4,0))</f>
        <v>0</v>
      </c>
      <c r="AK5" s="364">
        <f>'Outils de calculs'!AK64</f>
        <v>2</v>
      </c>
      <c r="AL5" s="365">
        <f>IF($C5="","",AK5*VLOOKUP($C5,MATIERES!$A$2:$F$349,4,0))</f>
        <v>8.24</v>
      </c>
      <c r="AM5" s="364">
        <f>'Outils de calculs'!AM64</f>
        <v>0</v>
      </c>
      <c r="AN5" s="365">
        <f>IF($C5="","",AM5*VLOOKUP($C5,MATIERES!$A$2:$F$349,4,0))</f>
        <v>0</v>
      </c>
    </row>
    <row r="6" spans="1:40" ht="15" customHeight="1" x14ac:dyDescent="0.2">
      <c r="A6" s="1631"/>
      <c r="B6" s="361" t="s">
        <v>719</v>
      </c>
      <c r="C6" s="362" t="s">
        <v>721</v>
      </c>
      <c r="D6" s="363" t="str">
        <f>IF($C6="","",VLOOKUP($C6,MATIERES!$A$2:$F$413,5,0))</f>
        <v>ml</v>
      </c>
      <c r="E6" s="364">
        <f>'Outils de calculs'!E61</f>
        <v>4</v>
      </c>
      <c r="F6" s="365">
        <f>IF($C6="","",E6*VLOOKUP($C6,MATIERES!$A$2:$F$424,4,0))</f>
        <v>7.56</v>
      </c>
      <c r="G6" s="364">
        <f>'Outils de calculs'!G61</f>
        <v>5</v>
      </c>
      <c r="H6" s="365">
        <f>IF($C6="","",G6*VLOOKUP($C6,MATIERES!$A$2:$F$424,4,0))</f>
        <v>9.4499999999999993</v>
      </c>
      <c r="I6" s="364">
        <f>'Outils de calculs'!I61</f>
        <v>6</v>
      </c>
      <c r="J6" s="365">
        <f>IF($C6="","",I6*VLOOKUP($C6,MATIERES!$A$2:$F$424,4,0))</f>
        <v>11.34</v>
      </c>
      <c r="K6" s="364">
        <f>'Outils de calculs'!K61</f>
        <v>5</v>
      </c>
      <c r="L6" s="365">
        <f>IF($C6="","",K6*VLOOKUP($C6,MATIERES!$A$2:$F$424,4,0))</f>
        <v>9.4499999999999993</v>
      </c>
      <c r="M6" s="364">
        <f>'Outils de calculs'!M61</f>
        <v>5</v>
      </c>
      <c r="N6" s="365">
        <f>IF($C6="","",M6*VLOOKUP($C6,MATIERES!$A$2:$F$424,4,0))</f>
        <v>9.4499999999999993</v>
      </c>
      <c r="O6" s="364">
        <f>'Outils de calculs'!O61</f>
        <v>5</v>
      </c>
      <c r="P6" s="365">
        <f>IF($C6="","",O6*VLOOKUP($C6,MATIERES!$A$2:$F$424,4,0))</f>
        <v>9.4499999999999993</v>
      </c>
      <c r="Q6" s="364">
        <f>'Outils de calculs'!Q61</f>
        <v>5</v>
      </c>
      <c r="R6" s="365">
        <f>IF($C6="","",Q6*VLOOKUP($C6,MATIERES!$A$2:$F$424,4,0))</f>
        <v>9.4499999999999993</v>
      </c>
      <c r="S6" s="364">
        <f>'Outils de calculs'!S61</f>
        <v>6</v>
      </c>
      <c r="T6" s="365">
        <f>IF($C6="","",S6*VLOOKUP($C6,MATIERES!$A$2:$F$424,4,0))</f>
        <v>11.34</v>
      </c>
      <c r="U6" s="364">
        <f>'Outils de calculs'!U61</f>
        <v>7</v>
      </c>
      <c r="V6" s="365">
        <f>IF($C6="","",U6*VLOOKUP($C6,MATIERES!$A$2:$F$424,4,0))</f>
        <v>13.229999999999999</v>
      </c>
      <c r="W6" s="364">
        <f>'Outils de calculs'!W61</f>
        <v>10</v>
      </c>
      <c r="X6" s="365">
        <f>IF($C6="","",W6*VLOOKUP($C6,MATIERES!$A$2:$F$424,4,0))</f>
        <v>18.899999999999999</v>
      </c>
      <c r="Y6" s="364">
        <f>'Outils de calculs'!Y61</f>
        <v>20</v>
      </c>
      <c r="Z6" s="365">
        <f>IF($C6="","",Y6*VLOOKUP($C6,MATIERES!$A$2:$F$424,4,0))</f>
        <v>37.799999999999997</v>
      </c>
      <c r="AA6" s="364">
        <f>'Outils de calculs'!AA61</f>
        <v>13</v>
      </c>
      <c r="AB6" s="365">
        <f>IF($C6="","",AA6*VLOOKUP($C6,MATIERES!$A$2:$F$424,4,0))</f>
        <v>24.57</v>
      </c>
      <c r="AC6" s="364">
        <f>'Outils de calculs'!AC61</f>
        <v>24</v>
      </c>
      <c r="AD6" s="365">
        <f>IF($C6="","",AC6*VLOOKUP($C6,MATIERES!$A$2:$F$424,4,0))</f>
        <v>45.36</v>
      </c>
      <c r="AE6" s="364">
        <f>'Outils de calculs'!AE61</f>
        <v>16</v>
      </c>
      <c r="AF6" s="365">
        <f>IF($C6="","",AE6*VLOOKUP($C6,MATIERES!$A$2:$F$424,4,0))</f>
        <v>30.24</v>
      </c>
      <c r="AG6" s="364">
        <f>'Outils de calculs'!AG61</f>
        <v>18</v>
      </c>
      <c r="AH6" s="365">
        <f>IF($C6="","",AG6*VLOOKUP($C6,MATIERES!$A$2:$F$424,4,0))</f>
        <v>34.019999999999996</v>
      </c>
      <c r="AI6" s="364">
        <f>'Outils de calculs'!AI61</f>
        <v>30</v>
      </c>
      <c r="AJ6" s="365">
        <f>IF($C6="","",AI6*VLOOKUP($C6,MATIERES!$A$2:$F$424,4,0))</f>
        <v>56.699999999999996</v>
      </c>
      <c r="AK6" s="364">
        <f>'Outils de calculs'!AK61</f>
        <v>20</v>
      </c>
      <c r="AL6" s="365">
        <f>IF($C6="","",AK6*VLOOKUP($C6,MATIERES!$A$2:$F$424,4,0))</f>
        <v>37.799999999999997</v>
      </c>
      <c r="AM6" s="364">
        <f>'Outils de calculs'!AM61</f>
        <v>32</v>
      </c>
      <c r="AN6" s="365">
        <f>IF($C6="","",AM6*VLOOKUP($C6,MATIERES!$A$2:$F$424,4,0))</f>
        <v>60.48</v>
      </c>
    </row>
    <row r="7" spans="1:40" ht="15" customHeight="1" x14ac:dyDescent="0.2">
      <c r="A7" s="1631"/>
      <c r="B7" s="361" t="s">
        <v>1142</v>
      </c>
      <c r="C7" s="362" t="s">
        <v>700</v>
      </c>
      <c r="D7" s="363" t="str">
        <f>IF($C7="","",VLOOKUP($C7,MATIERES!$A$2:$F$341,5,0))</f>
        <v>pc</v>
      </c>
      <c r="E7" s="364">
        <f>'Outils de calculs'!E62</f>
        <v>2</v>
      </c>
      <c r="F7" s="365">
        <f>IF($C7="","",E7*VLOOKUP($C7,MATIERES!$A$2:$F$349,4,0))</f>
        <v>14.04</v>
      </c>
      <c r="G7" s="364">
        <f>'Outils de calculs'!G62</f>
        <v>2</v>
      </c>
      <c r="H7" s="365">
        <f>IF($C7="","",G7*VLOOKUP($C7,MATIERES!$A$2:$F$349,4,0))</f>
        <v>14.04</v>
      </c>
      <c r="I7" s="364">
        <f>'Outils de calculs'!I62</f>
        <v>2</v>
      </c>
      <c r="J7" s="365">
        <f>IF($C7="","",I7*VLOOKUP($C7,MATIERES!$A$2:$F$349,4,0))</f>
        <v>14.04</v>
      </c>
      <c r="K7" s="364">
        <f>'Outils de calculs'!K62</f>
        <v>2</v>
      </c>
      <c r="L7" s="365">
        <f>IF($C7="","",K7*VLOOKUP($C7,MATIERES!$A$2:$F$349,4,0))</f>
        <v>14.04</v>
      </c>
      <c r="M7" s="364">
        <f>'Outils de calculs'!M62</f>
        <v>2</v>
      </c>
      <c r="N7" s="365">
        <f>IF($C7="","",M7*VLOOKUP($C7,MATIERES!$A$2:$F$349,4,0))</f>
        <v>14.04</v>
      </c>
      <c r="O7" s="364">
        <f>'Outils de calculs'!O62</f>
        <v>2</v>
      </c>
      <c r="P7" s="365">
        <f>IF($C7="","",O7*VLOOKUP($C7,MATIERES!$A$2:$F$349,4,0))</f>
        <v>14.04</v>
      </c>
      <c r="Q7" s="364">
        <f>'Outils de calculs'!Q62</f>
        <v>2</v>
      </c>
      <c r="R7" s="365">
        <f>IF($C7="","",Q7*VLOOKUP($C7,MATIERES!$A$2:$F$349,4,0))</f>
        <v>14.04</v>
      </c>
      <c r="S7" s="364">
        <f>'Outils de calculs'!S62</f>
        <v>2</v>
      </c>
      <c r="T7" s="365">
        <f>IF($C7="","",S7*VLOOKUP($C7,MATIERES!$A$2:$F$349,4,0))</f>
        <v>14.04</v>
      </c>
      <c r="U7" s="364">
        <f>'Outils de calculs'!U62</f>
        <v>2</v>
      </c>
      <c r="V7" s="365">
        <f>IF($C7="","",U7*VLOOKUP($C7,MATIERES!$A$2:$F$349,4,0))</f>
        <v>14.04</v>
      </c>
      <c r="W7" s="364">
        <f>'Outils de calculs'!W62</f>
        <v>4</v>
      </c>
      <c r="X7" s="365">
        <f>IF($C7="","",W7*VLOOKUP($C7,MATIERES!$A$2:$F$349,4,0))</f>
        <v>28.08</v>
      </c>
      <c r="Y7" s="364">
        <f>'Outils de calculs'!Y62</f>
        <v>6</v>
      </c>
      <c r="Z7" s="365">
        <f>IF($C7="","",Y7*VLOOKUP($C7,MATIERES!$A$2:$F$349,4,0))</f>
        <v>42.12</v>
      </c>
      <c r="AA7" s="364">
        <f>'Outils de calculs'!AA62</f>
        <v>2</v>
      </c>
      <c r="AB7" s="365">
        <f>IF($C7="","",AA7*VLOOKUP($C7,MATIERES!$A$2:$F$349,4,0))</f>
        <v>14.04</v>
      </c>
      <c r="AC7" s="364">
        <f>'Outils de calculs'!AC62</f>
        <v>6</v>
      </c>
      <c r="AD7" s="365">
        <f>IF($C7="","",AC7*VLOOKUP($C7,MATIERES!$A$2:$F$349,4,0))</f>
        <v>42.12</v>
      </c>
      <c r="AE7" s="364">
        <f>'Outils de calculs'!AE62</f>
        <v>2</v>
      </c>
      <c r="AF7" s="365">
        <f>IF($C7="","",AE7*VLOOKUP($C7,MATIERES!$A$2:$F$349,4,0))</f>
        <v>14.04</v>
      </c>
      <c r="AG7" s="364">
        <f>'Outils de calculs'!AG62</f>
        <v>2</v>
      </c>
      <c r="AH7" s="365">
        <f>IF($C7="","",AG7*VLOOKUP($C7,MATIERES!$A$2:$F$349,4,0))</f>
        <v>14.04</v>
      </c>
      <c r="AI7" s="364">
        <f>'Outils de calculs'!AI62</f>
        <v>6</v>
      </c>
      <c r="AJ7" s="365">
        <f>IF($C7="","",AI7*VLOOKUP($C7,MATIERES!$A$2:$F$349,4,0))</f>
        <v>42.12</v>
      </c>
      <c r="AK7" s="364">
        <f>'Outils de calculs'!AK62</f>
        <v>2</v>
      </c>
      <c r="AL7" s="365">
        <f>IF($C7="","",AK7*VLOOKUP($C7,MATIERES!$A$2:$F$349,4,0))</f>
        <v>14.04</v>
      </c>
      <c r="AM7" s="364">
        <f>'Outils de calculs'!AM62</f>
        <v>6</v>
      </c>
      <c r="AN7" s="365">
        <f>IF($C7="","",AM7*VLOOKUP($C7,MATIERES!$A$2:$F$349,4,0))</f>
        <v>42.12</v>
      </c>
    </row>
    <row r="8" spans="1:40" ht="15" customHeight="1" x14ac:dyDescent="0.2">
      <c r="A8" s="1631"/>
      <c r="B8" s="361"/>
      <c r="C8" s="362"/>
      <c r="D8" s="363" t="str">
        <f>IF($C8="","",VLOOKUP($C8,MATIERES!$A$2:$F$341,5,0))</f>
        <v/>
      </c>
      <c r="E8" s="364"/>
      <c r="F8" s="365"/>
      <c r="G8" s="364"/>
      <c r="H8" s="365"/>
      <c r="I8" s="364"/>
      <c r="J8" s="365"/>
      <c r="K8" s="364"/>
      <c r="L8" s="365"/>
      <c r="M8" s="364"/>
      <c r="N8" s="365"/>
      <c r="O8" s="364"/>
      <c r="P8" s="365"/>
      <c r="Q8" s="364"/>
      <c r="R8" s="365"/>
      <c r="S8" s="364"/>
      <c r="T8" s="365"/>
      <c r="U8" s="364"/>
      <c r="V8" s="365"/>
      <c r="W8" s="364"/>
      <c r="X8" s="365"/>
      <c r="Y8" s="364"/>
      <c r="Z8" s="365"/>
      <c r="AA8" s="364"/>
      <c r="AB8" s="365"/>
      <c r="AC8" s="364"/>
      <c r="AD8" s="365"/>
      <c r="AE8" s="364"/>
      <c r="AF8" s="365"/>
      <c r="AG8" s="364"/>
      <c r="AH8" s="365"/>
      <c r="AI8" s="364"/>
      <c r="AJ8" s="365"/>
      <c r="AK8" s="364"/>
      <c r="AL8" s="365"/>
      <c r="AM8" s="364"/>
      <c r="AN8" s="365"/>
    </row>
    <row r="9" spans="1:40" ht="15" customHeight="1" x14ac:dyDescent="0.2">
      <c r="A9" s="1631"/>
      <c r="B9" s="361"/>
      <c r="C9" s="362"/>
      <c r="D9" s="363" t="str">
        <f>IF($C9="","",VLOOKUP($C9,MATIERES!$A$2:$F$341,5,0))</f>
        <v/>
      </c>
      <c r="E9" s="364"/>
      <c r="F9" s="365"/>
      <c r="G9" s="364"/>
      <c r="H9" s="365"/>
      <c r="I9" s="364"/>
      <c r="J9" s="365"/>
      <c r="K9" s="364"/>
      <c r="L9" s="365"/>
      <c r="M9" s="364"/>
      <c r="N9" s="365"/>
      <c r="O9" s="364"/>
      <c r="P9" s="365"/>
      <c r="Q9" s="364"/>
      <c r="R9" s="365"/>
      <c r="S9" s="364"/>
      <c r="T9" s="365"/>
      <c r="U9" s="364"/>
      <c r="V9" s="365"/>
      <c r="W9" s="364"/>
      <c r="X9" s="365"/>
      <c r="Y9" s="364"/>
      <c r="Z9" s="365"/>
      <c r="AA9" s="364"/>
      <c r="AB9" s="365"/>
      <c r="AC9" s="364"/>
      <c r="AD9" s="365"/>
      <c r="AE9" s="364"/>
      <c r="AF9" s="365"/>
      <c r="AG9" s="364"/>
      <c r="AH9" s="365"/>
      <c r="AI9" s="364"/>
      <c r="AJ9" s="365"/>
      <c r="AK9" s="364"/>
      <c r="AL9" s="365"/>
      <c r="AM9" s="364"/>
      <c r="AN9" s="365"/>
    </row>
    <row r="10" spans="1:40" s="345" customFormat="1" ht="15" customHeight="1" x14ac:dyDescent="0.2">
      <c r="A10" s="1631"/>
      <c r="B10" s="361"/>
      <c r="C10" s="362"/>
      <c r="D10" s="363"/>
      <c r="E10" s="364"/>
      <c r="F10" s="365"/>
      <c r="G10" s="364"/>
      <c r="H10" s="365"/>
      <c r="I10" s="364"/>
      <c r="J10" s="365"/>
      <c r="K10" s="364"/>
      <c r="L10" s="365"/>
      <c r="M10" s="364"/>
      <c r="N10" s="365"/>
      <c r="O10" s="364"/>
      <c r="P10" s="365"/>
      <c r="Q10" s="364"/>
      <c r="R10" s="365"/>
      <c r="S10" s="364"/>
      <c r="T10" s="365"/>
      <c r="U10" s="364"/>
      <c r="V10" s="365"/>
      <c r="W10" s="364"/>
      <c r="X10" s="365"/>
      <c r="Y10" s="364"/>
      <c r="Z10" s="365"/>
      <c r="AA10" s="364"/>
      <c r="AB10" s="365"/>
      <c r="AC10" s="364"/>
      <c r="AD10" s="365"/>
      <c r="AE10" s="364"/>
      <c r="AF10" s="365"/>
      <c r="AG10" s="364"/>
      <c r="AH10" s="365"/>
      <c r="AI10" s="364"/>
      <c r="AJ10" s="365"/>
      <c r="AK10" s="364"/>
      <c r="AL10" s="365"/>
      <c r="AM10" s="364"/>
      <c r="AN10" s="365"/>
    </row>
    <row r="11" spans="1:40" ht="15" customHeight="1" x14ac:dyDescent="0.2">
      <c r="A11" s="1631"/>
      <c r="B11" s="361"/>
      <c r="C11" s="362"/>
      <c r="D11" s="363" t="str">
        <f>IF($C11="","",VLOOKUP($C11,MATIERES!$A$2:$F$341,5,0))</f>
        <v/>
      </c>
      <c r="E11" s="364"/>
      <c r="F11" s="365"/>
      <c r="G11" s="364"/>
      <c r="H11" s="365"/>
      <c r="I11" s="364"/>
      <c r="J11" s="365"/>
      <c r="K11" s="364"/>
      <c r="L11" s="365"/>
      <c r="M11" s="364"/>
      <c r="N11" s="365"/>
      <c r="O11" s="364"/>
      <c r="P11" s="365"/>
      <c r="Q11" s="364"/>
      <c r="R11" s="365"/>
      <c r="S11" s="364"/>
      <c r="T11" s="365"/>
      <c r="U11" s="364"/>
      <c r="V11" s="365"/>
      <c r="W11" s="364"/>
      <c r="X11" s="365"/>
      <c r="Y11" s="364"/>
      <c r="Z11" s="365"/>
      <c r="AA11" s="364"/>
      <c r="AB11" s="365"/>
      <c r="AC11" s="364"/>
      <c r="AD11" s="365"/>
      <c r="AE11" s="364"/>
      <c r="AF11" s="365"/>
      <c r="AG11" s="364"/>
      <c r="AH11" s="365"/>
      <c r="AI11" s="364"/>
      <c r="AJ11" s="365"/>
      <c r="AK11" s="364"/>
      <c r="AL11" s="365"/>
      <c r="AM11" s="364"/>
      <c r="AN11" s="365"/>
    </row>
    <row r="12" spans="1:40" ht="15" customHeight="1" x14ac:dyDescent="0.2">
      <c r="A12" s="1631"/>
      <c r="B12" s="361"/>
      <c r="C12" s="362"/>
      <c r="D12" s="363" t="str">
        <f>IF($C12="","",VLOOKUP($C12,MATIERES!$A$2:$F$341,5,0))</f>
        <v/>
      </c>
      <c r="E12" s="364"/>
      <c r="F12" s="365" t="str">
        <f>IF($C12="","",E12*VLOOKUP($C12,MATIERES!$A$2:$F$349,4,0))</f>
        <v/>
      </c>
      <c r="G12" s="364"/>
      <c r="H12" s="365" t="str">
        <f>IF($C12="","",G12*VLOOKUP($C12,MATIERES!$A$2:$F$349,4,0))</f>
        <v/>
      </c>
      <c r="I12" s="364"/>
      <c r="J12" s="365" t="str">
        <f>IF($C12="","",I12*VLOOKUP($C12,MATIERES!$A$2:$F$349,4,0))</f>
        <v/>
      </c>
      <c r="K12" s="364"/>
      <c r="L12" s="365" t="str">
        <f>IF($C12="","",K12*VLOOKUP($C12,MATIERES!$A$2:$F$349,4,0))</f>
        <v/>
      </c>
      <c r="M12" s="364"/>
      <c r="N12" s="365" t="str">
        <f>IF($C12="","",M12*VLOOKUP($C12,MATIERES!$A$2:$F$349,4,0))</f>
        <v/>
      </c>
      <c r="O12" s="364"/>
      <c r="P12" s="365" t="str">
        <f>IF($C12="","",O12*VLOOKUP($C12,MATIERES!$A$2:$F$349,4,0))</f>
        <v/>
      </c>
      <c r="Q12" s="364"/>
      <c r="R12" s="365" t="str">
        <f>IF($C12="","",Q12*VLOOKUP($C12,MATIERES!$A$2:$F$349,4,0))</f>
        <v/>
      </c>
      <c r="S12" s="364"/>
      <c r="T12" s="365" t="str">
        <f>IF($C12="","",S12*VLOOKUP($C12,MATIERES!$A$2:$F$349,4,0))</f>
        <v/>
      </c>
      <c r="U12" s="364"/>
      <c r="V12" s="365" t="str">
        <f>IF($C12="","",U12*VLOOKUP($C12,MATIERES!$A$2:$F$349,4,0))</f>
        <v/>
      </c>
      <c r="W12" s="364"/>
      <c r="X12" s="365" t="str">
        <f>IF($C12="","",W12*VLOOKUP($C12,MATIERES!$A$2:$F$349,4,0))</f>
        <v/>
      </c>
      <c r="Y12" s="364"/>
      <c r="Z12" s="365" t="str">
        <f>IF($C12="","",Y12*VLOOKUP($C12,MATIERES!$A$2:$F$349,4,0))</f>
        <v/>
      </c>
      <c r="AA12" s="364"/>
      <c r="AB12" s="365" t="str">
        <f>IF($C12="","",AA12*VLOOKUP($C12,MATIERES!$A$2:$F$349,4,0))</f>
        <v/>
      </c>
      <c r="AC12" s="364"/>
      <c r="AD12" s="365" t="str">
        <f>IF($C12="","",AC12*VLOOKUP($C12,MATIERES!$A$2:$F$349,4,0))</f>
        <v/>
      </c>
      <c r="AE12" s="364"/>
      <c r="AF12" s="365" t="str">
        <f>IF($C12="","",AE12*VLOOKUP($C12,MATIERES!$A$2:$F$349,4,0))</f>
        <v/>
      </c>
      <c r="AG12" s="364"/>
      <c r="AH12" s="365" t="str">
        <f>IF($C12="","",AG12*VLOOKUP($C12,MATIERES!$A$2:$F$349,4,0))</f>
        <v/>
      </c>
      <c r="AI12" s="364"/>
      <c r="AJ12" s="365" t="str">
        <f>IF($C12="","",AI12*VLOOKUP($C12,MATIERES!$A$2:$F$349,4,0))</f>
        <v/>
      </c>
      <c r="AK12" s="364"/>
      <c r="AL12" s="365" t="str">
        <f>IF($C12="","",AK12*VLOOKUP($C12,MATIERES!$A$2:$F$349,4,0))</f>
        <v/>
      </c>
      <c r="AM12" s="364"/>
      <c r="AN12" s="365" t="str">
        <f>IF($C12="","",AM12*VLOOKUP($C12,MATIERES!$A$2:$F$349,4,0))</f>
        <v/>
      </c>
    </row>
    <row r="13" spans="1:40" ht="30" customHeight="1" x14ac:dyDescent="0.2">
      <c r="A13" s="449"/>
      <c r="B13" s="367" t="s">
        <v>683</v>
      </c>
      <c r="C13" s="368" t="s">
        <v>446</v>
      </c>
      <c r="D13" s="369" t="s">
        <v>447</v>
      </c>
      <c r="E13" s="370">
        <f>F13*(1+Simulation!$P$11)</f>
        <v>158.07999999999998</v>
      </c>
      <c r="F13" s="371">
        <f>SUM(F4:F12)</f>
        <v>121.6</v>
      </c>
      <c r="G13" s="370">
        <f>H13*(1+Simulation!$P$11)</f>
        <v>160.53700000000001</v>
      </c>
      <c r="H13" s="371">
        <f>SUM(H4:H12)</f>
        <v>123.49000000000001</v>
      </c>
      <c r="I13" s="370">
        <f>J13*(1+Simulation!$P$11)</f>
        <v>162.994</v>
      </c>
      <c r="J13" s="371">
        <f>SUM(J4:J12)</f>
        <v>125.38</v>
      </c>
      <c r="K13" s="370">
        <f>L13*(1+Simulation!$P$11)</f>
        <v>160.53700000000001</v>
      </c>
      <c r="L13" s="371">
        <f>SUM(L4:L12)</f>
        <v>123.49000000000001</v>
      </c>
      <c r="M13" s="370">
        <f>N13*(1+Simulation!$P$11)</f>
        <v>160.53700000000001</v>
      </c>
      <c r="N13" s="371">
        <f>SUM(N4:N12)</f>
        <v>123.49000000000001</v>
      </c>
      <c r="O13" s="370">
        <f>P13*(1+Simulation!$P$11)</f>
        <v>160.53700000000001</v>
      </c>
      <c r="P13" s="371">
        <f>SUM(P4:P12)</f>
        <v>123.49000000000001</v>
      </c>
      <c r="Q13" s="370">
        <f>R13*(1+Simulation!$P$11)</f>
        <v>160.53700000000001</v>
      </c>
      <c r="R13" s="371">
        <f>SUM(R4:R12)</f>
        <v>123.49000000000001</v>
      </c>
      <c r="S13" s="370">
        <f>T13*(1+Simulation!$P$11)</f>
        <v>162.994</v>
      </c>
      <c r="T13" s="371">
        <f>SUM(T4:T12)</f>
        <v>125.38</v>
      </c>
      <c r="U13" s="370">
        <f>V13*(1+Simulation!$P$11)</f>
        <v>165.45100000000002</v>
      </c>
      <c r="V13" s="371">
        <f t="shared" ref="V13" si="0">SUM(V4:V12)</f>
        <v>127.27000000000001</v>
      </c>
      <c r="W13" s="370">
        <f>X13*(1+Simulation!$P$11)</f>
        <v>331.78600000000006</v>
      </c>
      <c r="X13" s="371">
        <f t="shared" ref="X13" si="1">SUM(X4:X12)</f>
        <v>255.22000000000003</v>
      </c>
      <c r="Y13" s="370">
        <f>Z13*(1+Simulation!$P$11)</f>
        <v>363.89600000000002</v>
      </c>
      <c r="Z13" s="371">
        <f t="shared" ref="Z13" si="2">SUM(Z4:Z12)</f>
        <v>279.92</v>
      </c>
      <c r="AA13" s="370">
        <f>AB13*(1+Simulation!$P$11)</f>
        <v>320.90500000000003</v>
      </c>
      <c r="AB13" s="371">
        <f t="shared" ref="AB13" si="3">SUM(AB4:AB12)</f>
        <v>246.85</v>
      </c>
      <c r="AC13" s="370">
        <f>AD13*(1+Simulation!$P$11)</f>
        <v>373.72400000000005</v>
      </c>
      <c r="AD13" s="371">
        <f t="shared" ref="AD13" si="4">SUM(AD4:AD12)</f>
        <v>287.48</v>
      </c>
      <c r="AE13" s="370">
        <f>AF13*(1+Simulation!$P$11)</f>
        <v>328.27600000000001</v>
      </c>
      <c r="AF13" s="371">
        <f t="shared" ref="AF13" si="5">SUM(AF4:AF12)</f>
        <v>252.52</v>
      </c>
      <c r="AG13" s="370">
        <f>AH13*(1+Simulation!$P$11)</f>
        <v>333.19000000000005</v>
      </c>
      <c r="AH13" s="371">
        <f t="shared" ref="AH13" si="6">SUM(AH4:AH12)</f>
        <v>256.3</v>
      </c>
      <c r="AI13" s="370">
        <f>AJ13*(1+Simulation!$P$11)</f>
        <v>388.46600000000001</v>
      </c>
      <c r="AJ13" s="371">
        <f t="shared" ref="AJ13" si="7">SUM(AJ4:AJ12)</f>
        <v>298.82</v>
      </c>
      <c r="AK13" s="370">
        <f>AL13*(1+Simulation!$P$11)</f>
        <v>338.10400000000004</v>
      </c>
      <c r="AL13" s="371">
        <f t="shared" ref="AL13" si="8">SUM(AL4:AL12)</f>
        <v>260.08000000000004</v>
      </c>
      <c r="AM13" s="370">
        <f>AN13*(1+Simulation!$P$11)</f>
        <v>393.38000000000005</v>
      </c>
      <c r="AN13" s="371">
        <f t="shared" ref="AN13" si="9">SUM(AN4:AN12)</f>
        <v>302.60000000000002</v>
      </c>
    </row>
    <row r="14" spans="1:40" ht="15" customHeight="1" x14ac:dyDescent="0.2">
      <c r="A14" s="1624" t="s">
        <v>448</v>
      </c>
      <c r="B14" s="361" t="s">
        <v>1153</v>
      </c>
      <c r="C14" s="362" t="s">
        <v>419</v>
      </c>
      <c r="D14" s="363" t="str">
        <f>IF($C14="","",VLOOKUP($C14,ATELIER!$A$2:$E$109,3,0))</f>
        <v>pc</v>
      </c>
      <c r="E14" s="364">
        <f>'Outils de calculs'!E62</f>
        <v>2</v>
      </c>
      <c r="F14" s="372">
        <f>IF($C14="","",E14*VLOOKUP($C14,ATELIER!$A$2:$F$109,4,0))</f>
        <v>0.16</v>
      </c>
      <c r="G14" s="364">
        <f>'Outils de calculs'!G62</f>
        <v>2</v>
      </c>
      <c r="H14" s="372">
        <f>IF($C14="","",G14*VLOOKUP($C14,ATELIER!$A$2:$F$109,4,0))</f>
        <v>0.16</v>
      </c>
      <c r="I14" s="364">
        <f>'Outils de calculs'!I62</f>
        <v>2</v>
      </c>
      <c r="J14" s="372">
        <f>IF($C14="","",I14*VLOOKUP($C14,ATELIER!$A$2:$F$109,4,0))</f>
        <v>0.16</v>
      </c>
      <c r="K14" s="364">
        <f>'Outils de calculs'!K62</f>
        <v>2</v>
      </c>
      <c r="L14" s="372">
        <f>IF($C14="","",K14*VLOOKUP($C14,ATELIER!$A$2:$F$109,4,0))</f>
        <v>0.16</v>
      </c>
      <c r="M14" s="364">
        <f>'Outils de calculs'!M62</f>
        <v>2</v>
      </c>
      <c r="N14" s="372">
        <f>IF($C14="","",M14*VLOOKUP($C14,ATELIER!$A$2:$F$109,4,0))</f>
        <v>0.16</v>
      </c>
      <c r="O14" s="364">
        <f>'Outils de calculs'!O62</f>
        <v>2</v>
      </c>
      <c r="P14" s="372">
        <f>IF($C14="","",O14*VLOOKUP($C14,ATELIER!$A$2:$F$109,4,0))</f>
        <v>0.16</v>
      </c>
      <c r="Q14" s="364">
        <f>'Outils de calculs'!Q62</f>
        <v>2</v>
      </c>
      <c r="R14" s="372">
        <f>IF($C14="","",Q14*VLOOKUP($C14,ATELIER!$A$2:$F$109,4,0))</f>
        <v>0.16</v>
      </c>
      <c r="S14" s="364">
        <f>'Outils de calculs'!S62</f>
        <v>2</v>
      </c>
      <c r="T14" s="372">
        <f>IF($C14="","",S14*VLOOKUP($C14,ATELIER!$A$2:$F$109,4,0))</f>
        <v>0.16</v>
      </c>
      <c r="U14" s="364">
        <f>'Outils de calculs'!U62</f>
        <v>2</v>
      </c>
      <c r="V14" s="372">
        <f>IF($C14="","",U14*VLOOKUP($C14,ATELIER!$A$2:$F$109,4,0))</f>
        <v>0.16</v>
      </c>
      <c r="W14" s="364">
        <f>'Outils de calculs'!W62</f>
        <v>4</v>
      </c>
      <c r="X14" s="372">
        <f>IF($C14="","",W14*VLOOKUP($C14,ATELIER!$A$2:$F$109,4,0))</f>
        <v>0.32</v>
      </c>
      <c r="Y14" s="364">
        <f>'Outils de calculs'!Y62</f>
        <v>6</v>
      </c>
      <c r="Z14" s="372">
        <f>IF($C14="","",Y14*VLOOKUP($C14,ATELIER!$A$2:$F$109,4,0))</f>
        <v>0.48</v>
      </c>
      <c r="AA14" s="364">
        <f>'Outils de calculs'!AA62</f>
        <v>2</v>
      </c>
      <c r="AB14" s="372">
        <f>IF($C14="","",AA14*VLOOKUP($C14,ATELIER!$A$2:$F$109,4,0))</f>
        <v>0.16</v>
      </c>
      <c r="AC14" s="364">
        <f>'Outils de calculs'!AC62</f>
        <v>6</v>
      </c>
      <c r="AD14" s="372">
        <f>IF($C14="","",AC14*VLOOKUP($C14,ATELIER!$A$2:$F$109,4,0))</f>
        <v>0.48</v>
      </c>
      <c r="AE14" s="364">
        <f>'Outils de calculs'!AE62</f>
        <v>2</v>
      </c>
      <c r="AF14" s="372">
        <f>IF($C14="","",AE14*VLOOKUP($C14,ATELIER!$A$2:$F$109,4,0))</f>
        <v>0.16</v>
      </c>
      <c r="AG14" s="364">
        <f>'Outils de calculs'!AG62</f>
        <v>2</v>
      </c>
      <c r="AH14" s="372">
        <f>IF($C14="","",AG14*VLOOKUP($C14,ATELIER!$A$2:$F$109,4,0))</f>
        <v>0.16</v>
      </c>
      <c r="AI14" s="364">
        <f>'Outils de calculs'!AI62</f>
        <v>6</v>
      </c>
      <c r="AJ14" s="372">
        <f>IF($C14="","",AI14*VLOOKUP($C14,ATELIER!$A$2:$F$109,4,0))</f>
        <v>0.48</v>
      </c>
      <c r="AK14" s="364">
        <f>'Outils de calculs'!AK62</f>
        <v>2</v>
      </c>
      <c r="AL14" s="372">
        <f>IF($C14="","",AK14*VLOOKUP($C14,ATELIER!$A$2:$F$109,4,0))</f>
        <v>0.16</v>
      </c>
      <c r="AM14" s="364">
        <f>'Outils de calculs'!AM62</f>
        <v>6</v>
      </c>
      <c r="AN14" s="372">
        <f>IF($C14="","",AM14*VLOOKUP($C14,ATELIER!$A$2:$F$109,4,0))</f>
        <v>0.48</v>
      </c>
    </row>
    <row r="15" spans="1:40" ht="15" customHeight="1" x14ac:dyDescent="0.2">
      <c r="A15" s="1624"/>
      <c r="B15" s="361" t="s">
        <v>1153</v>
      </c>
      <c r="C15" s="362"/>
      <c r="D15" s="363"/>
      <c r="E15" s="364"/>
      <c r="F15" s="372"/>
      <c r="G15" s="364"/>
      <c r="H15" s="372"/>
      <c r="I15" s="364"/>
      <c r="J15" s="372"/>
      <c r="K15" s="364"/>
      <c r="L15" s="372"/>
      <c r="M15" s="364"/>
      <c r="N15" s="372"/>
      <c r="O15" s="364"/>
      <c r="P15" s="372"/>
      <c r="Q15" s="364"/>
      <c r="R15" s="372"/>
      <c r="S15" s="364"/>
      <c r="T15" s="372"/>
      <c r="U15" s="364"/>
      <c r="V15" s="372"/>
      <c r="W15" s="364"/>
      <c r="X15" s="372"/>
      <c r="Y15" s="364"/>
      <c r="Z15" s="372"/>
      <c r="AA15" s="364"/>
      <c r="AB15" s="372"/>
      <c r="AC15" s="364"/>
      <c r="AD15" s="372"/>
      <c r="AE15" s="364"/>
      <c r="AF15" s="372"/>
      <c r="AG15" s="364"/>
      <c r="AH15" s="372"/>
      <c r="AI15" s="364"/>
      <c r="AJ15" s="372"/>
      <c r="AK15" s="364"/>
      <c r="AL15" s="372"/>
      <c r="AM15" s="364"/>
      <c r="AN15" s="372"/>
    </row>
    <row r="16" spans="1:40" ht="15" customHeight="1" x14ac:dyDescent="0.2">
      <c r="A16" s="1624"/>
      <c r="B16" s="361" t="s">
        <v>1153</v>
      </c>
      <c r="C16" s="362"/>
      <c r="D16" s="363"/>
      <c r="E16" s="364"/>
      <c r="F16" s="372"/>
      <c r="G16" s="364"/>
      <c r="H16" s="372"/>
      <c r="I16" s="364"/>
      <c r="J16" s="372"/>
      <c r="K16" s="364"/>
      <c r="L16" s="372"/>
      <c r="M16" s="364"/>
      <c r="N16" s="372"/>
      <c r="O16" s="364"/>
      <c r="P16" s="372"/>
      <c r="Q16" s="364"/>
      <c r="R16" s="372"/>
      <c r="S16" s="364"/>
      <c r="T16" s="372"/>
      <c r="U16" s="364"/>
      <c r="V16" s="372"/>
      <c r="W16" s="364"/>
      <c r="X16" s="372"/>
      <c r="Y16" s="364"/>
      <c r="Z16" s="372"/>
      <c r="AA16" s="364"/>
      <c r="AB16" s="372"/>
      <c r="AC16" s="364"/>
      <c r="AD16" s="372"/>
      <c r="AE16" s="364"/>
      <c r="AF16" s="372"/>
      <c r="AG16" s="364"/>
      <c r="AH16" s="372"/>
      <c r="AI16" s="364"/>
      <c r="AJ16" s="372"/>
      <c r="AK16" s="364"/>
      <c r="AL16" s="372"/>
      <c r="AM16" s="364"/>
      <c r="AN16" s="372"/>
    </row>
    <row r="17" spans="1:40" ht="15" customHeight="1" x14ac:dyDescent="0.2">
      <c r="A17" s="1624"/>
      <c r="B17" s="361"/>
      <c r="C17" s="362"/>
      <c r="D17" s="363"/>
      <c r="E17" s="364"/>
      <c r="F17" s="372"/>
      <c r="G17" s="364"/>
      <c r="H17" s="372"/>
      <c r="I17" s="364"/>
      <c r="J17" s="372"/>
      <c r="K17" s="364"/>
      <c r="L17" s="372"/>
      <c r="M17" s="364"/>
      <c r="N17" s="372"/>
      <c r="O17" s="364"/>
      <c r="P17" s="372"/>
      <c r="Q17" s="364"/>
      <c r="R17" s="372"/>
      <c r="S17" s="364"/>
      <c r="T17" s="372"/>
      <c r="U17" s="364"/>
      <c r="V17" s="372"/>
      <c r="W17" s="364"/>
      <c r="X17" s="372"/>
      <c r="Y17" s="364"/>
      <c r="Z17" s="372"/>
      <c r="AA17" s="364"/>
      <c r="AB17" s="372"/>
      <c r="AC17" s="364"/>
      <c r="AD17" s="372"/>
      <c r="AE17" s="364"/>
      <c r="AF17" s="372"/>
      <c r="AG17" s="364"/>
      <c r="AH17" s="372"/>
      <c r="AI17" s="364"/>
      <c r="AJ17" s="372"/>
      <c r="AK17" s="364"/>
      <c r="AL17" s="372"/>
      <c r="AM17" s="364"/>
      <c r="AN17" s="372"/>
    </row>
    <row r="18" spans="1:40" ht="15" customHeight="1" x14ac:dyDescent="0.2">
      <c r="A18" s="1624"/>
      <c r="B18" s="361"/>
      <c r="C18" s="362"/>
      <c r="D18" s="363"/>
      <c r="E18" s="364"/>
      <c r="F18" s="372"/>
      <c r="G18" s="364"/>
      <c r="H18" s="372"/>
      <c r="I18" s="364"/>
      <c r="J18" s="372"/>
      <c r="K18" s="364"/>
      <c r="L18" s="372"/>
      <c r="M18" s="364"/>
      <c r="N18" s="372"/>
      <c r="O18" s="364"/>
      <c r="P18" s="372"/>
      <c r="Q18" s="364"/>
      <c r="R18" s="372"/>
      <c r="S18" s="364"/>
      <c r="T18" s="372"/>
      <c r="U18" s="364"/>
      <c r="V18" s="372"/>
      <c r="W18" s="364"/>
      <c r="X18" s="372"/>
      <c r="Y18" s="364"/>
      <c r="Z18" s="372"/>
      <c r="AA18" s="364"/>
      <c r="AB18" s="372"/>
      <c r="AC18" s="364"/>
      <c r="AD18" s="372"/>
      <c r="AE18" s="364"/>
      <c r="AF18" s="372"/>
      <c r="AG18" s="364"/>
      <c r="AH18" s="372"/>
      <c r="AI18" s="364"/>
      <c r="AJ18" s="372"/>
      <c r="AK18" s="364"/>
      <c r="AL18" s="372"/>
      <c r="AM18" s="364"/>
      <c r="AN18" s="372"/>
    </row>
    <row r="19" spans="1:40" ht="35.25" customHeight="1" x14ac:dyDescent="0.2">
      <c r="A19" s="1624"/>
      <c r="B19" s="375" t="s">
        <v>449</v>
      </c>
      <c r="C19" s="376" t="s">
        <v>450</v>
      </c>
      <c r="D19" s="377" t="s">
        <v>451</v>
      </c>
      <c r="E19" s="376">
        <f>F19*Simulation!$P$8</f>
        <v>7.2</v>
      </c>
      <c r="F19" s="377">
        <f>SUM(F14:F18)</f>
        <v>0.16</v>
      </c>
      <c r="G19" s="376">
        <f>H19*Simulation!$P$8</f>
        <v>7.2</v>
      </c>
      <c r="H19" s="377">
        <f>SUM(H14:H18)</f>
        <v>0.16</v>
      </c>
      <c r="I19" s="376">
        <f>J19*Simulation!$P$8</f>
        <v>7.2</v>
      </c>
      <c r="J19" s="377">
        <f>SUM(J14:J18)</f>
        <v>0.16</v>
      </c>
      <c r="K19" s="376">
        <f>L19*Simulation!$P$8</f>
        <v>7.2</v>
      </c>
      <c r="L19" s="377">
        <f>SUM(L14:L18)</f>
        <v>0.16</v>
      </c>
      <c r="M19" s="376">
        <f>N19*Simulation!$P$8</f>
        <v>7.2</v>
      </c>
      <c r="N19" s="377">
        <f>SUM(N14:N18)</f>
        <v>0.16</v>
      </c>
      <c r="O19" s="376">
        <f>P19*Simulation!$P$8</f>
        <v>7.2</v>
      </c>
      <c r="P19" s="377">
        <f>SUM(P14:P18)</f>
        <v>0.16</v>
      </c>
      <c r="Q19" s="376">
        <f>R19*Simulation!$P$8</f>
        <v>7.2</v>
      </c>
      <c r="R19" s="377">
        <f>SUM(R14:R18)</f>
        <v>0.16</v>
      </c>
      <c r="S19" s="376">
        <f>T19*Simulation!$P$8</f>
        <v>7.2</v>
      </c>
      <c r="T19" s="377">
        <f>SUM(T14:T18)</f>
        <v>0.16</v>
      </c>
      <c r="U19" s="376">
        <f>V19*Simulation!$P$8</f>
        <v>7.2</v>
      </c>
      <c r="V19" s="377">
        <f>SUM(V14:V18)</f>
        <v>0.16</v>
      </c>
      <c r="W19" s="376">
        <f>X19*Simulation!$P$8</f>
        <v>14.4</v>
      </c>
      <c r="X19" s="377">
        <f>SUM(X14:X18)</f>
        <v>0.32</v>
      </c>
      <c r="Y19" s="376">
        <f>Z19*Simulation!$P$8</f>
        <v>21.599999999999998</v>
      </c>
      <c r="Z19" s="377">
        <f>SUM(Z14:Z18)</f>
        <v>0.48</v>
      </c>
      <c r="AA19" s="376">
        <f>AB19*Simulation!$P$8</f>
        <v>7.2</v>
      </c>
      <c r="AB19" s="377">
        <f>SUM(AB14:AB18)</f>
        <v>0.16</v>
      </c>
      <c r="AC19" s="376">
        <f>AD19*Simulation!$P$8</f>
        <v>21.599999999999998</v>
      </c>
      <c r="AD19" s="377">
        <f>SUM(AD14:AD18)</f>
        <v>0.48</v>
      </c>
      <c r="AE19" s="376">
        <f>AF19*Simulation!$P$8</f>
        <v>7.2</v>
      </c>
      <c r="AF19" s="377">
        <f>SUM(AF14:AF18)</f>
        <v>0.16</v>
      </c>
      <c r="AG19" s="376">
        <f>AH19*Simulation!$P$8</f>
        <v>7.2</v>
      </c>
      <c r="AH19" s="377">
        <f>SUM(AH14:AH18)</f>
        <v>0.16</v>
      </c>
      <c r="AI19" s="376">
        <f>AJ19*Simulation!$P$8</f>
        <v>21.599999999999998</v>
      </c>
      <c r="AJ19" s="377">
        <f>SUM(AJ14:AJ18)</f>
        <v>0.48</v>
      </c>
      <c r="AK19" s="376">
        <f>AL19*Simulation!$P$8</f>
        <v>7.2</v>
      </c>
      <c r="AL19" s="377">
        <f>SUM(AL14:AL18)</f>
        <v>0.16</v>
      </c>
      <c r="AM19" s="376">
        <f>AN19*Simulation!$P$8</f>
        <v>21.599999999999998</v>
      </c>
      <c r="AN19" s="377">
        <f>SUM(AN14:AN18)</f>
        <v>0.48</v>
      </c>
    </row>
    <row r="20" spans="1:40" ht="15" customHeight="1" x14ac:dyDescent="0.2">
      <c r="A20" s="1626" t="s">
        <v>452</v>
      </c>
      <c r="B20" s="361" t="s">
        <v>1164</v>
      </c>
      <c r="C20" s="378" t="s">
        <v>1000</v>
      </c>
      <c r="D20" s="363" t="str">
        <f>IF(C20="","",VLOOKUP($C20,CHANTIER!$A$2:$C$83,3,0))</f>
        <v>pc</v>
      </c>
      <c r="E20" s="364">
        <f>'Outils de calculs'!E63</f>
        <v>2</v>
      </c>
      <c r="F20" s="372">
        <f>IF($C20="","",E20*VLOOKUP($C20,CHANTIER!$A$2:$D$83,4,0))</f>
        <v>0.7</v>
      </c>
      <c r="G20" s="364">
        <f>'Outils de calculs'!G63</f>
        <v>2</v>
      </c>
      <c r="H20" s="372">
        <f>IF($C20="","",G20*VLOOKUP($C20,CHANTIER!$A$2:$D$83,4,0))</f>
        <v>0.7</v>
      </c>
      <c r="I20" s="364">
        <f>'Outils de calculs'!I63</f>
        <v>2</v>
      </c>
      <c r="J20" s="372">
        <f>IF($C20="","",I20*VLOOKUP($C20,CHANTIER!$A$2:$D$83,4,0))</f>
        <v>0.7</v>
      </c>
      <c r="K20" s="364">
        <f>'Outils de calculs'!K63</f>
        <v>2</v>
      </c>
      <c r="L20" s="372">
        <f>IF($C20="","",K20*VLOOKUP($C20,CHANTIER!$A$2:$D$83,4,0))</f>
        <v>0.7</v>
      </c>
      <c r="M20" s="364">
        <f>'Outils de calculs'!M63</f>
        <v>2</v>
      </c>
      <c r="N20" s="372">
        <f>IF($C20="","",M20*VLOOKUP($C20,CHANTIER!$A$2:$D$83,4,0))</f>
        <v>0.7</v>
      </c>
      <c r="O20" s="364">
        <f>'Outils de calculs'!O63</f>
        <v>2</v>
      </c>
      <c r="P20" s="372">
        <f>IF($C20="","",O20*VLOOKUP($C20,CHANTIER!$A$2:$D$83,4,0))</f>
        <v>0.7</v>
      </c>
      <c r="Q20" s="364">
        <f>'Outils de calculs'!Q63</f>
        <v>2</v>
      </c>
      <c r="R20" s="372">
        <f>IF($C20="","",Q20*VLOOKUP($C20,CHANTIER!$A$2:$D$83,4,0))</f>
        <v>0.7</v>
      </c>
      <c r="S20" s="364">
        <f>'Outils de calculs'!S63</f>
        <v>2</v>
      </c>
      <c r="T20" s="372">
        <f>IF($C20="","",S20*VLOOKUP($C20,CHANTIER!$A$2:$D$83,4,0))</f>
        <v>0.7</v>
      </c>
      <c r="U20" s="364">
        <f>'Outils de calculs'!U63</f>
        <v>2</v>
      </c>
      <c r="V20" s="372">
        <f>IF($C20="","",U20*VLOOKUP($C20,CHANTIER!$A$2:$D$83,4,0))</f>
        <v>0.7</v>
      </c>
      <c r="W20" s="364">
        <f>'Outils de calculs'!W63</f>
        <v>4</v>
      </c>
      <c r="X20" s="372">
        <f>IF($C20="","",W20*VLOOKUP($C20,CHANTIER!$A$2:$D$83,4,0))</f>
        <v>1.4</v>
      </c>
      <c r="Y20" s="364">
        <f>'Outils de calculs'!Y63</f>
        <v>4</v>
      </c>
      <c r="Z20" s="372">
        <f>IF($C20="","",Y20*VLOOKUP($C20,CHANTIER!$A$2:$D$83,4,0))</f>
        <v>1.4</v>
      </c>
      <c r="AA20" s="364">
        <f>'Outils de calculs'!AA63</f>
        <v>4</v>
      </c>
      <c r="AB20" s="372">
        <f>IF($C20="","",AA20*VLOOKUP($C20,CHANTIER!$A$2:$D$83,4,0))</f>
        <v>1.4</v>
      </c>
      <c r="AC20" s="364">
        <f>'Outils de calculs'!AC63</f>
        <v>4</v>
      </c>
      <c r="AD20" s="372">
        <f>IF($C20="","",AC20*VLOOKUP($C20,CHANTIER!$A$2:$D$83,4,0))</f>
        <v>1.4</v>
      </c>
      <c r="AE20" s="364">
        <f>'Outils de calculs'!AE63</f>
        <v>4</v>
      </c>
      <c r="AF20" s="372">
        <f>IF($C20="","",AE20*VLOOKUP($C20,CHANTIER!$A$2:$D$83,4,0))</f>
        <v>1.4</v>
      </c>
      <c r="AG20" s="364">
        <f>'Outils de calculs'!AG63</f>
        <v>4</v>
      </c>
      <c r="AH20" s="372">
        <f>IF($C20="","",AG20*VLOOKUP($C20,CHANTIER!$A$2:$D$83,4,0))</f>
        <v>1.4</v>
      </c>
      <c r="AI20" s="364">
        <f>'Outils de calculs'!AI63</f>
        <v>4</v>
      </c>
      <c r="AJ20" s="372">
        <f>IF($C20="","",AI20*VLOOKUP($C20,CHANTIER!$A$2:$D$83,4,0))</f>
        <v>1.4</v>
      </c>
      <c r="AK20" s="364">
        <f>'Outils de calculs'!AK63</f>
        <v>4</v>
      </c>
      <c r="AL20" s="372">
        <f>IF($C20="","",AK20*VLOOKUP($C20,CHANTIER!$A$2:$D$83,4,0))</f>
        <v>1.4</v>
      </c>
      <c r="AM20" s="364">
        <f>'Outils de calculs'!AM63</f>
        <v>4</v>
      </c>
      <c r="AN20" s="372">
        <f>IF($C20="","",AM20*VLOOKUP($C20,CHANTIER!$A$2:$D$83,4,0))</f>
        <v>1.4</v>
      </c>
    </row>
    <row r="21" spans="1:40" ht="15" customHeight="1" x14ac:dyDescent="0.2">
      <c r="A21" s="1626"/>
      <c r="B21" s="361" t="s">
        <v>1163</v>
      </c>
      <c r="C21" s="378" t="s">
        <v>1021</v>
      </c>
      <c r="D21" s="363" t="str">
        <f>IF(C21="","",VLOOKUP($C21,CHANTIER!$A$2:$C$83,3,0))</f>
        <v>pc</v>
      </c>
      <c r="E21" s="364">
        <f>'Outils de calculs'!E62+'Outils de calculs'!E64</f>
        <v>2</v>
      </c>
      <c r="F21" s="372">
        <f>IF($C21="","",E21*VLOOKUP($C21,CHANTIER!$A$2:$D$83,4,0))</f>
        <v>0.16</v>
      </c>
      <c r="G21" s="364">
        <f>'Outils de calculs'!G62+'Outils de calculs'!G64</f>
        <v>2</v>
      </c>
      <c r="H21" s="372">
        <f>IF($C21="","",G21*VLOOKUP($C21,CHANTIER!$A$2:$D$83,4,0))</f>
        <v>0.16</v>
      </c>
      <c r="I21" s="364">
        <f>'Outils de calculs'!I62+'Outils de calculs'!I64</f>
        <v>2</v>
      </c>
      <c r="J21" s="372">
        <f>IF($C21="","",I21*VLOOKUP($C21,CHANTIER!$A$2:$D$83,4,0))</f>
        <v>0.16</v>
      </c>
      <c r="K21" s="364">
        <f>'Outils de calculs'!K62+'Outils de calculs'!K64</f>
        <v>2</v>
      </c>
      <c r="L21" s="372">
        <f>IF($C21="","",K21*VLOOKUP($C21,CHANTIER!$A$2:$D$83,4,0))</f>
        <v>0.16</v>
      </c>
      <c r="M21" s="364">
        <f>'Outils de calculs'!M62+'Outils de calculs'!M64</f>
        <v>2</v>
      </c>
      <c r="N21" s="372">
        <f>IF($C21="","",M21*VLOOKUP($C21,CHANTIER!$A$2:$D$83,4,0))</f>
        <v>0.16</v>
      </c>
      <c r="O21" s="364">
        <f>'Outils de calculs'!O62+'Outils de calculs'!O64</f>
        <v>2</v>
      </c>
      <c r="P21" s="372">
        <f>IF($C21="","",O21*VLOOKUP($C21,CHANTIER!$A$2:$D$83,4,0))</f>
        <v>0.16</v>
      </c>
      <c r="Q21" s="364">
        <f>'Outils de calculs'!Q62+'Outils de calculs'!Q64</f>
        <v>2</v>
      </c>
      <c r="R21" s="372">
        <f>IF($C21="","",Q21*VLOOKUP($C21,CHANTIER!$A$2:$D$83,4,0))</f>
        <v>0.16</v>
      </c>
      <c r="S21" s="364">
        <f>'Outils de calculs'!S62+'Outils de calculs'!S64</f>
        <v>2</v>
      </c>
      <c r="T21" s="372">
        <f>IF($C21="","",S21*VLOOKUP($C21,CHANTIER!$A$2:$D$83,4,0))</f>
        <v>0.16</v>
      </c>
      <c r="U21" s="364">
        <f>'Outils de calculs'!U62+'Outils de calculs'!U64</f>
        <v>2</v>
      </c>
      <c r="V21" s="372">
        <f>IF($C21="","",U21*VLOOKUP($C21,CHANTIER!$A$2:$D$83,4,0))</f>
        <v>0.16</v>
      </c>
      <c r="W21" s="364">
        <f>'Outils de calculs'!W62+'Outils de calculs'!W64</f>
        <v>6</v>
      </c>
      <c r="X21" s="372">
        <f>IF($C21="","",W21*VLOOKUP($C21,CHANTIER!$A$2:$D$83,4,0))</f>
        <v>0.48</v>
      </c>
      <c r="Y21" s="364">
        <f>'Outils de calculs'!Y62+'Outils de calculs'!Y64</f>
        <v>6</v>
      </c>
      <c r="Z21" s="372">
        <f>IF($C21="","",Y21*VLOOKUP($C21,CHANTIER!$A$2:$D$83,4,0))</f>
        <v>0.48</v>
      </c>
      <c r="AA21" s="364">
        <f>'Outils de calculs'!AA62+'Outils de calculs'!AA64</f>
        <v>4</v>
      </c>
      <c r="AB21" s="372">
        <f>IF($C21="","",AA21*VLOOKUP($C21,CHANTIER!$A$2:$D$83,4,0))</f>
        <v>0.32</v>
      </c>
      <c r="AC21" s="364">
        <f>'Outils de calculs'!AC62+'Outils de calculs'!AC64</f>
        <v>6</v>
      </c>
      <c r="AD21" s="372">
        <f>IF($C21="","",AC21*VLOOKUP($C21,CHANTIER!$A$2:$D$83,4,0))</f>
        <v>0.48</v>
      </c>
      <c r="AE21" s="364">
        <f>'Outils de calculs'!AE62+'Outils de calculs'!AE64</f>
        <v>4</v>
      </c>
      <c r="AF21" s="372">
        <f>IF($C21="","",AE21*VLOOKUP($C21,CHANTIER!$A$2:$D$83,4,0))</f>
        <v>0.32</v>
      </c>
      <c r="AG21" s="364">
        <f>'Outils de calculs'!AG62+'Outils de calculs'!AG64</f>
        <v>4</v>
      </c>
      <c r="AH21" s="372">
        <f>IF($C21="","",AG21*VLOOKUP($C21,CHANTIER!$A$2:$D$83,4,0))</f>
        <v>0.32</v>
      </c>
      <c r="AI21" s="364">
        <f>'Outils de calculs'!AI62+'Outils de calculs'!AI64</f>
        <v>6</v>
      </c>
      <c r="AJ21" s="372">
        <f>IF($C21="","",AI21*VLOOKUP($C21,CHANTIER!$A$2:$D$83,4,0))</f>
        <v>0.48</v>
      </c>
      <c r="AK21" s="364">
        <f>'Outils de calculs'!AK62+'Outils de calculs'!AK64</f>
        <v>4</v>
      </c>
      <c r="AL21" s="372">
        <f>IF($C21="","",AK21*VLOOKUP($C21,CHANTIER!$A$2:$D$83,4,0))</f>
        <v>0.32</v>
      </c>
      <c r="AM21" s="364">
        <f>'Outils de calculs'!AM62+'Outils de calculs'!AM64</f>
        <v>6</v>
      </c>
      <c r="AN21" s="372">
        <f>IF($C21="","",AM21*VLOOKUP($C21,CHANTIER!$A$2:$D$83,4,0))</f>
        <v>0.48</v>
      </c>
    </row>
    <row r="22" spans="1:40" ht="15" customHeight="1" x14ac:dyDescent="0.2">
      <c r="A22" s="1627"/>
      <c r="B22" s="361" t="s">
        <v>1163</v>
      </c>
      <c r="C22" s="378" t="s">
        <v>392</v>
      </c>
      <c r="D22" s="363" t="str">
        <f>IF(C22="","",VLOOKUP($C22,CHANTIER!$A$2:$C$83,3,0))</f>
        <v>ml</v>
      </c>
      <c r="E22" s="364">
        <f>'Outils de calculs'!E61</f>
        <v>4</v>
      </c>
      <c r="F22" s="372">
        <f>IF($C22="","",E22*VLOOKUP($C22,CHANTIER!$A$2:$D$83,4,0))</f>
        <v>0.4</v>
      </c>
      <c r="G22" s="364">
        <f>'Outils de calculs'!G61</f>
        <v>5</v>
      </c>
      <c r="H22" s="372">
        <f>IF($C22="","",G22*VLOOKUP($C22,CHANTIER!$A$2:$D$83,4,0))</f>
        <v>0.5</v>
      </c>
      <c r="I22" s="364">
        <f>'Outils de calculs'!I61</f>
        <v>6</v>
      </c>
      <c r="J22" s="372">
        <f>IF($C22="","",I22*VLOOKUP($C22,CHANTIER!$A$2:$D$83,4,0))</f>
        <v>0.60000000000000009</v>
      </c>
      <c r="K22" s="364">
        <f>'Outils de calculs'!K61</f>
        <v>5</v>
      </c>
      <c r="L22" s="372">
        <f>IF($C22="","",K22*VLOOKUP($C22,CHANTIER!$A$2:$D$83,4,0))</f>
        <v>0.5</v>
      </c>
      <c r="M22" s="364">
        <f>'Outils de calculs'!M61</f>
        <v>5</v>
      </c>
      <c r="N22" s="372">
        <f>IF($C22="","",M22*VLOOKUP($C22,CHANTIER!$A$2:$D$83,4,0))</f>
        <v>0.5</v>
      </c>
      <c r="O22" s="364">
        <f>'Outils de calculs'!O61</f>
        <v>5</v>
      </c>
      <c r="P22" s="372">
        <f>IF($C22="","",O22*VLOOKUP($C22,CHANTIER!$A$2:$D$83,4,0))</f>
        <v>0.5</v>
      </c>
      <c r="Q22" s="364">
        <f>'Outils de calculs'!Q61</f>
        <v>5</v>
      </c>
      <c r="R22" s="372">
        <f>IF($C22="","",Q22*VLOOKUP($C22,CHANTIER!$A$2:$D$83,4,0))</f>
        <v>0.5</v>
      </c>
      <c r="S22" s="364">
        <f>'Outils de calculs'!S61</f>
        <v>6</v>
      </c>
      <c r="T22" s="372">
        <f>IF($C22="","",S22*VLOOKUP($C22,CHANTIER!$A$2:$D$83,4,0))</f>
        <v>0.60000000000000009</v>
      </c>
      <c r="U22" s="364">
        <f>'Outils de calculs'!U61</f>
        <v>7</v>
      </c>
      <c r="V22" s="372">
        <f>IF($C22="","",U22*VLOOKUP($C22,CHANTIER!$A$2:$D$83,4,0))</f>
        <v>0.70000000000000007</v>
      </c>
      <c r="W22" s="364">
        <f>'Outils de calculs'!W61</f>
        <v>10</v>
      </c>
      <c r="X22" s="372">
        <f>IF($C22="","",W22*VLOOKUP($C22,CHANTIER!$A$2:$D$83,4,0))</f>
        <v>1</v>
      </c>
      <c r="Y22" s="364">
        <f>'Outils de calculs'!Y61</f>
        <v>20</v>
      </c>
      <c r="Z22" s="372">
        <f>IF($C22="","",Y22*VLOOKUP($C22,CHANTIER!$A$2:$D$83,4,0))</f>
        <v>2</v>
      </c>
      <c r="AA22" s="364">
        <f>'Outils de calculs'!AA61</f>
        <v>13</v>
      </c>
      <c r="AB22" s="372">
        <f>IF($C22="","",AA22*VLOOKUP($C22,CHANTIER!$A$2:$D$83,4,0))</f>
        <v>1.3</v>
      </c>
      <c r="AC22" s="364">
        <f>'Outils de calculs'!AC61</f>
        <v>24</v>
      </c>
      <c r="AD22" s="372">
        <f>IF($C22="","",AC22*VLOOKUP($C22,CHANTIER!$A$2:$D$83,4,0))</f>
        <v>2.4000000000000004</v>
      </c>
      <c r="AE22" s="364">
        <f>'Outils de calculs'!AE61</f>
        <v>16</v>
      </c>
      <c r="AF22" s="372">
        <f>IF($C22="","",AE22*VLOOKUP($C22,CHANTIER!$A$2:$D$83,4,0))</f>
        <v>1.6</v>
      </c>
      <c r="AG22" s="364">
        <f>'Outils de calculs'!AG61</f>
        <v>18</v>
      </c>
      <c r="AH22" s="372">
        <f>IF($C22="","",AG22*VLOOKUP($C22,CHANTIER!$A$2:$D$83,4,0))</f>
        <v>1.8</v>
      </c>
      <c r="AI22" s="364">
        <f>'Outils de calculs'!AI61</f>
        <v>30</v>
      </c>
      <c r="AJ22" s="372">
        <f>IF($C22="","",AI22*VLOOKUP($C22,CHANTIER!$A$2:$D$83,4,0))</f>
        <v>3</v>
      </c>
      <c r="AK22" s="364">
        <f>'Outils de calculs'!AK61</f>
        <v>20</v>
      </c>
      <c r="AL22" s="372">
        <f>IF($C22="","",AK22*VLOOKUP($C22,CHANTIER!$A$2:$D$83,4,0))</f>
        <v>2</v>
      </c>
      <c r="AM22" s="364">
        <f>'Outils de calculs'!AM61</f>
        <v>32</v>
      </c>
      <c r="AN22" s="372">
        <f>IF($C22="","",AM22*VLOOKUP($C22,CHANTIER!$A$2:$D$83,4,0))</f>
        <v>3.2</v>
      </c>
    </row>
    <row r="23" spans="1:40" ht="15" customHeight="1" x14ac:dyDescent="0.2">
      <c r="A23" s="1626"/>
      <c r="B23" s="361" t="s">
        <v>1164</v>
      </c>
      <c r="C23" s="378"/>
      <c r="D23" s="363" t="str">
        <f>IF(C23="","",VLOOKUP($C23,CHANTIER!$A$2:$C$83,3,0))</f>
        <v/>
      </c>
      <c r="E23" s="364"/>
      <c r="F23" s="372" t="str">
        <f>IF($C23="","",E23*VLOOKUP($C23,CHANTIER!$A$2:$D$83,4,0))</f>
        <v/>
      </c>
      <c r="G23" s="364"/>
      <c r="H23" s="372" t="str">
        <f>IF($C23="","",G23*VLOOKUP($C23,CHANTIER!$A$2:$D$83,4,0))</f>
        <v/>
      </c>
      <c r="I23" s="364"/>
      <c r="J23" s="372" t="str">
        <f>IF($C23="","",I23*VLOOKUP($C23,CHANTIER!$A$2:$D$83,4,0))</f>
        <v/>
      </c>
      <c r="K23" s="364"/>
      <c r="L23" s="372" t="str">
        <f>IF($C23="","",K23*VLOOKUP($C23,CHANTIER!$A$2:$D$83,4,0))</f>
        <v/>
      </c>
      <c r="M23" s="364"/>
      <c r="N23" s="372" t="str">
        <f>IF($C23="","",M23*VLOOKUP($C23,CHANTIER!$A$2:$D$83,4,0))</f>
        <v/>
      </c>
      <c r="O23" s="364"/>
      <c r="P23" s="372" t="str">
        <f>IF($C23="","",O23*VLOOKUP($C23,CHANTIER!$A$2:$D$83,4,0))</f>
        <v/>
      </c>
      <c r="Q23" s="364"/>
      <c r="R23" s="372" t="str">
        <f>IF($C23="","",Q23*VLOOKUP($C23,CHANTIER!$A$2:$D$83,4,0))</f>
        <v/>
      </c>
      <c r="S23" s="364"/>
      <c r="T23" s="372" t="str">
        <f>IF($C23="","",S23*VLOOKUP($C23,CHANTIER!$A$2:$D$83,4,0))</f>
        <v/>
      </c>
      <c r="U23" s="364"/>
      <c r="V23" s="372" t="str">
        <f>IF($C23="","",U23*VLOOKUP($C23,CHANTIER!$A$2:$D$83,4,0))</f>
        <v/>
      </c>
      <c r="W23" s="364"/>
      <c r="X23" s="372" t="str">
        <f>IF($C23="","",W23*VLOOKUP($C23,CHANTIER!$A$2:$D$83,4,0))</f>
        <v/>
      </c>
      <c r="Y23" s="364"/>
      <c r="Z23" s="372" t="str">
        <f>IF($C23="","",Y23*VLOOKUP($C23,CHANTIER!$A$2:$D$83,4,0))</f>
        <v/>
      </c>
      <c r="AA23" s="364"/>
      <c r="AB23" s="372" t="str">
        <f>IF($C23="","",AA23*VLOOKUP($C23,CHANTIER!$A$2:$D$83,4,0))</f>
        <v/>
      </c>
      <c r="AC23" s="364"/>
      <c r="AD23" s="372" t="str">
        <f>IF($C23="","",AC23*VLOOKUP($C23,CHANTIER!$A$2:$D$83,4,0))</f>
        <v/>
      </c>
      <c r="AE23" s="364"/>
      <c r="AF23" s="372" t="str">
        <f>IF($C23="","",AE23*VLOOKUP($C23,CHANTIER!$A$2:$D$83,4,0))</f>
        <v/>
      </c>
      <c r="AG23" s="364"/>
      <c r="AH23" s="372" t="str">
        <f>IF($C23="","",AG23*VLOOKUP($C23,CHANTIER!$A$2:$D$83,4,0))</f>
        <v/>
      </c>
      <c r="AI23" s="364"/>
      <c r="AJ23" s="372" t="str">
        <f>IF($C23="","",AI23*VLOOKUP($C23,CHANTIER!$A$2:$D$83,4,0))</f>
        <v/>
      </c>
      <c r="AK23" s="364"/>
      <c r="AL23" s="372" t="str">
        <f>IF($C23="","",AK23*VLOOKUP($C23,CHANTIER!$A$2:$D$83,4,0))</f>
        <v/>
      </c>
      <c r="AM23" s="364"/>
      <c r="AN23" s="372" t="str">
        <f>IF($C23="","",AM23*VLOOKUP($C23,CHANTIER!$A$2:$D$83,4,0))</f>
        <v/>
      </c>
    </row>
    <row r="24" spans="1:40" ht="15" customHeight="1" x14ac:dyDescent="0.2">
      <c r="A24" s="1626"/>
      <c r="B24" s="361"/>
      <c r="C24" s="378"/>
      <c r="D24" s="363" t="str">
        <f>IF(C24="","",VLOOKUP($C24,CHANTIER!$A$2:$C$83,3,0))</f>
        <v/>
      </c>
      <c r="E24" s="364"/>
      <c r="F24" s="372" t="str">
        <f>IF($C24="","",E24*VLOOKUP($C24,CHANTIER!$A$2:$D$83,4,0))</f>
        <v/>
      </c>
      <c r="G24" s="364"/>
      <c r="H24" s="372" t="str">
        <f>IF($C24="","",G24*VLOOKUP($C24,CHANTIER!$A$2:$D$83,4,0))</f>
        <v/>
      </c>
      <c r="I24" s="364"/>
      <c r="J24" s="372" t="str">
        <f>IF($C24="","",I24*VLOOKUP($C24,CHANTIER!$A$2:$D$83,4,0))</f>
        <v/>
      </c>
      <c r="K24" s="364"/>
      <c r="L24" s="372" t="str">
        <f>IF($C24="","",K24*VLOOKUP($C24,CHANTIER!$A$2:$D$83,4,0))</f>
        <v/>
      </c>
      <c r="M24" s="364"/>
      <c r="N24" s="372" t="str">
        <f>IF($C24="","",M24*VLOOKUP($C24,CHANTIER!$A$2:$D$83,4,0))</f>
        <v/>
      </c>
      <c r="O24" s="364"/>
      <c r="P24" s="372" t="str">
        <f>IF($C24="","",O24*VLOOKUP($C24,CHANTIER!$A$2:$D$83,4,0))</f>
        <v/>
      </c>
      <c r="Q24" s="364"/>
      <c r="R24" s="372" t="str">
        <f>IF($C24="","",Q24*VLOOKUP($C24,CHANTIER!$A$2:$D$83,4,0))</f>
        <v/>
      </c>
      <c r="S24" s="364"/>
      <c r="T24" s="372" t="str">
        <f>IF($C24="","",S24*VLOOKUP($C24,CHANTIER!$A$2:$D$83,4,0))</f>
        <v/>
      </c>
      <c r="U24" s="364"/>
      <c r="V24" s="372" t="str">
        <f>IF($C24="","",U24*VLOOKUP($C24,CHANTIER!$A$2:$D$83,4,0))</f>
        <v/>
      </c>
      <c r="W24" s="364"/>
      <c r="X24" s="372" t="str">
        <f>IF($C24="","",W24*VLOOKUP($C24,CHANTIER!$A$2:$D$83,4,0))</f>
        <v/>
      </c>
      <c r="Y24" s="364"/>
      <c r="Z24" s="372" t="str">
        <f>IF($C24="","",Y24*VLOOKUP($C24,CHANTIER!$A$2:$D$83,4,0))</f>
        <v/>
      </c>
      <c r="AA24" s="364"/>
      <c r="AB24" s="372" t="str">
        <f>IF($C24="","",AA24*VLOOKUP($C24,CHANTIER!$A$2:$D$83,4,0))</f>
        <v/>
      </c>
      <c r="AC24" s="364"/>
      <c r="AD24" s="372" t="str">
        <f>IF($C24="","",AC24*VLOOKUP($C24,CHANTIER!$A$2:$D$83,4,0))</f>
        <v/>
      </c>
      <c r="AE24" s="364"/>
      <c r="AF24" s="372" t="str">
        <f>IF($C24="","",AE24*VLOOKUP($C24,CHANTIER!$A$2:$D$83,4,0))</f>
        <v/>
      </c>
      <c r="AG24" s="364"/>
      <c r="AH24" s="372" t="str">
        <f>IF($C24="","",AG24*VLOOKUP($C24,CHANTIER!$A$2:$D$83,4,0))</f>
        <v/>
      </c>
      <c r="AI24" s="364"/>
      <c r="AJ24" s="372" t="str">
        <f>IF($C24="","",AI24*VLOOKUP($C24,CHANTIER!$A$2:$D$83,4,0))</f>
        <v/>
      </c>
      <c r="AK24" s="364"/>
      <c r="AL24" s="372" t="str">
        <f>IF($C24="","",AK24*VLOOKUP($C24,CHANTIER!$A$2:$D$83,4,0))</f>
        <v/>
      </c>
      <c r="AM24" s="364"/>
      <c r="AN24" s="372" t="str">
        <f>IF($C24="","",AM24*VLOOKUP($C24,CHANTIER!$A$2:$D$83,4,0))</f>
        <v/>
      </c>
    </row>
    <row r="25" spans="1:40" ht="30.75" customHeight="1" x14ac:dyDescent="0.2">
      <c r="A25" s="1626"/>
      <c r="B25" s="379" t="s">
        <v>453</v>
      </c>
      <c r="C25" s="380" t="s">
        <v>450</v>
      </c>
      <c r="D25" s="381" t="s">
        <v>451</v>
      </c>
      <c r="E25" s="382">
        <f>F25*Simulation!$P$9</f>
        <v>56.7</v>
      </c>
      <c r="F25" s="383">
        <f>SUM(F20:F24)</f>
        <v>1.26</v>
      </c>
      <c r="G25" s="382">
        <f>H25*Simulation!$P$9</f>
        <v>61.199999999999996</v>
      </c>
      <c r="H25" s="383">
        <f>SUM(H20:H24)</f>
        <v>1.3599999999999999</v>
      </c>
      <c r="I25" s="382">
        <f>J25*Simulation!$P$9</f>
        <v>65.7</v>
      </c>
      <c r="J25" s="383">
        <f>SUM(J20:J24)</f>
        <v>1.46</v>
      </c>
      <c r="K25" s="382">
        <f>L25*Simulation!$P$9</f>
        <v>61.199999999999996</v>
      </c>
      <c r="L25" s="383">
        <f>SUM(L20:L24)</f>
        <v>1.3599999999999999</v>
      </c>
      <c r="M25" s="382">
        <f>N25*Simulation!$P$9</f>
        <v>61.199999999999996</v>
      </c>
      <c r="N25" s="383">
        <f>SUM(N20:N24)</f>
        <v>1.3599999999999999</v>
      </c>
      <c r="O25" s="382">
        <f>P25*Simulation!$P$9</f>
        <v>61.199999999999996</v>
      </c>
      <c r="P25" s="383">
        <f>SUM(P20:P24)</f>
        <v>1.3599999999999999</v>
      </c>
      <c r="Q25" s="382">
        <f>R25*Simulation!$P$9</f>
        <v>61.199999999999996</v>
      </c>
      <c r="R25" s="383">
        <f>SUM(R20:R24)</f>
        <v>1.3599999999999999</v>
      </c>
      <c r="S25" s="382">
        <f>T25*Simulation!$P$9</f>
        <v>65.7</v>
      </c>
      <c r="T25" s="383">
        <f>SUM(T20:T24)</f>
        <v>1.46</v>
      </c>
      <c r="U25" s="382">
        <f>V25*Simulation!$P$9</f>
        <v>70.2</v>
      </c>
      <c r="V25" s="383">
        <f t="shared" ref="V25" si="10">SUM(V20:V24)</f>
        <v>1.56</v>
      </c>
      <c r="W25" s="382">
        <f>X25*Simulation!$P$9</f>
        <v>129.6</v>
      </c>
      <c r="X25" s="383">
        <f t="shared" ref="X25" si="11">SUM(X20:X24)</f>
        <v>2.88</v>
      </c>
      <c r="Y25" s="382">
        <f>Z25*Simulation!$P$9</f>
        <v>174.6</v>
      </c>
      <c r="Z25" s="383">
        <f t="shared" ref="Z25" si="12">SUM(Z20:Z24)</f>
        <v>3.88</v>
      </c>
      <c r="AA25" s="382">
        <f>AB25*Simulation!$P$9</f>
        <v>135.9</v>
      </c>
      <c r="AB25" s="383">
        <f t="shared" ref="AB25" si="13">SUM(AB20:AB24)</f>
        <v>3.02</v>
      </c>
      <c r="AC25" s="382">
        <f>AD25*Simulation!$P$9</f>
        <v>192.60000000000002</v>
      </c>
      <c r="AD25" s="383">
        <f t="shared" ref="AD25" si="14">SUM(AD20:AD24)</f>
        <v>4.28</v>
      </c>
      <c r="AE25" s="382">
        <f>AF25*Simulation!$P$9</f>
        <v>149.4</v>
      </c>
      <c r="AF25" s="383">
        <f t="shared" ref="AF25" si="15">SUM(AF20:AF24)</f>
        <v>3.3200000000000003</v>
      </c>
      <c r="AG25" s="382">
        <f>AH25*Simulation!$P$9</f>
        <v>158.4</v>
      </c>
      <c r="AH25" s="383">
        <f t="shared" ref="AH25" si="16">SUM(AH20:AH24)</f>
        <v>3.52</v>
      </c>
      <c r="AI25" s="382">
        <f>AJ25*Simulation!$P$9</f>
        <v>219.6</v>
      </c>
      <c r="AJ25" s="383">
        <f t="shared" ref="AJ25" si="17">SUM(AJ20:AJ24)</f>
        <v>4.88</v>
      </c>
      <c r="AK25" s="382">
        <f>AL25*Simulation!$P$9</f>
        <v>167.39999999999998</v>
      </c>
      <c r="AL25" s="383">
        <f t="shared" ref="AL25" si="18">SUM(AL20:AL24)</f>
        <v>3.7199999999999998</v>
      </c>
      <c r="AM25" s="382">
        <f>AN25*Simulation!$P$9</f>
        <v>228.6</v>
      </c>
      <c r="AN25" s="383">
        <f t="shared" ref="AN25" si="19">SUM(AN20:AN24)</f>
        <v>5.08</v>
      </c>
    </row>
    <row r="26" spans="1:40" ht="15" customHeight="1" x14ac:dyDescent="0.2">
      <c r="A26" s="1628" t="s">
        <v>4</v>
      </c>
      <c r="B26" s="361" t="s">
        <v>1172</v>
      </c>
      <c r="C26" s="378" t="s">
        <v>392</v>
      </c>
      <c r="D26" s="363" t="str">
        <f>IF(C26="","",VLOOKUP($C26,MINIPELLE!$A$2:$C$28,3,0))</f>
        <v>ml</v>
      </c>
      <c r="E26" s="364">
        <f>'Outils de calculs'!E61</f>
        <v>4</v>
      </c>
      <c r="F26" s="372">
        <f>IF($C26="","",E26*VLOOKUP($C26,MINIPELLE!$A$2:$D$28,4,0))</f>
        <v>0.6</v>
      </c>
      <c r="G26" s="364">
        <f>'Outils de calculs'!G61</f>
        <v>5</v>
      </c>
      <c r="H26" s="372">
        <f>IF($C26="","",G26*VLOOKUP($C26,MINIPELLE!$A$2:$D$28,4,0))</f>
        <v>0.75</v>
      </c>
      <c r="I26" s="364">
        <f>'Outils de calculs'!I61</f>
        <v>6</v>
      </c>
      <c r="J26" s="372">
        <f>IF($C26="","",I26*VLOOKUP($C26,MINIPELLE!$A$2:$D$28,4,0))</f>
        <v>0.89999999999999991</v>
      </c>
      <c r="K26" s="364">
        <f>'Outils de calculs'!K61</f>
        <v>5</v>
      </c>
      <c r="L26" s="372">
        <f>IF($C26="","",K26*VLOOKUP($C26,MINIPELLE!$A$2:$D$28,4,0))</f>
        <v>0.75</v>
      </c>
      <c r="M26" s="364">
        <f>'Outils de calculs'!M61</f>
        <v>5</v>
      </c>
      <c r="N26" s="372">
        <f>IF($C26="","",M26*VLOOKUP($C26,MINIPELLE!$A$2:$D$28,4,0))</f>
        <v>0.75</v>
      </c>
      <c r="O26" s="364">
        <f>'Outils de calculs'!O61</f>
        <v>5</v>
      </c>
      <c r="P26" s="372">
        <f>IF($C26="","",O26*VLOOKUP($C26,MINIPELLE!$A$2:$D$28,4,0))</f>
        <v>0.75</v>
      </c>
      <c r="Q26" s="364">
        <f>'Outils de calculs'!Q61</f>
        <v>5</v>
      </c>
      <c r="R26" s="372">
        <f>IF($C26="","",Q26*VLOOKUP($C26,MINIPELLE!$A$2:$D$28,4,0))</f>
        <v>0.75</v>
      </c>
      <c r="S26" s="364">
        <f>'Outils de calculs'!S61</f>
        <v>6</v>
      </c>
      <c r="T26" s="372">
        <f>IF($C26="","",S26*VLOOKUP($C26,MINIPELLE!$A$2:$D$28,4,0))</f>
        <v>0.89999999999999991</v>
      </c>
      <c r="U26" s="364">
        <f>'Outils de calculs'!U61</f>
        <v>7</v>
      </c>
      <c r="V26" s="372">
        <f>IF($C26="","",U26*VLOOKUP($C26,MINIPELLE!$A$2:$D$28,4,0))</f>
        <v>1.05</v>
      </c>
      <c r="W26" s="364">
        <f>'Outils de calculs'!W61</f>
        <v>10</v>
      </c>
      <c r="X26" s="372">
        <f>IF($C26="","",W26*VLOOKUP($C26,MINIPELLE!$A$2:$D$28,4,0))</f>
        <v>1.5</v>
      </c>
      <c r="Y26" s="364">
        <f>'Outils de calculs'!Y61</f>
        <v>20</v>
      </c>
      <c r="Z26" s="372">
        <f>IF($C26="","",Y26*VLOOKUP($C26,MINIPELLE!$A$2:$D$28,4,0))</f>
        <v>3</v>
      </c>
      <c r="AA26" s="364">
        <f>'Outils de calculs'!AA61</f>
        <v>13</v>
      </c>
      <c r="AB26" s="372">
        <f>IF($C26="","",AA26*VLOOKUP($C26,MINIPELLE!$A$2:$D$28,4,0))</f>
        <v>1.95</v>
      </c>
      <c r="AC26" s="364">
        <f>'Outils de calculs'!AC61</f>
        <v>24</v>
      </c>
      <c r="AD26" s="372">
        <f>IF($C26="","",AC26*VLOOKUP($C26,MINIPELLE!$A$2:$D$28,4,0))</f>
        <v>3.5999999999999996</v>
      </c>
      <c r="AE26" s="364">
        <f>'Outils de calculs'!AE61</f>
        <v>16</v>
      </c>
      <c r="AF26" s="372">
        <f>IF($C26="","",AE26*VLOOKUP($C26,MINIPELLE!$A$2:$D$28,4,0))</f>
        <v>2.4</v>
      </c>
      <c r="AG26" s="364">
        <f>'Outils de calculs'!AG61</f>
        <v>18</v>
      </c>
      <c r="AH26" s="372">
        <f>IF($C26="","",AG26*VLOOKUP($C26,MINIPELLE!$A$2:$D$28,4,0))</f>
        <v>2.6999999999999997</v>
      </c>
      <c r="AI26" s="364">
        <f>'Outils de calculs'!AI61</f>
        <v>30</v>
      </c>
      <c r="AJ26" s="372">
        <f>IF($C26="","",AI26*VLOOKUP($C26,MINIPELLE!$A$2:$D$28,4,0))</f>
        <v>4.5</v>
      </c>
      <c r="AK26" s="364">
        <f>'Outils de calculs'!AK61</f>
        <v>20</v>
      </c>
      <c r="AL26" s="372">
        <f>IF($C26="","",AK26*VLOOKUP($C26,MINIPELLE!$A$2:$D$28,4,0))</f>
        <v>3</v>
      </c>
      <c r="AM26" s="364">
        <f>'Outils de calculs'!AM61</f>
        <v>32</v>
      </c>
      <c r="AN26" s="372">
        <f>IF($C26="","",AM26*VLOOKUP($C26,MINIPELLE!$A$2:$D$28,4,0))</f>
        <v>4.8</v>
      </c>
    </row>
    <row r="27" spans="1:40" ht="15" customHeight="1" x14ac:dyDescent="0.2">
      <c r="A27" s="1629"/>
      <c r="B27" s="361" t="s">
        <v>1172</v>
      </c>
      <c r="C27" s="378"/>
      <c r="D27" s="363" t="str">
        <f>IF(C27="","",VLOOKUP($C27,MINIPELLE!$A$2:$C$28,3,0))</f>
        <v/>
      </c>
      <c r="E27" s="364"/>
      <c r="F27" s="389" t="str">
        <f>IF($C27="","",E27*VLOOKUP($C27,MINIPELLE!$A$2:$D$28,4,0))</f>
        <v/>
      </c>
      <c r="G27" s="364"/>
      <c r="H27" s="389" t="str">
        <f>IF($C27="","",G27*VLOOKUP($C27,MINIPELLE!$A$2:$D$28,4,0))</f>
        <v/>
      </c>
      <c r="I27" s="364"/>
      <c r="J27" s="389" t="str">
        <f>IF($C27="","",I27*VLOOKUP($C27,MINIPELLE!$A$2:$D$28,4,0))</f>
        <v/>
      </c>
      <c r="K27" s="364"/>
      <c r="L27" s="389" t="str">
        <f>IF($C27="","",K27*VLOOKUP($C27,MINIPELLE!$A$2:$D$28,4,0))</f>
        <v/>
      </c>
      <c r="M27" s="364"/>
      <c r="N27" s="389" t="str">
        <f>IF($C27="","",M27*VLOOKUP($C27,MINIPELLE!$A$2:$D$28,4,0))</f>
        <v/>
      </c>
      <c r="O27" s="364"/>
      <c r="P27" s="389" t="str">
        <f>IF($C27="","",O27*VLOOKUP($C27,MINIPELLE!$A$2:$D$28,4,0))</f>
        <v/>
      </c>
      <c r="Q27" s="364"/>
      <c r="R27" s="389" t="str">
        <f>IF($C27="","",Q27*VLOOKUP($C27,MINIPELLE!$A$2:$D$28,4,0))</f>
        <v/>
      </c>
      <c r="S27" s="364"/>
      <c r="T27" s="389" t="str">
        <f>IF($C27="","",S27*VLOOKUP($C27,MINIPELLE!$A$2:$D$28,4,0))</f>
        <v/>
      </c>
      <c r="U27" s="364"/>
      <c r="V27" s="389" t="str">
        <f>IF($C27="","",U27*VLOOKUP($C27,MINIPELLE!$A$2:$D$28,4,0))</f>
        <v/>
      </c>
      <c r="W27" s="364"/>
      <c r="X27" s="389" t="str">
        <f>IF($C27="","",W27*VLOOKUP($C27,MINIPELLE!$A$2:$D$28,4,0))</f>
        <v/>
      </c>
      <c r="Y27" s="364"/>
      <c r="Z27" s="389" t="str">
        <f>IF($C27="","",Y27*VLOOKUP($C27,MINIPELLE!$A$2:$D$28,4,0))</f>
        <v/>
      </c>
      <c r="AA27" s="364"/>
      <c r="AB27" s="389" t="str">
        <f>IF($C27="","",AA27*VLOOKUP($C27,MINIPELLE!$A$2:$D$28,4,0))</f>
        <v/>
      </c>
      <c r="AC27" s="364"/>
      <c r="AD27" s="389" t="str">
        <f>IF($C27="","",AC27*VLOOKUP($C27,MINIPELLE!$A$2:$D$28,4,0))</f>
        <v/>
      </c>
      <c r="AE27" s="364"/>
      <c r="AF27" s="389" t="str">
        <f>IF($C27="","",AE27*VLOOKUP($C27,MINIPELLE!$A$2:$D$28,4,0))</f>
        <v/>
      </c>
      <c r="AG27" s="364"/>
      <c r="AH27" s="389" t="str">
        <f>IF($C27="","",AG27*VLOOKUP($C27,MINIPELLE!$A$2:$D$28,4,0))</f>
        <v/>
      </c>
      <c r="AI27" s="364"/>
      <c r="AJ27" s="389" t="str">
        <f>IF($C27="","",AI27*VLOOKUP($C27,MINIPELLE!$A$2:$D$28,4,0))</f>
        <v/>
      </c>
      <c r="AK27" s="364"/>
      <c r="AL27" s="389" t="str">
        <f>IF($C27="","",AK27*VLOOKUP($C27,MINIPELLE!$A$2:$D$28,4,0))</f>
        <v/>
      </c>
      <c r="AM27" s="364"/>
      <c r="AN27" s="389" t="str">
        <f>IF($C27="","",AM27*VLOOKUP($C27,MINIPELLE!$A$2:$D$28,4,0))</f>
        <v/>
      </c>
    </row>
    <row r="28" spans="1:40" ht="29.25" customHeight="1" x14ac:dyDescent="0.2">
      <c r="A28" s="1629"/>
      <c r="B28" s="384" t="s">
        <v>454</v>
      </c>
      <c r="C28" s="385" t="s">
        <v>455</v>
      </c>
      <c r="D28" s="386" t="s">
        <v>451</v>
      </c>
      <c r="E28" s="387">
        <f>F28*Simulation!$P$10</f>
        <v>48</v>
      </c>
      <c r="F28" s="388">
        <f>SUM(F26:F27)</f>
        <v>0.6</v>
      </c>
      <c r="G28" s="387">
        <f>H28*Simulation!$P$10</f>
        <v>60</v>
      </c>
      <c r="H28" s="388">
        <f>SUM(H26:H27)</f>
        <v>0.75</v>
      </c>
      <c r="I28" s="387">
        <f>J28*Simulation!$P$10</f>
        <v>72</v>
      </c>
      <c r="J28" s="388">
        <f>SUM(J26:J27)</f>
        <v>0.89999999999999991</v>
      </c>
      <c r="K28" s="387">
        <f>L28*Simulation!$P$10</f>
        <v>60</v>
      </c>
      <c r="L28" s="388">
        <f>SUM(L26:L27)</f>
        <v>0.75</v>
      </c>
      <c r="M28" s="387">
        <f>N28*Simulation!$P$10</f>
        <v>60</v>
      </c>
      <c r="N28" s="388">
        <f>SUM(N26:N27)</f>
        <v>0.75</v>
      </c>
      <c r="O28" s="387">
        <f>P28*Simulation!$P$10</f>
        <v>60</v>
      </c>
      <c r="P28" s="388">
        <f>SUM(P26:P27)</f>
        <v>0.75</v>
      </c>
      <c r="Q28" s="387">
        <f>R28*Simulation!$P$10</f>
        <v>60</v>
      </c>
      <c r="R28" s="388">
        <f>SUM(R26:R27)</f>
        <v>0.75</v>
      </c>
      <c r="S28" s="387">
        <f>T28*Simulation!$P$10</f>
        <v>72</v>
      </c>
      <c r="T28" s="388">
        <f>SUM(T26:T27)</f>
        <v>0.89999999999999991</v>
      </c>
      <c r="U28" s="387">
        <f>V28*Simulation!$P$10</f>
        <v>84</v>
      </c>
      <c r="V28" s="388">
        <f t="shared" ref="V28" si="20">SUM(V26:V27)</f>
        <v>1.05</v>
      </c>
      <c r="W28" s="387">
        <f>X28*Simulation!$P$10</f>
        <v>120</v>
      </c>
      <c r="X28" s="388">
        <f t="shared" ref="X28" si="21">SUM(X26:X27)</f>
        <v>1.5</v>
      </c>
      <c r="Y28" s="387">
        <f>Z28*Simulation!$P$10</f>
        <v>240</v>
      </c>
      <c r="Z28" s="388">
        <f t="shared" ref="Z28" si="22">SUM(Z26:Z27)</f>
        <v>3</v>
      </c>
      <c r="AA28" s="387">
        <f>AB28*Simulation!$P$10</f>
        <v>156</v>
      </c>
      <c r="AB28" s="388">
        <f t="shared" ref="AB28" si="23">SUM(AB26:AB27)</f>
        <v>1.95</v>
      </c>
      <c r="AC28" s="387">
        <f>AD28*Simulation!$P$10</f>
        <v>288</v>
      </c>
      <c r="AD28" s="388">
        <f t="shared" ref="AD28" si="24">SUM(AD26:AD27)</f>
        <v>3.5999999999999996</v>
      </c>
      <c r="AE28" s="387">
        <f>AF28*Simulation!$P$10</f>
        <v>192</v>
      </c>
      <c r="AF28" s="388">
        <f t="shared" ref="AF28" si="25">SUM(AF26:AF27)</f>
        <v>2.4</v>
      </c>
      <c r="AG28" s="387">
        <f>AH28*Simulation!$P$10</f>
        <v>215.99999999999997</v>
      </c>
      <c r="AH28" s="388">
        <f t="shared" ref="AH28" si="26">SUM(AH26:AH27)</f>
        <v>2.6999999999999997</v>
      </c>
      <c r="AI28" s="387">
        <f>AJ28*Simulation!$P$10</f>
        <v>360</v>
      </c>
      <c r="AJ28" s="388">
        <f t="shared" ref="AJ28" si="27">SUM(AJ26:AJ27)</f>
        <v>4.5</v>
      </c>
      <c r="AK28" s="387">
        <f>AL28*Simulation!$P$10</f>
        <v>240</v>
      </c>
      <c r="AL28" s="388">
        <f t="shared" ref="AL28" si="28">SUM(AL26:AL27)</f>
        <v>3</v>
      </c>
      <c r="AM28" s="387">
        <f>AN28*Simulation!$P$10</f>
        <v>384</v>
      </c>
      <c r="AN28" s="388">
        <f t="shared" ref="AN28" si="29">SUM(AN26:AN27)</f>
        <v>4.8</v>
      </c>
    </row>
    <row r="29" spans="1:40" ht="18" x14ac:dyDescent="0.2">
      <c r="A29" s="199"/>
      <c r="B29" s="199"/>
      <c r="C29" s="172"/>
      <c r="D29" s="200"/>
      <c r="E29" s="201"/>
      <c r="F29" s="202"/>
      <c r="G29" s="203"/>
      <c r="H29" s="202"/>
      <c r="I29" s="203"/>
      <c r="J29" s="202"/>
      <c r="K29" s="203"/>
      <c r="L29" s="202"/>
      <c r="M29" s="203"/>
      <c r="N29" s="202"/>
      <c r="O29" s="203"/>
      <c r="P29" s="202"/>
      <c r="Q29" s="203"/>
      <c r="R29" s="202"/>
      <c r="S29" s="203"/>
      <c r="T29" s="202"/>
      <c r="U29" s="203"/>
      <c r="V29" s="202"/>
      <c r="W29" s="203"/>
      <c r="X29" s="202"/>
      <c r="Y29" s="203"/>
      <c r="Z29" s="202"/>
      <c r="AA29" s="203"/>
      <c r="AB29" s="202"/>
      <c r="AC29" s="203"/>
      <c r="AD29" s="202"/>
      <c r="AE29" s="203"/>
      <c r="AF29" s="202"/>
      <c r="AG29" s="203"/>
      <c r="AH29" s="202"/>
      <c r="AI29" s="203"/>
      <c r="AJ29" s="202"/>
      <c r="AK29" s="203"/>
      <c r="AL29" s="202"/>
      <c r="AM29" s="203"/>
      <c r="AN29" s="202"/>
    </row>
    <row r="30" spans="1:40" ht="36" customHeight="1" x14ac:dyDescent="0.2">
      <c r="A30" s="1644" t="s">
        <v>456</v>
      </c>
      <c r="B30" s="1645"/>
      <c r="C30" s="1646" t="s">
        <v>445</v>
      </c>
      <c r="D30" s="1647"/>
      <c r="E30" s="1547">
        <f>E28+E25+E19+E13</f>
        <v>269.98</v>
      </c>
      <c r="F30" s="1547"/>
      <c r="G30" s="1547">
        <f>G28+G25+G19+G13</f>
        <v>288.93700000000001</v>
      </c>
      <c r="H30" s="1547"/>
      <c r="I30" s="1547">
        <f>I28+I25+I19+I13</f>
        <v>307.89400000000001</v>
      </c>
      <c r="J30" s="1547"/>
      <c r="K30" s="1547">
        <f>K28+K25+K19+K13</f>
        <v>288.93700000000001</v>
      </c>
      <c r="L30" s="1547"/>
      <c r="M30" s="1547">
        <f>M28+M25+M19+M13</f>
        <v>288.93700000000001</v>
      </c>
      <c r="N30" s="1547"/>
      <c r="O30" s="1547">
        <f>O28+O25+O19+O13</f>
        <v>288.93700000000001</v>
      </c>
      <c r="P30" s="1547"/>
      <c r="Q30" s="1547">
        <f>Q28+Q25+Q19+Q13</f>
        <v>288.93700000000001</v>
      </c>
      <c r="R30" s="1547"/>
      <c r="S30" s="1547">
        <f>S28+S25+S19+S13</f>
        <v>307.89400000000001</v>
      </c>
      <c r="T30" s="1547"/>
      <c r="U30" s="1547">
        <f>U28+U25+U19+U13</f>
        <v>326.851</v>
      </c>
      <c r="V30" s="1547"/>
      <c r="W30" s="1547">
        <f>W28+W25+W19+W13</f>
        <v>595.78600000000006</v>
      </c>
      <c r="X30" s="1547"/>
      <c r="Y30" s="1547">
        <f>Y28+Y25+Y19+Y13</f>
        <v>800.096</v>
      </c>
      <c r="Z30" s="1547"/>
      <c r="AA30" s="1547">
        <f>AA28+AA25+AA19+AA13</f>
        <v>620.005</v>
      </c>
      <c r="AB30" s="1547"/>
      <c r="AC30" s="1547">
        <f>AC28+AC25+AC19+AC13</f>
        <v>875.92400000000009</v>
      </c>
      <c r="AD30" s="1547"/>
      <c r="AE30" s="1547">
        <f>AE28+AE25+AE19+AE13</f>
        <v>676.87599999999998</v>
      </c>
      <c r="AF30" s="1547"/>
      <c r="AG30" s="1547">
        <f>AG28+AG25+AG19+AG13</f>
        <v>714.79</v>
      </c>
      <c r="AH30" s="1547"/>
      <c r="AI30" s="1576">
        <f>AI28+AI25+AI19+AI13</f>
        <v>989.66600000000005</v>
      </c>
      <c r="AJ30" s="1577"/>
      <c r="AK30" s="1547">
        <f>AK28+AK25+AK19+AK13</f>
        <v>752.70399999999995</v>
      </c>
      <c r="AL30" s="1547"/>
      <c r="AM30" s="1547">
        <f>AM28+AM25+AM19+AM13</f>
        <v>1027.5800000000002</v>
      </c>
      <c r="AN30" s="1547"/>
    </row>
    <row r="31" spans="1:40" ht="18" customHeight="1" x14ac:dyDescent="0.2">
      <c r="A31" s="1644"/>
      <c r="B31" s="1645"/>
      <c r="C31" s="1648" t="s">
        <v>457</v>
      </c>
      <c r="D31" s="1649"/>
      <c r="E31" s="149">
        <f>E13-F13</f>
        <v>36.47999999999999</v>
      </c>
      <c r="F31" s="207">
        <f>E31/E$30</f>
        <v>0.13512112008296906</v>
      </c>
      <c r="G31" s="149">
        <f>G13-H13</f>
        <v>37.046999999999997</v>
      </c>
      <c r="H31" s="207">
        <f>G31/G$30</f>
        <v>0.12821826211250201</v>
      </c>
      <c r="I31" s="149">
        <f>I13-J13</f>
        <v>37.614000000000004</v>
      </c>
      <c r="J31" s="207">
        <f>I31/I$30</f>
        <v>0.12216542056681846</v>
      </c>
      <c r="K31" s="149">
        <f>K13-L13</f>
        <v>37.046999999999997</v>
      </c>
      <c r="L31" s="207">
        <f>K31/K$30</f>
        <v>0.12821826211250201</v>
      </c>
      <c r="M31" s="149">
        <f>M13-N13</f>
        <v>37.046999999999997</v>
      </c>
      <c r="N31" s="207">
        <f>M31/M$30</f>
        <v>0.12821826211250201</v>
      </c>
      <c r="O31" s="149">
        <f>O13-P13</f>
        <v>37.046999999999997</v>
      </c>
      <c r="P31" s="207">
        <f>O31/O$30</f>
        <v>0.12821826211250201</v>
      </c>
      <c r="Q31" s="149">
        <f>Q13-R13</f>
        <v>37.046999999999997</v>
      </c>
      <c r="R31" s="207">
        <f>Q31/Q$30</f>
        <v>0.12821826211250201</v>
      </c>
      <c r="S31" s="149">
        <f>S13-T13</f>
        <v>37.614000000000004</v>
      </c>
      <c r="T31" s="207">
        <f>S31/S$30</f>
        <v>0.12216542056681846</v>
      </c>
      <c r="U31" s="149">
        <f>U13-V13</f>
        <v>38.181000000000012</v>
      </c>
      <c r="V31" s="207">
        <f t="shared" ref="V31:V32" si="30">U31/U$30</f>
        <v>0.11681469538107582</v>
      </c>
      <c r="W31" s="149">
        <f>W13-X13</f>
        <v>76.566000000000031</v>
      </c>
      <c r="X31" s="207">
        <f t="shared" ref="X31:X32" si="31">W31/W$30</f>
        <v>0.12851258673416296</v>
      </c>
      <c r="Y31" s="149">
        <f>Y13-Z13</f>
        <v>83.975999999999999</v>
      </c>
      <c r="Z31" s="207">
        <f t="shared" ref="Z31:Z32" si="32">Y31/Y$30</f>
        <v>0.10495740511138663</v>
      </c>
      <c r="AA31" s="149">
        <f>AA13-AB13</f>
        <v>74.055000000000035</v>
      </c>
      <c r="AB31" s="207">
        <f t="shared" ref="AB31:AB32" si="33">AA31/AA$30</f>
        <v>0.11944258514044247</v>
      </c>
      <c r="AC31" s="149">
        <f>AC13-AD13</f>
        <v>86.244000000000028</v>
      </c>
      <c r="AD31" s="207">
        <f t="shared" ref="AD31:AD32" si="34">AC31/AC$30</f>
        <v>9.8460597038099215E-2</v>
      </c>
      <c r="AE31" s="149">
        <f>AE13-AF13</f>
        <v>75.756</v>
      </c>
      <c r="AF31" s="207">
        <f t="shared" ref="AF31:AF32" si="35">AE31/AE$30</f>
        <v>0.11192005625845798</v>
      </c>
      <c r="AG31" s="149">
        <f>AG13-AH13</f>
        <v>76.890000000000043</v>
      </c>
      <c r="AH31" s="207">
        <f t="shared" ref="AH31:AH32" si="36">AG31/AG$30</f>
        <v>0.10757005554078827</v>
      </c>
      <c r="AI31" s="149">
        <f>AI13-AJ13</f>
        <v>89.646000000000015</v>
      </c>
      <c r="AJ31" s="207">
        <f t="shared" ref="AJ31:AJ32" si="37">AI31/AI$30</f>
        <v>9.0582075164752557E-2</v>
      </c>
      <c r="AK31" s="149">
        <f>AK13-AL13</f>
        <v>78.024000000000001</v>
      </c>
      <c r="AL31" s="207">
        <f t="shared" ref="AL31:AL32" si="38">AK31/AK$30</f>
        <v>0.10365827735736757</v>
      </c>
      <c r="AM31" s="149">
        <f>AM13-AN13</f>
        <v>90.78000000000003</v>
      </c>
      <c r="AN31" s="207">
        <f t="shared" ref="AN31:AN35" si="39">AM31/AM$30</f>
        <v>8.834348663850991E-2</v>
      </c>
    </row>
    <row r="32" spans="1:40" ht="18" customHeight="1" x14ac:dyDescent="0.2">
      <c r="A32" s="1644"/>
      <c r="B32" s="1645"/>
      <c r="C32" s="1650" t="s">
        <v>9</v>
      </c>
      <c r="D32" s="1651"/>
      <c r="E32" s="149">
        <f>E13</f>
        <v>158.07999999999998</v>
      </c>
      <c r="F32" s="207">
        <f t="shared" ref="F32:T32" si="40">E32/E$30</f>
        <v>0.585524853692866</v>
      </c>
      <c r="G32" s="149">
        <f>G13</f>
        <v>160.53700000000001</v>
      </c>
      <c r="H32" s="207">
        <f t="shared" si="40"/>
        <v>0.5556124691541755</v>
      </c>
      <c r="I32" s="149">
        <f>I13</f>
        <v>162.994</v>
      </c>
      <c r="J32" s="207">
        <f t="shared" si="40"/>
        <v>0.52938348912287991</v>
      </c>
      <c r="K32" s="149">
        <f>K13</f>
        <v>160.53700000000001</v>
      </c>
      <c r="L32" s="207">
        <f t="shared" si="40"/>
        <v>0.5556124691541755</v>
      </c>
      <c r="M32" s="149">
        <f>M13</f>
        <v>160.53700000000001</v>
      </c>
      <c r="N32" s="207">
        <f t="shared" si="40"/>
        <v>0.5556124691541755</v>
      </c>
      <c r="O32" s="149">
        <f>O13</f>
        <v>160.53700000000001</v>
      </c>
      <c r="P32" s="207">
        <f t="shared" si="40"/>
        <v>0.5556124691541755</v>
      </c>
      <c r="Q32" s="149">
        <f>Q13</f>
        <v>160.53700000000001</v>
      </c>
      <c r="R32" s="207">
        <f t="shared" si="40"/>
        <v>0.5556124691541755</v>
      </c>
      <c r="S32" s="149">
        <f>S13</f>
        <v>162.994</v>
      </c>
      <c r="T32" s="207">
        <f t="shared" si="40"/>
        <v>0.52938348912287991</v>
      </c>
      <c r="U32" s="149">
        <f>U13</f>
        <v>165.45100000000002</v>
      </c>
      <c r="V32" s="207">
        <f t="shared" si="30"/>
        <v>0.50619701331799516</v>
      </c>
      <c r="W32" s="149">
        <f>W13</f>
        <v>331.78600000000006</v>
      </c>
      <c r="X32" s="207">
        <f t="shared" si="31"/>
        <v>0.55688787584803945</v>
      </c>
      <c r="Y32" s="149">
        <f>Y13</f>
        <v>363.89600000000002</v>
      </c>
      <c r="Z32" s="207">
        <f t="shared" si="32"/>
        <v>0.45481542214934212</v>
      </c>
      <c r="AA32" s="149">
        <f>AA13</f>
        <v>320.90500000000003</v>
      </c>
      <c r="AB32" s="207">
        <f t="shared" si="33"/>
        <v>0.51758453560858386</v>
      </c>
      <c r="AC32" s="149">
        <f>AC13</f>
        <v>373.72400000000005</v>
      </c>
      <c r="AD32" s="207">
        <f t="shared" si="34"/>
        <v>0.42666258716509653</v>
      </c>
      <c r="AE32" s="149">
        <f>AE13</f>
        <v>328.27600000000001</v>
      </c>
      <c r="AF32" s="207">
        <f t="shared" si="35"/>
        <v>0.48498691045331793</v>
      </c>
      <c r="AG32" s="149">
        <f>AG13</f>
        <v>333.19000000000005</v>
      </c>
      <c r="AH32" s="207">
        <f t="shared" si="36"/>
        <v>0.46613690734341567</v>
      </c>
      <c r="AI32" s="149">
        <f>AI13</f>
        <v>388.46600000000001</v>
      </c>
      <c r="AJ32" s="207">
        <f t="shared" si="37"/>
        <v>0.3925223257139277</v>
      </c>
      <c r="AK32" s="149">
        <f>AK13</f>
        <v>338.10400000000004</v>
      </c>
      <c r="AL32" s="207">
        <f t="shared" si="38"/>
        <v>0.44918586854859288</v>
      </c>
      <c r="AM32" s="149">
        <f>AM13</f>
        <v>393.38000000000005</v>
      </c>
      <c r="AN32" s="207">
        <f t="shared" si="39"/>
        <v>0.3828217754335429</v>
      </c>
    </row>
    <row r="33" spans="1:40" ht="18" customHeight="1" x14ac:dyDescent="0.2">
      <c r="A33" s="1644"/>
      <c r="B33" s="1645"/>
      <c r="C33" s="1648" t="s">
        <v>458</v>
      </c>
      <c r="D33" s="1649"/>
      <c r="E33" s="149">
        <f>E19</f>
        <v>7.2</v>
      </c>
      <c r="F33" s="207">
        <f>E33/E$30</f>
        <v>2.6668642121638639E-2</v>
      </c>
      <c r="G33" s="149">
        <f>G19</f>
        <v>7.2</v>
      </c>
      <c r="H33" s="207">
        <f>G33/G$30</f>
        <v>2.4918926963317264E-2</v>
      </c>
      <c r="I33" s="149">
        <f>I19</f>
        <v>7.2</v>
      </c>
      <c r="J33" s="207">
        <f>I33/I$30</f>
        <v>2.3384671347931429E-2</v>
      </c>
      <c r="K33" s="149">
        <f>K19</f>
        <v>7.2</v>
      </c>
      <c r="L33" s="207">
        <f>K33/K$30</f>
        <v>2.4918926963317264E-2</v>
      </c>
      <c r="M33" s="149">
        <f>M19</f>
        <v>7.2</v>
      </c>
      <c r="N33" s="207">
        <f>M33/M$30</f>
        <v>2.4918926963317264E-2</v>
      </c>
      <c r="O33" s="149">
        <f>O19</f>
        <v>7.2</v>
      </c>
      <c r="P33" s="207">
        <f>O33/O$30</f>
        <v>2.4918926963317264E-2</v>
      </c>
      <c r="Q33" s="149">
        <f>Q19</f>
        <v>7.2</v>
      </c>
      <c r="R33" s="207">
        <f>Q33/Q$30</f>
        <v>2.4918926963317264E-2</v>
      </c>
      <c r="S33" s="149">
        <f>S19</f>
        <v>7.2</v>
      </c>
      <c r="T33" s="207">
        <f>S33/S$30</f>
        <v>2.3384671347931429E-2</v>
      </c>
      <c r="U33" s="149">
        <f t="shared" ref="U33" si="41">U19</f>
        <v>7.2</v>
      </c>
      <c r="V33" s="207">
        <f t="shared" ref="V33" si="42">U33/U$30</f>
        <v>2.2028386022989069E-2</v>
      </c>
      <c r="W33" s="149">
        <f t="shared" ref="W33" si="43">W19</f>
        <v>14.4</v>
      </c>
      <c r="X33" s="207">
        <f t="shared" ref="X33" si="44">W33/W$30</f>
        <v>2.4169752226470578E-2</v>
      </c>
      <c r="Y33" s="149">
        <f t="shared" ref="Y33" si="45">Y19</f>
        <v>21.599999999999998</v>
      </c>
      <c r="Z33" s="207">
        <f t="shared" ref="Z33" si="46">Y33/Y$30</f>
        <v>2.6996760388753347E-2</v>
      </c>
      <c r="AA33" s="149">
        <f t="shared" ref="AA33" si="47">AA19</f>
        <v>7.2</v>
      </c>
      <c r="AB33" s="207">
        <f t="shared" ref="AB33" si="48">AA33/AA$30</f>
        <v>1.1612809574116338E-2</v>
      </c>
      <c r="AC33" s="149">
        <f t="shared" ref="AC33" si="49">AC19</f>
        <v>21.599999999999998</v>
      </c>
      <c r="AD33" s="207">
        <f t="shared" ref="AD33" si="50">AC33/AC$30</f>
        <v>2.4659673670318426E-2</v>
      </c>
      <c r="AE33" s="149">
        <f t="shared" ref="AE33" si="51">AE19</f>
        <v>7.2</v>
      </c>
      <c r="AF33" s="207">
        <f t="shared" ref="AF33" si="52">AE33/AE$30</f>
        <v>1.0637103398554537E-2</v>
      </c>
      <c r="AG33" s="149">
        <f t="shared" ref="AG33" si="53">AG19</f>
        <v>7.2</v>
      </c>
      <c r="AH33" s="207">
        <f t="shared" ref="AH33" si="54">AG33/AG$30</f>
        <v>1.0072888540690274E-2</v>
      </c>
      <c r="AI33" s="149">
        <f t="shared" ref="AI33" si="55">AI19</f>
        <v>21.599999999999998</v>
      </c>
      <c r="AJ33" s="207">
        <f t="shared" ref="AJ33" si="56">AI33/AI$30</f>
        <v>2.1825545183930737E-2</v>
      </c>
      <c r="AK33" s="149">
        <f t="shared" ref="AK33" si="57">AK19</f>
        <v>7.2</v>
      </c>
      <c r="AL33" s="207">
        <f t="shared" ref="AL33" si="58">AK33/AK$30</f>
        <v>9.5655131366380423E-3</v>
      </c>
      <c r="AM33" s="149">
        <f t="shared" ref="AM33" si="59">AM19</f>
        <v>21.599999999999998</v>
      </c>
      <c r="AN33" s="207">
        <f t="shared" si="39"/>
        <v>2.1020261196208562E-2</v>
      </c>
    </row>
    <row r="34" spans="1:40" ht="18" customHeight="1" x14ac:dyDescent="0.2">
      <c r="A34" s="1644"/>
      <c r="B34" s="1645"/>
      <c r="C34" s="1650" t="s">
        <v>459</v>
      </c>
      <c r="D34" s="1651"/>
      <c r="E34" s="149">
        <f>E25</f>
        <v>56.7</v>
      </c>
      <c r="F34" s="207">
        <f>E34/E$30</f>
        <v>0.21001555670790428</v>
      </c>
      <c r="G34" s="149">
        <f>G25</f>
        <v>61.199999999999996</v>
      </c>
      <c r="H34" s="207">
        <f>G34/G$30</f>
        <v>0.21181087918819672</v>
      </c>
      <c r="I34" s="149">
        <f>I25</f>
        <v>65.7</v>
      </c>
      <c r="J34" s="207">
        <f>I34/I$30</f>
        <v>0.21338512604987431</v>
      </c>
      <c r="K34" s="149">
        <f>K25</f>
        <v>61.199999999999996</v>
      </c>
      <c r="L34" s="207">
        <f>K34/K$30</f>
        <v>0.21181087918819672</v>
      </c>
      <c r="M34" s="149">
        <f>M25</f>
        <v>61.199999999999996</v>
      </c>
      <c r="N34" s="207">
        <f>M34/M$30</f>
        <v>0.21181087918819672</v>
      </c>
      <c r="O34" s="149">
        <f>O25</f>
        <v>61.199999999999996</v>
      </c>
      <c r="P34" s="207">
        <f>O34/O$30</f>
        <v>0.21181087918819672</v>
      </c>
      <c r="Q34" s="149">
        <f>Q25</f>
        <v>61.199999999999996</v>
      </c>
      <c r="R34" s="207">
        <f>Q34/Q$30</f>
        <v>0.21181087918819672</v>
      </c>
      <c r="S34" s="149">
        <f>S25</f>
        <v>65.7</v>
      </c>
      <c r="T34" s="207">
        <f>S34/S$30</f>
        <v>0.21338512604987431</v>
      </c>
      <c r="U34" s="149">
        <f t="shared" ref="U34" si="60">U25</f>
        <v>70.2</v>
      </c>
      <c r="V34" s="207">
        <f t="shared" ref="V34" si="61">U34/U$30</f>
        <v>0.21477676372414342</v>
      </c>
      <c r="W34" s="149">
        <f t="shared" ref="W34" si="62">W25</f>
        <v>129.6</v>
      </c>
      <c r="X34" s="207">
        <f t="shared" ref="X34" si="63">W34/W$30</f>
        <v>0.21752777003823517</v>
      </c>
      <c r="Y34" s="149">
        <f t="shared" ref="Y34" si="64">Y25</f>
        <v>174.6</v>
      </c>
      <c r="Z34" s="207">
        <f t="shared" ref="Z34" si="65">Y34/Y$30</f>
        <v>0.2182238131424229</v>
      </c>
      <c r="AA34" s="149">
        <f t="shared" ref="AA34" si="66">AA25</f>
        <v>135.9</v>
      </c>
      <c r="AB34" s="207">
        <f t="shared" ref="AB34" si="67">AA34/AA$30</f>
        <v>0.21919178071144588</v>
      </c>
      <c r="AC34" s="149">
        <f t="shared" ref="AC34" si="68">AC25</f>
        <v>192.60000000000002</v>
      </c>
      <c r="AD34" s="207">
        <f t="shared" ref="AD34" si="69">AC34/AC$30</f>
        <v>0.219882090227006</v>
      </c>
      <c r="AE34" s="149">
        <f t="shared" ref="AE34" si="70">AE25</f>
        <v>149.4</v>
      </c>
      <c r="AF34" s="207">
        <f t="shared" ref="AF34" si="71">AE34/AE$30</f>
        <v>0.22071989552000665</v>
      </c>
      <c r="AG34" s="149">
        <f t="shared" ref="AG34" si="72">AG25</f>
        <v>158.4</v>
      </c>
      <c r="AH34" s="207">
        <f t="shared" ref="AH34" si="73">AG34/AG$30</f>
        <v>0.22160354789518602</v>
      </c>
      <c r="AI34" s="149">
        <f t="shared" ref="AI34" si="74">AI25</f>
        <v>219.6</v>
      </c>
      <c r="AJ34" s="207">
        <f t="shared" ref="AJ34" si="75">AI34/AI$30</f>
        <v>0.22189304270329585</v>
      </c>
      <c r="AK34" s="149">
        <f t="shared" ref="AK34" si="76">AK25</f>
        <v>167.39999999999998</v>
      </c>
      <c r="AL34" s="207">
        <f t="shared" ref="AL34" si="77">AK34/AK$30</f>
        <v>0.22239818042683443</v>
      </c>
      <c r="AM34" s="149">
        <f t="shared" ref="AM34" si="78">AM25</f>
        <v>228.6</v>
      </c>
      <c r="AN34" s="207">
        <f t="shared" si="39"/>
        <v>0.22246443099320731</v>
      </c>
    </row>
    <row r="35" spans="1:40" ht="18" customHeight="1" x14ac:dyDescent="0.2">
      <c r="A35" s="1644"/>
      <c r="B35" s="1645"/>
      <c r="C35" s="1652" t="s">
        <v>5</v>
      </c>
      <c r="D35" s="1653"/>
      <c r="E35" s="149">
        <f>E28</f>
        <v>48</v>
      </c>
      <c r="F35" s="207">
        <f>E35/E$30</f>
        <v>0.17779094747759092</v>
      </c>
      <c r="G35" s="149">
        <f>G28</f>
        <v>60</v>
      </c>
      <c r="H35" s="207">
        <f>G35/G$30</f>
        <v>0.20765772469431051</v>
      </c>
      <c r="I35" s="149">
        <f>I28</f>
        <v>72</v>
      </c>
      <c r="J35" s="207">
        <f>I35/I$30</f>
        <v>0.23384671347931429</v>
      </c>
      <c r="K35" s="149">
        <f>K28</f>
        <v>60</v>
      </c>
      <c r="L35" s="207">
        <f>K35/K$30</f>
        <v>0.20765772469431051</v>
      </c>
      <c r="M35" s="149">
        <f>M28</f>
        <v>60</v>
      </c>
      <c r="N35" s="207">
        <f>M35/M$30</f>
        <v>0.20765772469431051</v>
      </c>
      <c r="O35" s="149">
        <f>O28</f>
        <v>60</v>
      </c>
      <c r="P35" s="207">
        <f>O35/O$30</f>
        <v>0.20765772469431051</v>
      </c>
      <c r="Q35" s="149">
        <f>Q28</f>
        <v>60</v>
      </c>
      <c r="R35" s="207">
        <f>Q35/Q$30</f>
        <v>0.20765772469431051</v>
      </c>
      <c r="S35" s="149">
        <f>S28</f>
        <v>72</v>
      </c>
      <c r="T35" s="207">
        <f>S35/S$30</f>
        <v>0.23384671347931429</v>
      </c>
      <c r="U35" s="149">
        <f t="shared" ref="U35" si="79">U28</f>
        <v>84</v>
      </c>
      <c r="V35" s="207">
        <f t="shared" ref="V35" si="80">U35/U$30</f>
        <v>0.25699783693487249</v>
      </c>
      <c r="W35" s="149">
        <f t="shared" ref="W35" si="81">W28</f>
        <v>120</v>
      </c>
      <c r="X35" s="207">
        <f t="shared" ref="X35" si="82">W35/W$30</f>
        <v>0.2014146018872548</v>
      </c>
      <c r="Y35" s="149">
        <f t="shared" ref="Y35" si="83">Y28</f>
        <v>240</v>
      </c>
      <c r="Z35" s="207">
        <f t="shared" ref="Z35" si="84">Y35/Y$30</f>
        <v>0.29996400431948167</v>
      </c>
      <c r="AA35" s="149">
        <f t="shared" ref="AA35" si="85">AA28</f>
        <v>156</v>
      </c>
      <c r="AB35" s="207">
        <f t="shared" ref="AB35" si="86">AA35/AA$30</f>
        <v>0.25161087410585398</v>
      </c>
      <c r="AC35" s="149">
        <f t="shared" ref="AC35" si="87">AC28</f>
        <v>288</v>
      </c>
      <c r="AD35" s="207">
        <f t="shared" ref="AD35" si="88">AC35/AC$30</f>
        <v>0.32879564893757901</v>
      </c>
      <c r="AE35" s="149">
        <f t="shared" ref="AE35" si="89">AE28</f>
        <v>192</v>
      </c>
      <c r="AF35" s="207">
        <f t="shared" ref="AF35" si="90">AE35/AE$30</f>
        <v>0.28365609062812097</v>
      </c>
      <c r="AG35" s="149">
        <f t="shared" ref="AG35" si="91">AG28</f>
        <v>215.99999999999997</v>
      </c>
      <c r="AH35" s="207">
        <f t="shared" ref="AH35" si="92">AG35/AG$30</f>
        <v>0.30218665622070817</v>
      </c>
      <c r="AI35" s="149">
        <f t="shared" ref="AI35" si="93">AI28</f>
        <v>360</v>
      </c>
      <c r="AJ35" s="207">
        <f t="shared" ref="AJ35" si="94">AI35/AI$30</f>
        <v>0.36375908639884563</v>
      </c>
      <c r="AK35" s="149">
        <f t="shared" ref="AK35" si="95">AK28</f>
        <v>240</v>
      </c>
      <c r="AL35" s="207">
        <f t="shared" ref="AL35" si="96">AK35/AK$30</f>
        <v>0.31885043788793471</v>
      </c>
      <c r="AM35" s="149">
        <f t="shared" ref="AM35" si="97">AM28</f>
        <v>384</v>
      </c>
      <c r="AN35" s="207">
        <f t="shared" si="39"/>
        <v>0.37369353237704117</v>
      </c>
    </row>
  </sheetData>
  <mergeCells count="48">
    <mergeCell ref="AM2:AN2"/>
    <mergeCell ref="U30:V30"/>
    <mergeCell ref="W30:X30"/>
    <mergeCell ref="Y30:Z30"/>
    <mergeCell ref="AA30:AB30"/>
    <mergeCell ref="AC30:AD30"/>
    <mergeCell ref="AE30:AF30"/>
    <mergeCell ref="AG30:AH30"/>
    <mergeCell ref="AI30:AJ30"/>
    <mergeCell ref="AK30:AL30"/>
    <mergeCell ref="AM30:AN30"/>
    <mergeCell ref="AE2:AF2"/>
    <mergeCell ref="AG2:AH2"/>
    <mergeCell ref="AI2:AJ2"/>
    <mergeCell ref="AK2:AL2"/>
    <mergeCell ref="U2:V2"/>
    <mergeCell ref="W2:X2"/>
    <mergeCell ref="Y2:Z2"/>
    <mergeCell ref="AA2:AB2"/>
    <mergeCell ref="AC2:AD2"/>
    <mergeCell ref="C31:D31"/>
    <mergeCell ref="K30:L30"/>
    <mergeCell ref="M30:N30"/>
    <mergeCell ref="C2:C3"/>
    <mergeCell ref="E2:F2"/>
    <mergeCell ref="G2:H2"/>
    <mergeCell ref="I2:J2"/>
    <mergeCell ref="K2:L2"/>
    <mergeCell ref="M2:N2"/>
    <mergeCell ref="O2:P2"/>
    <mergeCell ref="Q2:R2"/>
    <mergeCell ref="S2:T2"/>
    <mergeCell ref="Q30:R30"/>
    <mergeCell ref="S30:T30"/>
    <mergeCell ref="O30:P30"/>
    <mergeCell ref="A4:A12"/>
    <mergeCell ref="A14:A19"/>
    <mergeCell ref="A20:A25"/>
    <mergeCell ref="A26:A28"/>
    <mergeCell ref="A30:B35"/>
    <mergeCell ref="C32:D32"/>
    <mergeCell ref="C33:D33"/>
    <mergeCell ref="C34:D34"/>
    <mergeCell ref="C35:D35"/>
    <mergeCell ref="I30:J30"/>
    <mergeCell ref="E30:F30"/>
    <mergeCell ref="G30:H30"/>
    <mergeCell ref="C30:D30"/>
  </mergeCells>
  <dataValidations xWindow="636" yWindow="814" count="8">
    <dataValidation type="list" allowBlank="1" showInputMessage="1" showErrorMessage="1" promptTitle="Catégorie MOC" prompt="choisir" sqref="B20:B23" xr:uid="{00000000-0002-0000-2B00-000001000000}">
      <formula1>CATEGORIE_MOC</formula1>
    </dataValidation>
    <dataValidation type="list" allowBlank="1" showInputMessage="1" showErrorMessage="1" promptTitle="MATIERES" prompt="choisir catégorie" sqref="B4:B12" xr:uid="{00000000-0002-0000-2B00-000002000000}">
      <formula1>MOA_ALIM</formula1>
    </dataValidation>
    <dataValidation type="list" allowBlank="1" showInputMessage="1" showErrorMessage="1" promptTitle="MATIERES" prompt="choisir le produit" sqref="C4:C12" xr:uid="{00000000-0002-0000-2B00-000003000000}">
      <formula1>INDIRECT(B4)</formula1>
    </dataValidation>
    <dataValidation type="list" allowBlank="1" showInputMessage="1" showErrorMessage="1" promptTitle="MINIPELLE" prompt="choisir catégorie" sqref="B26:B27" xr:uid="{00000000-0002-0000-2B00-000004000000}">
      <formula1>CATEGORIE_MP</formula1>
    </dataValidation>
    <dataValidation type="list" allowBlank="1" showInputMessage="1" promptTitle="MINIPELLE" prompt="choisir la prestation" sqref="C26:C27" xr:uid="{00000000-0002-0000-2B00-000005000000}">
      <formula1>INDIRECT(B26)</formula1>
    </dataValidation>
    <dataValidation type="list" allowBlank="1" showInputMessage="1" promptTitle="Main d'oeuvre CHANTIER" prompt="choisir la prestation" sqref="C20:C24" xr:uid="{00000000-0002-0000-2B00-000007000000}">
      <formula1>INDIRECT(B20)</formula1>
    </dataValidation>
    <dataValidation type="list" allowBlank="1" showInputMessage="1" showErrorMessage="1" promptTitle="MO ATELIER" prompt="choisir catégorie" sqref="B14:B18" xr:uid="{00000000-0002-0000-2B00-000000000000}">
      <formula1>CATEGORIE_MOA</formula1>
    </dataValidation>
    <dataValidation type="list" allowBlank="1" showInputMessage="1" showErrorMessage="1" promptTitle="Main d'oeuvre ATELIER" prompt="choisir la prestation" sqref="C14:C18" xr:uid="{00000000-0002-0000-2B00-000006000000}">
      <formula1>INDIRECT(B14)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published="0" codeName="Feuil48"/>
  <dimension ref="A1:AM37"/>
  <sheetViews>
    <sheetView zoomScaleNormal="100" workbookViewId="0">
      <pane xSplit="4" ySplit="3" topLeftCell="E28" activePane="bottomRight" state="frozen"/>
      <selection pane="topRight" activeCell="E1" sqref="E1"/>
      <selection pane="bottomLeft" activeCell="A4" sqref="A4"/>
      <selection pane="bottomRight" activeCell="C6" sqref="C6"/>
    </sheetView>
  </sheetViews>
  <sheetFormatPr baseColWidth="10" defaultColWidth="11.125" defaultRowHeight="14.25" x14ac:dyDescent="0.2"/>
  <cols>
    <col min="1" max="2" width="18.125" customWidth="1"/>
    <col min="3" max="3" width="33.625" customWidth="1"/>
    <col min="4" max="4" width="10.125" customWidth="1"/>
    <col min="5" max="5" width="9.125" bestFit="1" customWidth="1"/>
    <col min="6" max="6" width="10.625" customWidth="1"/>
    <col min="7" max="7" width="13.625" customWidth="1"/>
    <col min="8" max="8" width="10.625" customWidth="1"/>
    <col min="9" max="9" width="18.625" customWidth="1"/>
    <col min="10" max="10" width="10.125" customWidth="1"/>
    <col min="11" max="11" width="13.125" customWidth="1"/>
    <col min="12" max="12" width="11" customWidth="1"/>
    <col min="13" max="14" width="14.5" customWidth="1"/>
    <col min="15" max="16" width="13" customWidth="1"/>
    <col min="17" max="20" width="11" customWidth="1"/>
    <col min="21" max="22" width="18.125" customWidth="1"/>
    <col min="23" max="24" width="16.5" customWidth="1"/>
    <col min="25" max="26" width="11" customWidth="1"/>
    <col min="27" max="28" width="12" customWidth="1"/>
    <col min="29" max="30" width="10.625" customWidth="1"/>
    <col min="31" max="32" width="11" customWidth="1"/>
    <col min="33" max="34" width="10.5" customWidth="1"/>
    <col min="35" max="36" width="11" customWidth="1"/>
    <col min="37" max="37" width="10.5" customWidth="1"/>
    <col min="38" max="38" width="10.625" customWidth="1"/>
    <col min="39" max="39" width="11" customWidth="1"/>
    <col min="40" max="808" width="11.5" customWidth="1"/>
  </cols>
  <sheetData>
    <row r="1" spans="1:39" ht="14.85" customHeight="1" x14ac:dyDescent="0.2">
      <c r="A1" s="215"/>
      <c r="B1" s="216"/>
      <c r="C1" s="215"/>
      <c r="D1" s="217"/>
      <c r="E1" s="215">
        <v>2</v>
      </c>
      <c r="F1" s="215">
        <v>2</v>
      </c>
      <c r="G1" s="215">
        <v>3</v>
      </c>
      <c r="H1" s="215">
        <v>3</v>
      </c>
      <c r="I1" s="215">
        <v>4</v>
      </c>
      <c r="J1" s="215">
        <v>4</v>
      </c>
      <c r="K1" s="215">
        <v>5</v>
      </c>
      <c r="L1" s="215">
        <f>K2</f>
        <v>5</v>
      </c>
      <c r="M1" s="215">
        <v>6</v>
      </c>
      <c r="N1" s="215">
        <v>6</v>
      </c>
      <c r="O1" s="215">
        <v>7</v>
      </c>
      <c r="P1" s="215">
        <v>7</v>
      </c>
      <c r="Q1" s="215">
        <v>8</v>
      </c>
      <c r="R1" s="215">
        <v>8</v>
      </c>
      <c r="S1" s="215">
        <v>9</v>
      </c>
      <c r="T1" s="215">
        <f>S2</f>
        <v>9</v>
      </c>
      <c r="U1" s="215">
        <v>10</v>
      </c>
      <c r="V1" s="215">
        <v>10</v>
      </c>
      <c r="W1" s="215" t="s">
        <v>460</v>
      </c>
      <c r="X1" s="215" t="s">
        <v>460</v>
      </c>
      <c r="Y1" s="215" t="s">
        <v>461</v>
      </c>
      <c r="Z1" s="215" t="s">
        <v>461</v>
      </c>
      <c r="AA1" s="215" t="s">
        <v>462</v>
      </c>
      <c r="AB1" s="215" t="s">
        <v>462</v>
      </c>
      <c r="AC1" s="215" t="s">
        <v>463</v>
      </c>
      <c r="AD1" s="215" t="s">
        <v>463</v>
      </c>
      <c r="AE1" s="215">
        <v>16</v>
      </c>
      <c r="AF1" s="215">
        <v>16</v>
      </c>
      <c r="AG1" s="215" t="s">
        <v>464</v>
      </c>
      <c r="AH1" s="215" t="s">
        <v>464</v>
      </c>
      <c r="AI1" s="215" t="s">
        <v>465</v>
      </c>
      <c r="AJ1" s="215" t="s">
        <v>465</v>
      </c>
      <c r="AK1" s="215" t="s">
        <v>466</v>
      </c>
      <c r="AL1" s="215" t="s">
        <v>466</v>
      </c>
      <c r="AM1" s="215" t="s">
        <v>467</v>
      </c>
    </row>
    <row r="2" spans="1:39" ht="35.1" customHeight="1" x14ac:dyDescent="0.2">
      <c r="A2" s="174"/>
      <c r="B2" s="174"/>
      <c r="C2" s="1572" t="s">
        <v>1205</v>
      </c>
      <c r="D2" s="115" t="s">
        <v>203</v>
      </c>
      <c r="E2" s="1571">
        <v>2</v>
      </c>
      <c r="F2" s="1571"/>
      <c r="G2" s="1571">
        <v>3</v>
      </c>
      <c r="H2" s="1571"/>
      <c r="I2" s="1571">
        <v>4</v>
      </c>
      <c r="J2" s="1571"/>
      <c r="K2" s="1571">
        <v>5</v>
      </c>
      <c r="L2" s="1571"/>
      <c r="M2" s="1571">
        <v>6</v>
      </c>
      <c r="N2" s="1571"/>
      <c r="O2" s="1571">
        <v>7</v>
      </c>
      <c r="P2" s="1571"/>
      <c r="Q2" s="1571">
        <v>8</v>
      </c>
      <c r="R2" s="1571"/>
      <c r="S2" s="1571">
        <v>9</v>
      </c>
      <c r="T2" s="1571"/>
      <c r="U2" s="1571">
        <v>10</v>
      </c>
      <c r="V2" s="1571"/>
      <c r="W2" s="218">
        <v>12</v>
      </c>
      <c r="X2" s="418" t="s">
        <v>469</v>
      </c>
      <c r="Y2" s="418">
        <v>12</v>
      </c>
      <c r="Z2" s="419" t="s">
        <v>470</v>
      </c>
      <c r="AA2" s="218">
        <v>14</v>
      </c>
      <c r="AB2" s="418" t="s">
        <v>471</v>
      </c>
      <c r="AC2" s="218">
        <v>14</v>
      </c>
      <c r="AD2" s="418" t="s">
        <v>472</v>
      </c>
      <c r="AE2" s="1571">
        <v>16</v>
      </c>
      <c r="AF2" s="1571"/>
      <c r="AG2" s="218">
        <v>18</v>
      </c>
      <c r="AH2" s="418" t="s">
        <v>473</v>
      </c>
      <c r="AI2" s="218">
        <v>18</v>
      </c>
      <c r="AJ2" s="418" t="s">
        <v>474</v>
      </c>
      <c r="AK2" s="218">
        <v>20</v>
      </c>
      <c r="AL2" s="418" t="s">
        <v>475</v>
      </c>
      <c r="AM2" s="218">
        <v>20</v>
      </c>
    </row>
    <row r="3" spans="1:39" ht="35.1" customHeight="1" x14ac:dyDescent="0.2">
      <c r="A3" s="174"/>
      <c r="B3" s="174"/>
      <c r="C3" s="1573"/>
      <c r="D3" s="176" t="s">
        <v>222</v>
      </c>
      <c r="E3" s="236" t="s">
        <v>444</v>
      </c>
      <c r="F3" s="421" t="s">
        <v>477</v>
      </c>
      <c r="G3" s="236" t="s">
        <v>444</v>
      </c>
      <c r="H3" s="421" t="s">
        <v>477</v>
      </c>
      <c r="I3" s="236" t="s">
        <v>444</v>
      </c>
      <c r="J3" s="421" t="s">
        <v>477</v>
      </c>
      <c r="K3" s="236" t="s">
        <v>444</v>
      </c>
      <c r="L3" s="421" t="s">
        <v>477</v>
      </c>
      <c r="M3" s="236" t="s">
        <v>444</v>
      </c>
      <c r="N3" s="421" t="s">
        <v>477</v>
      </c>
      <c r="O3" s="236" t="s">
        <v>444</v>
      </c>
      <c r="P3" s="421" t="s">
        <v>477</v>
      </c>
      <c r="Q3" s="220" t="s">
        <v>444</v>
      </c>
      <c r="R3" s="221" t="s">
        <v>477</v>
      </c>
      <c r="S3" s="236" t="s">
        <v>444</v>
      </c>
      <c r="T3" s="421" t="s">
        <v>477</v>
      </c>
      <c r="U3" s="236" t="s">
        <v>444</v>
      </c>
      <c r="V3" s="421" t="s">
        <v>477</v>
      </c>
      <c r="W3" s="236" t="s">
        <v>444</v>
      </c>
      <c r="X3" s="421" t="s">
        <v>477</v>
      </c>
      <c r="Y3" s="236" t="s">
        <v>444</v>
      </c>
      <c r="Z3" s="421" t="s">
        <v>477</v>
      </c>
      <c r="AA3" s="236" t="s">
        <v>444</v>
      </c>
      <c r="AB3" s="421" t="s">
        <v>477</v>
      </c>
      <c r="AC3" s="236" t="s">
        <v>444</v>
      </c>
      <c r="AD3" s="421" t="s">
        <v>477</v>
      </c>
      <c r="AE3" s="236" t="s">
        <v>444</v>
      </c>
      <c r="AF3" s="421" t="s">
        <v>477</v>
      </c>
      <c r="AG3" s="236" t="s">
        <v>444</v>
      </c>
      <c r="AH3" s="421" t="s">
        <v>477</v>
      </c>
      <c r="AI3" s="236" t="s">
        <v>444</v>
      </c>
      <c r="AJ3" s="421" t="s">
        <v>477</v>
      </c>
      <c r="AK3" s="236" t="s">
        <v>444</v>
      </c>
      <c r="AL3" s="421" t="s">
        <v>477</v>
      </c>
      <c r="AM3" s="236" t="s">
        <v>444</v>
      </c>
    </row>
    <row r="4" spans="1:39" ht="15" customHeight="1" x14ac:dyDescent="0.2">
      <c r="A4" s="1549" t="s">
        <v>1078</v>
      </c>
      <c r="B4" s="361" t="s">
        <v>1077</v>
      </c>
      <c r="C4" s="362" t="s">
        <v>283</v>
      </c>
      <c r="D4" s="363" t="str">
        <f>IF($C4="","",VLOOKUP($C4,MATIERES!$A$2:$F$448,5,0))</f>
        <v>pc</v>
      </c>
      <c r="E4" s="364">
        <f>'Outils de calculs'!E48/2</f>
        <v>1</v>
      </c>
      <c r="F4" s="365">
        <f>IF($C4="","",E4*VLOOKUP($C4,MATIERES!$A$2:$F$349,4,0))</f>
        <v>112.15</v>
      </c>
      <c r="G4" s="364">
        <f>'Outils de calculs'!G48/2</f>
        <v>1</v>
      </c>
      <c r="H4" s="365">
        <f>IF($C4="","",G4*VLOOKUP($C4,MATIERES!$A$2:$F$349,4,0))</f>
        <v>112.15</v>
      </c>
      <c r="I4" s="364">
        <f>'Outils de calculs'!I48/2</f>
        <v>1</v>
      </c>
      <c r="J4" s="365">
        <f>IF($C4="","",I4*VLOOKUP($C4,MATIERES!$A$2:$F$349,4,0))</f>
        <v>112.15</v>
      </c>
      <c r="K4" s="364">
        <f>'Outils de calculs'!K48/2</f>
        <v>1</v>
      </c>
      <c r="L4" s="365">
        <f>IF($C4="","",K4*VLOOKUP($C4,MATIERES!$A$2:$F$349,4,0))</f>
        <v>112.15</v>
      </c>
      <c r="M4" s="364">
        <f>'Outils de calculs'!M48/2</f>
        <v>1</v>
      </c>
      <c r="N4" s="365">
        <f>IF($C4="","",M4*VLOOKUP($C4,MATIERES!$A$2:$F$349,4,0))</f>
        <v>112.15</v>
      </c>
      <c r="O4" s="364">
        <f>'Outils de calculs'!O48/2</f>
        <v>1</v>
      </c>
      <c r="P4" s="365">
        <f>IF($C4="","",O4*VLOOKUP($C4,MATIERES!$A$2:$F$349,4,0))</f>
        <v>112.15</v>
      </c>
      <c r="Q4" s="364">
        <f>'Outils de calculs'!Q48/2</f>
        <v>1</v>
      </c>
      <c r="R4" s="365">
        <f>IF($C4="","",Q4*VLOOKUP($C4,MATIERES!$A$2:$F$349,4,0))</f>
        <v>112.15</v>
      </c>
      <c r="S4" s="364">
        <f>'Outils de calculs'!S48/2</f>
        <v>1</v>
      </c>
      <c r="T4" s="365">
        <f>IF($C4="","",S4*VLOOKUP($C4,MATIERES!$A$2:$F$349,4,0))</f>
        <v>112.15</v>
      </c>
      <c r="U4" s="364">
        <f>'Outils de calculs'!U48/2</f>
        <v>1</v>
      </c>
      <c r="V4" s="365">
        <f>IF($C4="","",U4*VLOOKUP($C4,MATIERES!$A$2:$F$349,4,0))</f>
        <v>112.15</v>
      </c>
      <c r="W4" s="364">
        <f>'Outils de calculs'!W48/2</f>
        <v>2</v>
      </c>
      <c r="X4" s="365">
        <f>IF($C4="","",W4*VLOOKUP($C4,MATIERES!$A$2:$F$349,4,0))</f>
        <v>224.3</v>
      </c>
      <c r="Y4" s="364">
        <f>'Outils de calculs'!Y48/2</f>
        <v>2</v>
      </c>
      <c r="Z4" s="365">
        <f>IF($C4="","",Y4*VLOOKUP($C4,MATIERES!$A$2:$F$349,4,0))</f>
        <v>224.3</v>
      </c>
      <c r="AA4" s="364">
        <f>'Outils de calculs'!AA48/2</f>
        <v>2</v>
      </c>
      <c r="AB4" s="365">
        <f>IF($C4="","",AA4*VLOOKUP($C4,MATIERES!$A$2:$F$349,4,0))</f>
        <v>224.3</v>
      </c>
      <c r="AC4" s="364">
        <f>'Outils de calculs'!AC48/2</f>
        <v>2</v>
      </c>
      <c r="AD4" s="365">
        <f>IF($C4="","",AC4*VLOOKUP($C4,MATIERES!$A$2:$F$349,4,0))</f>
        <v>224.3</v>
      </c>
      <c r="AE4" s="364">
        <f>'Outils de calculs'!AE48/2</f>
        <v>2</v>
      </c>
      <c r="AF4" s="365">
        <f>IF($C4="","",AE4*VLOOKUP($C4,MATIERES!$A$2:$F$349,4,0))</f>
        <v>224.3</v>
      </c>
      <c r="AG4" s="364">
        <f>'Outils de calculs'!AG48/2</f>
        <v>2</v>
      </c>
      <c r="AH4" s="365">
        <f>IF($C4="","",AG4*VLOOKUP($C4,MATIERES!$A$2:$F$349,4,0))</f>
        <v>224.3</v>
      </c>
      <c r="AI4" s="364">
        <f>'Outils de calculs'!AI48/2</f>
        <v>2</v>
      </c>
      <c r="AJ4" s="365">
        <f>IF($C4="","",AI4*VLOOKUP($C4,MATIERES!$A$2:$F$349,4,0))</f>
        <v>224.3</v>
      </c>
      <c r="AK4" s="364">
        <f>'Outils de calculs'!AK48/2</f>
        <v>2</v>
      </c>
      <c r="AL4" s="365">
        <f>IF($C4="","",AK4*VLOOKUP($C4,MATIERES!$A$2:$F$349,4,0))</f>
        <v>224.3</v>
      </c>
      <c r="AM4" s="364">
        <f>'Outils de calculs'!AM48/2</f>
        <v>2</v>
      </c>
    </row>
    <row r="5" spans="1:39" ht="15" customHeight="1" x14ac:dyDescent="0.2">
      <c r="A5" s="1550"/>
      <c r="B5" s="361" t="s">
        <v>1141</v>
      </c>
      <c r="C5" s="362" t="s">
        <v>696</v>
      </c>
      <c r="D5" s="363" t="str">
        <f>IF($C5="","",VLOOKUP($C5,MATIERES!$A$2:$F$448,5,0))</f>
        <v>pc</v>
      </c>
      <c r="E5" s="364">
        <f>'Outils de calculs'!I49</f>
        <v>1</v>
      </c>
      <c r="F5" s="365">
        <f>IF($C5="","",E5*VLOOKUP($C5,MATIERES!$A$2:$F$349,4,0))</f>
        <v>2.95</v>
      </c>
      <c r="G5" s="364">
        <f>'Outils de calculs'!K49</f>
        <v>1</v>
      </c>
      <c r="H5" s="365">
        <f>IF($C5="","",G5*VLOOKUP($C5,MATIERES!$A$2:$F$349,4,0))</f>
        <v>2.95</v>
      </c>
      <c r="I5" s="364">
        <f>'Outils de calculs'!M49</f>
        <v>1</v>
      </c>
      <c r="J5" s="365">
        <f>IF($C5="","",I5*VLOOKUP($C5,MATIERES!$A$2:$F$349,4,0))</f>
        <v>2.95</v>
      </c>
      <c r="K5" s="364">
        <f>'Outils de calculs'!O49</f>
        <v>1</v>
      </c>
      <c r="L5" s="365">
        <f>IF($C5="","",K5*VLOOKUP($C5,MATIERES!$A$2:$F$349,4,0))</f>
        <v>2.95</v>
      </c>
      <c r="M5" s="364">
        <f>'Outils de calculs'!Q49</f>
        <v>1</v>
      </c>
      <c r="N5" s="365">
        <f>IF($C5="","",M5*VLOOKUP($C5,MATIERES!$A$2:$F$349,4,0))</f>
        <v>2.95</v>
      </c>
      <c r="O5" s="364">
        <f>'Outils de calculs'!S49</f>
        <v>1</v>
      </c>
      <c r="P5" s="365">
        <f>IF($C5="","",O5*VLOOKUP($C5,MATIERES!$A$2:$F$349,4,0))</f>
        <v>2.95</v>
      </c>
      <c r="Q5" s="364">
        <f>'Outils de calculs'!U49</f>
        <v>1</v>
      </c>
      <c r="R5" s="365">
        <f>IF($C5="","",Q5*VLOOKUP($C5,MATIERES!$A$2:$F$349,4,0))</f>
        <v>2.95</v>
      </c>
      <c r="S5" s="364">
        <f>'Outils de calculs'!W49</f>
        <v>3</v>
      </c>
      <c r="T5" s="365">
        <f>IF($C5="","",S5*VLOOKUP($C5,MATIERES!$A$2:$F$349,4,0))</f>
        <v>8.8500000000000014</v>
      </c>
      <c r="U5" s="364">
        <f>'Outils de calculs'!Y49</f>
        <v>3</v>
      </c>
      <c r="V5" s="365">
        <f>IF($C5="","",U5*VLOOKUP($C5,MATIERES!$A$2:$F$349,4,0))</f>
        <v>8.8500000000000014</v>
      </c>
      <c r="W5" s="364">
        <f>'Outils de calculs'!AA49</f>
        <v>3</v>
      </c>
      <c r="X5" s="365">
        <f>IF($C5="","",W5*VLOOKUP($C5,MATIERES!$A$2:$F$349,4,0))</f>
        <v>8.8500000000000014</v>
      </c>
      <c r="Y5" s="364">
        <f>'Outils de calculs'!AC49</f>
        <v>3</v>
      </c>
      <c r="Z5" s="365">
        <f>IF($C5="","",Y5*VLOOKUP($C5,MATIERES!$A$2:$F$349,4,0))</f>
        <v>8.8500000000000014</v>
      </c>
      <c r="AA5" s="364">
        <f>'Outils de calculs'!AE49</f>
        <v>3</v>
      </c>
      <c r="AB5" s="365">
        <f>IF($C5="","",AA5*VLOOKUP($C5,MATIERES!$A$2:$F$349,4,0))</f>
        <v>8.8500000000000014</v>
      </c>
      <c r="AC5" s="364">
        <f>'Outils de calculs'!AG49</f>
        <v>3</v>
      </c>
      <c r="AD5" s="365">
        <f>IF($C5="","",AC5*VLOOKUP($C5,MATIERES!$A$2:$F$349,4,0))</f>
        <v>8.8500000000000014</v>
      </c>
      <c r="AE5" s="364">
        <f>'Outils de calculs'!AI49</f>
        <v>3</v>
      </c>
      <c r="AF5" s="365">
        <f>IF($C5="","",AE5*VLOOKUP($C5,MATIERES!$A$2:$F$349,4,0))</f>
        <v>8.8500000000000014</v>
      </c>
      <c r="AG5" s="364">
        <f>'Outils de calculs'!AK49</f>
        <v>3</v>
      </c>
      <c r="AH5" s="365">
        <f>IF($C5="","",AG5*VLOOKUP($C5,MATIERES!$A$2:$F$349,4,0))</f>
        <v>8.8500000000000014</v>
      </c>
      <c r="AI5" s="364">
        <f>'Outils de calculs'!AM49</f>
        <v>3</v>
      </c>
      <c r="AJ5" s="365">
        <f>IF($C5="","",AI5*VLOOKUP($C5,MATIERES!$A$2:$F$349,4,0))</f>
        <v>8.8500000000000014</v>
      </c>
      <c r="AK5" s="364">
        <f>'Outils de calculs'!AO49</f>
        <v>0</v>
      </c>
      <c r="AL5" s="365">
        <f>IF($C5="","",AK5*VLOOKUP($C5,MATIERES!$A$2:$F$349,4,0))</f>
        <v>0</v>
      </c>
      <c r="AM5" s="364">
        <f>'Outils de calculs'!AQ49</f>
        <v>0</v>
      </c>
    </row>
    <row r="6" spans="1:39" ht="15" customHeight="1" x14ac:dyDescent="0.2">
      <c r="A6" s="1550"/>
      <c r="B6" s="361" t="s">
        <v>1068</v>
      </c>
      <c r="C6" s="362"/>
      <c r="D6" s="363" t="str">
        <f>IF($C6="","",VLOOKUP($C6,MATIERES!$A$2:$F$448,5,0))</f>
        <v/>
      </c>
      <c r="E6" s="364"/>
      <c r="F6" s="365" t="str">
        <f>IF($C6="","",E6*VLOOKUP($C6,MATIERES!$A$2:$F$349,4,0))</f>
        <v/>
      </c>
      <c r="G6" s="364"/>
      <c r="H6" s="365" t="str">
        <f>IF($C6="","",G6*VLOOKUP($C6,MATIERES!$A$2:$F$349,4,0))</f>
        <v/>
      </c>
      <c r="I6" s="364"/>
      <c r="J6" s="365" t="str">
        <f>IF($C6="","",I6*VLOOKUP($C6,MATIERES!$A$2:$F$349,4,0))</f>
        <v/>
      </c>
      <c r="K6" s="364"/>
      <c r="L6" s="365" t="str">
        <f>IF($C6="","",K6*VLOOKUP($C6,MATIERES!$A$2:$F$349,4,0))</f>
        <v/>
      </c>
      <c r="M6" s="364"/>
      <c r="N6" s="365" t="str">
        <f>IF($C6="","",M6*VLOOKUP($C6,MATIERES!$A$2:$F$349,4,0))</f>
        <v/>
      </c>
      <c r="O6" s="364"/>
      <c r="P6" s="365" t="str">
        <f>IF($C6="","",O6*VLOOKUP($C6,MATIERES!$A$2:$F$349,4,0))</f>
        <v/>
      </c>
      <c r="Q6" s="364"/>
      <c r="R6" s="365" t="str">
        <f>IF($C6="","",Q6*VLOOKUP($C6,MATIERES!$A$2:$F$349,4,0))</f>
        <v/>
      </c>
      <c r="S6" s="364"/>
      <c r="T6" s="365" t="str">
        <f>IF($C6="","",S6*VLOOKUP($C6,MATIERES!$A$2:$F$349,4,0))</f>
        <v/>
      </c>
      <c r="U6" s="364"/>
      <c r="V6" s="365" t="str">
        <f>IF($C6="","",U6*VLOOKUP($C6,MATIERES!$A$2:$F$349,4,0))</f>
        <v/>
      </c>
      <c r="W6" s="364"/>
      <c r="X6" s="365" t="str">
        <f>IF($C6="","",W6*VLOOKUP($C6,MATIERES!$A$2:$F$349,4,0))</f>
        <v/>
      </c>
      <c r="Y6" s="364"/>
      <c r="Z6" s="365" t="str">
        <f>IF($C6="","",Y6*VLOOKUP($C6,MATIERES!$A$2:$F$349,4,0))</f>
        <v/>
      </c>
      <c r="AA6" s="364"/>
      <c r="AB6" s="365" t="str">
        <f>IF($C6="","",AA6*VLOOKUP($C6,MATIERES!$A$2:$F$349,4,0))</f>
        <v/>
      </c>
      <c r="AC6" s="364"/>
      <c r="AD6" s="365" t="str">
        <f>IF($C6="","",AC6*VLOOKUP($C6,MATIERES!$A$2:$F$349,4,0))</f>
        <v/>
      </c>
      <c r="AE6" s="364"/>
      <c r="AF6" s="365" t="str">
        <f>IF($C6="","",AE6*VLOOKUP($C6,MATIERES!$A$2:$F$349,4,0))</f>
        <v/>
      </c>
      <c r="AG6" s="364"/>
      <c r="AH6" s="365" t="str">
        <f>IF($C6="","",AG6*VLOOKUP($C6,MATIERES!$A$2:$F$349,4,0))</f>
        <v/>
      </c>
      <c r="AI6" s="364"/>
      <c r="AJ6" s="365" t="str">
        <f>IF($C6="","",AI6*VLOOKUP($C6,MATIERES!$A$2:$F$349,4,0))</f>
        <v/>
      </c>
      <c r="AK6" s="364"/>
      <c r="AL6" s="365" t="str">
        <f>IF($C6="","",AK6*VLOOKUP($C6,MATIERES!$A$2:$F$349,4,0))</f>
        <v/>
      </c>
      <c r="AM6" s="364"/>
    </row>
    <row r="7" spans="1:39" ht="15" customHeight="1" x14ac:dyDescent="0.2">
      <c r="A7" s="1550"/>
      <c r="B7" s="361" t="s">
        <v>736</v>
      </c>
      <c r="C7" s="491" t="s">
        <v>740</v>
      </c>
      <c r="D7" s="363" t="str">
        <f>IF($C7="","",VLOOKUP($C7,MATIERES!$A$2:$F$448,5,0))</f>
        <v>pc</v>
      </c>
      <c r="E7" s="364"/>
      <c r="F7" s="365">
        <f>IF($C7="","",E7*VLOOKUP($C7,MATIERES!$A$2:$F$349,4,0))</f>
        <v>0</v>
      </c>
      <c r="G7" s="364"/>
      <c r="H7" s="365"/>
      <c r="I7" s="364"/>
      <c r="J7" s="365"/>
      <c r="K7" s="364"/>
      <c r="L7" s="365"/>
      <c r="M7" s="364"/>
      <c r="N7" s="365"/>
      <c r="O7" s="364"/>
      <c r="P7" s="365"/>
      <c r="Q7" s="364"/>
      <c r="R7" s="365"/>
      <c r="S7" s="364"/>
      <c r="T7" s="365"/>
      <c r="U7" s="364"/>
      <c r="V7" s="365"/>
      <c r="W7" s="364"/>
      <c r="X7" s="365"/>
      <c r="Y7" s="364"/>
      <c r="Z7" s="365"/>
      <c r="AA7" s="364"/>
      <c r="AB7" s="365"/>
      <c r="AC7" s="364"/>
      <c r="AD7" s="365"/>
      <c r="AE7" s="364"/>
      <c r="AF7" s="365"/>
      <c r="AG7" s="364"/>
      <c r="AH7" s="365"/>
      <c r="AI7" s="364"/>
      <c r="AJ7" s="365"/>
      <c r="AK7" s="364"/>
      <c r="AL7" s="365"/>
      <c r="AM7" s="364"/>
    </row>
    <row r="8" spans="1:39" ht="15" customHeight="1" x14ac:dyDescent="0.2">
      <c r="A8" s="1550"/>
      <c r="B8" s="361" t="s">
        <v>1141</v>
      </c>
      <c r="C8" s="362" t="s">
        <v>690</v>
      </c>
      <c r="D8" s="363" t="str">
        <f>IF($C8="","",VLOOKUP($C8,MATIERES!$A$2:$F$448,5,0))</f>
        <v>pc</v>
      </c>
      <c r="E8" s="364">
        <f>'Outils de calculs'!I46</f>
        <v>3.5</v>
      </c>
      <c r="F8" s="365">
        <f>IF($C8="","",E8*VLOOKUP($C8,MATIERES!$A$2:$F$349,4,0))</f>
        <v>7.49</v>
      </c>
      <c r="G8" s="364">
        <f>'Outils de calculs'!K46</f>
        <v>3.5</v>
      </c>
      <c r="H8" s="365">
        <f>IF($C8="","",G8*VLOOKUP($C8,MATIERES!$A$2:$F$349,4,0))</f>
        <v>7.49</v>
      </c>
      <c r="I8" s="364">
        <f>'Outils de calculs'!M46</f>
        <v>3.5</v>
      </c>
      <c r="J8" s="365">
        <f>IF($C8="","",I8*VLOOKUP($C8,MATIERES!$A$2:$F$349,4,0))</f>
        <v>7.49</v>
      </c>
      <c r="K8" s="364">
        <f>'Outils de calculs'!O46</f>
        <v>3.5</v>
      </c>
      <c r="L8" s="365">
        <f>IF($C8="","",K8*VLOOKUP($C8,MATIERES!$A$2:$F$349,4,0))</f>
        <v>7.49</v>
      </c>
      <c r="M8" s="364">
        <f>'Outils de calculs'!Q46</f>
        <v>3.5</v>
      </c>
      <c r="N8" s="365">
        <f>IF($C8="","",M8*VLOOKUP($C8,MATIERES!$A$2:$F$349,4,0))</f>
        <v>7.49</v>
      </c>
      <c r="O8" s="364">
        <f>'Outils de calculs'!S46</f>
        <v>3.75</v>
      </c>
      <c r="P8" s="365">
        <f>IF($C8="","",O8*VLOOKUP($C8,MATIERES!$A$2:$F$349,4,0))</f>
        <v>8.0250000000000004</v>
      </c>
      <c r="Q8" s="364">
        <f>'Outils de calculs'!U46</f>
        <v>4</v>
      </c>
      <c r="R8" s="365">
        <f>IF($C8="","",Q8*VLOOKUP($C8,MATIERES!$A$2:$F$349,4,0))</f>
        <v>8.56</v>
      </c>
      <c r="S8" s="364">
        <f>'Outils de calculs'!W46</f>
        <v>4.5</v>
      </c>
      <c r="T8" s="365">
        <f>IF($C8="","",S8*VLOOKUP($C8,MATIERES!$A$2:$F$349,4,0))</f>
        <v>9.6300000000000008</v>
      </c>
      <c r="U8" s="364">
        <f>'Outils de calculs'!Y46</f>
        <v>5.5</v>
      </c>
      <c r="V8" s="365">
        <f>IF($C8="","",U8*VLOOKUP($C8,MATIERES!$A$2:$F$349,4,0))</f>
        <v>11.770000000000001</v>
      </c>
      <c r="W8" s="364">
        <f>'Outils de calculs'!AA46</f>
        <v>5.5</v>
      </c>
      <c r="X8" s="365">
        <f>IF($C8="","",W8*VLOOKUP($C8,MATIERES!$A$2:$F$349,4,0))</f>
        <v>11.770000000000001</v>
      </c>
      <c r="Y8" s="364">
        <f>'Outils de calculs'!AC46</f>
        <v>5</v>
      </c>
      <c r="Z8" s="365">
        <f>IF($C8="","",Y8*VLOOKUP($C8,MATIERES!$A$2:$F$349,4,0))</f>
        <v>10.700000000000001</v>
      </c>
      <c r="AA8" s="364">
        <f>'Outils de calculs'!AE46</f>
        <v>5.5</v>
      </c>
      <c r="AB8" s="365">
        <f>IF($C8="","",AA8*VLOOKUP($C8,MATIERES!$A$2:$F$349,4,0))</f>
        <v>11.770000000000001</v>
      </c>
      <c r="AC8" s="364">
        <f>'Outils de calculs'!AG46</f>
        <v>5.5</v>
      </c>
      <c r="AD8" s="365">
        <f>IF($C8="","",AC8*VLOOKUP($C8,MATIERES!$A$2:$F$349,4,0))</f>
        <v>11.770000000000001</v>
      </c>
      <c r="AE8" s="364">
        <f>'Outils de calculs'!AI46</f>
        <v>6</v>
      </c>
      <c r="AF8" s="365">
        <f>IF($C8="","",AE8*VLOOKUP($C8,MATIERES!$A$2:$F$349,4,0))</f>
        <v>12.84</v>
      </c>
      <c r="AG8" s="364">
        <f>'Outils de calculs'!AK46</f>
        <v>6.5</v>
      </c>
      <c r="AH8" s="365">
        <f>IF($C8="","",AG8*VLOOKUP($C8,MATIERES!$A$2:$F$349,4,0))</f>
        <v>13.91</v>
      </c>
      <c r="AI8" s="364">
        <f>'Outils de calculs'!AM46</f>
        <v>5.5</v>
      </c>
      <c r="AJ8" s="365">
        <f>IF($C8="","",AI8*VLOOKUP($C8,MATIERES!$A$2:$F$349,4,0))</f>
        <v>11.770000000000001</v>
      </c>
      <c r="AK8" s="364">
        <f>'Outils de calculs'!AO46</f>
        <v>0</v>
      </c>
      <c r="AL8" s="365">
        <f>IF($C8="","",AK8*VLOOKUP($C8,MATIERES!$A$2:$F$349,4,0))</f>
        <v>0</v>
      </c>
      <c r="AM8" s="364">
        <f>'Outils de calculs'!AQ46</f>
        <v>0</v>
      </c>
    </row>
    <row r="9" spans="1:39" ht="15" customHeight="1" x14ac:dyDescent="0.2">
      <c r="A9" s="1550"/>
      <c r="B9" s="361" t="s">
        <v>1141</v>
      </c>
      <c r="C9" s="362" t="s">
        <v>694</v>
      </c>
      <c r="D9" s="363" t="str">
        <f>IF($C9="","",VLOOKUP($C9,MATIERES!$A$2:$F$448,5,0))</f>
        <v>pc</v>
      </c>
      <c r="E9" s="364">
        <f>'Outils de calculs'!I47</f>
        <v>2</v>
      </c>
      <c r="F9" s="365">
        <f>IF($C9="","",E9*VLOOKUP($C9,MATIERES!$A$2:$F$349,4,0))</f>
        <v>2.84</v>
      </c>
      <c r="G9" s="364">
        <f>'Outils de calculs'!K47</f>
        <v>2</v>
      </c>
      <c r="H9" s="365">
        <f>IF($C9="","",G9*VLOOKUP($C9,MATIERES!$A$2:$F$349,4,0))</f>
        <v>2.84</v>
      </c>
      <c r="I9" s="364">
        <f>'Outils de calculs'!M47</f>
        <v>2</v>
      </c>
      <c r="J9" s="365">
        <f>IF($C9="","",I9*VLOOKUP($C9,MATIERES!$A$2:$F$349,4,0))</f>
        <v>2.84</v>
      </c>
      <c r="K9" s="364">
        <f>'Outils de calculs'!O47</f>
        <v>2</v>
      </c>
      <c r="L9" s="365">
        <f>IF($C9="","",K9*VLOOKUP($C9,MATIERES!$A$2:$F$349,4,0))</f>
        <v>2.84</v>
      </c>
      <c r="M9" s="364">
        <f>'Outils de calculs'!Q47</f>
        <v>2</v>
      </c>
      <c r="N9" s="365">
        <f>IF($C9="","",M9*VLOOKUP($C9,MATIERES!$A$2:$F$349,4,0))</f>
        <v>2.84</v>
      </c>
      <c r="O9" s="364">
        <f>'Outils de calculs'!S47</f>
        <v>2</v>
      </c>
      <c r="P9" s="365">
        <f>IF($C9="","",O9*VLOOKUP($C9,MATIERES!$A$2:$F$349,4,0))</f>
        <v>2.84</v>
      </c>
      <c r="Q9" s="364">
        <f>'Outils de calculs'!U47</f>
        <v>2</v>
      </c>
      <c r="R9" s="365">
        <f>IF($C9="","",Q9*VLOOKUP($C9,MATIERES!$A$2:$F$349,4,0))</f>
        <v>2.84</v>
      </c>
      <c r="S9" s="364">
        <f>'Outils de calculs'!W47</f>
        <v>4</v>
      </c>
      <c r="T9" s="365">
        <f>IF($C9="","",S9*VLOOKUP($C9,MATIERES!$A$2:$F$349,4,0))</f>
        <v>5.68</v>
      </c>
      <c r="U9" s="364">
        <f>'Outils de calculs'!Y47</f>
        <v>2</v>
      </c>
      <c r="V9" s="365">
        <f>IF($C9="","",U9*VLOOKUP($C9,MATIERES!$A$2:$F$349,4,0))</f>
        <v>2.84</v>
      </c>
      <c r="W9" s="364">
        <f>'Outils de calculs'!AA47</f>
        <v>2</v>
      </c>
      <c r="X9" s="365">
        <f>IF($C9="","",W9*VLOOKUP($C9,MATIERES!$A$2:$F$349,4,0))</f>
        <v>2.84</v>
      </c>
      <c r="Y9" s="364">
        <f>'Outils de calculs'!AC47</f>
        <v>4</v>
      </c>
      <c r="Z9" s="365">
        <f>IF($C9="","",Y9*VLOOKUP($C9,MATIERES!$A$2:$F$349,4,0))</f>
        <v>5.68</v>
      </c>
      <c r="AA9" s="364">
        <f>'Outils de calculs'!AE47</f>
        <v>4</v>
      </c>
      <c r="AB9" s="365">
        <f>IF($C9="","",AA9*VLOOKUP($C9,MATIERES!$A$2:$F$349,4,0))</f>
        <v>5.68</v>
      </c>
      <c r="AC9" s="364">
        <f>'Outils de calculs'!AG47</f>
        <v>4</v>
      </c>
      <c r="AD9" s="365">
        <f>IF($C9="","",AC9*VLOOKUP($C9,MATIERES!$A$2:$F$349,4,0))</f>
        <v>5.68</v>
      </c>
      <c r="AE9" s="364">
        <f>'Outils de calculs'!AI47</f>
        <v>4</v>
      </c>
      <c r="AF9" s="365">
        <f>IF($C9="","",AE9*VLOOKUP($C9,MATIERES!$A$2:$F$349,4,0))</f>
        <v>5.68</v>
      </c>
      <c r="AG9" s="364">
        <f>'Outils de calculs'!AK47</f>
        <v>4</v>
      </c>
      <c r="AH9" s="365">
        <f>IF($C9="","",AG9*VLOOKUP($C9,MATIERES!$A$2:$F$349,4,0))</f>
        <v>5.68</v>
      </c>
      <c r="AI9" s="364">
        <f>'Outils de calculs'!AM47</f>
        <v>2</v>
      </c>
      <c r="AJ9" s="365">
        <f>IF($C9="","",AI9*VLOOKUP($C9,MATIERES!$A$2:$F$349,4,0))</f>
        <v>2.84</v>
      </c>
      <c r="AK9" s="364">
        <f>'Outils de calculs'!AO47</f>
        <v>0</v>
      </c>
      <c r="AL9" s="365">
        <f>IF($C9="","",AK9*VLOOKUP($C9,MATIERES!$A$2:$F$349,4,0))</f>
        <v>0</v>
      </c>
      <c r="AM9" s="364">
        <f>'Outils de calculs'!AQ47</f>
        <v>0</v>
      </c>
    </row>
    <row r="10" spans="1:39" ht="15" customHeight="1" x14ac:dyDescent="0.2">
      <c r="A10" s="1550"/>
      <c r="B10" s="361" t="s">
        <v>1141</v>
      </c>
      <c r="C10" s="362"/>
      <c r="D10" s="363" t="str">
        <f>IF($C10="","",VLOOKUP($C10,MATIERES!$A$2:$F$448,5,0))</f>
        <v/>
      </c>
      <c r="E10" s="364"/>
      <c r="F10" s="365"/>
      <c r="G10" s="364"/>
      <c r="H10" s="365"/>
      <c r="I10" s="364">
        <v>19</v>
      </c>
      <c r="J10" s="365" t="str">
        <f>IF($C10="","",I10*VLOOKUP($C10,MATIERES!$A$2:$F$349,4,0))</f>
        <v/>
      </c>
      <c r="K10" s="364"/>
      <c r="L10" s="365"/>
      <c r="M10" s="364"/>
      <c r="N10" s="365"/>
      <c r="O10" s="364"/>
      <c r="P10" s="365"/>
      <c r="Q10" s="364"/>
      <c r="R10" s="365"/>
      <c r="S10" s="364"/>
      <c r="T10" s="365"/>
      <c r="U10" s="364"/>
      <c r="V10" s="365"/>
      <c r="W10" s="364"/>
      <c r="X10" s="365"/>
      <c r="Y10" s="364"/>
      <c r="Z10" s="365"/>
      <c r="AA10" s="364"/>
      <c r="AB10" s="365"/>
      <c r="AC10" s="364"/>
      <c r="AD10" s="365"/>
      <c r="AE10" s="364"/>
      <c r="AF10" s="365"/>
      <c r="AG10" s="364"/>
      <c r="AH10" s="365"/>
      <c r="AI10" s="364"/>
      <c r="AJ10" s="365"/>
      <c r="AK10" s="364"/>
      <c r="AL10" s="365"/>
      <c r="AM10" s="364"/>
    </row>
    <row r="11" spans="1:39" ht="15" customHeight="1" x14ac:dyDescent="0.2">
      <c r="A11" s="1550"/>
      <c r="B11" s="361" t="s">
        <v>1077</v>
      </c>
      <c r="C11" s="362"/>
      <c r="D11" s="363" t="str">
        <f>IF($C11="","",VLOOKUP($C11,MATIERES!$A$2:$F$448,5,0))</f>
        <v/>
      </c>
      <c r="E11" s="364"/>
      <c r="F11" s="365"/>
      <c r="G11" s="364"/>
      <c r="H11" s="365"/>
      <c r="I11" s="364"/>
      <c r="J11" s="365"/>
      <c r="K11" s="364"/>
      <c r="L11" s="365"/>
      <c r="M11" s="364"/>
      <c r="N11" s="365"/>
      <c r="O11" s="364"/>
      <c r="P11" s="365"/>
      <c r="Q11" s="364"/>
      <c r="R11" s="365"/>
      <c r="S11" s="364"/>
      <c r="T11" s="365"/>
      <c r="U11" s="364"/>
      <c r="V11" s="365"/>
      <c r="W11" s="364"/>
      <c r="X11" s="365"/>
      <c r="Y11" s="364"/>
      <c r="Z11" s="365"/>
      <c r="AA11" s="364"/>
      <c r="AB11" s="365"/>
      <c r="AC11" s="364"/>
      <c r="AD11" s="365"/>
      <c r="AE11" s="364"/>
      <c r="AF11" s="365"/>
      <c r="AG11" s="364"/>
      <c r="AH11" s="365"/>
      <c r="AI11" s="364"/>
      <c r="AJ11" s="365"/>
      <c r="AK11" s="364"/>
      <c r="AL11" s="365"/>
      <c r="AM11" s="364"/>
    </row>
    <row r="12" spans="1:39" ht="30" customHeight="1" x14ac:dyDescent="0.2">
      <c r="A12" s="366"/>
      <c r="B12" s="367" t="s">
        <v>683</v>
      </c>
      <c r="C12" s="368" t="s">
        <v>446</v>
      </c>
      <c r="D12" s="369" t="s">
        <v>447</v>
      </c>
      <c r="E12" s="370">
        <f>F12*(1+Simulation!$P$11)</f>
        <v>163.05900000000003</v>
      </c>
      <c r="F12" s="371">
        <f>SUM(F4:F11)</f>
        <v>125.43</v>
      </c>
      <c r="G12" s="370">
        <f>H12*(1+Simulation!$P$11)</f>
        <v>163.05900000000003</v>
      </c>
      <c r="H12" s="371">
        <f>SUM(H4:H11)</f>
        <v>125.43</v>
      </c>
      <c r="I12" s="370">
        <f>J12*(1+Simulation!$P$11)</f>
        <v>163.05900000000003</v>
      </c>
      <c r="J12" s="371">
        <f>SUM(J4:J11)</f>
        <v>125.43</v>
      </c>
      <c r="K12" s="370">
        <f>L12*(1+Simulation!$P$11)</f>
        <v>163.05900000000003</v>
      </c>
      <c r="L12" s="371">
        <f>SUM(L4:L11)</f>
        <v>125.43</v>
      </c>
      <c r="M12" s="370">
        <f>N12*(1+Simulation!$P$11)</f>
        <v>163.05900000000003</v>
      </c>
      <c r="N12" s="371">
        <f>SUM(N4:N11)</f>
        <v>125.43</v>
      </c>
      <c r="O12" s="370">
        <f>P12*(1+Simulation!$P$11)</f>
        <v>163.75450000000004</v>
      </c>
      <c r="P12" s="371">
        <f>SUM(P4:P11)</f>
        <v>125.96500000000002</v>
      </c>
      <c r="Q12" s="370">
        <f>R12*(1+Simulation!$P$11)</f>
        <v>164.45000000000002</v>
      </c>
      <c r="R12" s="371">
        <f>SUM(R4:R11)</f>
        <v>126.50000000000001</v>
      </c>
      <c r="S12" s="370">
        <f>T12*(1+Simulation!$P$11)</f>
        <v>177.203</v>
      </c>
      <c r="T12" s="371">
        <f>SUM(T4:T11)</f>
        <v>136.31</v>
      </c>
      <c r="U12" s="370">
        <f>V12*(1+Simulation!$P$11)</f>
        <v>176.29300000000003</v>
      </c>
      <c r="V12" s="371">
        <f>SUM(V4:V11)</f>
        <v>135.61000000000001</v>
      </c>
      <c r="W12" s="370">
        <f>X12*(1+Simulation!$P$11)</f>
        <v>322.08800000000002</v>
      </c>
      <c r="X12" s="371">
        <f>SUM(X4:X11)</f>
        <v>247.76000000000002</v>
      </c>
      <c r="Y12" s="370">
        <f>Z12*(1+Simulation!$P$11)</f>
        <v>324.38900000000001</v>
      </c>
      <c r="Z12" s="371">
        <f>SUM(Z4:Z11)</f>
        <v>249.53</v>
      </c>
      <c r="AA12" s="370">
        <f>AB12*(1+Simulation!$P$11)</f>
        <v>325.78000000000003</v>
      </c>
      <c r="AB12" s="371">
        <f>SUM(AB4:AB11)</f>
        <v>250.60000000000002</v>
      </c>
      <c r="AC12" s="370">
        <f>AD12*(1+Simulation!$P$11)</f>
        <v>325.78000000000003</v>
      </c>
      <c r="AD12" s="371">
        <f>SUM(AD4:AD11)</f>
        <v>250.60000000000002</v>
      </c>
      <c r="AE12" s="370">
        <f>AF12*(1+Simulation!$P$11)</f>
        <v>327.17100000000005</v>
      </c>
      <c r="AF12" s="371">
        <f>SUM(AF4:AF11)</f>
        <v>251.67000000000002</v>
      </c>
      <c r="AG12" s="370">
        <f>AH12*(1+Simulation!$P$11)</f>
        <v>328.56200000000001</v>
      </c>
      <c r="AH12" s="371">
        <f>SUM(AH4:AH11)</f>
        <v>252.74</v>
      </c>
      <c r="AI12" s="370">
        <f>AJ12*(1+Simulation!$P$11)</f>
        <v>322.08800000000002</v>
      </c>
      <c r="AJ12" s="371">
        <f>SUM(AJ4:AJ11)</f>
        <v>247.76000000000002</v>
      </c>
      <c r="AK12" s="370">
        <f>AL12*(1+Simulation!$P$11)</f>
        <v>291.59000000000003</v>
      </c>
      <c r="AL12" s="371">
        <f>SUM(AL4:AL11)</f>
        <v>224.3</v>
      </c>
      <c r="AM12" s="370" t="e">
        <f>#REF!*(1+Simulation!$P$11)</f>
        <v>#REF!</v>
      </c>
    </row>
    <row r="13" spans="1:39" ht="15" customHeight="1" x14ac:dyDescent="0.2">
      <c r="A13" s="1553" t="s">
        <v>448</v>
      </c>
      <c r="B13" s="361" t="s">
        <v>1153</v>
      </c>
      <c r="C13" s="362" t="s">
        <v>419</v>
      </c>
      <c r="D13" s="363" t="str">
        <f>IF($C13="","",VLOOKUP($C13,ATELIER!$A$2:$E$109,3,0))</f>
        <v>pc</v>
      </c>
      <c r="E13" s="364"/>
      <c r="F13" s="372">
        <f>IF($C13="","",E13*VLOOKUP($C13,ATELIER!$A$2:$F$109,4,0))</f>
        <v>0</v>
      </c>
      <c r="G13" s="364"/>
      <c r="H13" s="372">
        <f>IF($C13="","",G13*VLOOKUP($C13,ATELIER!$A$2:$F$109,4,0))</f>
        <v>0</v>
      </c>
      <c r="I13" s="364"/>
      <c r="J13" s="372">
        <f>IF($C13="","",I13*VLOOKUP($C13,ATELIER!$A$2:$F$109,4,0))</f>
        <v>0</v>
      </c>
      <c r="K13" s="364"/>
      <c r="L13" s="372">
        <f>IF($C13="","",K13*VLOOKUP($C13,ATELIER!$A$2:$F$109,4,0))</f>
        <v>0</v>
      </c>
      <c r="M13" s="364"/>
      <c r="N13" s="372">
        <f>IF($C13="","",M13*VLOOKUP($C13,ATELIER!$A$2:$F$109,4,0))</f>
        <v>0</v>
      </c>
      <c r="O13" s="364"/>
      <c r="P13" s="372">
        <f>IF($C13="","",O13*VLOOKUP($C13,ATELIER!$A$2:$F$109,4,0))</f>
        <v>0</v>
      </c>
      <c r="Q13" s="364"/>
      <c r="R13" s="372">
        <f>IF($C13="","",Q13*VLOOKUP($C13,ATELIER!$A$2:$F$109,4,0))</f>
        <v>0</v>
      </c>
      <c r="S13" s="364"/>
      <c r="T13" s="372">
        <f>IF($C13="","",S13*VLOOKUP($C13,ATELIER!$A$2:$F$109,4,0))</f>
        <v>0</v>
      </c>
      <c r="U13" s="364"/>
      <c r="V13" s="372">
        <f>IF($C13="","",U13*VLOOKUP($C13,ATELIER!$A$2:$F$109,4,0))</f>
        <v>0</v>
      </c>
      <c r="W13" s="364"/>
      <c r="X13" s="372">
        <f>IF($C13="","",W13*VLOOKUP($C13,ATELIER!$A$2:$F$109,4,0))</f>
        <v>0</v>
      </c>
      <c r="Y13" s="364"/>
      <c r="Z13" s="372">
        <f>IF($C13="","",Y13*VLOOKUP($C13,ATELIER!$A$2:$F$109,4,0))</f>
        <v>0</v>
      </c>
      <c r="AA13" s="364"/>
      <c r="AB13" s="372">
        <f>IF($C13="","",AA13*VLOOKUP($C13,ATELIER!$A$2:$F$109,4,0))</f>
        <v>0</v>
      </c>
      <c r="AC13" s="364"/>
      <c r="AD13" s="372">
        <f>IF($C13="","",AC13*VLOOKUP($C13,ATELIER!$A$2:$F$109,4,0))</f>
        <v>0</v>
      </c>
      <c r="AE13" s="364"/>
      <c r="AF13" s="372">
        <f>IF($C13="","",AE13*VLOOKUP($C13,ATELIER!$A$2:$F$109,4,0))</f>
        <v>0</v>
      </c>
      <c r="AG13" s="364"/>
      <c r="AH13" s="372">
        <f>IF($C13="","",AG13*VLOOKUP($C13,ATELIER!$A$2:$F$109,4,0))</f>
        <v>0</v>
      </c>
      <c r="AI13" s="364"/>
      <c r="AJ13" s="372">
        <f>IF($C13="","",AI13*VLOOKUP($C13,ATELIER!$A$2:$F$109,4,0))</f>
        <v>0</v>
      </c>
      <c r="AK13" s="364"/>
      <c r="AL13" s="372">
        <f>IF($C13="","",AK13*VLOOKUP($C13,ATELIER!$A$2:$F$109,4,0))</f>
        <v>0</v>
      </c>
      <c r="AM13" s="364"/>
    </row>
    <row r="14" spans="1:39" ht="15" customHeight="1" x14ac:dyDescent="0.2">
      <c r="A14" s="1553"/>
      <c r="B14" s="361" t="s">
        <v>1153</v>
      </c>
      <c r="C14" s="362" t="s">
        <v>1143</v>
      </c>
      <c r="D14" s="363" t="str">
        <f>IF($C14="","",VLOOKUP($C14,ATELIER!$A$2:$E$109,3,0))</f>
        <v>forfait</v>
      </c>
      <c r="E14" s="364"/>
      <c r="F14" s="372">
        <f>IF($C14="","",E14*VLOOKUP($C14,ATELIER!$A$2:$F$109,4,0))</f>
        <v>0</v>
      </c>
      <c r="G14" s="364"/>
      <c r="H14" s="372">
        <f>IF($C14="","",G14*VLOOKUP($C14,ATELIER!$A$2:$F$109,4,0))</f>
        <v>0</v>
      </c>
      <c r="I14" s="364"/>
      <c r="J14" s="372">
        <f>IF($C14="","",I14*VLOOKUP($C14,ATELIER!$A$2:$F$109,4,0))</f>
        <v>0</v>
      </c>
      <c r="K14" s="364"/>
      <c r="L14" s="372">
        <f>IF($C14="","",K14*VLOOKUP($C14,ATELIER!$A$2:$F$109,4,0))</f>
        <v>0</v>
      </c>
      <c r="M14" s="364"/>
      <c r="N14" s="372">
        <f>IF($C14="","",M14*VLOOKUP($C14,ATELIER!$A$2:$F$109,4,0))</f>
        <v>0</v>
      </c>
      <c r="O14" s="364"/>
      <c r="P14" s="372">
        <f>IF($C14="","",O14*VLOOKUP($C14,ATELIER!$A$2:$F$109,4,0))</f>
        <v>0</v>
      </c>
      <c r="Q14" s="364"/>
      <c r="R14" s="372">
        <f>IF($C14="","",Q14*VLOOKUP($C14,ATELIER!$A$2:$F$109,4,0))</f>
        <v>0</v>
      </c>
      <c r="S14" s="364"/>
      <c r="T14" s="372">
        <f>IF($C14="","",S14*VLOOKUP($C14,ATELIER!$A$2:$F$109,4,0))</f>
        <v>0</v>
      </c>
      <c r="U14" s="364"/>
      <c r="V14" s="372">
        <f>IF($C14="","",U14*VLOOKUP($C14,ATELIER!$A$2:$F$109,4,0))</f>
        <v>0</v>
      </c>
      <c r="W14" s="364"/>
      <c r="X14" s="372">
        <f>IF($C14="","",W14*VLOOKUP($C14,ATELIER!$A$2:$F$109,4,0))</f>
        <v>0</v>
      </c>
      <c r="Y14" s="364"/>
      <c r="Z14" s="372">
        <f>IF($C14="","",Y14*VLOOKUP($C14,ATELIER!$A$2:$F$109,4,0))</f>
        <v>0</v>
      </c>
      <c r="AA14" s="364"/>
      <c r="AB14" s="372">
        <f>IF($C14="","",AA14*VLOOKUP($C14,ATELIER!$A$2:$F$109,4,0))</f>
        <v>0</v>
      </c>
      <c r="AC14" s="364"/>
      <c r="AD14" s="372">
        <f>IF($C14="","",AC14*VLOOKUP($C14,ATELIER!$A$2:$F$109,4,0))</f>
        <v>0</v>
      </c>
      <c r="AE14" s="364"/>
      <c r="AF14" s="372">
        <f>IF($C14="","",AE14*VLOOKUP($C14,ATELIER!$A$2:$F$109,4,0))</f>
        <v>0</v>
      </c>
      <c r="AG14" s="364"/>
      <c r="AH14" s="372">
        <f>IF($C14="","",AG14*VLOOKUP($C14,ATELIER!$A$2:$F$109,4,0))</f>
        <v>0</v>
      </c>
      <c r="AI14" s="364"/>
      <c r="AJ14" s="372">
        <f>IF($C14="","",AI14*VLOOKUP($C14,ATELIER!$A$2:$F$109,4,0))</f>
        <v>0</v>
      </c>
      <c r="AK14" s="364"/>
      <c r="AL14" s="372">
        <f>IF($C14="","",AK14*VLOOKUP($C14,ATELIER!$A$2:$F$109,4,0))</f>
        <v>0</v>
      </c>
      <c r="AM14" s="364"/>
    </row>
    <row r="15" spans="1:39" ht="15" customHeight="1" x14ac:dyDescent="0.2">
      <c r="A15" s="1552"/>
      <c r="B15" s="361" t="s">
        <v>1153</v>
      </c>
      <c r="C15" s="362"/>
      <c r="D15" s="363" t="str">
        <f>IF($C15="","",VLOOKUP($C15,ATELIER!$A$2:$E$109,3,0))</f>
        <v/>
      </c>
      <c r="E15" s="364"/>
      <c r="F15" s="372" t="str">
        <f>IF($C15="","",E15*VLOOKUP($C15,ATELIER!$A$2:$F$109,4,0))</f>
        <v/>
      </c>
      <c r="G15" s="364"/>
      <c r="H15" s="372" t="str">
        <f>IF($C15="","",G15*VLOOKUP($C15,ATELIER!$A$2:$F$109,4,0))</f>
        <v/>
      </c>
      <c r="I15" s="364"/>
      <c r="J15" s="372" t="str">
        <f>IF($C15="","",I15*VLOOKUP($C15,ATELIER!$A$2:$F$109,4,0))</f>
        <v/>
      </c>
      <c r="K15" s="364"/>
      <c r="L15" s="372" t="str">
        <f>IF($C15="","",K15*VLOOKUP($C15,ATELIER!$A$2:$F$109,4,0))</f>
        <v/>
      </c>
      <c r="M15" s="364"/>
      <c r="N15" s="372" t="str">
        <f>IF($C15="","",M15*VLOOKUP($C15,ATELIER!$A$2:$F$109,4,0))</f>
        <v/>
      </c>
      <c r="O15" s="364"/>
      <c r="P15" s="372" t="str">
        <f>IF($C15="","",O15*VLOOKUP($C15,ATELIER!$A$2:$F$109,4,0))</f>
        <v/>
      </c>
      <c r="Q15" s="364"/>
      <c r="R15" s="372" t="str">
        <f>IF($C15="","",Q15*VLOOKUP($C15,ATELIER!$A$2:$F$109,4,0))</f>
        <v/>
      </c>
      <c r="S15" s="364"/>
      <c r="T15" s="372" t="str">
        <f>IF($C15="","",S15*VLOOKUP($C15,ATELIER!$A$2:$F$109,4,0))</f>
        <v/>
      </c>
      <c r="U15" s="364"/>
      <c r="V15" s="372" t="str">
        <f>IF($C15="","",U15*VLOOKUP($C15,ATELIER!$A$2:$F$109,4,0))</f>
        <v/>
      </c>
      <c r="W15" s="364"/>
      <c r="X15" s="372" t="str">
        <f>IF($C15="","",W15*VLOOKUP($C15,ATELIER!$A$2:$F$109,4,0))</f>
        <v/>
      </c>
      <c r="Y15" s="364"/>
      <c r="Z15" s="372" t="str">
        <f>IF($C15="","",Y15*VLOOKUP($C15,ATELIER!$A$2:$F$109,4,0))</f>
        <v/>
      </c>
      <c r="AA15" s="364"/>
      <c r="AB15" s="372" t="str">
        <f>IF($C15="","",AA15*VLOOKUP($C15,ATELIER!$A$2:$F$109,4,0))</f>
        <v/>
      </c>
      <c r="AC15" s="364"/>
      <c r="AD15" s="372" t="str">
        <f>IF($C15="","",AC15*VLOOKUP($C15,ATELIER!$A$2:$F$109,4,0))</f>
        <v/>
      </c>
      <c r="AE15" s="364"/>
      <c r="AF15" s="372" t="str">
        <f>IF($C15="","",AE15*VLOOKUP($C15,ATELIER!$A$2:$F$109,4,0))</f>
        <v/>
      </c>
      <c r="AG15" s="364"/>
      <c r="AH15" s="372" t="str">
        <f>IF($C15="","",AG15*VLOOKUP($C15,ATELIER!$A$2:$F$109,4,0))</f>
        <v/>
      </c>
      <c r="AI15" s="364"/>
      <c r="AJ15" s="372" t="str">
        <f>IF($C15="","",AI15*VLOOKUP($C15,ATELIER!$A$2:$F$109,4,0))</f>
        <v/>
      </c>
      <c r="AK15" s="364"/>
      <c r="AL15" s="372" t="str">
        <f>IF($C15="","",AK15*VLOOKUP($C15,ATELIER!$A$2:$F$109,4,0))</f>
        <v/>
      </c>
      <c r="AM15" s="364"/>
    </row>
    <row r="16" spans="1:39" ht="15" customHeight="1" x14ac:dyDescent="0.2">
      <c r="A16" s="1553"/>
      <c r="B16" s="361" t="s">
        <v>1153</v>
      </c>
      <c r="C16" s="362" t="s">
        <v>416</v>
      </c>
      <c r="D16" s="363" t="str">
        <f>IF($C16="","",VLOOKUP($C16,ATELIER!$A$2:$E$109,3,0))</f>
        <v>pc</v>
      </c>
      <c r="E16" s="364"/>
      <c r="F16" s="372">
        <f>IF($C16="","",E16*VLOOKUP($C16,ATELIER!$A$2:$F$109,4,0))</f>
        <v>0</v>
      </c>
      <c r="G16" s="364"/>
      <c r="H16" s="372">
        <f>IF($C16="","",G16*VLOOKUP($C16,ATELIER!$A$2:$F$109,4,0))</f>
        <v>0</v>
      </c>
      <c r="I16" s="364"/>
      <c r="J16" s="372">
        <f>IF($C16="","",I16*VLOOKUP($C16,ATELIER!$A$2:$F$109,4,0))</f>
        <v>0</v>
      </c>
      <c r="K16" s="364"/>
      <c r="L16" s="372">
        <f>IF($C16="","",K16*VLOOKUP($C16,ATELIER!$A$2:$F$109,4,0))</f>
        <v>0</v>
      </c>
      <c r="M16" s="364"/>
      <c r="N16" s="372">
        <f>IF($C16="","",M16*VLOOKUP($C16,ATELIER!$A$2:$F$109,4,0))</f>
        <v>0</v>
      </c>
      <c r="O16" s="364"/>
      <c r="P16" s="372">
        <f>IF($C16="","",O16*VLOOKUP($C16,ATELIER!$A$2:$F$109,4,0))</f>
        <v>0</v>
      </c>
      <c r="Q16" s="364"/>
      <c r="R16" s="372">
        <f>IF($C16="","",Q16*VLOOKUP($C16,ATELIER!$A$2:$F$109,4,0))</f>
        <v>0</v>
      </c>
      <c r="S16" s="364"/>
      <c r="T16" s="372">
        <f>IF($C16="","",S16*VLOOKUP($C16,ATELIER!$A$2:$F$109,4,0))</f>
        <v>0</v>
      </c>
      <c r="U16" s="364"/>
      <c r="V16" s="372">
        <f>IF($C16="","",U16*VLOOKUP($C16,ATELIER!$A$2:$F$109,4,0))</f>
        <v>0</v>
      </c>
      <c r="W16" s="364"/>
      <c r="X16" s="372">
        <f>IF($C16="","",W16*VLOOKUP($C16,ATELIER!$A$2:$F$109,4,0))</f>
        <v>0</v>
      </c>
      <c r="Y16" s="364"/>
      <c r="Z16" s="372">
        <f>IF($C16="","",Y16*VLOOKUP($C16,ATELIER!$A$2:$F$109,4,0))</f>
        <v>0</v>
      </c>
      <c r="AA16" s="364"/>
      <c r="AB16" s="372">
        <f>IF($C16="","",AA16*VLOOKUP($C16,ATELIER!$A$2:$F$109,4,0))</f>
        <v>0</v>
      </c>
      <c r="AC16" s="364"/>
      <c r="AD16" s="372">
        <f>IF($C16="","",AC16*VLOOKUP($C16,ATELIER!$A$2:$F$109,4,0))</f>
        <v>0</v>
      </c>
      <c r="AE16" s="364"/>
      <c r="AF16" s="372">
        <f>IF($C16="","",AE16*VLOOKUP($C16,ATELIER!$A$2:$F$109,4,0))</f>
        <v>0</v>
      </c>
      <c r="AG16" s="364"/>
      <c r="AH16" s="372">
        <f>IF($C16="","",AG16*VLOOKUP($C16,ATELIER!$A$2:$F$109,4,0))</f>
        <v>0</v>
      </c>
      <c r="AI16" s="364"/>
      <c r="AJ16" s="372">
        <f>IF($C16="","",AI16*VLOOKUP($C16,ATELIER!$A$2:$F$109,4,0))</f>
        <v>0</v>
      </c>
      <c r="AK16" s="364"/>
      <c r="AL16" s="372">
        <f>IF($C16="","",AK16*VLOOKUP($C16,ATELIER!$A$2:$F$109,4,0))</f>
        <v>0</v>
      </c>
      <c r="AM16" s="364"/>
    </row>
    <row r="17" spans="1:39" ht="15" customHeight="1" x14ac:dyDescent="0.2">
      <c r="A17" s="1553"/>
      <c r="B17" s="361" t="s">
        <v>1153</v>
      </c>
      <c r="C17" s="362"/>
      <c r="D17" s="363" t="str">
        <f>IF($C17="","",VLOOKUP($C17,ATELIER!$A$2:$E$109,3,0))</f>
        <v/>
      </c>
      <c r="E17" s="364"/>
      <c r="F17" s="372" t="str">
        <f>IF($C17="","",E17*VLOOKUP($C17,ATELIER!$A$2:$F$109,4,0))</f>
        <v/>
      </c>
      <c r="G17" s="364"/>
      <c r="H17" s="372" t="str">
        <f>IF($C17="","",G17*VLOOKUP($C17,ATELIER!$A$2:$F$109,4,0))</f>
        <v/>
      </c>
      <c r="I17" s="364"/>
      <c r="J17" s="372" t="str">
        <f>IF($C17="","",I17*VLOOKUP($C17,ATELIER!$A$2:$F$109,4,0))</f>
        <v/>
      </c>
      <c r="K17" s="364"/>
      <c r="L17" s="372" t="str">
        <f>IF($C17="","",K17*VLOOKUP($C17,ATELIER!$A$2:$F$109,4,0))</f>
        <v/>
      </c>
      <c r="M17" s="364"/>
      <c r="N17" s="372" t="str">
        <f>IF($C17="","",M17*VLOOKUP($C17,ATELIER!$A$2:$F$109,4,0))</f>
        <v/>
      </c>
      <c r="O17" s="364"/>
      <c r="P17" s="372" t="str">
        <f>IF($C17="","",O17*VLOOKUP($C17,ATELIER!$A$2:$F$109,4,0))</f>
        <v/>
      </c>
      <c r="Q17" s="364"/>
      <c r="R17" s="372" t="str">
        <f>IF($C17="","",Q17*VLOOKUP($C17,ATELIER!$A$2:$F$109,4,0))</f>
        <v/>
      </c>
      <c r="S17" s="364"/>
      <c r="T17" s="372" t="str">
        <f>IF($C17="","",S17*VLOOKUP($C17,ATELIER!$A$2:$F$109,4,0))</f>
        <v/>
      </c>
      <c r="U17" s="364"/>
      <c r="V17" s="372" t="str">
        <f>IF($C17="","",U17*VLOOKUP($C17,ATELIER!$A$2:$F$109,4,0))</f>
        <v/>
      </c>
      <c r="W17" s="364"/>
      <c r="X17" s="372" t="str">
        <f>IF($C17="","",W17*VLOOKUP($C17,ATELIER!$A$2:$F$109,4,0))</f>
        <v/>
      </c>
      <c r="Y17" s="364"/>
      <c r="Z17" s="372" t="str">
        <f>IF($C17="","",Y17*VLOOKUP($C17,ATELIER!$A$2:$F$109,4,0))</f>
        <v/>
      </c>
      <c r="AA17" s="364"/>
      <c r="AB17" s="372" t="str">
        <f>IF($C17="","",AA17*VLOOKUP($C17,ATELIER!$A$2:$F$109,4,0))</f>
        <v/>
      </c>
      <c r="AC17" s="364"/>
      <c r="AD17" s="372" t="str">
        <f>IF($C17="","",AC17*VLOOKUP($C17,ATELIER!$A$2:$F$109,4,0))</f>
        <v/>
      </c>
      <c r="AE17" s="364"/>
      <c r="AF17" s="372" t="str">
        <f>IF($C17="","",AE17*VLOOKUP($C17,ATELIER!$A$2:$F$109,4,0))</f>
        <v/>
      </c>
      <c r="AG17" s="364"/>
      <c r="AH17" s="372" t="str">
        <f>IF($C17="","",AG17*VLOOKUP($C17,ATELIER!$A$2:$F$109,4,0))</f>
        <v/>
      </c>
      <c r="AI17" s="364"/>
      <c r="AJ17" s="372" t="str">
        <f>IF($C17="","",AI17*VLOOKUP($C17,ATELIER!$A$2:$F$109,4,0))</f>
        <v/>
      </c>
      <c r="AK17" s="364"/>
      <c r="AL17" s="372" t="str">
        <f>IF($C17="","",AK17*VLOOKUP($C17,ATELIER!$A$2:$F$109,4,0))</f>
        <v/>
      </c>
      <c r="AM17" s="364"/>
    </row>
    <row r="18" spans="1:39" ht="15" customHeight="1" x14ac:dyDescent="0.2">
      <c r="A18" s="1553"/>
      <c r="B18" s="361"/>
      <c r="C18" s="362"/>
      <c r="D18" s="363"/>
      <c r="E18" s="364"/>
      <c r="F18" s="372"/>
      <c r="G18" s="364"/>
      <c r="H18" s="372"/>
      <c r="I18" s="364"/>
      <c r="J18" s="372"/>
      <c r="K18" s="364"/>
      <c r="L18" s="372"/>
      <c r="M18" s="364"/>
      <c r="N18" s="372"/>
      <c r="O18" s="364"/>
      <c r="P18" s="372"/>
      <c r="Q18" s="364"/>
      <c r="R18" s="372"/>
      <c r="S18" s="364"/>
      <c r="T18" s="372"/>
      <c r="U18" s="364"/>
      <c r="V18" s="372"/>
      <c r="W18" s="364"/>
      <c r="X18" s="372"/>
      <c r="Y18" s="364"/>
      <c r="Z18" s="372"/>
      <c r="AA18" s="364"/>
      <c r="AB18" s="372"/>
      <c r="AC18" s="364"/>
      <c r="AD18" s="372"/>
      <c r="AE18" s="364"/>
      <c r="AF18" s="372"/>
      <c r="AG18" s="364"/>
      <c r="AH18" s="372"/>
      <c r="AI18" s="364"/>
      <c r="AJ18" s="372"/>
      <c r="AK18" s="364"/>
      <c r="AL18" s="372"/>
      <c r="AM18" s="364"/>
    </row>
    <row r="19" spans="1:39" ht="15" customHeight="1" x14ac:dyDescent="0.2">
      <c r="A19" s="1553"/>
      <c r="B19" s="361"/>
      <c r="C19" s="362"/>
      <c r="D19" s="363"/>
      <c r="E19" s="364"/>
      <c r="F19" s="372"/>
      <c r="G19" s="364"/>
      <c r="H19" s="372"/>
      <c r="I19" s="364"/>
      <c r="J19" s="372"/>
      <c r="K19" s="364"/>
      <c r="L19" s="372"/>
      <c r="M19" s="364"/>
      <c r="N19" s="372"/>
      <c r="O19" s="364"/>
      <c r="P19" s="372"/>
      <c r="Q19" s="364"/>
      <c r="R19" s="372"/>
      <c r="S19" s="364"/>
      <c r="T19" s="372"/>
      <c r="U19" s="364"/>
      <c r="V19" s="372"/>
      <c r="W19" s="364"/>
      <c r="X19" s="372"/>
      <c r="Y19" s="364"/>
      <c r="Z19" s="372"/>
      <c r="AA19" s="364"/>
      <c r="AB19" s="372"/>
      <c r="AC19" s="364"/>
      <c r="AD19" s="372"/>
      <c r="AE19" s="364"/>
      <c r="AF19" s="372"/>
      <c r="AG19" s="364"/>
      <c r="AH19" s="372"/>
      <c r="AI19" s="364"/>
      <c r="AJ19" s="372"/>
      <c r="AK19" s="364"/>
      <c r="AL19" s="372"/>
      <c r="AM19" s="364"/>
    </row>
    <row r="20" spans="1:39" ht="15" customHeight="1" x14ac:dyDescent="0.2">
      <c r="A20" s="1553"/>
      <c r="B20" s="361" t="str">
        <f>IF($C20="","",VLOOKUP($C20,ATELIER!$A$2:$F$109,2,0))</f>
        <v/>
      </c>
      <c r="C20" s="362"/>
      <c r="D20" s="363" t="str">
        <f>IF($C20="","",VLOOKUP($C20,ATELIER!$A$2:$E$109,3,0))</f>
        <v/>
      </c>
      <c r="E20" s="364">
        <v>11</v>
      </c>
      <c r="F20" s="372" t="str">
        <f>IF($C20="","",E20*VLOOKUP($C20,ATELIER!$A$2:$F$109,4,0))</f>
        <v/>
      </c>
      <c r="G20" s="364">
        <v>12</v>
      </c>
      <c r="H20" s="372" t="str">
        <f>IF($C20="","",G20*VLOOKUP($C20,ATELIER!$A$2:$F$109,4,0))</f>
        <v/>
      </c>
      <c r="I20" s="364">
        <v>13</v>
      </c>
      <c r="J20" s="372" t="str">
        <f>IF($C20="","",I20*VLOOKUP($C20,ATELIER!$A$2:$F$109,4,0))</f>
        <v/>
      </c>
      <c r="K20" s="364">
        <v>14</v>
      </c>
      <c r="L20" s="372" t="str">
        <f>IF($C20="","",K20*VLOOKUP($C20,ATELIER!$A$2:$F$109,4,0))</f>
        <v/>
      </c>
      <c r="M20" s="364">
        <v>15</v>
      </c>
      <c r="N20" s="372" t="str">
        <f>IF($C20="","",M20*VLOOKUP($C20,ATELIER!$A$2:$F$109,4,0))</f>
        <v/>
      </c>
      <c r="O20" s="364">
        <v>16</v>
      </c>
      <c r="P20" s="372" t="str">
        <f>IF($C20="","",O20*VLOOKUP($C20,ATELIER!$A$2:$F$109,4,0))</f>
        <v/>
      </c>
      <c r="Q20" s="364">
        <v>17</v>
      </c>
      <c r="R20" s="372" t="str">
        <f>IF($C20="","",Q20*VLOOKUP($C20,ATELIER!$A$2:$F$109,4,0))</f>
        <v/>
      </c>
      <c r="S20" s="364">
        <v>18</v>
      </c>
      <c r="T20" s="372" t="str">
        <f>IF($C20="","",S20*VLOOKUP($C20,ATELIER!$A$2:$F$109,4,0))</f>
        <v/>
      </c>
      <c r="U20" s="364">
        <v>19</v>
      </c>
      <c r="V20" s="372" t="str">
        <f>IF($C20="","",U20*VLOOKUP($C20,ATELIER!$A$2:$F$109,4,0))</f>
        <v/>
      </c>
      <c r="W20" s="364">
        <v>20</v>
      </c>
      <c r="X20" s="372" t="str">
        <f>IF($C20="","",W20*VLOOKUP($C20,ATELIER!$A$2:$F$109,4,0))</f>
        <v/>
      </c>
      <c r="Y20" s="364">
        <v>21</v>
      </c>
      <c r="Z20" s="372" t="str">
        <f>IF($C20="","",Y20*VLOOKUP($C20,ATELIER!$A$2:$F$109,4,0))</f>
        <v/>
      </c>
      <c r="AA20" s="364">
        <v>22</v>
      </c>
      <c r="AB20" s="372" t="str">
        <f>IF($C20="","",AA20*VLOOKUP($C20,ATELIER!$A$2:$F$109,4,0))</f>
        <v/>
      </c>
      <c r="AC20" s="364">
        <v>23</v>
      </c>
      <c r="AD20" s="372" t="str">
        <f>IF($C20="","",AC20*VLOOKUP($C20,ATELIER!$A$2:$F$109,4,0))</f>
        <v/>
      </c>
      <c r="AE20" s="364">
        <v>24</v>
      </c>
      <c r="AF20" s="372" t="str">
        <f>IF($C20="","",AE20*VLOOKUP($C20,ATELIER!$A$2:$F$109,4,0))</f>
        <v/>
      </c>
      <c r="AG20" s="364">
        <v>25</v>
      </c>
      <c r="AH20" s="372" t="str">
        <f>IF($C20="","",AG20*VLOOKUP($C20,ATELIER!$A$2:$F$109,4,0))</f>
        <v/>
      </c>
      <c r="AI20" s="364">
        <v>26</v>
      </c>
      <c r="AJ20" s="372" t="str">
        <f>IF($C20="","",AI20*VLOOKUP($C20,ATELIER!$A$2:$F$109,4,0))</f>
        <v/>
      </c>
      <c r="AK20" s="364">
        <v>27</v>
      </c>
      <c r="AL20" s="372" t="str">
        <f>IF($C20="","",AK20*VLOOKUP($C20,ATELIER!$A$2:$F$109,4,0))</f>
        <v/>
      </c>
      <c r="AM20" s="364">
        <v>28</v>
      </c>
    </row>
    <row r="21" spans="1:39" ht="35.25" customHeight="1" x14ac:dyDescent="0.2">
      <c r="A21" s="1553"/>
      <c r="B21" s="375" t="s">
        <v>449</v>
      </c>
      <c r="C21" s="376" t="s">
        <v>450</v>
      </c>
      <c r="D21" s="377" t="s">
        <v>451</v>
      </c>
      <c r="E21" s="376">
        <f>F21*Simulation!$P$8</f>
        <v>0</v>
      </c>
      <c r="F21" s="377">
        <f>SUM(F13:F20)</f>
        <v>0</v>
      </c>
      <c r="G21" s="376">
        <f>H21*Simulation!$P$8</f>
        <v>0</v>
      </c>
      <c r="H21" s="377">
        <f>SUM(H13:H20)</f>
        <v>0</v>
      </c>
      <c r="I21" s="376">
        <f>J21*Simulation!$P$8</f>
        <v>0</v>
      </c>
      <c r="J21" s="377">
        <f>SUM(J13:J20)</f>
        <v>0</v>
      </c>
      <c r="K21" s="376">
        <f>L21*Simulation!$P$8</f>
        <v>0</v>
      </c>
      <c r="L21" s="377">
        <f>SUM(L13:L20)</f>
        <v>0</v>
      </c>
      <c r="M21" s="376">
        <f>N21*Simulation!$P$8</f>
        <v>0</v>
      </c>
      <c r="N21" s="377">
        <f>SUM(N13:N20)</f>
        <v>0</v>
      </c>
      <c r="O21" s="376">
        <f>P21*Simulation!$P$8</f>
        <v>0</v>
      </c>
      <c r="P21" s="377">
        <f>SUM(P13:P20)</f>
        <v>0</v>
      </c>
      <c r="Q21" s="376">
        <f>R21*Simulation!$P$8</f>
        <v>0</v>
      </c>
      <c r="R21" s="377">
        <f>SUM(R13:R20)</f>
        <v>0</v>
      </c>
      <c r="S21" s="376">
        <f>T21*Simulation!$P$8</f>
        <v>0</v>
      </c>
      <c r="T21" s="377">
        <f>SUM(T13:T20)</f>
        <v>0</v>
      </c>
      <c r="U21" s="376">
        <f>V21*Simulation!$P$8</f>
        <v>0</v>
      </c>
      <c r="V21" s="377">
        <f>SUM(V13:V20)</f>
        <v>0</v>
      </c>
      <c r="W21" s="376">
        <f>X21*Simulation!$P$8</f>
        <v>0</v>
      </c>
      <c r="X21" s="377">
        <f>SUM(X13:X20)</f>
        <v>0</v>
      </c>
      <c r="Y21" s="376">
        <f>Z21*Simulation!$P$8</f>
        <v>0</v>
      </c>
      <c r="Z21" s="377">
        <f>SUM(Z13:Z20)</f>
        <v>0</v>
      </c>
      <c r="AA21" s="376">
        <f>AB21*Simulation!$P$8</f>
        <v>0</v>
      </c>
      <c r="AB21" s="377">
        <f>SUM(AB13:AB20)</f>
        <v>0</v>
      </c>
      <c r="AC21" s="376">
        <f>AD21*Simulation!$P$8</f>
        <v>0</v>
      </c>
      <c r="AD21" s="377">
        <f>SUM(AD13:AD20)</f>
        <v>0</v>
      </c>
      <c r="AE21" s="376">
        <f>AF21*Simulation!$P$8</f>
        <v>0</v>
      </c>
      <c r="AF21" s="377">
        <f>SUM(AF13:AF20)</f>
        <v>0</v>
      </c>
      <c r="AG21" s="376">
        <f>AH21*Simulation!$P$8</f>
        <v>0</v>
      </c>
      <c r="AH21" s="377">
        <f>SUM(AH13:AH20)</f>
        <v>0</v>
      </c>
      <c r="AI21" s="376">
        <f>AJ21*Simulation!$P$8</f>
        <v>0</v>
      </c>
      <c r="AJ21" s="377">
        <f>SUM(AJ13:AJ20)</f>
        <v>0</v>
      </c>
      <c r="AK21" s="376">
        <f>AL21*Simulation!$P$8</f>
        <v>0</v>
      </c>
      <c r="AL21" s="377">
        <f>SUM(AL13:AL20)</f>
        <v>0</v>
      </c>
      <c r="AM21" s="376" t="e">
        <f>#REF!*Simulation!$P$8</f>
        <v>#REF!</v>
      </c>
    </row>
    <row r="22" spans="1:39" ht="15" customHeight="1" x14ac:dyDescent="0.2">
      <c r="A22" s="1554" t="s">
        <v>452</v>
      </c>
      <c r="B22" s="361" t="s">
        <v>1164</v>
      </c>
      <c r="C22" s="378" t="s">
        <v>1000</v>
      </c>
      <c r="D22" s="363" t="str">
        <f>IF(C22="","",VLOOKUP($C22,CHANTIER!$A$2:$C$83,3,0))</f>
        <v>pc</v>
      </c>
      <c r="E22" s="364">
        <f>E4</f>
        <v>1</v>
      </c>
      <c r="F22" s="372">
        <f>IF($C22="","",E22*VLOOKUP($C22,CHANTIER!$A$2:$D$83,4,0))</f>
        <v>0.35</v>
      </c>
      <c r="G22" s="364">
        <f>G4</f>
        <v>1</v>
      </c>
      <c r="H22" s="372">
        <f>IF($C22="","",G22*VLOOKUP($C22,CHANTIER!$A$2:$D$83,4,0))</f>
        <v>0.35</v>
      </c>
      <c r="I22" s="364">
        <f>I4</f>
        <v>1</v>
      </c>
      <c r="J22" s="372">
        <f>IF($C22="","",I22*VLOOKUP($C22,CHANTIER!$A$2:$D$83,4,0))</f>
        <v>0.35</v>
      </c>
      <c r="K22" s="364">
        <f>K4</f>
        <v>1</v>
      </c>
      <c r="L22" s="372">
        <f>IF($C22="","",K22*VLOOKUP($C22,CHANTIER!$A$2:$D$83,4,0))</f>
        <v>0.35</v>
      </c>
      <c r="M22" s="364">
        <f>M4</f>
        <v>1</v>
      </c>
      <c r="N22" s="372">
        <f>IF($C22="","",M22*VLOOKUP($C22,CHANTIER!$A$2:$D$83,4,0))</f>
        <v>0.35</v>
      </c>
      <c r="O22" s="364">
        <f>O4</f>
        <v>1</v>
      </c>
      <c r="P22" s="372">
        <f>IF($C22="","",O22*VLOOKUP($C22,CHANTIER!$A$2:$D$83,4,0))</f>
        <v>0.35</v>
      </c>
      <c r="Q22" s="364">
        <f>Q4</f>
        <v>1</v>
      </c>
      <c r="R22" s="372">
        <f>IF($C22="","",Q22*VLOOKUP($C22,CHANTIER!$A$2:$D$83,4,0))</f>
        <v>0.35</v>
      </c>
      <c r="S22" s="364">
        <f>S4</f>
        <v>1</v>
      </c>
      <c r="T22" s="372">
        <f>IF($C22="","",S22*VLOOKUP($C22,CHANTIER!$A$2:$D$83,4,0))</f>
        <v>0.35</v>
      </c>
      <c r="U22" s="364">
        <f>U4</f>
        <v>1</v>
      </c>
      <c r="V22" s="372">
        <f>IF($C22="","",U22*VLOOKUP($C22,CHANTIER!$A$2:$D$83,4,0))</f>
        <v>0.35</v>
      </c>
      <c r="W22" s="364">
        <f>W4</f>
        <v>2</v>
      </c>
      <c r="X22" s="372">
        <f>IF($C22="","",W22*VLOOKUP($C22,CHANTIER!$A$2:$D$83,4,0))</f>
        <v>0.7</v>
      </c>
      <c r="Y22" s="364">
        <f>Y4</f>
        <v>2</v>
      </c>
      <c r="Z22" s="372">
        <f>IF($C22="","",Y22*VLOOKUP($C22,CHANTIER!$A$2:$D$83,4,0))</f>
        <v>0.7</v>
      </c>
      <c r="AA22" s="364">
        <f>AA4</f>
        <v>2</v>
      </c>
      <c r="AB22" s="372">
        <f>IF($C22="","",AA22*VLOOKUP($C22,CHANTIER!$A$2:$D$83,4,0))</f>
        <v>0.7</v>
      </c>
      <c r="AC22" s="364">
        <f>AC4</f>
        <v>2</v>
      </c>
      <c r="AD22" s="372">
        <f>IF($C22="","",AC22*VLOOKUP($C22,CHANTIER!$A$2:$D$83,4,0))</f>
        <v>0.7</v>
      </c>
      <c r="AE22" s="364">
        <f>AE4</f>
        <v>2</v>
      </c>
      <c r="AF22" s="372">
        <f>IF($C22="","",AE22*VLOOKUP($C22,CHANTIER!$A$2:$D$83,4,0))</f>
        <v>0.7</v>
      </c>
      <c r="AG22" s="364">
        <f>AG4</f>
        <v>2</v>
      </c>
      <c r="AH22" s="372">
        <f>IF($C22="","",AG22*VLOOKUP($C22,CHANTIER!$A$2:$D$83,4,0))</f>
        <v>0.7</v>
      </c>
      <c r="AI22" s="364">
        <f>AI4</f>
        <v>2</v>
      </c>
      <c r="AJ22" s="372">
        <f>IF($C22="","",AI22*VLOOKUP($C22,CHANTIER!$A$2:$D$83,4,0))</f>
        <v>0.7</v>
      </c>
      <c r="AK22" s="364">
        <f>AK4</f>
        <v>2</v>
      </c>
      <c r="AL22" s="372">
        <f>IF($C22="","",AK22*VLOOKUP($C22,CHANTIER!$A$2:$D$83,4,0))</f>
        <v>0.7</v>
      </c>
      <c r="AM22" s="364">
        <f>AM4</f>
        <v>2</v>
      </c>
    </row>
    <row r="23" spans="1:39" ht="15" customHeight="1" x14ac:dyDescent="0.2">
      <c r="A23" s="1554"/>
      <c r="B23" s="361" t="s">
        <v>1164</v>
      </c>
      <c r="C23" s="378" t="s">
        <v>407</v>
      </c>
      <c r="D23" s="363" t="str">
        <f>IF(C23="","",VLOOKUP($C23,CHANTIER!$A$2:$C$83,3,0))</f>
        <v>pc</v>
      </c>
      <c r="E23" s="364">
        <v>1</v>
      </c>
      <c r="F23" s="372">
        <f>IF($C23="","",E23*VLOOKUP($C23,CHANTIER!$A$2:$D$83,4,0))</f>
        <v>0.75</v>
      </c>
      <c r="G23" s="364">
        <v>1</v>
      </c>
      <c r="H23" s="372">
        <f>IF($C23="","",G23*VLOOKUP($C23,CHANTIER!$A$2:$D$83,4,0))</f>
        <v>0.75</v>
      </c>
      <c r="I23" s="364">
        <v>1</v>
      </c>
      <c r="J23" s="372">
        <f>IF($C23="","",I23*VLOOKUP($C23,CHANTIER!$A$2:$D$83,4,0))</f>
        <v>0.75</v>
      </c>
      <c r="K23" s="364">
        <v>1</v>
      </c>
      <c r="L23" s="372">
        <f>IF($C23="","",K23*VLOOKUP($C23,CHANTIER!$A$2:$D$83,4,0))</f>
        <v>0.75</v>
      </c>
      <c r="M23" s="364">
        <v>1</v>
      </c>
      <c r="N23" s="372">
        <f>IF($C23="","",M23*VLOOKUP($C23,CHANTIER!$A$2:$D$83,4,0))</f>
        <v>0.75</v>
      </c>
      <c r="O23" s="364">
        <v>1</v>
      </c>
      <c r="P23" s="372">
        <f>IF($C23="","",O23*VLOOKUP($C23,CHANTIER!$A$2:$D$83,4,0))</f>
        <v>0.75</v>
      </c>
      <c r="Q23" s="364">
        <v>1</v>
      </c>
      <c r="R23" s="372">
        <f>IF($C23="","",Q23*VLOOKUP($C23,CHANTIER!$A$2:$D$83,4,0))</f>
        <v>0.75</v>
      </c>
      <c r="S23" s="364">
        <v>1</v>
      </c>
      <c r="T23" s="372">
        <f>IF($C23="","",S23*VLOOKUP($C23,CHANTIER!$A$2:$D$83,4,0))</f>
        <v>0.75</v>
      </c>
      <c r="U23" s="364">
        <v>1</v>
      </c>
      <c r="V23" s="372">
        <f>IF($C23="","",U23*VLOOKUP($C23,CHANTIER!$A$2:$D$83,4,0))</f>
        <v>0.75</v>
      </c>
      <c r="W23" s="364">
        <v>1</v>
      </c>
      <c r="X23" s="372">
        <f>IF($C23="","",W23*VLOOKUP($C23,CHANTIER!$A$2:$D$83,4,0))</f>
        <v>0.75</v>
      </c>
      <c r="Y23" s="364">
        <v>1</v>
      </c>
      <c r="Z23" s="372">
        <f>IF($C23="","",Y23*VLOOKUP($C23,CHANTIER!$A$2:$D$83,4,0))</f>
        <v>0.75</v>
      </c>
      <c r="AA23" s="364">
        <v>1</v>
      </c>
      <c r="AB23" s="372">
        <f>IF($C23="","",AA23*VLOOKUP($C23,CHANTIER!$A$2:$D$83,4,0))</f>
        <v>0.75</v>
      </c>
      <c r="AC23" s="364">
        <v>1</v>
      </c>
      <c r="AD23" s="372">
        <f>IF($C23="","",AC23*VLOOKUP($C23,CHANTIER!$A$2:$D$83,4,0))</f>
        <v>0.75</v>
      </c>
      <c r="AE23" s="364">
        <v>1</v>
      </c>
      <c r="AF23" s="372">
        <f>IF($C23="","",AE23*VLOOKUP($C23,CHANTIER!$A$2:$D$83,4,0))</f>
        <v>0.75</v>
      </c>
      <c r="AG23" s="364">
        <v>1</v>
      </c>
      <c r="AH23" s="372">
        <f>IF($C23="","",AG23*VLOOKUP($C23,CHANTIER!$A$2:$D$83,4,0))</f>
        <v>0.75</v>
      </c>
      <c r="AI23" s="364">
        <v>1</v>
      </c>
      <c r="AJ23" s="372">
        <f>IF($C23="","",AI23*VLOOKUP($C23,CHANTIER!$A$2:$D$83,4,0))</f>
        <v>0.75</v>
      </c>
      <c r="AK23" s="364">
        <v>1</v>
      </c>
      <c r="AL23" s="372">
        <f>IF($C23="","",AK23*VLOOKUP($C23,CHANTIER!$A$2:$D$83,4,0))</f>
        <v>0.75</v>
      </c>
      <c r="AM23" s="364">
        <v>1</v>
      </c>
    </row>
    <row r="24" spans="1:39" ht="15" customHeight="1" x14ac:dyDescent="0.2">
      <c r="A24" s="1555"/>
      <c r="B24" s="361" t="s">
        <v>1164</v>
      </c>
      <c r="C24" s="378" t="s">
        <v>987</v>
      </c>
      <c r="D24" s="363" t="str">
        <f>IF(C24="","",VLOOKUP($C24,CHANTIER!$A$2:$C$83,3,0))</f>
        <v>pc</v>
      </c>
      <c r="E24" s="364">
        <v>1</v>
      </c>
      <c r="F24" s="372">
        <f>IF($C24="","",E24*VLOOKUP($C24,CHANTIER!$A$2:$D$83,4,0))</f>
        <v>1.5</v>
      </c>
      <c r="G24" s="364">
        <v>1</v>
      </c>
      <c r="H24" s="372">
        <f>IF($C24="","",G24*VLOOKUP($C24,CHANTIER!$A$2:$D$83,4,0))</f>
        <v>1.5</v>
      </c>
      <c r="I24" s="364">
        <v>1</v>
      </c>
      <c r="J24" s="372">
        <f>IF($C24="","",I24*VLOOKUP($C24,CHANTIER!$A$2:$D$83,4,0))</f>
        <v>1.5</v>
      </c>
      <c r="K24" s="364">
        <v>1</v>
      </c>
      <c r="L24" s="372">
        <f>IF($C24="","",K24*VLOOKUP($C24,CHANTIER!$A$2:$D$83,4,0))</f>
        <v>1.5</v>
      </c>
      <c r="M24" s="364">
        <v>1</v>
      </c>
      <c r="N24" s="372">
        <f>IF($C24="","",M24*VLOOKUP($C24,CHANTIER!$A$2:$D$83,4,0))</f>
        <v>1.5</v>
      </c>
      <c r="O24" s="364">
        <v>1</v>
      </c>
      <c r="P24" s="372">
        <f>IF($C24="","",O24*VLOOKUP($C24,CHANTIER!$A$2:$D$83,4,0))</f>
        <v>1.5</v>
      </c>
      <c r="Q24" s="364">
        <v>1</v>
      </c>
      <c r="R24" s="372">
        <f>IF($C24="","",Q24*VLOOKUP($C24,CHANTIER!$A$2:$D$83,4,0))</f>
        <v>1.5</v>
      </c>
      <c r="S24" s="364">
        <v>1</v>
      </c>
      <c r="T24" s="372">
        <f>IF($C24="","",S24*VLOOKUP($C24,CHANTIER!$A$2:$D$83,4,0))</f>
        <v>1.5</v>
      </c>
      <c r="U24" s="364">
        <v>1</v>
      </c>
      <c r="V24" s="372">
        <f>IF($C24="","",U24*VLOOKUP($C24,CHANTIER!$A$2:$D$83,4,0))</f>
        <v>1.5</v>
      </c>
      <c r="W24" s="364">
        <v>1</v>
      </c>
      <c r="X24" s="372">
        <f>IF($C24="","",W24*VLOOKUP($C24,CHANTIER!$A$2:$D$83,4,0))</f>
        <v>1.5</v>
      </c>
      <c r="Y24" s="364">
        <v>1</v>
      </c>
      <c r="Z24" s="372">
        <f>IF($C24="","",Y24*VLOOKUP($C24,CHANTIER!$A$2:$D$83,4,0))</f>
        <v>1.5</v>
      </c>
      <c r="AA24" s="364">
        <v>1</v>
      </c>
      <c r="AB24" s="372">
        <f>IF($C24="","",AA24*VLOOKUP($C24,CHANTIER!$A$2:$D$83,4,0))</f>
        <v>1.5</v>
      </c>
      <c r="AC24" s="364">
        <v>1</v>
      </c>
      <c r="AD24" s="372">
        <f>IF($C24="","",AC24*VLOOKUP($C24,CHANTIER!$A$2:$D$83,4,0))</f>
        <v>1.5</v>
      </c>
      <c r="AE24" s="364">
        <v>1</v>
      </c>
      <c r="AF24" s="372">
        <f>IF($C24="","",AE24*VLOOKUP($C24,CHANTIER!$A$2:$D$83,4,0))</f>
        <v>1.5</v>
      </c>
      <c r="AG24" s="364">
        <v>1</v>
      </c>
      <c r="AH24" s="372">
        <f>IF($C24="","",AG24*VLOOKUP($C24,CHANTIER!$A$2:$D$83,4,0))</f>
        <v>1.5</v>
      </c>
      <c r="AI24" s="364">
        <v>1</v>
      </c>
      <c r="AJ24" s="372">
        <f>IF($C24="","",AI24*VLOOKUP($C24,CHANTIER!$A$2:$D$83,4,0))</f>
        <v>1.5</v>
      </c>
      <c r="AK24" s="364">
        <v>1</v>
      </c>
      <c r="AL24" s="372">
        <f>IF($C24="","",AK24*VLOOKUP($C24,CHANTIER!$A$2:$D$83,4,0))</f>
        <v>1.5</v>
      </c>
      <c r="AM24" s="364">
        <v>1</v>
      </c>
    </row>
    <row r="25" spans="1:39" ht="30.75" customHeight="1" x14ac:dyDescent="0.2">
      <c r="A25" s="1554"/>
      <c r="B25" s="379" t="s">
        <v>453</v>
      </c>
      <c r="C25" s="380" t="s">
        <v>450</v>
      </c>
      <c r="D25" s="381" t="s">
        <v>451</v>
      </c>
      <c r="E25" s="382">
        <f>F25*Simulation!$P$9</f>
        <v>117</v>
      </c>
      <c r="F25" s="383">
        <f>SUM(F22:F24)</f>
        <v>2.6</v>
      </c>
      <c r="G25" s="382">
        <f>H25*Simulation!$P$9</f>
        <v>117</v>
      </c>
      <c r="H25" s="383">
        <f>SUM(H22:H24)</f>
        <v>2.6</v>
      </c>
      <c r="I25" s="382">
        <f>J25*Simulation!$P$9</f>
        <v>117</v>
      </c>
      <c r="J25" s="383">
        <f>SUM(J22:J24)</f>
        <v>2.6</v>
      </c>
      <c r="K25" s="382">
        <f>L25*Simulation!$P$9</f>
        <v>117</v>
      </c>
      <c r="L25" s="383">
        <f>SUM(L22:L24)</f>
        <v>2.6</v>
      </c>
      <c r="M25" s="382">
        <f>N25*Simulation!$P$9</f>
        <v>117</v>
      </c>
      <c r="N25" s="383">
        <f>SUM(N22:N24)</f>
        <v>2.6</v>
      </c>
      <c r="O25" s="382">
        <f>P25*Simulation!$P$9</f>
        <v>117</v>
      </c>
      <c r="P25" s="383">
        <f>SUM(P22:P24)</f>
        <v>2.6</v>
      </c>
      <c r="Q25" s="382">
        <f>R25*Simulation!$P$9</f>
        <v>117</v>
      </c>
      <c r="R25" s="383">
        <f>SUM(R22:R24)</f>
        <v>2.6</v>
      </c>
      <c r="S25" s="382">
        <f>T25*Simulation!$P$9</f>
        <v>117</v>
      </c>
      <c r="T25" s="383">
        <f>SUM(T22:T24)</f>
        <v>2.6</v>
      </c>
      <c r="U25" s="382">
        <f>V25*Simulation!$P$9</f>
        <v>117</v>
      </c>
      <c r="V25" s="383">
        <f>SUM(V22:V24)</f>
        <v>2.6</v>
      </c>
      <c r="W25" s="382">
        <f>X25*Simulation!$P$9</f>
        <v>132.75</v>
      </c>
      <c r="X25" s="383">
        <f>SUM(X22:X24)</f>
        <v>2.95</v>
      </c>
      <c r="Y25" s="382">
        <f>Z25*Simulation!$P$9</f>
        <v>132.75</v>
      </c>
      <c r="Z25" s="383">
        <f>SUM(Z22:Z24)</f>
        <v>2.95</v>
      </c>
      <c r="AA25" s="382">
        <f>AB25*Simulation!$P$9</f>
        <v>132.75</v>
      </c>
      <c r="AB25" s="383">
        <f>SUM(AB22:AB24)</f>
        <v>2.95</v>
      </c>
      <c r="AC25" s="382">
        <f>AD25*Simulation!$P$9</f>
        <v>132.75</v>
      </c>
      <c r="AD25" s="383">
        <f>SUM(AD22:AD24)</f>
        <v>2.95</v>
      </c>
      <c r="AE25" s="382">
        <f>AF25*Simulation!$P$9</f>
        <v>132.75</v>
      </c>
      <c r="AF25" s="383">
        <f>SUM(AF22:AF24)</f>
        <v>2.95</v>
      </c>
      <c r="AG25" s="382">
        <f>AH25*Simulation!$P$9</f>
        <v>132.75</v>
      </c>
      <c r="AH25" s="383">
        <f>SUM(AH22:AH24)</f>
        <v>2.95</v>
      </c>
      <c r="AI25" s="382">
        <f>AJ25*Simulation!$P$9</f>
        <v>132.75</v>
      </c>
      <c r="AJ25" s="383">
        <f>SUM(AJ22:AJ24)</f>
        <v>2.95</v>
      </c>
      <c r="AK25" s="382">
        <f>AL25*Simulation!$P$9</f>
        <v>132.75</v>
      </c>
      <c r="AL25" s="383">
        <f>SUM(AL22:AL24)</f>
        <v>2.95</v>
      </c>
      <c r="AM25" s="382" t="e">
        <f>#REF!*Simulation!$P$9</f>
        <v>#REF!</v>
      </c>
    </row>
    <row r="26" spans="1:39" ht="15" customHeight="1" x14ac:dyDescent="0.2">
      <c r="A26" s="1559" t="s">
        <v>4</v>
      </c>
      <c r="B26" s="361" t="s">
        <v>1172</v>
      </c>
      <c r="C26" s="378" t="s">
        <v>380</v>
      </c>
      <c r="D26" s="363" t="str">
        <f>IF(C26="","",VLOOKUP($C26,MINIPELLE!$A$2:$C$28,3,0))</f>
        <v>pc</v>
      </c>
      <c r="E26" s="364"/>
      <c r="F26" s="372">
        <f>IF($C26="","",E26*VLOOKUP($C26,MINIPELLE!$A$2:$D$28,4,0))</f>
        <v>0</v>
      </c>
      <c r="G26" s="364">
        <v>2</v>
      </c>
      <c r="H26" s="372">
        <f>IF($C26="","",G26*VLOOKUP($C26,MINIPELLE!$A$2:$D$28,4,0))</f>
        <v>1</v>
      </c>
      <c r="I26" s="364">
        <v>2</v>
      </c>
      <c r="J26" s="372">
        <f>IF($C26="","",I26*VLOOKUP($C26,MINIPELLE!$A$2:$D$28,4,0))</f>
        <v>1</v>
      </c>
      <c r="K26" s="364">
        <v>2</v>
      </c>
      <c r="L26" s="372">
        <f>IF($C26="","",K26*VLOOKUP($C26,MINIPELLE!$A$2:$D$28,4,0))</f>
        <v>1</v>
      </c>
      <c r="M26" s="364">
        <v>2</v>
      </c>
      <c r="N26" s="372">
        <f>IF($C26="","",M26*VLOOKUP($C26,MINIPELLE!$A$2:$D$28,4,0))</f>
        <v>1</v>
      </c>
      <c r="O26" s="364">
        <v>2</v>
      </c>
      <c r="P26" s="372">
        <f>IF($C26="","",O26*VLOOKUP($C26,MINIPELLE!$A$2:$D$28,4,0))</f>
        <v>1</v>
      </c>
      <c r="Q26" s="364">
        <v>2</v>
      </c>
      <c r="R26" s="372">
        <f>IF($C26="","",Q26*VLOOKUP($C26,MINIPELLE!$A$2:$D$28,4,0))</f>
        <v>1</v>
      </c>
      <c r="S26" s="364">
        <v>2</v>
      </c>
      <c r="T26" s="372">
        <f>IF($C26="","",S26*VLOOKUP($C26,MINIPELLE!$A$2:$D$28,4,0))</f>
        <v>1</v>
      </c>
      <c r="U26" s="364">
        <v>2</v>
      </c>
      <c r="V26" s="372">
        <f>IF($C26="","",U26*VLOOKUP($C26,MINIPELLE!$A$2:$D$28,4,0))</f>
        <v>1</v>
      </c>
      <c r="W26" s="364">
        <v>2</v>
      </c>
      <c r="X26" s="372">
        <f>IF($C26="","",W26*VLOOKUP($C26,MINIPELLE!$A$2:$D$28,4,0))</f>
        <v>1</v>
      </c>
      <c r="Y26" s="364">
        <v>2</v>
      </c>
      <c r="Z26" s="372">
        <f>IF($C26="","",Y26*VLOOKUP($C26,MINIPELLE!$A$2:$D$28,4,0))</f>
        <v>1</v>
      </c>
      <c r="AA26" s="364">
        <v>2</v>
      </c>
      <c r="AB26" s="372">
        <f>IF($C26="","",AA26*VLOOKUP($C26,MINIPELLE!$A$2:$D$28,4,0))</f>
        <v>1</v>
      </c>
      <c r="AC26" s="364">
        <v>2</v>
      </c>
      <c r="AD26" s="372">
        <f>IF($C26="","",AC26*VLOOKUP($C26,MINIPELLE!$A$2:$D$28,4,0))</f>
        <v>1</v>
      </c>
      <c r="AE26" s="364">
        <v>2</v>
      </c>
      <c r="AF26" s="372">
        <f>IF($C26="","",AE26*VLOOKUP($C26,MINIPELLE!$A$2:$D$28,4,0))</f>
        <v>1</v>
      </c>
      <c r="AG26" s="364">
        <v>2</v>
      </c>
      <c r="AH26" s="372">
        <f>IF($C26="","",AG26*VLOOKUP($C26,MINIPELLE!$A$2:$D$28,4,0))</f>
        <v>1</v>
      </c>
      <c r="AI26" s="364">
        <v>2</v>
      </c>
      <c r="AJ26" s="372">
        <f>IF($C26="","",AI26*VLOOKUP($C26,MINIPELLE!$A$2:$D$28,4,0))</f>
        <v>1</v>
      </c>
      <c r="AK26" s="364">
        <v>2</v>
      </c>
      <c r="AL26" s="372">
        <f>IF($C26="","",AK26*VLOOKUP($C26,MINIPELLE!$A$2:$D$28,4,0))</f>
        <v>1</v>
      </c>
      <c r="AM26" s="364">
        <v>2</v>
      </c>
    </row>
    <row r="27" spans="1:39" ht="15" customHeight="1" x14ac:dyDescent="0.2">
      <c r="A27" s="1559"/>
      <c r="B27" s="361" t="s">
        <v>1172</v>
      </c>
      <c r="C27" s="378" t="s">
        <v>381</v>
      </c>
      <c r="D27" s="363" t="str">
        <f>IF(C27="","",VLOOKUP($C27,MINIPELLE!$A$2:$C$28,3,0))</f>
        <v>pc</v>
      </c>
      <c r="E27" s="364">
        <v>1</v>
      </c>
      <c r="F27" s="372">
        <f>IF($C27="","",E27*VLOOKUP($C27,MINIPELLE!$A$2:$D$28,4,0))</f>
        <v>0.75</v>
      </c>
      <c r="G27" s="364"/>
      <c r="H27" s="372"/>
      <c r="I27" s="364"/>
      <c r="J27" s="372"/>
      <c r="K27" s="364"/>
      <c r="L27" s="372"/>
      <c r="M27" s="364"/>
      <c r="N27" s="372"/>
      <c r="O27" s="364"/>
      <c r="P27" s="372"/>
      <c r="Q27" s="364"/>
      <c r="R27" s="372"/>
      <c r="S27" s="364"/>
      <c r="T27" s="372"/>
      <c r="U27" s="364"/>
      <c r="V27" s="372"/>
      <c r="W27" s="364"/>
      <c r="X27" s="372"/>
      <c r="Y27" s="364"/>
      <c r="Z27" s="372"/>
      <c r="AA27" s="364"/>
      <c r="AB27" s="372"/>
      <c r="AC27" s="364"/>
      <c r="AD27" s="372"/>
      <c r="AE27" s="364"/>
      <c r="AF27" s="372"/>
      <c r="AG27" s="364"/>
      <c r="AH27" s="372"/>
      <c r="AI27" s="364"/>
      <c r="AJ27" s="372"/>
      <c r="AK27" s="364"/>
      <c r="AL27" s="372"/>
      <c r="AM27" s="364"/>
    </row>
    <row r="28" spans="1:39" ht="15" customHeight="1" x14ac:dyDescent="0.2">
      <c r="A28" s="1559"/>
      <c r="B28" s="361" t="s">
        <v>1172</v>
      </c>
      <c r="C28" s="378" t="s">
        <v>382</v>
      </c>
      <c r="D28" s="363" t="str">
        <f>IF(C28="","",VLOOKUP($C28,MINIPELLE!$A$2:$C$28,3,0))</f>
        <v>pc</v>
      </c>
      <c r="E28" s="364">
        <v>1</v>
      </c>
      <c r="F28" s="372">
        <f>IF($C28="","",E28*VLOOKUP($C28,MINIPELLE!$A$2:$D$28,4,0))</f>
        <v>1</v>
      </c>
      <c r="G28" s="364"/>
      <c r="H28" s="372"/>
      <c r="I28" s="364"/>
      <c r="J28" s="372"/>
      <c r="K28" s="364"/>
      <c r="L28" s="372"/>
      <c r="M28" s="364"/>
      <c r="N28" s="372"/>
      <c r="O28" s="364"/>
      <c r="P28" s="372"/>
      <c r="Q28" s="364"/>
      <c r="R28" s="372"/>
      <c r="S28" s="364"/>
      <c r="T28" s="372"/>
      <c r="U28" s="364"/>
      <c r="V28" s="372"/>
      <c r="W28" s="364"/>
      <c r="X28" s="372"/>
      <c r="Y28" s="364"/>
      <c r="Z28" s="372"/>
      <c r="AA28" s="364"/>
      <c r="AB28" s="372"/>
      <c r="AC28" s="364"/>
      <c r="AD28" s="372"/>
      <c r="AE28" s="364"/>
      <c r="AF28" s="372"/>
      <c r="AG28" s="364"/>
      <c r="AH28" s="372"/>
      <c r="AI28" s="364"/>
      <c r="AJ28" s="372"/>
      <c r="AK28" s="364"/>
      <c r="AL28" s="372"/>
      <c r="AM28" s="364"/>
    </row>
    <row r="29" spans="1:39" ht="15" customHeight="1" x14ac:dyDescent="0.2">
      <c r="A29" s="1560"/>
      <c r="B29" s="361"/>
      <c r="C29" s="378"/>
      <c r="D29" s="363" t="str">
        <f>IF(C29="","",VLOOKUP($C29,MINIPELLE!$A$2:$C$28,3,0))</f>
        <v/>
      </c>
      <c r="E29" s="364">
        <v>3</v>
      </c>
      <c r="F29" s="389" t="str">
        <f>IF($C29="","",E29*VLOOKUP($C29,MINIPELLE!$A$2:$D$28,4,0))</f>
        <v/>
      </c>
      <c r="G29" s="364">
        <v>3</v>
      </c>
      <c r="H29" s="389" t="str">
        <f>IF($C29="","",G29*VLOOKUP($C29,MINIPELLE!$A$2:$D$28,4,0))</f>
        <v/>
      </c>
      <c r="I29" s="364">
        <v>3</v>
      </c>
      <c r="J29" s="389" t="str">
        <f>IF($C29="","",I29*VLOOKUP($C29,MINIPELLE!$A$2:$D$28,4,0))</f>
        <v/>
      </c>
      <c r="K29" s="364">
        <v>3</v>
      </c>
      <c r="L29" s="389" t="str">
        <f>IF($C29="","",K29*VLOOKUP($C29,MINIPELLE!$A$2:$D$28,4,0))</f>
        <v/>
      </c>
      <c r="M29" s="364">
        <v>3</v>
      </c>
      <c r="N29" s="389" t="str">
        <f>IF($C29="","",M29*VLOOKUP($C29,MINIPELLE!$A$2:$D$28,4,0))</f>
        <v/>
      </c>
      <c r="O29" s="364">
        <v>3</v>
      </c>
      <c r="P29" s="389" t="str">
        <f>IF($C29="","",O29*VLOOKUP($C29,MINIPELLE!$A$2:$D$28,4,0))</f>
        <v/>
      </c>
      <c r="Q29" s="364">
        <v>3</v>
      </c>
      <c r="R29" s="389" t="str">
        <f>IF($C29="","",Q29*VLOOKUP($C29,MINIPELLE!$A$2:$D$28,4,0))</f>
        <v/>
      </c>
      <c r="S29" s="364">
        <v>3</v>
      </c>
      <c r="T29" s="389" t="str">
        <f>IF($C29="","",S29*VLOOKUP($C29,MINIPELLE!$A$2:$D$28,4,0))</f>
        <v/>
      </c>
      <c r="U29" s="364">
        <v>3</v>
      </c>
      <c r="V29" s="389" t="str">
        <f>IF($C29="","",U29*VLOOKUP($C29,MINIPELLE!$A$2:$D$28,4,0))</f>
        <v/>
      </c>
      <c r="W29" s="364">
        <v>3</v>
      </c>
      <c r="X29" s="389" t="str">
        <f>IF($C29="","",W29*VLOOKUP($C29,MINIPELLE!$A$2:$D$28,4,0))</f>
        <v/>
      </c>
      <c r="Y29" s="364">
        <v>3</v>
      </c>
      <c r="Z29" s="389" t="str">
        <f>IF($C29="","",Y29*VLOOKUP($C29,MINIPELLE!$A$2:$D$28,4,0))</f>
        <v/>
      </c>
      <c r="AA29" s="364">
        <v>3</v>
      </c>
      <c r="AB29" s="389" t="str">
        <f>IF($C29="","",AA29*VLOOKUP($C29,MINIPELLE!$A$2:$D$28,4,0))</f>
        <v/>
      </c>
      <c r="AC29" s="364">
        <v>3</v>
      </c>
      <c r="AD29" s="389" t="str">
        <f>IF($C29="","",AC29*VLOOKUP($C29,MINIPELLE!$A$2:$D$28,4,0))</f>
        <v/>
      </c>
      <c r="AE29" s="364">
        <v>3</v>
      </c>
      <c r="AF29" s="389" t="str">
        <f>IF($C29="","",AE29*VLOOKUP($C29,MINIPELLE!$A$2:$D$28,4,0))</f>
        <v/>
      </c>
      <c r="AG29" s="364">
        <v>3</v>
      </c>
      <c r="AH29" s="389" t="str">
        <f>IF($C29="","",AG29*VLOOKUP($C29,MINIPELLE!$A$2:$D$28,4,0))</f>
        <v/>
      </c>
      <c r="AI29" s="364">
        <v>3</v>
      </c>
      <c r="AJ29" s="389" t="str">
        <f>IF($C29="","",AI29*VLOOKUP($C29,MINIPELLE!$A$2:$D$28,4,0))</f>
        <v/>
      </c>
      <c r="AK29" s="364">
        <v>3</v>
      </c>
      <c r="AL29" s="389" t="str">
        <f>IF($C29="","",AK29*VLOOKUP($C29,MINIPELLE!$A$2:$D$28,4,0))</f>
        <v/>
      </c>
      <c r="AM29" s="364">
        <v>3</v>
      </c>
    </row>
    <row r="30" spans="1:39" ht="29.25" customHeight="1" x14ac:dyDescent="0.2">
      <c r="A30" s="1560"/>
      <c r="B30" s="384" t="s">
        <v>454</v>
      </c>
      <c r="C30" s="385" t="s">
        <v>455</v>
      </c>
      <c r="D30" s="386" t="s">
        <v>451</v>
      </c>
      <c r="E30" s="387">
        <f>F30*Simulation!$P$10</f>
        <v>140</v>
      </c>
      <c r="F30" s="388">
        <f>SUM(F26:F29)</f>
        <v>1.75</v>
      </c>
      <c r="G30" s="387">
        <f>H30*Simulation!$P$10</f>
        <v>80</v>
      </c>
      <c r="H30" s="388">
        <f>SUM(H26:H29)</f>
        <v>1</v>
      </c>
      <c r="I30" s="387">
        <f>J30*Simulation!$P$10</f>
        <v>80</v>
      </c>
      <c r="J30" s="388">
        <f>SUM(J26:J29)</f>
        <v>1</v>
      </c>
      <c r="K30" s="387">
        <f>L30*Simulation!$P$10</f>
        <v>80</v>
      </c>
      <c r="L30" s="388">
        <f>SUM(L26:L29)</f>
        <v>1</v>
      </c>
      <c r="M30" s="387">
        <f>N30*Simulation!$P$10</f>
        <v>80</v>
      </c>
      <c r="N30" s="388">
        <f>SUM(N26:N29)</f>
        <v>1</v>
      </c>
      <c r="O30" s="387">
        <f>P30*Simulation!$P$10</f>
        <v>80</v>
      </c>
      <c r="P30" s="388">
        <f>SUM(P26:P29)</f>
        <v>1</v>
      </c>
      <c r="Q30" s="387">
        <f>R30*Simulation!$P$10</f>
        <v>80</v>
      </c>
      <c r="R30" s="388">
        <f>SUM(R26:R29)</f>
        <v>1</v>
      </c>
      <c r="S30" s="387">
        <f>T30*Simulation!$P$10</f>
        <v>80</v>
      </c>
      <c r="T30" s="388">
        <f>SUM(T26:T29)</f>
        <v>1</v>
      </c>
      <c r="U30" s="387">
        <f>V30*Simulation!$P$10</f>
        <v>80</v>
      </c>
      <c r="V30" s="388">
        <f>SUM(V26:V29)</f>
        <v>1</v>
      </c>
      <c r="W30" s="387">
        <f>X30*Simulation!$P$10</f>
        <v>80</v>
      </c>
      <c r="X30" s="388">
        <f>SUM(X26:X29)</f>
        <v>1</v>
      </c>
      <c r="Y30" s="387">
        <f>Z30*Simulation!$P$10</f>
        <v>80</v>
      </c>
      <c r="Z30" s="388">
        <f>SUM(Z26:Z29)</f>
        <v>1</v>
      </c>
      <c r="AA30" s="387">
        <f>AB30*Simulation!$P$10</f>
        <v>80</v>
      </c>
      <c r="AB30" s="388">
        <f>SUM(AB26:AB29)</f>
        <v>1</v>
      </c>
      <c r="AC30" s="387">
        <f>AD30*Simulation!$P$10</f>
        <v>80</v>
      </c>
      <c r="AD30" s="388">
        <f>SUM(AD26:AD29)</f>
        <v>1</v>
      </c>
      <c r="AE30" s="387">
        <f>AF30*Simulation!$P$10</f>
        <v>80</v>
      </c>
      <c r="AF30" s="388">
        <f>SUM(AF26:AF29)</f>
        <v>1</v>
      </c>
      <c r="AG30" s="387">
        <f>AH30*Simulation!$P$10</f>
        <v>80</v>
      </c>
      <c r="AH30" s="388">
        <f>SUM(AH26:AH29)</f>
        <v>1</v>
      </c>
      <c r="AI30" s="387">
        <f>AJ30*Simulation!$P$10</f>
        <v>80</v>
      </c>
      <c r="AJ30" s="388">
        <f>SUM(AJ26:AJ29)</f>
        <v>1</v>
      </c>
      <c r="AK30" s="387">
        <f>AL30*Simulation!$P$10</f>
        <v>80</v>
      </c>
      <c r="AL30" s="388">
        <f>SUM(AL26:AL29)</f>
        <v>1</v>
      </c>
      <c r="AM30" s="387" t="e">
        <f>#REF!*Simulation!$P$10</f>
        <v>#REF!</v>
      </c>
    </row>
    <row r="31" spans="1:39" ht="18" x14ac:dyDescent="0.2">
      <c r="A31" s="199"/>
      <c r="B31" s="199"/>
      <c r="C31" s="172"/>
      <c r="D31" s="200"/>
      <c r="E31" s="201"/>
      <c r="F31" s="202"/>
      <c r="G31" s="203"/>
      <c r="H31" s="202"/>
      <c r="I31" s="203"/>
      <c r="J31" s="202"/>
      <c r="K31" s="203"/>
      <c r="L31" s="202"/>
      <c r="M31" s="203"/>
      <c r="N31" s="202"/>
      <c r="O31" s="203"/>
      <c r="P31" s="202"/>
      <c r="Q31" s="203"/>
      <c r="R31" s="202"/>
      <c r="S31" s="203"/>
      <c r="T31" s="202"/>
      <c r="U31" s="203"/>
      <c r="V31" s="202"/>
      <c r="W31" s="203"/>
      <c r="X31" s="202"/>
      <c r="Y31" s="203"/>
      <c r="Z31" s="202"/>
      <c r="AA31" s="203"/>
      <c r="AB31" s="202"/>
      <c r="AC31" s="203"/>
      <c r="AD31" s="202"/>
      <c r="AE31" s="203"/>
      <c r="AF31" s="202"/>
      <c r="AG31" s="203"/>
      <c r="AH31" s="202"/>
      <c r="AI31" s="203"/>
      <c r="AJ31" s="202"/>
      <c r="AK31" s="203"/>
      <c r="AL31" s="202"/>
      <c r="AM31" s="203"/>
    </row>
    <row r="32" spans="1:39" ht="36" customHeight="1" x14ac:dyDescent="0.2">
      <c r="A32" s="1656" t="s">
        <v>456</v>
      </c>
      <c r="B32" s="1645"/>
      <c r="C32" s="1580" t="s">
        <v>445</v>
      </c>
      <c r="D32" s="1581"/>
      <c r="E32" s="1547">
        <f>E30+E25+E21+E12</f>
        <v>420.05900000000003</v>
      </c>
      <c r="F32" s="1547"/>
      <c r="G32" s="1547">
        <f>G30+G25+G21+G12</f>
        <v>360.05900000000003</v>
      </c>
      <c r="H32" s="1547"/>
      <c r="I32" s="1547">
        <f>I30+I25+I21+I12</f>
        <v>360.05900000000003</v>
      </c>
      <c r="J32" s="1547"/>
      <c r="K32" s="1547">
        <f>K30+K25+K21+K12</f>
        <v>360.05900000000003</v>
      </c>
      <c r="L32" s="1547"/>
      <c r="M32" s="1547">
        <f>M30+M25+M21+M12</f>
        <v>360.05900000000003</v>
      </c>
      <c r="N32" s="1547"/>
      <c r="O32" s="1547">
        <f>O30+O25+O21+O12</f>
        <v>360.75450000000001</v>
      </c>
      <c r="P32" s="1547"/>
      <c r="Q32" s="1547">
        <f>Q30+Q25+Q21+Q12</f>
        <v>361.45000000000005</v>
      </c>
      <c r="R32" s="1547"/>
      <c r="S32" s="1547">
        <f>S30+S25+S21+S12</f>
        <v>374.20299999999997</v>
      </c>
      <c r="T32" s="1547"/>
      <c r="U32" s="1547">
        <f>U30+U25+U21+U12</f>
        <v>373.29300000000001</v>
      </c>
      <c r="V32" s="1547"/>
      <c r="W32" s="1547">
        <f>W30+W25+W21+W12</f>
        <v>534.83799999999997</v>
      </c>
      <c r="X32" s="1547"/>
      <c r="Y32" s="1547">
        <f>Y30+Y25+Y21+Y12</f>
        <v>537.13900000000001</v>
      </c>
      <c r="Z32" s="1547"/>
      <c r="AA32" s="1547">
        <f>AA30+AA25+AA21+AA12</f>
        <v>538.53</v>
      </c>
      <c r="AB32" s="1547"/>
      <c r="AC32" s="1547">
        <f>AC30+AC25+AC21+AC12</f>
        <v>538.53</v>
      </c>
      <c r="AD32" s="1547"/>
      <c r="AE32" s="1547">
        <f>AE30+AE25+AE21+AE12</f>
        <v>539.92100000000005</v>
      </c>
      <c r="AF32" s="1547"/>
      <c r="AG32" s="1547">
        <f>AG30+AG25+AG21+AG12</f>
        <v>541.31200000000001</v>
      </c>
      <c r="AH32" s="1547"/>
      <c r="AI32" s="1547">
        <f>AI30+AI25+AI21+AI12</f>
        <v>534.83799999999997</v>
      </c>
      <c r="AJ32" s="1547"/>
      <c r="AK32" s="1547">
        <f>AK30+AK25+AK21+AK12</f>
        <v>504.34000000000003</v>
      </c>
      <c r="AL32" s="1547"/>
      <c r="AM32" s="1374" t="e">
        <f>AM30+AM25+AM21+AM12</f>
        <v>#REF!</v>
      </c>
    </row>
    <row r="33" spans="1:39" ht="18" customHeight="1" x14ac:dyDescent="0.2">
      <c r="A33" s="1656"/>
      <c r="B33" s="1645"/>
      <c r="C33" s="1578" t="s">
        <v>457</v>
      </c>
      <c r="D33" s="1579"/>
      <c r="E33" s="149">
        <f>E12-F12</f>
        <v>37.629000000000019</v>
      </c>
      <c r="F33" s="207">
        <f>E33/E$32</f>
        <v>8.9580273247329575E-2</v>
      </c>
      <c r="G33" s="149">
        <f>G12-H12</f>
        <v>37.629000000000019</v>
      </c>
      <c r="H33" s="207">
        <f>G33/G$32</f>
        <v>0.10450787232092523</v>
      </c>
      <c r="I33" s="149">
        <f>I12-J12</f>
        <v>37.629000000000019</v>
      </c>
      <c r="J33" s="207">
        <f>I33/I$32</f>
        <v>0.10450787232092523</v>
      </c>
      <c r="K33" s="149">
        <f>K12-L12</f>
        <v>37.629000000000019</v>
      </c>
      <c r="L33" s="207">
        <f>K33/K$32</f>
        <v>0.10450787232092523</v>
      </c>
      <c r="M33" s="149">
        <f>M12-N12</f>
        <v>37.629000000000019</v>
      </c>
      <c r="N33" s="207">
        <f>M33/M$32</f>
        <v>0.10450787232092523</v>
      </c>
      <c r="O33" s="149">
        <f>O12-P12</f>
        <v>37.789500000000018</v>
      </c>
      <c r="P33" s="207">
        <f>O33/O$32</f>
        <v>0.10475129208367467</v>
      </c>
      <c r="Q33" s="149">
        <f>Q12-R12</f>
        <v>37.950000000000003</v>
      </c>
      <c r="R33" s="207">
        <f>Q33/Q$32</f>
        <v>0.10499377507262415</v>
      </c>
      <c r="S33" s="149">
        <f>S12-T12</f>
        <v>40.893000000000001</v>
      </c>
      <c r="T33" s="207">
        <f>S33/S$32</f>
        <v>0.10928025697281958</v>
      </c>
      <c r="U33" s="149">
        <f>U12-V12</f>
        <v>40.683000000000021</v>
      </c>
      <c r="V33" s="207">
        <f>U33/U$32</f>
        <v>0.10898409560318575</v>
      </c>
      <c r="W33" s="149">
        <f>W12-X12</f>
        <v>74.328000000000003</v>
      </c>
      <c r="X33" s="207">
        <f>W33/W$32</f>
        <v>0.13897292264199629</v>
      </c>
      <c r="Y33" s="149">
        <f>Y12-Z12</f>
        <v>74.859000000000009</v>
      </c>
      <c r="Z33" s="207">
        <f>Y33/Y$32</f>
        <v>0.13936616034210886</v>
      </c>
      <c r="AA33" s="149">
        <f>AA12-AB12</f>
        <v>75.180000000000007</v>
      </c>
      <c r="AB33" s="207">
        <f>AA33/AA$32</f>
        <v>0.13960225057099884</v>
      </c>
      <c r="AC33" s="149">
        <f>AC12-AD12</f>
        <v>75.180000000000007</v>
      </c>
      <c r="AD33" s="207">
        <f>AC33/AC$32</f>
        <v>0.13960225057099884</v>
      </c>
      <c r="AE33" s="149">
        <f>AE12-AF12</f>
        <v>75.501000000000033</v>
      </c>
      <c r="AF33" s="207">
        <f>AE33/AE$32</f>
        <v>0.13983712432003947</v>
      </c>
      <c r="AG33" s="149">
        <f>AG12-AH12</f>
        <v>75.822000000000003</v>
      </c>
      <c r="AH33" s="207">
        <f>AG33/AG$32</f>
        <v>0.14007079096713171</v>
      </c>
      <c r="AI33" s="149">
        <f>AI12-AJ12</f>
        <v>74.328000000000003</v>
      </c>
      <c r="AJ33" s="207">
        <f>AI33/AI$32</f>
        <v>0.13897292264199629</v>
      </c>
      <c r="AK33" s="149">
        <f>AK12-AL12</f>
        <v>67.29000000000002</v>
      </c>
      <c r="AL33" s="207">
        <f>AK33/AK$32</f>
        <v>0.13342189792600234</v>
      </c>
      <c r="AM33" s="149" t="e">
        <f>AM12-#REF!</f>
        <v>#REF!</v>
      </c>
    </row>
    <row r="34" spans="1:39" ht="18" customHeight="1" x14ac:dyDescent="0.2">
      <c r="A34" s="1656"/>
      <c r="B34" s="1645"/>
      <c r="C34" s="1578" t="s">
        <v>9</v>
      </c>
      <c r="D34" s="1579"/>
      <c r="E34" s="149">
        <f>E12</f>
        <v>163.05900000000003</v>
      </c>
      <c r="F34" s="207">
        <f>E34/E$32</f>
        <v>0.38818118407176139</v>
      </c>
      <c r="G34" s="149">
        <f>G12</f>
        <v>163.05900000000003</v>
      </c>
      <c r="H34" s="207">
        <f>G34/G$32</f>
        <v>0.45286744672400914</v>
      </c>
      <c r="I34" s="149">
        <f>I12</f>
        <v>163.05900000000003</v>
      </c>
      <c r="J34" s="207">
        <f>I34/I$32</f>
        <v>0.45286744672400914</v>
      </c>
      <c r="K34" s="149">
        <f>K12</f>
        <v>163.05900000000003</v>
      </c>
      <c r="L34" s="207">
        <f>K34/K$32</f>
        <v>0.45286744672400914</v>
      </c>
      <c r="M34" s="149">
        <f>M12</f>
        <v>163.05900000000003</v>
      </c>
      <c r="N34" s="207">
        <f>M34/M$32</f>
        <v>0.45286744672400914</v>
      </c>
      <c r="O34" s="149">
        <f>O12</f>
        <v>163.75450000000004</v>
      </c>
      <c r="P34" s="207">
        <f>O34/O$32</f>
        <v>0.45392226569592348</v>
      </c>
      <c r="Q34" s="149">
        <f>Q12</f>
        <v>164.45000000000002</v>
      </c>
      <c r="R34" s="207">
        <f>Q34/Q$32</f>
        <v>0.45497302531470463</v>
      </c>
      <c r="S34" s="149">
        <f>S12</f>
        <v>177.203</v>
      </c>
      <c r="T34" s="207">
        <f>S34/S$32</f>
        <v>0.47354778021555149</v>
      </c>
      <c r="U34" s="149">
        <f>U12</f>
        <v>176.29300000000003</v>
      </c>
      <c r="V34" s="207">
        <f>U34/U$32</f>
        <v>0.47226441428047145</v>
      </c>
      <c r="W34" s="149">
        <f>W12</f>
        <v>322.08800000000002</v>
      </c>
      <c r="X34" s="207">
        <f>W34/W$32</f>
        <v>0.60221599811531723</v>
      </c>
      <c r="Y34" s="149">
        <f>Y12</f>
        <v>324.38900000000001</v>
      </c>
      <c r="Z34" s="207">
        <f>Y34/Y$32</f>
        <v>0.60392002814913837</v>
      </c>
      <c r="AA34" s="149">
        <f>AA12</f>
        <v>325.78000000000003</v>
      </c>
      <c r="AB34" s="207">
        <f>AA34/AA$32</f>
        <v>0.60494308580766165</v>
      </c>
      <c r="AC34" s="149">
        <f>AC12</f>
        <v>325.78000000000003</v>
      </c>
      <c r="AD34" s="207">
        <f>AC34/AC$32</f>
        <v>0.60494308580766165</v>
      </c>
      <c r="AE34" s="149">
        <f>AE12</f>
        <v>327.17100000000005</v>
      </c>
      <c r="AF34" s="207">
        <f>AE34/AE$32</f>
        <v>0.60596087205350413</v>
      </c>
      <c r="AG34" s="149">
        <f>AG12</f>
        <v>328.56200000000001</v>
      </c>
      <c r="AH34" s="207">
        <f>AG34/AG$32</f>
        <v>0.60697342752423744</v>
      </c>
      <c r="AI34" s="149">
        <f>AI12</f>
        <v>322.08800000000002</v>
      </c>
      <c r="AJ34" s="207">
        <f>AI34/AI$32</f>
        <v>0.60221599811531723</v>
      </c>
      <c r="AK34" s="149">
        <f>AK12</f>
        <v>291.59000000000003</v>
      </c>
      <c r="AL34" s="207">
        <f>AK34/AK$32</f>
        <v>0.5781615576793433</v>
      </c>
      <c r="AM34" s="149" t="e">
        <f>AM12</f>
        <v>#REF!</v>
      </c>
    </row>
    <row r="35" spans="1:39" ht="18" customHeight="1" x14ac:dyDescent="0.2">
      <c r="A35" s="1656"/>
      <c r="B35" s="1645"/>
      <c r="C35" s="1578" t="s">
        <v>458</v>
      </c>
      <c r="D35" s="1579"/>
      <c r="E35" s="149">
        <f>E21</f>
        <v>0</v>
      </c>
      <c r="F35" s="207">
        <f>E35/E$32</f>
        <v>0</v>
      </c>
      <c r="G35" s="149">
        <f>G21</f>
        <v>0</v>
      </c>
      <c r="H35" s="207">
        <f>G35/G$32</f>
        <v>0</v>
      </c>
      <c r="I35" s="149">
        <f>I21</f>
        <v>0</v>
      </c>
      <c r="J35" s="207">
        <f>I35/I$32</f>
        <v>0</v>
      </c>
      <c r="K35" s="149">
        <f>K21</f>
        <v>0</v>
      </c>
      <c r="L35" s="207">
        <f>K35/K$32</f>
        <v>0</v>
      </c>
      <c r="M35" s="149">
        <f>M21</f>
        <v>0</v>
      </c>
      <c r="N35" s="207">
        <f>M35/M$32</f>
        <v>0</v>
      </c>
      <c r="O35" s="149">
        <f>O21</f>
        <v>0</v>
      </c>
      <c r="P35" s="207">
        <f>O35/O$32</f>
        <v>0</v>
      </c>
      <c r="Q35" s="149">
        <f>Q21</f>
        <v>0</v>
      </c>
      <c r="R35" s="207">
        <f>Q35/Q$32</f>
        <v>0</v>
      </c>
      <c r="S35" s="149">
        <f>S21</f>
        <v>0</v>
      </c>
      <c r="T35" s="207">
        <f>S35/S$32</f>
        <v>0</v>
      </c>
      <c r="U35" s="149">
        <f>U21</f>
        <v>0</v>
      </c>
      <c r="V35" s="207">
        <f>U35/U$32</f>
        <v>0</v>
      </c>
      <c r="W35" s="149">
        <f>W21</f>
        <v>0</v>
      </c>
      <c r="X35" s="207">
        <f>W35/W$32</f>
        <v>0</v>
      </c>
      <c r="Y35" s="149">
        <f>Y21</f>
        <v>0</v>
      </c>
      <c r="Z35" s="207">
        <f>Y35/Y$32</f>
        <v>0</v>
      </c>
      <c r="AA35" s="149">
        <f>AA21</f>
        <v>0</v>
      </c>
      <c r="AB35" s="207">
        <f>AA35/AA$32</f>
        <v>0</v>
      </c>
      <c r="AC35" s="149">
        <f>AC21</f>
        <v>0</v>
      </c>
      <c r="AD35" s="207">
        <f>AC35/AC$32</f>
        <v>0</v>
      </c>
      <c r="AE35" s="149">
        <f>AE21</f>
        <v>0</v>
      </c>
      <c r="AF35" s="207">
        <f>AE35/AE$32</f>
        <v>0</v>
      </c>
      <c r="AG35" s="149">
        <f>AG21</f>
        <v>0</v>
      </c>
      <c r="AH35" s="207">
        <f>AG35/AG$32</f>
        <v>0</v>
      </c>
      <c r="AI35" s="149">
        <f>AI21</f>
        <v>0</v>
      </c>
      <c r="AJ35" s="207">
        <f>AI35/AI$32</f>
        <v>0</v>
      </c>
      <c r="AK35" s="149">
        <f>AK21</f>
        <v>0</v>
      </c>
      <c r="AL35" s="207">
        <f>AK35/AK$32</f>
        <v>0</v>
      </c>
      <c r="AM35" s="149" t="e">
        <f>AM21</f>
        <v>#REF!</v>
      </c>
    </row>
    <row r="36" spans="1:39" ht="18" customHeight="1" x14ac:dyDescent="0.2">
      <c r="A36" s="1656"/>
      <c r="B36" s="1645"/>
      <c r="C36" s="1578" t="s">
        <v>459</v>
      </c>
      <c r="D36" s="1579"/>
      <c r="E36" s="149">
        <f>E25</f>
        <v>117</v>
      </c>
      <c r="F36" s="207">
        <f>E36/E$32</f>
        <v>0.27853230141480123</v>
      </c>
      <c r="G36" s="149">
        <f>G25</f>
        <v>117</v>
      </c>
      <c r="H36" s="207">
        <f>G36/G$32</f>
        <v>0.32494674483904024</v>
      </c>
      <c r="I36" s="149">
        <f>I25</f>
        <v>117</v>
      </c>
      <c r="J36" s="207">
        <f>I36/I$32</f>
        <v>0.32494674483904024</v>
      </c>
      <c r="K36" s="149">
        <f>K25</f>
        <v>117</v>
      </c>
      <c r="L36" s="207">
        <f>K36/K$32</f>
        <v>0.32494674483904024</v>
      </c>
      <c r="M36" s="149">
        <f>M25</f>
        <v>117</v>
      </c>
      <c r="N36" s="207">
        <f>M36/M$32</f>
        <v>0.32494674483904024</v>
      </c>
      <c r="O36" s="149">
        <f>O25</f>
        <v>117</v>
      </c>
      <c r="P36" s="207">
        <f>O36/O$32</f>
        <v>0.32432027874912162</v>
      </c>
      <c r="Q36" s="149">
        <f>Q25</f>
        <v>117</v>
      </c>
      <c r="R36" s="207">
        <f>Q36/Q$32</f>
        <v>0.32369622354405864</v>
      </c>
      <c r="S36" s="149">
        <f>S25</f>
        <v>117</v>
      </c>
      <c r="T36" s="207">
        <f>S36/S$32</f>
        <v>0.31266451631868264</v>
      </c>
      <c r="U36" s="149">
        <f>U25</f>
        <v>117</v>
      </c>
      <c r="V36" s="207">
        <f>U36/U$32</f>
        <v>0.31342671842225811</v>
      </c>
      <c r="W36" s="149">
        <f>W25</f>
        <v>132.75</v>
      </c>
      <c r="X36" s="207">
        <f>W36/W$32</f>
        <v>0.24820599882581268</v>
      </c>
      <c r="Y36" s="149">
        <f>Y25</f>
        <v>132.75</v>
      </c>
      <c r="Z36" s="207">
        <f>Y36/Y$32</f>
        <v>0.24714273214195953</v>
      </c>
      <c r="AA36" s="149">
        <f>AA25</f>
        <v>132.75</v>
      </c>
      <c r="AB36" s="207">
        <f>AA36/AA$32</f>
        <v>0.24650437301543091</v>
      </c>
      <c r="AC36" s="149">
        <f>AC25</f>
        <v>132.75</v>
      </c>
      <c r="AD36" s="207">
        <f>AC36/AC$32</f>
        <v>0.24650437301543091</v>
      </c>
      <c r="AE36" s="149">
        <f>AE25</f>
        <v>132.75</v>
      </c>
      <c r="AF36" s="207">
        <f>AE36/AE$32</f>
        <v>0.24586930310175004</v>
      </c>
      <c r="AG36" s="149">
        <f>AG25</f>
        <v>132.75</v>
      </c>
      <c r="AH36" s="207">
        <f>AG36/AG$32</f>
        <v>0.24523749704421849</v>
      </c>
      <c r="AI36" s="149">
        <f>AI25</f>
        <v>132.75</v>
      </c>
      <c r="AJ36" s="207">
        <f>AI36/AI$32</f>
        <v>0.24820599882581268</v>
      </c>
      <c r="AK36" s="149">
        <f>AK25</f>
        <v>132.75</v>
      </c>
      <c r="AL36" s="207">
        <f>AK36/AK$32</f>
        <v>0.26321529127176108</v>
      </c>
      <c r="AM36" s="149" t="e">
        <f>AM25</f>
        <v>#REF!</v>
      </c>
    </row>
    <row r="37" spans="1:39" ht="18" customHeight="1" x14ac:dyDescent="0.2">
      <c r="A37" s="1656"/>
      <c r="B37" s="1645"/>
      <c r="C37" s="1578" t="s">
        <v>5</v>
      </c>
      <c r="D37" s="1579"/>
      <c r="E37" s="149">
        <f>E30</f>
        <v>140</v>
      </c>
      <c r="F37" s="207">
        <f>E37/E$32</f>
        <v>0.33328651451343738</v>
      </c>
      <c r="G37" s="149">
        <f>G30</f>
        <v>80</v>
      </c>
      <c r="H37" s="207">
        <f>G37/G$32</f>
        <v>0.2221858084369506</v>
      </c>
      <c r="I37" s="149">
        <f>I30</f>
        <v>80</v>
      </c>
      <c r="J37" s="207">
        <f>I37/I$32</f>
        <v>0.2221858084369506</v>
      </c>
      <c r="K37" s="149">
        <f>K30</f>
        <v>80</v>
      </c>
      <c r="L37" s="207">
        <f>K37/K$32</f>
        <v>0.2221858084369506</v>
      </c>
      <c r="M37" s="149">
        <f>M30</f>
        <v>80</v>
      </c>
      <c r="N37" s="207">
        <f>M37/M$32</f>
        <v>0.2221858084369506</v>
      </c>
      <c r="O37" s="149">
        <f>O30</f>
        <v>80</v>
      </c>
      <c r="P37" s="207">
        <f>O37/O$32</f>
        <v>0.22175745555495496</v>
      </c>
      <c r="Q37" s="149">
        <f>Q30</f>
        <v>80</v>
      </c>
      <c r="R37" s="207">
        <f>Q37/Q$32</f>
        <v>0.22133075114123665</v>
      </c>
      <c r="S37" s="149">
        <f>S30</f>
        <v>80</v>
      </c>
      <c r="T37" s="207">
        <f>S37/S$32</f>
        <v>0.21378770346576592</v>
      </c>
      <c r="U37" s="149">
        <f>U30</f>
        <v>80</v>
      </c>
      <c r="V37" s="207">
        <f>U37/U$32</f>
        <v>0.2143088672972705</v>
      </c>
      <c r="W37" s="149">
        <f>W30</f>
        <v>80</v>
      </c>
      <c r="X37" s="207">
        <f>W37/W$32</f>
        <v>0.14957800305887017</v>
      </c>
      <c r="Y37" s="149">
        <f>Y30</f>
        <v>80</v>
      </c>
      <c r="Z37" s="207">
        <f>Y37/Y$32</f>
        <v>0.14893723970890216</v>
      </c>
      <c r="AA37" s="149">
        <f>AA30</f>
        <v>80</v>
      </c>
      <c r="AB37" s="207">
        <f>AA37/AA$32</f>
        <v>0.14855254117690753</v>
      </c>
      <c r="AC37" s="149">
        <f>AC30</f>
        <v>80</v>
      </c>
      <c r="AD37" s="207">
        <f>AC37/AC$32</f>
        <v>0.14855254117690753</v>
      </c>
      <c r="AE37" s="149">
        <f>AE30</f>
        <v>80</v>
      </c>
      <c r="AF37" s="207">
        <f>AE37/AE$32</f>
        <v>0.14816982484474578</v>
      </c>
      <c r="AG37" s="149">
        <f>AG30</f>
        <v>80</v>
      </c>
      <c r="AH37" s="207">
        <f>AG37/AG$32</f>
        <v>0.1477890754315441</v>
      </c>
      <c r="AI37" s="149">
        <f>AI30</f>
        <v>80</v>
      </c>
      <c r="AJ37" s="207">
        <f>AI37/AI$32</f>
        <v>0.14957800305887017</v>
      </c>
      <c r="AK37" s="149">
        <f>AK30</f>
        <v>80</v>
      </c>
      <c r="AL37" s="207">
        <f>AK37/AK$32</f>
        <v>0.15862315104889557</v>
      </c>
      <c r="AM37" s="149" t="e">
        <f>AM30</f>
        <v>#REF!</v>
      </c>
    </row>
  </sheetData>
  <mergeCells count="39">
    <mergeCell ref="A32:B37"/>
    <mergeCell ref="C32:D32"/>
    <mergeCell ref="C33:D33"/>
    <mergeCell ref="C34:D34"/>
    <mergeCell ref="C35:D35"/>
    <mergeCell ref="C36:D36"/>
    <mergeCell ref="C37:D37"/>
    <mergeCell ref="O2:P2"/>
    <mergeCell ref="E32:F32"/>
    <mergeCell ref="G32:H32"/>
    <mergeCell ref="I32:J32"/>
    <mergeCell ref="K32:L32"/>
    <mergeCell ref="M32:N32"/>
    <mergeCell ref="O32:P32"/>
    <mergeCell ref="K2:L2"/>
    <mergeCell ref="M2:N2"/>
    <mergeCell ref="E2:F2"/>
    <mergeCell ref="G2:H2"/>
    <mergeCell ref="I2:J2"/>
    <mergeCell ref="A13:A21"/>
    <mergeCell ref="A22:A25"/>
    <mergeCell ref="A26:A30"/>
    <mergeCell ref="A4:A11"/>
    <mergeCell ref="C2:C3"/>
    <mergeCell ref="AE32:AF32"/>
    <mergeCell ref="AG32:AH32"/>
    <mergeCell ref="AI32:AJ32"/>
    <mergeCell ref="AK32:AL32"/>
    <mergeCell ref="Q2:R2"/>
    <mergeCell ref="S2:T2"/>
    <mergeCell ref="U2:V2"/>
    <mergeCell ref="AE2:AF2"/>
    <mergeCell ref="AA32:AB32"/>
    <mergeCell ref="AC32:AD32"/>
    <mergeCell ref="Q32:R32"/>
    <mergeCell ref="S32:T32"/>
    <mergeCell ref="U32:V32"/>
    <mergeCell ref="W32:X32"/>
    <mergeCell ref="Y32:Z32"/>
  </mergeCells>
  <dataValidations count="9">
    <dataValidation type="list" allowBlank="1" showInputMessage="1" showErrorMessage="1" promptTitle="Main d'oeuvre ATELIER" prompt="choisir la prestation" sqref="C13:C19" xr:uid="{00000000-0002-0000-2C00-000000000000}">
      <formula1>INDIRECT(B13)</formula1>
    </dataValidation>
    <dataValidation type="list" allowBlank="1" showInputMessage="1" showErrorMessage="1" promptTitle="MATIERES" prompt="choisir catégorie" sqref="B4:B6 B8:B11" xr:uid="{00000000-0002-0000-2C00-000001000000}">
      <formula1>MOA_ALIM</formula1>
    </dataValidation>
    <dataValidation type="list" allowBlank="1" showInputMessage="1" showErrorMessage="1" promptTitle="MINIPELLE" prompt="choisir catégorie" sqref="B26:B29" xr:uid="{00000000-0002-0000-2C00-000002000000}">
      <formula1>CATEGORIE_MP</formula1>
    </dataValidation>
    <dataValidation type="list" allowBlank="1" showInputMessage="1" showErrorMessage="1" promptTitle="Catégorie MOC" prompt="choisir" sqref="B22:B24" xr:uid="{00000000-0002-0000-2C00-000003000000}">
      <formula1>CATEGORIE_MOC</formula1>
    </dataValidation>
    <dataValidation type="list" allowBlank="1" showInputMessage="1" showErrorMessage="1" promptTitle="MO ATELIER" prompt="choisir catégorie" sqref="B13:B19" xr:uid="{00000000-0002-0000-2C00-000004000000}">
      <formula1>CATEGORIE_MOA</formula1>
    </dataValidation>
    <dataValidation type="list" allowBlank="1" showInputMessage="1" showErrorMessage="1" promptTitle="MATIERES" prompt="choisir catégorie" sqref="B7" xr:uid="{00000000-0002-0000-2C00-000005000000}">
      <formula1>MA_CATEGORIE</formula1>
    </dataValidation>
    <dataValidation type="list" allowBlank="1" showInputMessage="1" promptTitle="MINIPELLE" prompt="choisir la prestation" sqref="C26:C29" xr:uid="{00000000-0002-0000-2C00-000006000000}">
      <formula1>INDIRECT(B26)</formula1>
    </dataValidation>
    <dataValidation type="list" allowBlank="1" showInputMessage="1" showErrorMessage="1" promptTitle="MATIERES" prompt="choisir le produit" sqref="C4:C11" xr:uid="{00000000-0002-0000-2C00-000007000000}">
      <formula1>INDIRECT(B4)</formula1>
    </dataValidation>
    <dataValidation type="list" allowBlank="1" showInputMessage="1" promptTitle="Main d'oeuvre CHANTIER" prompt="choisir la prestation" sqref="C22:C24" xr:uid="{00000000-0002-0000-2C00-000008000000}">
      <formula1>INDIRECT(B22)</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ErrorMessage="1" xr:uid="{00000000-0002-0000-2C00-000009000000}">
          <x14:formula1>
            <xm:f>ATELIER!$B$2:$B$109</xm:f>
          </x14:formula1>
          <xm:sqref>C20</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published="0" codeName="Feuil59"/>
  <dimension ref="A1:U34"/>
  <sheetViews>
    <sheetView zoomScaleNormal="100" workbookViewId="0">
      <pane xSplit="4" ySplit="3" topLeftCell="Q4" activePane="bottomRight" state="frozen"/>
      <selection pane="topRight" activeCell="E1" sqref="E1"/>
      <selection pane="bottomLeft" activeCell="A4" sqref="A4"/>
      <selection pane="bottomRight" activeCell="V13" sqref="V13"/>
    </sheetView>
  </sheetViews>
  <sheetFormatPr baseColWidth="10" defaultColWidth="11.125" defaultRowHeight="14.25" x14ac:dyDescent="0.2"/>
  <cols>
    <col min="1" max="1" width="18.125" customWidth="1"/>
    <col min="2" max="2" width="28.125" customWidth="1"/>
    <col min="3" max="3" width="26.625" customWidth="1"/>
    <col min="4" max="4" width="10.125" customWidth="1"/>
    <col min="5" max="5" width="7.625" customWidth="1"/>
    <col min="6" max="6" width="10.625" customWidth="1"/>
    <col min="7" max="7" width="8.125" customWidth="1"/>
    <col min="8" max="8" width="10.625" customWidth="1"/>
    <col min="9" max="9" width="8.125" customWidth="1"/>
    <col min="10" max="10" width="10.125" customWidth="1"/>
    <col min="11" max="11" width="8.125" customWidth="1"/>
    <col min="12" max="12" width="11" customWidth="1"/>
    <col min="13" max="13" width="8.125" customWidth="1"/>
    <col min="14" max="14" width="11.5" customWidth="1"/>
    <col min="15" max="15" width="8.125" customWidth="1"/>
    <col min="16" max="16" width="11.5" customWidth="1"/>
    <col min="17" max="17" width="9.125" customWidth="1"/>
    <col min="18" max="18" width="9.625" customWidth="1"/>
    <col min="19" max="19" width="9.125" customWidth="1"/>
    <col min="20" max="20" width="9.625" customWidth="1"/>
    <col min="21" max="21" width="9.125" customWidth="1"/>
    <col min="22" max="771" width="11.5" customWidth="1"/>
  </cols>
  <sheetData>
    <row r="1" spans="1:21" ht="14.85" customHeight="1" x14ac:dyDescent="0.2">
      <c r="A1" s="215"/>
      <c r="B1" s="215"/>
      <c r="C1" s="216"/>
      <c r="D1" s="215"/>
      <c r="E1" s="217" t="s">
        <v>1332</v>
      </c>
      <c r="F1" s="215" t="s">
        <v>1332</v>
      </c>
      <c r="G1" s="217" t="s">
        <v>1333</v>
      </c>
      <c r="H1" s="215" t="s">
        <v>1333</v>
      </c>
      <c r="I1" s="217" t="s">
        <v>1334</v>
      </c>
      <c r="J1" s="215" t="s">
        <v>1334</v>
      </c>
      <c r="K1" s="217" t="s">
        <v>1335</v>
      </c>
      <c r="L1" s="215" t="s">
        <v>1335</v>
      </c>
      <c r="M1" s="217" t="s">
        <v>1336</v>
      </c>
      <c r="N1" s="215" t="s">
        <v>1336</v>
      </c>
      <c r="O1" s="217" t="s">
        <v>1337</v>
      </c>
      <c r="P1" s="215" t="s">
        <v>1337</v>
      </c>
      <c r="Q1" s="217" t="s">
        <v>1338</v>
      </c>
      <c r="R1" s="215" t="s">
        <v>1338</v>
      </c>
      <c r="S1" s="217" t="s">
        <v>1339</v>
      </c>
      <c r="T1" s="215" t="s">
        <v>1339</v>
      </c>
      <c r="U1" s="217" t="s">
        <v>1340</v>
      </c>
    </row>
    <row r="2" spans="1:21" ht="35.1" customHeight="1" x14ac:dyDescent="0.2">
      <c r="A2" s="174"/>
      <c r="B2" s="174"/>
      <c r="C2" s="1572" t="s">
        <v>1326</v>
      </c>
      <c r="D2" s="115" t="s">
        <v>203</v>
      </c>
      <c r="E2" s="1571" t="s">
        <v>1343</v>
      </c>
      <c r="F2" s="1571"/>
      <c r="G2" s="1571" t="s">
        <v>1344</v>
      </c>
      <c r="H2" s="1571"/>
      <c r="I2" s="1614" t="s">
        <v>1327</v>
      </c>
      <c r="J2" s="1571"/>
      <c r="K2" s="1614" t="s">
        <v>1328</v>
      </c>
      <c r="L2" s="1571"/>
      <c r="M2" s="1614" t="s">
        <v>1329</v>
      </c>
      <c r="N2" s="1571"/>
      <c r="O2" s="1614" t="s">
        <v>1330</v>
      </c>
      <c r="P2" s="1571"/>
      <c r="Q2" s="1614" t="s">
        <v>1331</v>
      </c>
      <c r="R2" s="1571"/>
      <c r="S2" s="1614" t="s">
        <v>1342</v>
      </c>
      <c r="T2" s="1571"/>
      <c r="U2" s="1378" t="s">
        <v>1341</v>
      </c>
    </row>
    <row r="3" spans="1:21" ht="35.1" customHeight="1" x14ac:dyDescent="0.2">
      <c r="A3" s="174"/>
      <c r="B3" s="174"/>
      <c r="C3" s="1573"/>
      <c r="D3" s="176" t="s">
        <v>222</v>
      </c>
      <c r="E3" s="236" t="s">
        <v>444</v>
      </c>
      <c r="F3" s="481" t="s">
        <v>477</v>
      </c>
      <c r="G3" s="236"/>
      <c r="H3" s="481"/>
      <c r="I3" s="236"/>
      <c r="J3" s="481"/>
      <c r="K3" s="236"/>
      <c r="L3" s="481"/>
      <c r="M3" s="236"/>
      <c r="N3" s="481"/>
      <c r="O3" s="236"/>
      <c r="P3" s="481"/>
      <c r="Q3" s="220"/>
      <c r="R3" s="467"/>
      <c r="S3" s="236"/>
      <c r="T3" s="481"/>
      <c r="U3" s="236"/>
    </row>
    <row r="4" spans="1:21" ht="15" customHeight="1" x14ac:dyDescent="0.2">
      <c r="A4" s="1630" t="s">
        <v>1078</v>
      </c>
      <c r="B4" s="361" t="s">
        <v>1077</v>
      </c>
      <c r="C4" s="362" t="s">
        <v>284</v>
      </c>
      <c r="D4" s="363" t="str">
        <f>IF($C4="","",VLOOKUP($C4,MATIERES!$A$2:$F$413,5,0))</f>
        <v>pc</v>
      </c>
      <c r="E4" s="364">
        <v>1</v>
      </c>
      <c r="F4" s="365">
        <f>IF($C4="","",E4*VLOOKUP($C4,MATIERES!$A$2:$F$349,4,0))</f>
        <v>121.1</v>
      </c>
      <c r="G4" s="364">
        <v>0</v>
      </c>
      <c r="H4" s="365">
        <f>IF($C4="","",G4*VLOOKUP($C4,MATIERES!$A$2:$F$349,4,0))</f>
        <v>0</v>
      </c>
      <c r="I4" s="364">
        <v>0</v>
      </c>
      <c r="J4" s="365">
        <f>IF($C4="","",I4*VLOOKUP($C4,MATIERES!$A$2:$F$349,4,0))</f>
        <v>0</v>
      </c>
      <c r="K4" s="364">
        <v>0</v>
      </c>
      <c r="L4" s="365">
        <f>IF($C4="","",K4*VLOOKUP($C4,MATIERES!$A$2:$F$349,4,0))</f>
        <v>0</v>
      </c>
      <c r="M4" s="364">
        <v>0</v>
      </c>
      <c r="N4" s="365">
        <f>IF($C4="","",M4*VLOOKUP($C4,MATIERES!$A$2:$F$349,4,0))</f>
        <v>0</v>
      </c>
      <c r="O4" s="364">
        <v>0</v>
      </c>
      <c r="P4" s="365">
        <f>IF($C4="","",O4*VLOOKUP($C4,MATIERES!$A$2:$F$349,4,0))</f>
        <v>0</v>
      </c>
      <c r="Q4" s="364">
        <v>0</v>
      </c>
      <c r="R4" s="365">
        <f>IF($C4="","",Q4*VLOOKUP($C4,MATIERES!$A$2:$F$349,4,0))</f>
        <v>0</v>
      </c>
      <c r="S4" s="364">
        <v>0</v>
      </c>
      <c r="T4" s="365">
        <f>IF($C4="","",S4*VLOOKUP($C4,MATIERES!$A$2:$F$349,4,0))</f>
        <v>0</v>
      </c>
      <c r="U4" s="364"/>
    </row>
    <row r="5" spans="1:21" ht="15" customHeight="1" x14ac:dyDescent="0.2">
      <c r="A5" s="1630"/>
      <c r="B5" s="361" t="s">
        <v>1077</v>
      </c>
      <c r="C5" s="362" t="s">
        <v>290</v>
      </c>
      <c r="D5" s="363" t="str">
        <f>IF($C5="","",VLOOKUP($C5,MATIERES!$A$2:$F$413,5,0))</f>
        <v>pc</v>
      </c>
      <c r="E5" s="364">
        <v>0</v>
      </c>
      <c r="F5" s="365">
        <f>IF($C5="","",E5*VLOOKUP($C5,MATIERES!$A$2:$F$349,4,0))</f>
        <v>0</v>
      </c>
      <c r="G5" s="364">
        <v>1</v>
      </c>
      <c r="H5" s="365">
        <f>IF($C5="","",G5*VLOOKUP($C5,MATIERES!$A$2:$F$349,4,0))</f>
        <v>167.08</v>
      </c>
      <c r="I5" s="364">
        <v>0</v>
      </c>
      <c r="J5" s="365">
        <f>IF($C5="","",I5*VLOOKUP($C5,MATIERES!$A$2:$F$349,4,0))</f>
        <v>0</v>
      </c>
      <c r="K5" s="364">
        <v>0</v>
      </c>
      <c r="L5" s="365">
        <f>IF($C5="","",K5*VLOOKUP($C5,MATIERES!$A$2:$F$349,4,0))</f>
        <v>0</v>
      </c>
      <c r="M5" s="364">
        <v>0</v>
      </c>
      <c r="N5" s="365">
        <f>IF($C5="","",M5*VLOOKUP($C5,MATIERES!$A$2:$F$349,4,0))</f>
        <v>0</v>
      </c>
      <c r="O5" s="364">
        <v>0</v>
      </c>
      <c r="P5" s="365">
        <f>IF($C5="","",O5*VLOOKUP($C5,MATIERES!$A$2:$F$349,4,0))</f>
        <v>0</v>
      </c>
      <c r="Q5" s="364">
        <v>0</v>
      </c>
      <c r="R5" s="365">
        <f>IF($C5="","",Q5*VLOOKUP($C5,MATIERES!$A$2:$F$349,4,0))</f>
        <v>0</v>
      </c>
      <c r="S5" s="364">
        <v>0</v>
      </c>
      <c r="T5" s="365">
        <f>IF($C5="","",S5*VLOOKUP($C5,MATIERES!$A$2:$F$349,4,0))</f>
        <v>0</v>
      </c>
      <c r="U5" s="364"/>
    </row>
    <row r="6" spans="1:21" ht="15" customHeight="1" x14ac:dyDescent="0.2">
      <c r="A6" s="1631"/>
      <c r="B6" s="361" t="s">
        <v>1077</v>
      </c>
      <c r="C6" s="362" t="s">
        <v>287</v>
      </c>
      <c r="D6" s="363" t="str">
        <f>IF($C6="","",VLOOKUP($C6,MATIERES!$A$2:$F$413,5,0))</f>
        <v>pc</v>
      </c>
      <c r="E6" s="364">
        <v>0</v>
      </c>
      <c r="F6" s="365">
        <f>IF($C6="","",E6*VLOOKUP($C6,MATIERES!$A$2:$F$349,4,0))</f>
        <v>0</v>
      </c>
      <c r="G6" s="364">
        <v>0</v>
      </c>
      <c r="H6" s="365">
        <f>IF($C6="","",G6*VLOOKUP($C6,MATIERES!$A$2:$F$349,4,0))</f>
        <v>0</v>
      </c>
      <c r="I6" s="364">
        <v>1</v>
      </c>
      <c r="J6" s="365">
        <f>IF($C6="","",I6*VLOOKUP($C6,MATIERES!$A$2:$F$349,4,0))</f>
        <v>158.16999999999999</v>
      </c>
      <c r="K6" s="364">
        <v>0</v>
      </c>
      <c r="L6" s="365">
        <f>IF($C6="","",K6*VLOOKUP($C6,MATIERES!$A$2:$F$349,4,0))</f>
        <v>0</v>
      </c>
      <c r="M6" s="364">
        <v>0</v>
      </c>
      <c r="N6" s="365">
        <f>IF($C6="","",M6*VLOOKUP($C6,MATIERES!$A$2:$F$349,4,0))</f>
        <v>0</v>
      </c>
      <c r="O6" s="364">
        <v>0</v>
      </c>
      <c r="P6" s="365">
        <f>IF($C6="","",O6*VLOOKUP($C6,MATIERES!$A$2:$F$349,4,0))</f>
        <v>0</v>
      </c>
      <c r="Q6" s="364">
        <v>0</v>
      </c>
      <c r="R6" s="365">
        <f>IF($C6="","",Q6*VLOOKUP($C6,MATIERES!$A$2:$F$349,4,0))</f>
        <v>0</v>
      </c>
      <c r="S6" s="364">
        <v>0</v>
      </c>
      <c r="T6" s="365">
        <f>IF($C6="","",S6*VLOOKUP($C6,MATIERES!$A$2:$F$349,4,0))</f>
        <v>0</v>
      </c>
      <c r="U6" s="364"/>
    </row>
    <row r="7" spans="1:21" ht="15" customHeight="1" x14ac:dyDescent="0.2">
      <c r="A7" s="1631"/>
      <c r="B7" s="361" t="s">
        <v>1077</v>
      </c>
      <c r="C7" s="362" t="s">
        <v>245</v>
      </c>
      <c r="D7" s="363" t="str">
        <f>IF($C7="","",VLOOKUP($C7,MATIERES!$A$2:$F$413,5,0))</f>
        <v>pc</v>
      </c>
      <c r="E7" s="364">
        <v>0</v>
      </c>
      <c r="F7" s="365">
        <f>IF($C7="","",E7*VLOOKUP($C7,MATIERES!$A$2:$F$424,4,0))</f>
        <v>0</v>
      </c>
      <c r="G7" s="364">
        <v>0</v>
      </c>
      <c r="H7" s="365">
        <f>IF($C7="","",G7*VLOOKUP($C7,MATIERES!$A$2:$F$424,4,0))</f>
        <v>0</v>
      </c>
      <c r="I7" s="364">
        <v>0</v>
      </c>
      <c r="J7" s="365">
        <f>IF($C7="","",I7*VLOOKUP($C7,MATIERES!$A$2:$F$424,4,0))</f>
        <v>0</v>
      </c>
      <c r="K7" s="364">
        <v>1</v>
      </c>
      <c r="L7" s="365">
        <f>IF($C7="","",K7*VLOOKUP($C7,MATIERES!$A$2:$F$349,4,0))</f>
        <v>177.23</v>
      </c>
      <c r="M7" s="364">
        <v>0</v>
      </c>
      <c r="N7" s="365">
        <f>IF($C7="","",M7*VLOOKUP($C7,MATIERES!$A$2:$F$424,4,0))</f>
        <v>0</v>
      </c>
      <c r="O7" s="364">
        <v>0</v>
      </c>
      <c r="P7" s="365">
        <f>IF($C7="","",O7*VLOOKUP($C7,MATIERES!$A$2:$F$424,4,0))</f>
        <v>0</v>
      </c>
      <c r="Q7" s="364">
        <v>0</v>
      </c>
      <c r="R7" s="365">
        <f>IF($C7="","",Q7*VLOOKUP($C7,MATIERES!$A$2:$F$424,4,0))</f>
        <v>0</v>
      </c>
      <c r="S7" s="364">
        <v>0</v>
      </c>
      <c r="T7" s="365">
        <f>IF($C7="","",S7*VLOOKUP($C7,MATIERES!$A$2:$F$424,4,0))</f>
        <v>0</v>
      </c>
      <c r="U7" s="364"/>
    </row>
    <row r="8" spans="1:21" ht="36" x14ac:dyDescent="0.2">
      <c r="A8" s="1631"/>
      <c r="B8" s="361" t="s">
        <v>1077</v>
      </c>
      <c r="C8" s="362" t="s">
        <v>312</v>
      </c>
      <c r="D8" s="363" t="str">
        <f>IF($C8="","",VLOOKUP($C8,MATIERES!$A$2:$F$413,5,0))</f>
        <v>pc</v>
      </c>
      <c r="E8" s="364">
        <v>0</v>
      </c>
      <c r="F8" s="365">
        <f>IF($C8="","",E8*VLOOKUP($C8,MATIERES!$A$2:$F$349,4,0))</f>
        <v>0</v>
      </c>
      <c r="G8" s="364">
        <v>0</v>
      </c>
      <c r="H8" s="365">
        <f>IF($C8="","",G8*VLOOKUP($C8,MATIERES!$A$2:$F$349,4,0))</f>
        <v>0</v>
      </c>
      <c r="I8" s="364">
        <v>0</v>
      </c>
      <c r="J8" s="365">
        <f>IF($C8="","",I8*VLOOKUP($C8,MATIERES!$A$2:$F$349,4,0))</f>
        <v>0</v>
      </c>
      <c r="K8" s="364">
        <v>0</v>
      </c>
      <c r="L8" s="365">
        <f>IF($C8="","",K8*VLOOKUP($C8,MATIERES!$A$2:$F$349,4,0))</f>
        <v>0</v>
      </c>
      <c r="M8" s="364">
        <v>1</v>
      </c>
      <c r="N8" s="365">
        <f>IF($C8="","",M8*VLOOKUP($C8,MATIERES!$A$2:$F$349,4,0))</f>
        <v>494.11</v>
      </c>
      <c r="O8" s="364">
        <v>0</v>
      </c>
      <c r="P8" s="365">
        <f>IF($C8="","",O8*VLOOKUP($C8,MATIERES!$A$2:$F$349,4,0))</f>
        <v>0</v>
      </c>
      <c r="Q8" s="364">
        <v>0</v>
      </c>
      <c r="R8" s="365">
        <f>IF($C8="","",Q8*VLOOKUP($C8,MATIERES!$A$2:$F$349,4,0))</f>
        <v>0</v>
      </c>
      <c r="S8" s="364">
        <v>0</v>
      </c>
      <c r="T8" s="365">
        <f>IF($C8="","",S8*VLOOKUP($C8,MATIERES!$A$2:$F$349,4,0))</f>
        <v>0</v>
      </c>
      <c r="U8" s="364"/>
    </row>
    <row r="9" spans="1:21" ht="36" x14ac:dyDescent="0.2">
      <c r="A9" s="1631"/>
      <c r="B9" s="361" t="s">
        <v>1077</v>
      </c>
      <c r="C9" s="362" t="s">
        <v>316</v>
      </c>
      <c r="D9" s="363" t="str">
        <f>IF($C9="","",VLOOKUP($C9,MATIERES!$A$2:$F$413,5,0))</f>
        <v>pc</v>
      </c>
      <c r="E9" s="364">
        <v>0</v>
      </c>
      <c r="F9" s="365">
        <f>IF($C9="","",E9*VLOOKUP($C9,MATIERES!$A$2:$F$349,4,0))</f>
        <v>0</v>
      </c>
      <c r="G9" s="364">
        <v>0</v>
      </c>
      <c r="H9" s="365">
        <f>IF($C9="","",G9*VLOOKUP($C9,MATIERES!$A$2:$F$349,4,0))</f>
        <v>0</v>
      </c>
      <c r="I9" s="364">
        <v>0</v>
      </c>
      <c r="J9" s="365">
        <f>IF($C9="","",I9*VLOOKUP($C9,MATIERES!$A$2:$F$349,4,0))</f>
        <v>0</v>
      </c>
      <c r="K9" s="364">
        <v>0</v>
      </c>
      <c r="L9" s="365">
        <f>IF($C9="","",K9*VLOOKUP($C9,MATIERES!$A$2:$F$349,4,0))</f>
        <v>0</v>
      </c>
      <c r="M9" s="364">
        <v>0</v>
      </c>
      <c r="N9" s="365">
        <f>IF($C9="","",M9*VLOOKUP($C9,MATIERES!$A$2:$F$349,4,0))</f>
        <v>0</v>
      </c>
      <c r="O9" s="364">
        <v>1</v>
      </c>
      <c r="P9" s="365">
        <f>IF($C9="","",O9*VLOOKUP($C9,MATIERES!$A$2:$F$349,4,0))</f>
        <v>520.05999999999995</v>
      </c>
      <c r="Q9" s="364">
        <v>0</v>
      </c>
      <c r="R9" s="365">
        <f>IF($C9="","",Q9*VLOOKUP($C9,MATIERES!$A$2:$F$349,4,0))</f>
        <v>0</v>
      </c>
      <c r="S9" s="364">
        <v>0</v>
      </c>
      <c r="T9" s="365">
        <f>IF($C9="","",S9*VLOOKUP($C9,MATIERES!$A$2:$F$349,4,0))</f>
        <v>0</v>
      </c>
      <c r="U9" s="364"/>
    </row>
    <row r="10" spans="1:21" ht="15" customHeight="1" x14ac:dyDescent="0.2">
      <c r="A10" s="1631"/>
      <c r="B10" s="361" t="s">
        <v>1077</v>
      </c>
      <c r="C10" s="362" t="s">
        <v>291</v>
      </c>
      <c r="D10" s="363" t="str">
        <f>IF($C10="","",VLOOKUP($C10,MATIERES!$A$2:$F$413,5,0))</f>
        <v>pc</v>
      </c>
      <c r="E10" s="364">
        <v>0</v>
      </c>
      <c r="F10" s="365">
        <f>IF($C10="","",E10*VLOOKUP($C10,MATIERES!$A$2:$F$349,4,0))</f>
        <v>0</v>
      </c>
      <c r="G10" s="364">
        <v>0</v>
      </c>
      <c r="H10" s="365">
        <f>IF($C10="","",G10*VLOOKUP($C10,MATIERES!$A$2:$F$349,4,0))</f>
        <v>0</v>
      </c>
      <c r="I10" s="364">
        <v>0</v>
      </c>
      <c r="J10" s="365">
        <f>IF($C10="","",I10*VLOOKUP($C10,MATIERES!$A$2:$F$349,4,0))</f>
        <v>0</v>
      </c>
      <c r="K10" s="364">
        <v>0</v>
      </c>
      <c r="L10" s="365">
        <f>IF($C10="","",K10*VLOOKUP($C10,MATIERES!$A$2:$F$349,4,0))</f>
        <v>0</v>
      </c>
      <c r="M10" s="364">
        <v>0</v>
      </c>
      <c r="N10" s="365">
        <f>IF($C10="","",M10*VLOOKUP($C10,MATIERES!$A$2:$F$349,4,0))</f>
        <v>0</v>
      </c>
      <c r="O10" s="364">
        <v>0</v>
      </c>
      <c r="P10" s="365">
        <f>IF($C10="","",O10*VLOOKUP($C10,MATIERES!$A$2:$F$349,4,0))</f>
        <v>0</v>
      </c>
      <c r="Q10" s="364">
        <v>1</v>
      </c>
      <c r="R10" s="365">
        <f>IF($C10="","",Q10*VLOOKUP($C10,MATIERES!$A$2:$F$349,4,0))</f>
        <v>167.89</v>
      </c>
      <c r="S10" s="364">
        <v>0</v>
      </c>
      <c r="T10" s="365">
        <f>IF($C10="","",S10*VLOOKUP($C10,MATIERES!$A$2:$F$349,4,0))</f>
        <v>0</v>
      </c>
      <c r="U10" s="364"/>
    </row>
    <row r="11" spans="1:21" ht="32.1" customHeight="1" x14ac:dyDescent="0.2">
      <c r="A11" s="1631"/>
      <c r="B11" s="361" t="s">
        <v>1077</v>
      </c>
      <c r="C11" s="362" t="s">
        <v>292</v>
      </c>
      <c r="D11" s="363" t="str">
        <f>IF($C11="","",VLOOKUP($C11,MATIERES!$A$2:$F$413,5,0))</f>
        <v>pc</v>
      </c>
      <c r="E11" s="364">
        <v>0</v>
      </c>
      <c r="F11" s="365">
        <f>IF($C11="","",E11*VLOOKUP($C11,MATIERES!$A$2:$F$349,4,0))</f>
        <v>0</v>
      </c>
      <c r="G11" s="364">
        <v>0</v>
      </c>
      <c r="H11" s="365">
        <f>IF($C11="","",G11*VLOOKUP($C11,MATIERES!$A$2:$F$349,4,0))</f>
        <v>0</v>
      </c>
      <c r="I11" s="364">
        <v>0</v>
      </c>
      <c r="J11" s="365">
        <f>IF($C11="","",I11*VLOOKUP($C11,MATIERES!$A$2:$F$349,4,0))</f>
        <v>0</v>
      </c>
      <c r="K11" s="364">
        <v>0</v>
      </c>
      <c r="L11" s="365">
        <f>IF($C11="","",K11*VLOOKUP($C11,MATIERES!$A$2:$F$349,4,0))</f>
        <v>0</v>
      </c>
      <c r="M11" s="364">
        <v>0</v>
      </c>
      <c r="N11" s="365">
        <f>IF($C11="","",M11*VLOOKUP($C11,MATIERES!$A$2:$F$349,4,0))</f>
        <v>0</v>
      </c>
      <c r="O11" s="364">
        <v>0</v>
      </c>
      <c r="P11" s="365">
        <f>IF($C11="","",O11*VLOOKUP($C11,MATIERES!$A$2:$F$349,4,0))</f>
        <v>0</v>
      </c>
      <c r="Q11" s="364">
        <v>0</v>
      </c>
      <c r="R11" s="365">
        <f>IF($C11="","",Q11*VLOOKUP($C11,MATIERES!$A$2:$F$349,4,0))</f>
        <v>0</v>
      </c>
      <c r="S11" s="364">
        <v>1</v>
      </c>
      <c r="T11" s="365">
        <f>IF($C11="","",S11*VLOOKUP($C11,MATIERES!$A$2:$F$349,4,0))</f>
        <v>174.48</v>
      </c>
      <c r="U11" s="364"/>
    </row>
    <row r="12" spans="1:21" ht="15" customHeight="1" x14ac:dyDescent="0.2">
      <c r="A12" s="1631"/>
      <c r="B12" s="361" t="s">
        <v>1077</v>
      </c>
      <c r="C12" s="362" t="s">
        <v>274</v>
      </c>
      <c r="D12" s="363" t="str">
        <f>IF($C12="","",VLOOKUP($C12,MATIERES!$A$2:$F$341,5,0))</f>
        <v>pc</v>
      </c>
      <c r="E12" s="364">
        <v>0</v>
      </c>
      <c r="F12" s="365">
        <f>IF($C12="","",E12*VLOOKUP($C12,MATIERES!$A$2:$F$349,4,0))</f>
        <v>0</v>
      </c>
      <c r="G12" s="364"/>
      <c r="H12" s="365"/>
      <c r="I12" s="364"/>
      <c r="J12" s="365"/>
      <c r="K12" s="364"/>
      <c r="L12" s="365"/>
      <c r="M12" s="364"/>
      <c r="N12" s="365"/>
      <c r="O12" s="364"/>
      <c r="P12" s="365"/>
      <c r="Q12" s="364"/>
      <c r="R12" s="365"/>
      <c r="S12" s="364">
        <v>1</v>
      </c>
      <c r="T12" s="365">
        <f>IF($C12="","",S12*VLOOKUP($C12,MATIERES!$A$2:$F$349,4,0))</f>
        <v>50</v>
      </c>
      <c r="U12" s="364"/>
    </row>
    <row r="13" spans="1:21" ht="30" customHeight="1" x14ac:dyDescent="0.2">
      <c r="A13" s="449"/>
      <c r="B13" s="367" t="s">
        <v>683</v>
      </c>
      <c r="C13" s="368" t="s">
        <v>446</v>
      </c>
      <c r="D13" s="369" t="s">
        <v>447</v>
      </c>
      <c r="E13" s="488">
        <f>F13*(1+Simulation!$P$11)</f>
        <v>157.43</v>
      </c>
      <c r="F13" s="489">
        <f>SUM(F4:F12)</f>
        <v>121.1</v>
      </c>
      <c r="G13" s="488">
        <f>H13*(1+Simulation!$P$11)</f>
        <v>217.20400000000004</v>
      </c>
      <c r="H13" s="489">
        <f>SUM(H4:H12)</f>
        <v>167.08</v>
      </c>
      <c r="I13" s="488">
        <f>J13*(1+Simulation!$P$11)</f>
        <v>205.62099999999998</v>
      </c>
      <c r="J13" s="489">
        <f>SUM(J4:J12)</f>
        <v>158.16999999999999</v>
      </c>
      <c r="K13" s="488">
        <f>L13*(1+Simulation!$P$11)</f>
        <v>230.399</v>
      </c>
      <c r="L13" s="489">
        <f>SUM(L4:L12)</f>
        <v>177.23</v>
      </c>
      <c r="M13" s="488">
        <f>N13*(1+Simulation!$P$11)</f>
        <v>642.34300000000007</v>
      </c>
      <c r="N13" s="489">
        <f>SUM(N4:N12)</f>
        <v>494.11</v>
      </c>
      <c r="O13" s="488">
        <f>P13*(1+Simulation!$P$11)</f>
        <v>676.07799999999997</v>
      </c>
      <c r="P13" s="489">
        <f>SUM(P4:P12)</f>
        <v>520.05999999999995</v>
      </c>
      <c r="Q13" s="488">
        <f>R13*(1+Simulation!$P$11)</f>
        <v>218.25699999999998</v>
      </c>
      <c r="R13" s="489">
        <f>SUM(R4:R12)</f>
        <v>167.89</v>
      </c>
      <c r="S13" s="488">
        <f>T13*(1+Simulation!$P$11)</f>
        <v>291.82400000000001</v>
      </c>
      <c r="T13" s="489">
        <f>SUM(T4:T12)</f>
        <v>224.48</v>
      </c>
      <c r="U13" s="370"/>
    </row>
    <row r="14" spans="1:21" ht="15" customHeight="1" x14ac:dyDescent="0.2">
      <c r="A14" s="1624"/>
      <c r="B14" s="361" t="s">
        <v>1153</v>
      </c>
      <c r="C14" s="362" t="s">
        <v>414</v>
      </c>
      <c r="D14" s="363" t="str">
        <f>IF($C14="","",VLOOKUP($C14,ATELIER!$A$2:$E$109,3,0))</f>
        <v>pc</v>
      </c>
      <c r="E14" s="364">
        <v>1</v>
      </c>
      <c r="F14" s="372">
        <f>IF($C14="","",E14*VLOOKUP($C14,ATELIER!$A$2:$F$109,4,0))</f>
        <v>1.25</v>
      </c>
      <c r="G14" s="364">
        <v>1</v>
      </c>
      <c r="H14" s="372">
        <f>IF($C14="","",G14*VLOOKUP($C14,ATELIER!$A$2:$F$109,4,0))</f>
        <v>1.25</v>
      </c>
      <c r="I14" s="364">
        <v>1</v>
      </c>
      <c r="J14" s="372">
        <f>IF($C14="","",I14*VLOOKUP($C14,ATELIER!$A$2:$F$109,4,0))</f>
        <v>1.25</v>
      </c>
      <c r="K14" s="364">
        <v>1</v>
      </c>
      <c r="L14" s="372">
        <f>IF($C14="","",K14*VLOOKUP($C14,ATELIER!$A$2:$F$109,4,0))</f>
        <v>1.25</v>
      </c>
      <c r="M14" s="364">
        <v>1</v>
      </c>
      <c r="N14" s="372">
        <f>IF($C14="","",M14*VLOOKUP($C14,ATELIER!$A$2:$F$109,4,0))</f>
        <v>1.25</v>
      </c>
      <c r="O14" s="364">
        <v>1</v>
      </c>
      <c r="P14" s="372">
        <f>IF($C14="","",O14*VLOOKUP($C14,ATELIER!$A$2:$F$109,4,0))</f>
        <v>1.25</v>
      </c>
      <c r="Q14" s="364">
        <v>0</v>
      </c>
      <c r="R14" s="372">
        <f>IF($C14="","",Q14*VLOOKUP($C14,ATELIER!$A$2:$F$109,4,0))</f>
        <v>0</v>
      </c>
      <c r="S14" s="364">
        <v>0</v>
      </c>
      <c r="T14" s="372">
        <f>IF($C14="","",S14*VLOOKUP($C14,ATELIER!$A$2:$F$109,4,0))</f>
        <v>0</v>
      </c>
      <c r="U14" s="364"/>
    </row>
    <row r="15" spans="1:21" ht="15" customHeight="1" x14ac:dyDescent="0.2">
      <c r="A15" s="1625"/>
      <c r="B15" s="361" t="s">
        <v>1153</v>
      </c>
      <c r="C15" s="362" t="s">
        <v>438</v>
      </c>
      <c r="D15" s="363" t="str">
        <f>IF($C15="","",VLOOKUP($C15,ATELIER!$A$2:$E$109,3,0))</f>
        <v>pc</v>
      </c>
      <c r="E15" s="364">
        <v>2</v>
      </c>
      <c r="F15" s="372">
        <f>IF($C15="","",E15*VLOOKUP($C15,ATELIER!$A$2:$F$109,4,0))</f>
        <v>0.4</v>
      </c>
      <c r="G15" s="364">
        <v>2</v>
      </c>
      <c r="H15" s="372">
        <f>IF($C15="","",G15*VLOOKUP($C15,ATELIER!$A$2:$F$109,4,0))</f>
        <v>0.4</v>
      </c>
      <c r="I15" s="364">
        <v>2</v>
      </c>
      <c r="J15" s="372">
        <f>IF($C15="","",I15*VLOOKUP($C15,ATELIER!$A$2:$F$109,4,0))</f>
        <v>0.4</v>
      </c>
      <c r="K15" s="364">
        <v>2</v>
      </c>
      <c r="L15" s="372">
        <f>IF($C15="","",K15*VLOOKUP($C15,ATELIER!$A$2:$F$109,4,0))</f>
        <v>0.4</v>
      </c>
      <c r="M15" s="364">
        <v>2</v>
      </c>
      <c r="N15" s="372">
        <f>IF($C15="","",M15*VLOOKUP($C15,ATELIER!$A$2:$F$109,4,0))</f>
        <v>0.4</v>
      </c>
      <c r="O15" s="364">
        <v>2</v>
      </c>
      <c r="P15" s="372">
        <f>IF($C15="","",O15*VLOOKUP($C15,ATELIER!$A$2:$F$109,4,0))</f>
        <v>0.4</v>
      </c>
      <c r="Q15" s="364">
        <v>0</v>
      </c>
      <c r="R15" s="372">
        <f>IF($C15="","",Q15*VLOOKUP($C15,ATELIER!$A$2:$F$109,4,0))</f>
        <v>0</v>
      </c>
      <c r="S15" s="364">
        <v>0</v>
      </c>
      <c r="T15" s="372">
        <f>IF($C15="","",S15*VLOOKUP($C15,ATELIER!$A$2:$F$109,4,0))</f>
        <v>0</v>
      </c>
      <c r="U15" s="364"/>
    </row>
    <row r="16" spans="1:21" ht="15" customHeight="1" x14ac:dyDescent="0.2">
      <c r="A16" s="1624"/>
      <c r="B16" s="361" t="s">
        <v>1156</v>
      </c>
      <c r="C16" s="362"/>
      <c r="D16" s="363" t="str">
        <f>IF($C16="","",VLOOKUP($C16,ATELIER!$A$2:$E$109,3,0))</f>
        <v/>
      </c>
      <c r="E16" s="364">
        <v>4</v>
      </c>
      <c r="F16" s="372" t="str">
        <f>IF($C16="","",E16*VLOOKUP($C16,ATELIER!$A$2:$F$109,4,0))</f>
        <v/>
      </c>
      <c r="G16" s="364"/>
      <c r="H16" s="372"/>
      <c r="I16" s="364"/>
      <c r="J16" s="372"/>
      <c r="K16" s="364"/>
      <c r="L16" s="372"/>
      <c r="M16" s="364"/>
      <c r="N16" s="372"/>
      <c r="O16" s="364"/>
      <c r="P16" s="372"/>
      <c r="Q16" s="364"/>
      <c r="R16" s="372"/>
      <c r="S16" s="364"/>
      <c r="T16" s="372"/>
      <c r="U16" s="364"/>
    </row>
    <row r="17" spans="1:21" ht="15" customHeight="1" x14ac:dyDescent="0.2">
      <c r="A17" s="1624"/>
      <c r="B17" s="361" t="s">
        <v>1153</v>
      </c>
      <c r="C17" s="362"/>
      <c r="D17" s="363" t="str">
        <f>IF($C17="","",VLOOKUP($C17,ATELIER!$A$2:$E$109,3,0))</f>
        <v/>
      </c>
      <c r="E17" s="364">
        <v>5</v>
      </c>
      <c r="F17" s="372" t="str">
        <f>IF($C17="","",E17*VLOOKUP($C17,ATELIER!$A$2:$F$109,4,0))</f>
        <v/>
      </c>
      <c r="G17" s="364"/>
      <c r="H17" s="372"/>
      <c r="I17" s="364"/>
      <c r="J17" s="372"/>
      <c r="K17" s="364"/>
      <c r="L17" s="372"/>
      <c r="M17" s="364"/>
      <c r="N17" s="372"/>
      <c r="O17" s="364"/>
      <c r="P17" s="372"/>
      <c r="Q17" s="364"/>
      <c r="R17" s="372"/>
      <c r="S17" s="364"/>
      <c r="T17" s="372"/>
      <c r="U17" s="364"/>
    </row>
    <row r="18" spans="1:21" ht="15" customHeight="1" x14ac:dyDescent="0.2">
      <c r="A18" s="1624"/>
      <c r="B18" s="361"/>
      <c r="C18" s="362"/>
      <c r="D18" s="363"/>
      <c r="E18" s="364"/>
      <c r="F18" s="372"/>
      <c r="G18" s="364"/>
      <c r="H18" s="372"/>
      <c r="I18" s="364"/>
      <c r="J18" s="372"/>
      <c r="K18" s="364"/>
      <c r="L18" s="372"/>
      <c r="M18" s="364"/>
      <c r="N18" s="372"/>
      <c r="O18" s="364"/>
      <c r="P18" s="372"/>
      <c r="Q18" s="364"/>
      <c r="R18" s="372"/>
      <c r="S18" s="364"/>
      <c r="T18" s="372"/>
      <c r="U18" s="364"/>
    </row>
    <row r="19" spans="1:21" ht="35.25" customHeight="1" x14ac:dyDescent="0.2">
      <c r="A19" s="1624"/>
      <c r="B19" s="375" t="s">
        <v>449</v>
      </c>
      <c r="C19" s="376" t="s">
        <v>450</v>
      </c>
      <c r="D19" s="377" t="s">
        <v>451</v>
      </c>
      <c r="E19" s="376">
        <f>F19*Simulation!$P$8</f>
        <v>74.25</v>
      </c>
      <c r="F19" s="377">
        <f>SUM(F14:F18)</f>
        <v>1.65</v>
      </c>
      <c r="G19" s="376">
        <f>H19*Simulation!$P$8</f>
        <v>74.25</v>
      </c>
      <c r="H19" s="377">
        <f>SUM(H14:H18)</f>
        <v>1.65</v>
      </c>
      <c r="I19" s="376">
        <f>J19*Simulation!$P$8</f>
        <v>74.25</v>
      </c>
      <c r="J19" s="377">
        <f>SUM(J14:J18)</f>
        <v>1.65</v>
      </c>
      <c r="K19" s="376">
        <f>L19*Simulation!$P$8</f>
        <v>74.25</v>
      </c>
      <c r="L19" s="377">
        <f>SUM(L14:L18)</f>
        <v>1.65</v>
      </c>
      <c r="M19" s="376">
        <f>N19*Simulation!$P$8</f>
        <v>74.25</v>
      </c>
      <c r="N19" s="377">
        <f>SUM(N14:N18)</f>
        <v>1.65</v>
      </c>
      <c r="O19" s="376">
        <f>P19*Simulation!$P$8</f>
        <v>74.25</v>
      </c>
      <c r="P19" s="377">
        <f>SUM(P14:P18)</f>
        <v>1.65</v>
      </c>
      <c r="Q19" s="376">
        <f>R19*Simulation!$P$8</f>
        <v>0</v>
      </c>
      <c r="R19" s="377">
        <f>SUM(R14:R18)</f>
        <v>0</v>
      </c>
      <c r="S19" s="376">
        <f>T19*Simulation!$P$8</f>
        <v>0</v>
      </c>
      <c r="T19" s="377">
        <f>SUM(T14:T18)</f>
        <v>0</v>
      </c>
      <c r="U19" s="376"/>
    </row>
    <row r="20" spans="1:21" ht="15" customHeight="1" x14ac:dyDescent="0.2">
      <c r="A20" s="1626" t="s">
        <v>452</v>
      </c>
      <c r="B20" s="361" t="s">
        <v>1164</v>
      </c>
      <c r="C20" s="378" t="s">
        <v>998</v>
      </c>
      <c r="D20" s="363" t="str">
        <f>IF(C20="","",VLOOKUP($C20,CHANTIER!$A$2:$C$83,3,0))</f>
        <v>pc</v>
      </c>
      <c r="E20" s="364">
        <v>0</v>
      </c>
      <c r="F20" s="372">
        <f>IF($C20="","",E20*VLOOKUP($C20,CHANTIER!$A$2:$D$83,4,0))</f>
        <v>0</v>
      </c>
      <c r="G20" s="364">
        <v>0</v>
      </c>
      <c r="H20" s="372">
        <v>0</v>
      </c>
      <c r="I20" s="364">
        <v>0</v>
      </c>
      <c r="J20" s="372">
        <f>IF($C20="","",I20*VLOOKUP($C20,CHANTIER!$A$2:$D$83,4,0))</f>
        <v>0</v>
      </c>
      <c r="K20" s="364">
        <v>0</v>
      </c>
      <c r="L20" s="372">
        <v>0</v>
      </c>
      <c r="M20" s="364">
        <v>1</v>
      </c>
      <c r="N20" s="372">
        <f>IF($C20="","",M20*VLOOKUP($C20,CHANTIER!$A$2:$D$83,4,0))</f>
        <v>1</v>
      </c>
      <c r="O20" s="364">
        <v>1</v>
      </c>
      <c r="P20" s="372">
        <f>IF($C20="","",O20*VLOOKUP($C20,CHANTIER!$A$2:$D$83,4,0))</f>
        <v>1</v>
      </c>
      <c r="Q20" s="364">
        <v>0</v>
      </c>
      <c r="R20" s="372">
        <f>IF($C20="","",Q20*VLOOKUP($C20,CHANTIER!$A$2:$D$83,4,0))</f>
        <v>0</v>
      </c>
      <c r="S20" s="364">
        <v>0</v>
      </c>
      <c r="T20" s="372">
        <v>0</v>
      </c>
      <c r="U20" s="364"/>
    </row>
    <row r="21" spans="1:21" ht="15" customHeight="1" x14ac:dyDescent="0.2">
      <c r="A21" s="1626"/>
      <c r="B21" s="361" t="s">
        <v>1164</v>
      </c>
      <c r="C21" s="378" t="s">
        <v>396</v>
      </c>
      <c r="D21" s="363" t="str">
        <f>IF(C21="","",VLOOKUP($C21,CHANTIER!$A$2:$C$83,3,0))</f>
        <v>unité</v>
      </c>
      <c r="E21" s="364">
        <v>1</v>
      </c>
      <c r="F21" s="372">
        <f>IF($C21="","",E21*VLOOKUP($C21,CHANTIER!$A$2:$D$83,4,0))</f>
        <v>0.75</v>
      </c>
      <c r="G21" s="364">
        <v>1</v>
      </c>
      <c r="H21" s="372">
        <f>IF($C21="","",G21*VLOOKUP($C21,CHANTIER!$A$2:$D$83,4,0))</f>
        <v>0.75</v>
      </c>
      <c r="I21" s="364">
        <v>1</v>
      </c>
      <c r="J21" s="372">
        <f>IF($C21="","",I21*VLOOKUP($C21,CHANTIER!$A$2:$D$83,4,0))</f>
        <v>0.75</v>
      </c>
      <c r="K21" s="364">
        <v>1</v>
      </c>
      <c r="L21" s="372">
        <f>IF($C21="","",K21*VLOOKUP($C21,CHANTIER!$A$2:$D$83,4,0))</f>
        <v>0.75</v>
      </c>
      <c r="M21" s="364">
        <v>1</v>
      </c>
      <c r="N21" s="372">
        <f>IF($C21="","",M21*VLOOKUP($C21,CHANTIER!$A$2:$D$83,4,0))</f>
        <v>0.75</v>
      </c>
      <c r="O21" s="364">
        <v>1</v>
      </c>
      <c r="P21" s="372">
        <f>IF($C21="","",O21*VLOOKUP($C21,CHANTIER!$A$2:$D$83,4,0))</f>
        <v>0.75</v>
      </c>
      <c r="Q21" s="364">
        <v>0</v>
      </c>
      <c r="R21" s="372">
        <f>IF($C21="","",Q21*VLOOKUP($C21,CHANTIER!$A$2:$D$83,4,0))</f>
        <v>0</v>
      </c>
      <c r="S21" s="364">
        <v>0</v>
      </c>
      <c r="T21" s="372">
        <f>IF($C21="","",S21*VLOOKUP($C21,CHANTIER!$A$2:$D$83,4,0))</f>
        <v>0</v>
      </c>
      <c r="U21" s="364"/>
    </row>
    <row r="22" spans="1:21" ht="15" customHeight="1" x14ac:dyDescent="0.2">
      <c r="A22" s="1627"/>
      <c r="B22" s="361" t="s">
        <v>1164</v>
      </c>
      <c r="C22" s="378" t="s">
        <v>397</v>
      </c>
      <c r="D22" s="363" t="str">
        <f>IF(C22="","",VLOOKUP($C22,CHANTIER!$A$2:$C$83,3,0))</f>
        <v>pc</v>
      </c>
      <c r="E22" s="364">
        <v>0</v>
      </c>
      <c r="F22" s="372">
        <f>IF($C22="","",E22*VLOOKUP($C22,CHANTIER!$A$2:$D$83,4,0))</f>
        <v>0</v>
      </c>
      <c r="G22" s="364">
        <v>0</v>
      </c>
      <c r="H22" s="372">
        <f>IF($C22="","",G22*VLOOKUP($C22,CHANTIER!$A$2:$D$83,4,0))</f>
        <v>0</v>
      </c>
      <c r="I22" s="364">
        <v>0</v>
      </c>
      <c r="J22" s="372">
        <f>IF($C22="","",I22*VLOOKUP($C22,CHANTIER!$A$2:$D$83,4,0))</f>
        <v>0</v>
      </c>
      <c r="K22" s="364">
        <v>0</v>
      </c>
      <c r="L22" s="372">
        <f>IF($C22="","",K22*VLOOKUP($C22,CHANTIER!$A$2:$D$83,4,0))</f>
        <v>0</v>
      </c>
      <c r="M22" s="364">
        <v>0</v>
      </c>
      <c r="N22" s="372">
        <f>IF($C22="","",M22*VLOOKUP($C22,CHANTIER!$A$2:$D$83,4,0))</f>
        <v>0</v>
      </c>
      <c r="O22" s="364">
        <v>0</v>
      </c>
      <c r="P22" s="372">
        <f>IF($C22="","",O22*VLOOKUP($C22,CHANTIER!$A$2:$D$83,4,0))</f>
        <v>0</v>
      </c>
      <c r="Q22" s="364">
        <v>1</v>
      </c>
      <c r="R22" s="372">
        <f>IF($C22="","",Q22*VLOOKUP($C22,CHANTIER!$A$2:$D$83,4,0))</f>
        <v>0.5</v>
      </c>
      <c r="S22" s="364">
        <v>1</v>
      </c>
      <c r="T22" s="372">
        <f>IF($C22="","",S22*VLOOKUP($C22,CHANTIER!$A$2:$D$83,4,0))</f>
        <v>0.5</v>
      </c>
      <c r="U22" s="364"/>
    </row>
    <row r="23" spans="1:21" ht="15" customHeight="1" x14ac:dyDescent="0.2">
      <c r="A23" s="1626"/>
      <c r="B23" s="361" t="s">
        <v>1164</v>
      </c>
      <c r="C23" s="378"/>
      <c r="D23" s="363" t="str">
        <f>IF(C23="","",VLOOKUP($C23,CHANTIER!$A$2:$C$83,3,0))</f>
        <v/>
      </c>
      <c r="E23" s="364">
        <v>4</v>
      </c>
      <c r="F23" s="372" t="str">
        <f>IF($C23="","",E23*VLOOKUP($C23,CHANTIER!$A$2:$D$83,4,0))</f>
        <v/>
      </c>
      <c r="G23" s="364"/>
      <c r="H23" s="372"/>
      <c r="I23" s="364"/>
      <c r="J23" s="372"/>
      <c r="K23" s="364"/>
      <c r="L23" s="372"/>
      <c r="M23" s="364"/>
      <c r="N23" s="372"/>
      <c r="O23" s="364"/>
      <c r="P23" s="372"/>
      <c r="Q23" s="364"/>
      <c r="R23" s="372"/>
      <c r="S23" s="364"/>
      <c r="T23" s="372"/>
      <c r="U23" s="364"/>
    </row>
    <row r="24" spans="1:21" ht="30.75" customHeight="1" x14ac:dyDescent="0.2">
      <c r="A24" s="1626"/>
      <c r="B24" s="379" t="s">
        <v>453</v>
      </c>
      <c r="C24" s="380" t="s">
        <v>450</v>
      </c>
      <c r="D24" s="381" t="s">
        <v>451</v>
      </c>
      <c r="E24" s="382">
        <f>F24*Simulation!$P$9</f>
        <v>33.75</v>
      </c>
      <c r="F24" s="383">
        <f>SUM(F20:F23)</f>
        <v>0.75</v>
      </c>
      <c r="G24" s="382">
        <f>H24*Simulation!$P$9</f>
        <v>33.75</v>
      </c>
      <c r="H24" s="383">
        <f>SUM(H20:H23)</f>
        <v>0.75</v>
      </c>
      <c r="I24" s="382">
        <f>J24*Simulation!$P$9</f>
        <v>33.75</v>
      </c>
      <c r="J24" s="383">
        <f>SUM(J20:J23)</f>
        <v>0.75</v>
      </c>
      <c r="K24" s="382">
        <f>L24*Simulation!$P$9</f>
        <v>33.75</v>
      </c>
      <c r="L24" s="383">
        <f>SUM(L20:L23)</f>
        <v>0.75</v>
      </c>
      <c r="M24" s="382">
        <f>N24*Simulation!$P$9</f>
        <v>78.75</v>
      </c>
      <c r="N24" s="383">
        <f>SUM(N20:N23)</f>
        <v>1.75</v>
      </c>
      <c r="O24" s="382">
        <f>P24*Simulation!$P$9</f>
        <v>78.75</v>
      </c>
      <c r="P24" s="383">
        <f>SUM(P20:P23)</f>
        <v>1.75</v>
      </c>
      <c r="Q24" s="382">
        <f>R24*Simulation!$P$9</f>
        <v>22.5</v>
      </c>
      <c r="R24" s="383">
        <f>SUM(R20:R23)</f>
        <v>0.5</v>
      </c>
      <c r="S24" s="382">
        <f>T24*Simulation!$P$9</f>
        <v>22.5</v>
      </c>
      <c r="T24" s="383">
        <f>SUM(T20:T23)</f>
        <v>0.5</v>
      </c>
      <c r="U24" s="382"/>
    </row>
    <row r="25" spans="1:21" ht="15" customHeight="1" x14ac:dyDescent="0.2">
      <c r="A25" s="1628" t="s">
        <v>4</v>
      </c>
      <c r="B25" s="361" t="s">
        <v>1172</v>
      </c>
      <c r="C25" s="378" t="s">
        <v>396</v>
      </c>
      <c r="D25" s="363" t="str">
        <f>IF(C25="","",VLOOKUP($C25,MINIPELLE!$A$2:$C$28,3,0))</f>
        <v>pc</v>
      </c>
      <c r="E25" s="364">
        <v>1</v>
      </c>
      <c r="F25" s="372">
        <f>IF($C25="","",E25*VLOOKUP($C25,MINIPELLE!$A$2:$D$28,4,0))</f>
        <v>0.25</v>
      </c>
      <c r="G25" s="364">
        <v>1</v>
      </c>
      <c r="H25" s="372">
        <f>IF($C25="","",G25*VLOOKUP($C25,MINIPELLE!$A$2:$D$28,4,0))</f>
        <v>0.25</v>
      </c>
      <c r="I25" s="364">
        <v>1</v>
      </c>
      <c r="J25" s="372">
        <f>IF($C25="","",I25*VLOOKUP($C25,MINIPELLE!$A$2:$D$28,4,0))</f>
        <v>0.25</v>
      </c>
      <c r="K25" s="364">
        <v>1</v>
      </c>
      <c r="L25" s="372">
        <f>IF($C25="","",K25*VLOOKUP($C25,MINIPELLE!$A$2:$D$28,4,0))</f>
        <v>0.25</v>
      </c>
      <c r="M25" s="364">
        <v>1</v>
      </c>
      <c r="N25" s="372">
        <f>IF($C25="","",M25*VLOOKUP($C25,MINIPELLE!$A$2:$D$28,4,0))</f>
        <v>0.25</v>
      </c>
      <c r="O25" s="364">
        <v>1</v>
      </c>
      <c r="P25" s="372">
        <f>IF($C25="","",O25*VLOOKUP($C25,MINIPELLE!$A$2:$D$28,4,0))</f>
        <v>0.25</v>
      </c>
      <c r="Q25" s="364">
        <v>0</v>
      </c>
      <c r="R25" s="372">
        <f>IF($C25="","",Q25*VLOOKUP($C25,MINIPELLE!$A$2:$D$28,4,0))</f>
        <v>0</v>
      </c>
      <c r="S25" s="364">
        <v>0</v>
      </c>
      <c r="T25" s="372">
        <f>IF($C25="","",S25*VLOOKUP($C25,MINIPELLE!$A$2:$D$28,4,0))</f>
        <v>0</v>
      </c>
      <c r="U25" s="364"/>
    </row>
    <row r="26" spans="1:21" ht="15" customHeight="1" x14ac:dyDescent="0.2">
      <c r="A26" s="1629"/>
      <c r="B26" s="361" t="s">
        <v>1172</v>
      </c>
      <c r="C26" s="378" t="s">
        <v>397</v>
      </c>
      <c r="D26" s="363" t="str">
        <f>IF(C26="","",VLOOKUP($C26,MINIPELLE!$A$2:$C$28,3,0))</f>
        <v>pc</v>
      </c>
      <c r="E26" s="364">
        <v>0</v>
      </c>
      <c r="F26" s="372">
        <f>IF($C26="","",E26*VLOOKUP($C26,CHANTIER!$A$2:$D$83,4,0))</f>
        <v>0</v>
      </c>
      <c r="G26" s="364">
        <v>0</v>
      </c>
      <c r="H26" s="372">
        <f>IF($C26="","",G26*VLOOKUP($C26,CHANTIER!$A$2:$D$83,4,0))</f>
        <v>0</v>
      </c>
      <c r="I26" s="364">
        <v>0</v>
      </c>
      <c r="J26" s="372">
        <f>IF($C26="","",I26*VLOOKUP($C26,CHANTIER!$A$2:$D$83,4,0))</f>
        <v>0</v>
      </c>
      <c r="K26" s="364">
        <v>0</v>
      </c>
      <c r="L26" s="372">
        <f>IF($C26="","",K26*VLOOKUP($C26,CHANTIER!$A$2:$D$83,4,0))</f>
        <v>0</v>
      </c>
      <c r="M26" s="364">
        <v>0</v>
      </c>
      <c r="N26" s="372">
        <f>IF($C26="","",M26*VLOOKUP($C26,CHANTIER!$A$2:$D$83,4,0))</f>
        <v>0</v>
      </c>
      <c r="O26" s="364">
        <v>0</v>
      </c>
      <c r="P26" s="372">
        <f>IF($C26="","",O26*VLOOKUP($C26,CHANTIER!$A$2:$D$83,4,0))</f>
        <v>0</v>
      </c>
      <c r="Q26" s="364">
        <v>1</v>
      </c>
      <c r="R26" s="372">
        <f>IF($C26="","",Q26*VLOOKUP($C26,MINIPELLE!$A$2:$D$28,4,0))</f>
        <v>0.15</v>
      </c>
      <c r="S26" s="364">
        <v>1</v>
      </c>
      <c r="T26" s="372">
        <f>IF($C26="","",S26*VLOOKUP($C26,MINIPELLE!$A$2:$D$28,4,0))</f>
        <v>0.15</v>
      </c>
      <c r="U26" s="364"/>
    </row>
    <row r="27" spans="1:21" ht="29.25" customHeight="1" x14ac:dyDescent="0.2">
      <c r="A27" s="1629"/>
      <c r="B27" s="384" t="s">
        <v>454</v>
      </c>
      <c r="C27" s="385" t="s">
        <v>455</v>
      </c>
      <c r="D27" s="386" t="s">
        <v>451</v>
      </c>
      <c r="E27" s="387">
        <f>F27*Simulation!$P$10</f>
        <v>20</v>
      </c>
      <c r="F27" s="388">
        <f>SUM(F25:F26)</f>
        <v>0.25</v>
      </c>
      <c r="G27" s="387">
        <f>H27*Simulation!$P$10</f>
        <v>20</v>
      </c>
      <c r="H27" s="388">
        <f>SUM(H25:H26)</f>
        <v>0.25</v>
      </c>
      <c r="I27" s="387">
        <f>J27*Simulation!$P$10</f>
        <v>20</v>
      </c>
      <c r="J27" s="388">
        <f>SUM(J25:J26)</f>
        <v>0.25</v>
      </c>
      <c r="K27" s="387">
        <f>L27*Simulation!$P$10</f>
        <v>20</v>
      </c>
      <c r="L27" s="388">
        <f>SUM(L25:L26)</f>
        <v>0.25</v>
      </c>
      <c r="M27" s="387">
        <f>N27*Simulation!$P$10</f>
        <v>20</v>
      </c>
      <c r="N27" s="388">
        <f>SUM(N25:N26)</f>
        <v>0.25</v>
      </c>
      <c r="O27" s="387">
        <f>P27*Simulation!$P$10</f>
        <v>20</v>
      </c>
      <c r="P27" s="388">
        <f>SUM(P25:P26)</f>
        <v>0.25</v>
      </c>
      <c r="Q27" s="387">
        <f>R27*Simulation!$P$10</f>
        <v>12</v>
      </c>
      <c r="R27" s="388">
        <f>SUM(R25:R26)</f>
        <v>0.15</v>
      </c>
      <c r="S27" s="387">
        <f>T27*Simulation!$P$10</f>
        <v>12</v>
      </c>
      <c r="T27" s="388">
        <f>SUM(T25:T26)</f>
        <v>0.15</v>
      </c>
      <c r="U27" s="387"/>
    </row>
    <row r="28" spans="1:21" ht="18" x14ac:dyDescent="0.2">
      <c r="A28" s="199"/>
      <c r="B28" s="199"/>
      <c r="C28" s="172"/>
      <c r="D28" s="200"/>
      <c r="E28" s="201"/>
      <c r="F28" s="202"/>
      <c r="G28" s="203"/>
      <c r="H28" s="202"/>
      <c r="I28" s="203"/>
      <c r="J28" s="202"/>
      <c r="K28" s="203"/>
      <c r="L28" s="202"/>
      <c r="M28" s="203"/>
      <c r="N28" s="202"/>
      <c r="O28" s="203"/>
      <c r="P28" s="202"/>
      <c r="Q28" s="203"/>
      <c r="R28" s="202"/>
      <c r="S28" s="203"/>
      <c r="T28" s="202"/>
      <c r="U28" s="203"/>
    </row>
    <row r="29" spans="1:21" ht="36" customHeight="1" x14ac:dyDescent="0.2">
      <c r="A29" s="204"/>
      <c r="B29" s="204"/>
      <c r="C29" s="1561" t="s">
        <v>456</v>
      </c>
      <c r="D29" s="451" t="s">
        <v>445</v>
      </c>
      <c r="E29" s="1547">
        <f>E27+E24+E19+E13</f>
        <v>285.43</v>
      </c>
      <c r="F29" s="1547"/>
      <c r="G29" s="1547">
        <f>G27+G24+G19+G13</f>
        <v>345.20400000000006</v>
      </c>
      <c r="H29" s="1547"/>
      <c r="I29" s="1547">
        <f>I27+I24+I19+I13</f>
        <v>333.62099999999998</v>
      </c>
      <c r="J29" s="1547"/>
      <c r="K29" s="1547">
        <f>K27+K24+K19+K13</f>
        <v>358.399</v>
      </c>
      <c r="L29" s="1547"/>
      <c r="M29" s="1547">
        <f>M27+M24+M19+M13</f>
        <v>815.34300000000007</v>
      </c>
      <c r="N29" s="1547"/>
      <c r="O29" s="1547">
        <f>O27+O24+O19+O13</f>
        <v>849.07799999999997</v>
      </c>
      <c r="P29" s="1547"/>
      <c r="Q29" s="1547">
        <f>Q27+Q24+Q19+Q13</f>
        <v>252.75699999999998</v>
      </c>
      <c r="R29" s="1547"/>
      <c r="S29" s="1547">
        <f>S27+S24+S19+S13</f>
        <v>326.32400000000001</v>
      </c>
      <c r="T29" s="1547"/>
      <c r="U29" s="1374">
        <f>U27+U24+U19+U13</f>
        <v>0</v>
      </c>
    </row>
    <row r="30" spans="1:21" ht="18" customHeight="1" x14ac:dyDescent="0.2">
      <c r="A30" s="154"/>
      <c r="B30" s="154"/>
      <c r="C30" s="1562"/>
      <c r="D30" s="452" t="s">
        <v>457</v>
      </c>
      <c r="E30" s="149">
        <f>E13-F13</f>
        <v>36.330000000000013</v>
      </c>
      <c r="F30" s="207">
        <f>E30/E$29</f>
        <v>0.12728164523701085</v>
      </c>
      <c r="G30" s="149">
        <f>G13-H13</f>
        <v>50.124000000000024</v>
      </c>
      <c r="H30" s="207">
        <f>G30/G$29</f>
        <v>0.14520109848089829</v>
      </c>
      <c r="I30" s="149">
        <f>I13-J13</f>
        <v>47.450999999999993</v>
      </c>
      <c r="J30" s="207">
        <f>I30/I$29</f>
        <v>0.142230255289685</v>
      </c>
      <c r="K30" s="149">
        <f>K13-L13</f>
        <v>53.169000000000011</v>
      </c>
      <c r="L30" s="207">
        <f>K30/K$29</f>
        <v>0.14835141839123439</v>
      </c>
      <c r="M30" s="149">
        <f>M13-N13</f>
        <v>148.23300000000006</v>
      </c>
      <c r="N30" s="207">
        <f>M30/M$29</f>
        <v>0.18180446756763724</v>
      </c>
      <c r="O30" s="149">
        <f>O13-P13</f>
        <v>156.01800000000003</v>
      </c>
      <c r="P30" s="207">
        <f>O30/O$29</f>
        <v>0.18374990283578191</v>
      </c>
      <c r="Q30" s="149">
        <f>Q13-R13</f>
        <v>50.36699999999999</v>
      </c>
      <c r="R30" s="207">
        <f>Q30/Q$29</f>
        <v>0.19927044552673118</v>
      </c>
      <c r="S30" s="149">
        <f>S13-T13</f>
        <v>67.344000000000023</v>
      </c>
      <c r="T30" s="207">
        <f>S30/S$29</f>
        <v>0.20637158161826902</v>
      </c>
      <c r="U30" s="149" t="e">
        <f>U13-#REF!</f>
        <v>#REF!</v>
      </c>
    </row>
    <row r="31" spans="1:21" ht="18" customHeight="1" x14ac:dyDescent="0.2">
      <c r="A31" s="154"/>
      <c r="B31" s="154"/>
      <c r="C31" s="1562"/>
      <c r="D31" s="452" t="s">
        <v>9</v>
      </c>
      <c r="E31" s="149">
        <f>E13</f>
        <v>157.43</v>
      </c>
      <c r="F31" s="207">
        <f>E31/E$29</f>
        <v>0.55155379602704691</v>
      </c>
      <c r="G31" s="149">
        <f>G13</f>
        <v>217.20400000000004</v>
      </c>
      <c r="H31" s="207">
        <f>G31/G$29</f>
        <v>0.62920476008389237</v>
      </c>
      <c r="I31" s="149">
        <f>I13</f>
        <v>205.62099999999998</v>
      </c>
      <c r="J31" s="207">
        <f>I31/I$29</f>
        <v>0.61633110625530163</v>
      </c>
      <c r="K31" s="149">
        <f>K13</f>
        <v>230.399</v>
      </c>
      <c r="L31" s="207">
        <f>K31/K$29</f>
        <v>0.64285614636201549</v>
      </c>
      <c r="M31" s="149">
        <f>M13</f>
        <v>642.34300000000007</v>
      </c>
      <c r="N31" s="207">
        <f>M31/M$29</f>
        <v>0.78781935945976111</v>
      </c>
      <c r="O31" s="149">
        <f>O13</f>
        <v>676.07799999999997</v>
      </c>
      <c r="P31" s="207">
        <f>O31/O$29</f>
        <v>0.79624957895505477</v>
      </c>
      <c r="Q31" s="149">
        <f>Q13</f>
        <v>218.25699999999998</v>
      </c>
      <c r="R31" s="207">
        <f>Q31/Q$29</f>
        <v>0.8635052639491686</v>
      </c>
      <c r="S31" s="149">
        <f>S13</f>
        <v>291.82400000000001</v>
      </c>
      <c r="T31" s="207">
        <f>S31/S$29</f>
        <v>0.89427685367916554</v>
      </c>
      <c r="U31" s="149">
        <f>U13</f>
        <v>0</v>
      </c>
    </row>
    <row r="32" spans="1:21" ht="18" customHeight="1" x14ac:dyDescent="0.2">
      <c r="A32" s="154"/>
      <c r="B32" s="154"/>
      <c r="C32" s="1562"/>
      <c r="D32" s="452" t="s">
        <v>458</v>
      </c>
      <c r="E32" s="149">
        <f>E19</f>
        <v>74.25</v>
      </c>
      <c r="F32" s="207">
        <f>E32/E$29</f>
        <v>0.26013383316399818</v>
      </c>
      <c r="G32" s="149">
        <f>G19</f>
        <v>74.25</v>
      </c>
      <c r="H32" s="207">
        <f>G32/G$29</f>
        <v>0.21509020752946081</v>
      </c>
      <c r="I32" s="149">
        <f>I19</f>
        <v>74.25</v>
      </c>
      <c r="J32" s="207">
        <f>I32/I$29</f>
        <v>0.22255793250424885</v>
      </c>
      <c r="K32" s="149">
        <f>K19</f>
        <v>74.25</v>
      </c>
      <c r="L32" s="207">
        <f>K32/K$29</f>
        <v>0.20717133697359646</v>
      </c>
      <c r="M32" s="149">
        <f>M19</f>
        <v>74.25</v>
      </c>
      <c r="N32" s="207">
        <f>M32/M$29</f>
        <v>9.1065968555564952E-2</v>
      </c>
      <c r="O32" s="149">
        <f>O19</f>
        <v>74.25</v>
      </c>
      <c r="P32" s="207">
        <f>O32/O$29</f>
        <v>8.7447796315532858E-2</v>
      </c>
      <c r="Q32" s="149">
        <f>Q19</f>
        <v>0</v>
      </c>
      <c r="R32" s="207">
        <f>Q32/Q$29</f>
        <v>0</v>
      </c>
      <c r="S32" s="149">
        <f>S19</f>
        <v>0</v>
      </c>
      <c r="T32" s="207">
        <f>S32/S$29</f>
        <v>0</v>
      </c>
      <c r="U32" s="149">
        <f>U19</f>
        <v>0</v>
      </c>
    </row>
    <row r="33" spans="1:21" ht="18" customHeight="1" x14ac:dyDescent="0.2">
      <c r="A33" s="154"/>
      <c r="B33" s="154"/>
      <c r="C33" s="1562"/>
      <c r="D33" s="452" t="s">
        <v>459</v>
      </c>
      <c r="E33" s="149">
        <f>E24</f>
        <v>33.75</v>
      </c>
      <c r="F33" s="207">
        <f>E33/E$29</f>
        <v>0.11824265143818098</v>
      </c>
      <c r="G33" s="149">
        <f>G24</f>
        <v>33.75</v>
      </c>
      <c r="H33" s="207">
        <f>G33/G$29</f>
        <v>9.7768276149754904E-2</v>
      </c>
      <c r="I33" s="149">
        <f>I24</f>
        <v>33.75</v>
      </c>
      <c r="J33" s="207">
        <f>I33/I$29</f>
        <v>0.10116269659284038</v>
      </c>
      <c r="K33" s="149">
        <f>K24</f>
        <v>33.75</v>
      </c>
      <c r="L33" s="207">
        <f>K33/K$29</f>
        <v>9.4168789533452937E-2</v>
      </c>
      <c r="M33" s="149">
        <f>M24</f>
        <v>78.75</v>
      </c>
      <c r="N33" s="207">
        <f>M33/M$29</f>
        <v>9.6585118164993128E-2</v>
      </c>
      <c r="O33" s="149">
        <f>O24</f>
        <v>78.75</v>
      </c>
      <c r="P33" s="207">
        <f>O33/O$29</f>
        <v>9.274766275889848E-2</v>
      </c>
      <c r="Q33" s="149">
        <f>Q24</f>
        <v>22.5</v>
      </c>
      <c r="R33" s="207">
        <f>Q33/Q$29</f>
        <v>8.9018306120107457E-2</v>
      </c>
      <c r="S33" s="149">
        <f>S24</f>
        <v>22.5</v>
      </c>
      <c r="T33" s="207">
        <f>S33/S$29</f>
        <v>6.8949878035326845E-2</v>
      </c>
      <c r="U33" s="149">
        <f>U24</f>
        <v>0</v>
      </c>
    </row>
    <row r="34" spans="1:21" ht="18" customHeight="1" x14ac:dyDescent="0.2">
      <c r="A34" s="154"/>
      <c r="B34" s="154"/>
      <c r="C34" s="1563"/>
      <c r="D34" s="452" t="s">
        <v>5</v>
      </c>
      <c r="E34" s="149">
        <f>E27</f>
        <v>20</v>
      </c>
      <c r="F34" s="207">
        <f>E34/E$29</f>
        <v>7.0069719370773914E-2</v>
      </c>
      <c r="G34" s="149">
        <f>G27</f>
        <v>20</v>
      </c>
      <c r="H34" s="207">
        <f>G34/G$29</f>
        <v>5.7936756236891797E-2</v>
      </c>
      <c r="I34" s="149">
        <f>I27</f>
        <v>20</v>
      </c>
      <c r="J34" s="207">
        <f>I34/I$29</f>
        <v>5.994826464760912E-2</v>
      </c>
      <c r="K34" s="149">
        <f>K27</f>
        <v>20</v>
      </c>
      <c r="L34" s="207">
        <f>K34/K$29</f>
        <v>5.5803727130935073E-2</v>
      </c>
      <c r="M34" s="149">
        <f>M27</f>
        <v>20</v>
      </c>
      <c r="N34" s="207">
        <f>M34/M$29</f>
        <v>2.4529553819680795E-2</v>
      </c>
      <c r="O34" s="149">
        <f>O27</f>
        <v>20</v>
      </c>
      <c r="P34" s="207">
        <f>O34/O$29</f>
        <v>2.3554961970513898E-2</v>
      </c>
      <c r="Q34" s="149">
        <f>Q27</f>
        <v>12</v>
      </c>
      <c r="R34" s="207">
        <f>Q34/Q$29</f>
        <v>4.7476429930723978E-2</v>
      </c>
      <c r="S34" s="149">
        <f>S27</f>
        <v>12</v>
      </c>
      <c r="T34" s="207">
        <f>S34/S$29</f>
        <v>3.6773268285507657E-2</v>
      </c>
      <c r="U34" s="149">
        <f>U27</f>
        <v>0</v>
      </c>
    </row>
  </sheetData>
  <mergeCells count="22">
    <mergeCell ref="S29:T29"/>
    <mergeCell ref="O2:P2"/>
    <mergeCell ref="Q2:R2"/>
    <mergeCell ref="S2:T2"/>
    <mergeCell ref="A4:A12"/>
    <mergeCell ref="K2:L2"/>
    <mergeCell ref="M2:N2"/>
    <mergeCell ref="A14:A19"/>
    <mergeCell ref="C2:C3"/>
    <mergeCell ref="E2:F2"/>
    <mergeCell ref="G2:H2"/>
    <mergeCell ref="I2:J2"/>
    <mergeCell ref="I29:J29"/>
    <mergeCell ref="K29:L29"/>
    <mergeCell ref="M29:N29"/>
    <mergeCell ref="O29:P29"/>
    <mergeCell ref="Q29:R29"/>
    <mergeCell ref="A20:A24"/>
    <mergeCell ref="A25:A27"/>
    <mergeCell ref="C29:C34"/>
    <mergeCell ref="E29:F29"/>
    <mergeCell ref="G29:H29"/>
  </mergeCells>
  <dataValidations count="8">
    <dataValidation type="list" allowBlank="1" showInputMessage="1" showErrorMessage="1" promptTitle="MATIERES" prompt="choisir le produit" sqref="C4:C12" xr:uid="{00000000-0002-0000-2D00-000000000000}">
      <formula1>INDIRECT(B4)</formula1>
    </dataValidation>
    <dataValidation type="list" allowBlank="1" showInputMessage="1" showErrorMessage="1" promptTitle="MATIERES" prompt="choisir catégorie" sqref="B4:B12" xr:uid="{00000000-0002-0000-2D00-000001000000}">
      <formula1>MOA_ALIM</formula1>
    </dataValidation>
    <dataValidation type="list" allowBlank="1" showInputMessage="1" showErrorMessage="1" promptTitle="Catégorie MOC" prompt="choisir" sqref="B20:B23" xr:uid="{00000000-0002-0000-2D00-000002000000}">
      <formula1>CATEGORIE_MOC</formula1>
    </dataValidation>
    <dataValidation type="list" allowBlank="1" showInputMessage="1" showErrorMessage="1" promptTitle="Main d'oeuvre ATELIER" prompt="choisir la prestation" sqref="C14:C18" xr:uid="{00000000-0002-0000-2D00-000003000000}">
      <formula1>INDIRECT(B14)</formula1>
    </dataValidation>
    <dataValidation type="list" allowBlank="1" showInputMessage="1" showErrorMessage="1" promptTitle="MO ATELIER" prompt="choisir catégorie" sqref="B14:B18" xr:uid="{00000000-0002-0000-2D00-000004000000}">
      <formula1>CATEGORIE_MOA</formula1>
    </dataValidation>
    <dataValidation type="list" allowBlank="1" showInputMessage="1" promptTitle="MINIPELLE" prompt="choisir la prestation" sqref="C25:C26" xr:uid="{00000000-0002-0000-2D00-000005000000}">
      <formula1>INDIRECT(B25)</formula1>
    </dataValidation>
    <dataValidation type="list" allowBlank="1" showInputMessage="1" showErrorMessage="1" promptTitle="MINIPELLE" prompt="choisir catégorie" sqref="B25:B26" xr:uid="{00000000-0002-0000-2D00-000006000000}">
      <formula1>CATEGORIE_MP</formula1>
    </dataValidation>
    <dataValidation type="list" allowBlank="1" showInputMessage="1" promptTitle="Main d'oeuvre CHANTIER" prompt="choisir la prestation" sqref="C20:C23" xr:uid="{00000000-0002-0000-2D00-000007000000}">
      <formula1>INDIRECT(B20)</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published="0" codeName="Feuil38"/>
  <dimension ref="A1:O39"/>
  <sheetViews>
    <sheetView zoomScaleNormal="100" workbookViewId="0">
      <selection activeCell="B12" sqref="B12"/>
    </sheetView>
  </sheetViews>
  <sheetFormatPr baseColWidth="10" defaultRowHeight="14.25" x14ac:dyDescent="0.2"/>
  <cols>
    <col min="1" max="1" width="18.125" customWidth="1"/>
    <col min="2" max="2" width="22.5" customWidth="1"/>
    <col min="3" max="3" width="37.5" customWidth="1"/>
    <col min="4" max="4" width="7.125" customWidth="1"/>
    <col min="5" max="5" width="10.625" customWidth="1"/>
    <col min="6" max="6" width="13.625" customWidth="1"/>
    <col min="7" max="7" width="10.625" customWidth="1"/>
    <col min="8" max="8" width="18.625" customWidth="1"/>
    <col min="9" max="9" width="10.125" customWidth="1"/>
    <col min="10" max="10" width="13.125" customWidth="1"/>
    <col min="11" max="11" width="11" customWidth="1"/>
    <col min="12" max="13" width="14.5" customWidth="1"/>
    <col min="14" max="15" width="13" customWidth="1"/>
    <col min="16" max="759" width="11.5" customWidth="1"/>
  </cols>
  <sheetData>
    <row r="1" spans="1:15" ht="14.85" customHeight="1" x14ac:dyDescent="0.2">
      <c r="A1" s="215"/>
      <c r="B1" s="216"/>
      <c r="C1" s="215"/>
      <c r="D1" s="217"/>
      <c r="E1" s="215"/>
      <c r="F1" s="215">
        <v>2</v>
      </c>
      <c r="G1" s="215"/>
      <c r="H1" s="215">
        <v>3</v>
      </c>
      <c r="I1" s="215"/>
      <c r="J1" s="215">
        <v>4</v>
      </c>
      <c r="K1" s="215"/>
      <c r="L1" s="215" t="str">
        <f>K2</f>
        <v>B4 (béton)</v>
      </c>
      <c r="M1" s="215"/>
      <c r="N1" s="215">
        <v>6</v>
      </c>
      <c r="O1" s="215"/>
    </row>
    <row r="2" spans="1:15" ht="35.1" customHeight="1" x14ac:dyDescent="0.2">
      <c r="A2" s="174"/>
      <c r="B2" s="1572" t="s">
        <v>599</v>
      </c>
      <c r="C2" s="1574" t="s">
        <v>468</v>
      </c>
      <c r="D2" s="115" t="s">
        <v>203</v>
      </c>
      <c r="E2" s="1571" t="s">
        <v>1442</v>
      </c>
      <c r="F2" s="1571"/>
      <c r="G2" s="1571" t="s">
        <v>1443</v>
      </c>
      <c r="H2" s="1571"/>
      <c r="I2" s="1571" t="s">
        <v>1444</v>
      </c>
      <c r="J2" s="1571"/>
      <c r="K2" s="1571" t="s">
        <v>1445</v>
      </c>
      <c r="L2" s="1571"/>
      <c r="M2" s="1571" t="s">
        <v>1446</v>
      </c>
      <c r="N2" s="1571"/>
      <c r="O2" s="1376" t="s">
        <v>680</v>
      </c>
    </row>
    <row r="3" spans="1:15" ht="35.1" customHeight="1" x14ac:dyDescent="0.2">
      <c r="A3" s="174"/>
      <c r="B3" s="1573"/>
      <c r="C3" s="1574"/>
      <c r="D3" s="176" t="s">
        <v>222</v>
      </c>
      <c r="E3" s="236" t="s">
        <v>444</v>
      </c>
      <c r="F3" s="303" t="s">
        <v>679</v>
      </c>
      <c r="G3" s="236" t="s">
        <v>444</v>
      </c>
      <c r="H3" s="303" t="s">
        <v>679</v>
      </c>
      <c r="I3" s="236" t="s">
        <v>444</v>
      </c>
      <c r="J3" s="303" t="s">
        <v>679</v>
      </c>
      <c r="K3" s="236" t="s">
        <v>444</v>
      </c>
      <c r="L3" s="303" t="s">
        <v>679</v>
      </c>
      <c r="M3" s="236" t="s">
        <v>444</v>
      </c>
      <c r="N3" s="303" t="s">
        <v>679</v>
      </c>
      <c r="O3" s="236" t="s">
        <v>444</v>
      </c>
    </row>
    <row r="4" spans="1:15" ht="19.350000000000001" customHeight="1" x14ac:dyDescent="0.2">
      <c r="A4" s="1550" t="s">
        <v>1078</v>
      </c>
      <c r="B4" s="361" t="s">
        <v>1069</v>
      </c>
      <c r="C4" s="362" t="s">
        <v>1429</v>
      </c>
      <c r="D4" s="363" t="str">
        <f>IF($C4="","",VLOOKUP($C4,MATIERES!$A$2:$F$227,5,0))</f>
        <v>ml</v>
      </c>
      <c r="E4" s="364">
        <v>0</v>
      </c>
      <c r="F4" s="365">
        <f>IF($C4="","",E4*VLOOKUP($C4,MATIERES!$A$2:$F$349,4,0))</f>
        <v>0</v>
      </c>
      <c r="G4" s="364">
        <v>1</v>
      </c>
      <c r="H4" s="365">
        <f>IF($C4="","",G4*VLOOKUP($C4,MATIERES!$A$2:$F$349,4,0))</f>
        <v>6</v>
      </c>
      <c r="I4" s="364">
        <v>0</v>
      </c>
      <c r="J4" s="365">
        <f>IF($C4="","",I4*VLOOKUP($C4,MATIERES!$A$2:$F$349,4,0))</f>
        <v>0</v>
      </c>
      <c r="K4" s="364">
        <v>0</v>
      </c>
      <c r="L4" s="365">
        <f>IF($C4="","",K4*VLOOKUP($C4,MATIERES!$A$2:$F$349,4,0))</f>
        <v>0</v>
      </c>
      <c r="M4" s="364">
        <v>0</v>
      </c>
      <c r="N4" s="365">
        <f>IF($C4="","",M4*VLOOKUP($C4,MATIERES!$A$2:$F$349,4,0))</f>
        <v>0</v>
      </c>
      <c r="O4" s="364">
        <v>0</v>
      </c>
    </row>
    <row r="5" spans="1:15" ht="28.35" customHeight="1" x14ac:dyDescent="0.2">
      <c r="A5" s="1550"/>
      <c r="B5" s="361" t="s">
        <v>791</v>
      </c>
      <c r="C5" s="362" t="s">
        <v>796</v>
      </c>
      <c r="D5" s="363" t="str">
        <f>IF($C5="","",VLOOKUP($C5,MATIERES!$A$2:$F$227,5,0))</f>
        <v>pc</v>
      </c>
      <c r="E5" s="364"/>
      <c r="F5" s="365">
        <f>IF($C5="","",E5*VLOOKUP($C5,MATIERES!$A$2:$F$349,4,0))</f>
        <v>0</v>
      </c>
      <c r="G5" s="364"/>
      <c r="H5" s="365">
        <f>IF($C5="","",G5*VLOOKUP($C5,MATIERES!$A$2:$F$349,4,0))</f>
        <v>0</v>
      </c>
      <c r="I5" s="364"/>
      <c r="J5" s="365">
        <f>IF($C5="","",I5*VLOOKUP($C5,MATIERES!$A$2:$F$349,4,0))</f>
        <v>0</v>
      </c>
      <c r="K5" s="364"/>
      <c r="L5" s="365">
        <f>IF($C5="","",K5*VLOOKUP($C5,MATIERES!$A$2:$F$349,4,0))</f>
        <v>0</v>
      </c>
      <c r="M5" s="364"/>
      <c r="N5" s="365">
        <f>IF($C5="","",M5*VLOOKUP($C5,MATIERES!$A$2:$F$349,4,0))</f>
        <v>0</v>
      </c>
      <c r="O5" s="364"/>
    </row>
    <row r="6" spans="1:15" ht="28.35" customHeight="1" x14ac:dyDescent="0.2">
      <c r="A6" s="1550"/>
      <c r="B6" s="361" t="s">
        <v>791</v>
      </c>
      <c r="C6" s="362" t="s">
        <v>798</v>
      </c>
      <c r="D6" s="363" t="str">
        <f>IF($C6="","",VLOOKUP($C6,MATIERES!$A$2:$F$227,5,0))</f>
        <v>pc</v>
      </c>
      <c r="E6" s="364">
        <v>1</v>
      </c>
      <c r="F6" s="365">
        <f>IF($C6="","",E6*VLOOKUP($C6,MATIERES!$A$2:$F$349,4,0))</f>
        <v>1.1000000000000001</v>
      </c>
      <c r="G6" s="364"/>
      <c r="H6" s="365">
        <f>IF($C6="","",G6*VLOOKUP($C6,MATIERES!$A$2:$F$349,4,0))</f>
        <v>0</v>
      </c>
      <c r="I6" s="364"/>
      <c r="J6" s="365">
        <f>IF($C6="","",I6*VLOOKUP($C6,MATIERES!$A$2:$F$349,4,0))</f>
        <v>0</v>
      </c>
      <c r="K6" s="364"/>
      <c r="L6" s="365">
        <f>IF($C6="","",K6*VLOOKUP($C6,MATIERES!$A$2:$F$349,4,0))</f>
        <v>0</v>
      </c>
      <c r="M6" s="364"/>
      <c r="N6" s="365">
        <f>IF($C6="","",M6*VLOOKUP($C6,MATIERES!$A$2:$F$349,4,0))</f>
        <v>0</v>
      </c>
      <c r="O6" s="364"/>
    </row>
    <row r="7" spans="1:15" ht="35.1" customHeight="1" x14ac:dyDescent="0.2">
      <c r="A7" s="1550"/>
      <c r="B7" s="361" t="s">
        <v>791</v>
      </c>
      <c r="C7" s="362" t="s">
        <v>799</v>
      </c>
      <c r="D7" s="363" t="str">
        <f>IF($C7="","",VLOOKUP($C7,MATIERES!$A$2:$F$227,5,0))</f>
        <v>pc</v>
      </c>
      <c r="E7" s="364"/>
      <c r="F7" s="365">
        <f>IF($C7="","",E7*VLOOKUP($C7,MATIERES!$A$2:$F$349,4,0))</f>
        <v>0</v>
      </c>
      <c r="G7" s="364"/>
      <c r="H7" s="365">
        <f>IF($C7="","",G7*VLOOKUP($C7,MATIERES!$A$2:$F$349,4,0))</f>
        <v>0</v>
      </c>
      <c r="I7" s="364"/>
      <c r="J7" s="365">
        <f>IF($C7="","",I7*VLOOKUP($C7,MATIERES!$A$2:$F$349,4,0))</f>
        <v>0</v>
      </c>
      <c r="K7" s="364">
        <v>1</v>
      </c>
      <c r="L7" s="365">
        <f>IF($C7="","",K7*VLOOKUP($C7,MATIERES!$A$2:$F$349,4,0))</f>
        <v>3.9</v>
      </c>
      <c r="M7" s="364"/>
      <c r="N7" s="365">
        <f>IF($C7="","",M7*VLOOKUP($C7,MATIERES!$A$2:$F$349,4,0))</f>
        <v>0</v>
      </c>
      <c r="O7" s="364"/>
    </row>
    <row r="8" spans="1:15" ht="36.6" customHeight="1" x14ac:dyDescent="0.2">
      <c r="A8" s="1550"/>
      <c r="B8" s="361" t="s">
        <v>791</v>
      </c>
      <c r="C8" s="362" t="s">
        <v>792</v>
      </c>
      <c r="D8" s="363" t="str">
        <f>IF($C8="","",VLOOKUP($C8,MATIERES!$A$2:$F$227,5,0))</f>
        <v>pc</v>
      </c>
      <c r="E8" s="364"/>
      <c r="F8" s="365">
        <f>IF($C8="","",E8*VLOOKUP($C8,MATIERES!$A$2:$F$349,4,0))</f>
        <v>0</v>
      </c>
      <c r="G8" s="364"/>
      <c r="H8" s="365">
        <f>IF($C8="","",G8*VLOOKUP($C8,MATIERES!$A$2:$F$349,4,0))</f>
        <v>0</v>
      </c>
      <c r="I8" s="364"/>
      <c r="J8" s="365">
        <f>IF($C8="","",I8*VLOOKUP($C8,MATIERES!$A$2:$F$349,4,0))</f>
        <v>0</v>
      </c>
      <c r="K8" s="364"/>
      <c r="L8" s="365">
        <f>IF($C8="","",K8*VLOOKUP($C8,MATIERES!$A$2:$F$349,4,0))</f>
        <v>0</v>
      </c>
      <c r="M8" s="364">
        <v>1</v>
      </c>
      <c r="N8" s="365">
        <f>IF($C8="","",M8*VLOOKUP($C8,MATIERES!$A$2:$F$349,4,0))</f>
        <v>3.9</v>
      </c>
      <c r="O8" s="364"/>
    </row>
    <row r="9" spans="1:15" ht="23.1" customHeight="1" x14ac:dyDescent="0.2">
      <c r="A9" s="1550"/>
      <c r="B9" s="361" t="s">
        <v>791</v>
      </c>
      <c r="C9" s="362"/>
      <c r="D9" s="363" t="str">
        <f>IF($C9="","",VLOOKUP($C9,MATIERES!$A$2:$F$227,5,0))</f>
        <v/>
      </c>
      <c r="E9" s="364"/>
      <c r="F9" s="365" t="str">
        <f>IF($C9="","",E9*VLOOKUP($C9,MATIERES!$A$2:$F$349,4,0))</f>
        <v/>
      </c>
      <c r="G9" s="364"/>
      <c r="H9" s="365" t="str">
        <f>IF($C9="","",G9*VLOOKUP($C9,MATIERES!$A$2:$F$349,4,0))</f>
        <v/>
      </c>
      <c r="I9" s="364"/>
      <c r="J9" s="365" t="str">
        <f>IF($C9="","",I9*VLOOKUP($C9,MATIERES!$A$2:$F$349,4,0))</f>
        <v/>
      </c>
      <c r="K9" s="364"/>
      <c r="L9" s="365" t="str">
        <f>IF($C9="","",K9*VLOOKUP($C9,MATIERES!$A$2:$F$349,4,0))</f>
        <v/>
      </c>
      <c r="M9" s="364"/>
      <c r="N9" s="365" t="str">
        <f>IF($C9="","",M9*VLOOKUP($C9,MATIERES!$A$2:$F$349,4,0))</f>
        <v/>
      </c>
      <c r="O9" s="364"/>
    </row>
    <row r="10" spans="1:15" x14ac:dyDescent="0.2">
      <c r="A10" s="1550"/>
      <c r="B10" s="361" t="s">
        <v>791</v>
      </c>
      <c r="C10" s="362"/>
      <c r="D10" s="363" t="str">
        <f>IF($C10="","",VLOOKUP($C10,MATIERES!$A$2:$F$227,5,0))</f>
        <v/>
      </c>
      <c r="E10" s="364"/>
      <c r="F10" s="365" t="str">
        <f>IF($C10="","",E10*VLOOKUP($C10,MATIERES!$A$2:$F$349,4,0))</f>
        <v/>
      </c>
      <c r="G10" s="364"/>
      <c r="H10" s="365" t="str">
        <f>IF($C10="","",G10*VLOOKUP($C10,MATIERES!$A$2:$F$349,4,0))</f>
        <v/>
      </c>
      <c r="I10" s="364"/>
      <c r="J10" s="365" t="str">
        <f>IF($C10="","",I10*VLOOKUP($C10,MATIERES!$A$2:$F$349,4,0))</f>
        <v/>
      </c>
      <c r="K10" s="364"/>
      <c r="L10" s="365" t="str">
        <f>IF($C10="","",K10*VLOOKUP($C10,MATIERES!$A$2:$F$349,4,0))</f>
        <v/>
      </c>
      <c r="M10" s="364"/>
      <c r="N10" s="365" t="str">
        <f>IF($C10="","",M10*VLOOKUP($C10,MATIERES!$A$2:$F$349,4,0))</f>
        <v/>
      </c>
      <c r="O10" s="364"/>
    </row>
    <row r="11" spans="1:15" ht="24" x14ac:dyDescent="0.2">
      <c r="A11" s="366"/>
      <c r="B11" s="367" t="s">
        <v>1173</v>
      </c>
      <c r="C11" s="368" t="s">
        <v>446</v>
      </c>
      <c r="D11" s="369" t="s">
        <v>447</v>
      </c>
      <c r="E11" s="370">
        <f>F11*(1+Simulation!$P$11)</f>
        <v>1.4300000000000002</v>
      </c>
      <c r="F11" s="371">
        <f>SUM(F4:F10)</f>
        <v>1.1000000000000001</v>
      </c>
      <c r="G11" s="370">
        <f>H11*(1+Simulation!$P$11)</f>
        <v>7.8000000000000007</v>
      </c>
      <c r="H11" s="371">
        <f>SUM(H4:H10)</f>
        <v>6</v>
      </c>
      <c r="I11" s="370">
        <f>J11*(1+Simulation!$P$11)</f>
        <v>0</v>
      </c>
      <c r="J11" s="371">
        <f>SUM(J4:J10)</f>
        <v>0</v>
      </c>
      <c r="K11" s="370">
        <f>L11*(1+Simulation!$P$11)</f>
        <v>5.07</v>
      </c>
      <c r="L11" s="371">
        <f>SUM(L4:L10)</f>
        <v>3.9</v>
      </c>
      <c r="M11" s="370">
        <f>N11*(1+Simulation!$P$11)</f>
        <v>5.07</v>
      </c>
      <c r="N11" s="371">
        <f>SUM(N4:N10)</f>
        <v>3.9</v>
      </c>
      <c r="O11" s="370" t="e">
        <f>#REF!*(1+Simulation!$P$11)</f>
        <v>#REF!</v>
      </c>
    </row>
    <row r="12" spans="1:15" ht="15" customHeight="1" x14ac:dyDescent="0.2">
      <c r="A12" s="1553" t="s">
        <v>448</v>
      </c>
      <c r="B12" s="361" t="s">
        <v>1079</v>
      </c>
      <c r="C12" s="362"/>
      <c r="D12" s="363" t="str">
        <f>IF($C12="","",VLOOKUP($C12,ATELIER!$B$2:$E$109,3,0))</f>
        <v/>
      </c>
      <c r="E12" s="364"/>
      <c r="F12" s="372" t="str">
        <f>IF($C12="","",E12*VLOOKUP($C12,ATELIER!$B$2:$F$109,4,0))</f>
        <v/>
      </c>
      <c r="G12" s="364"/>
      <c r="H12" s="372" t="str">
        <f>IF($C12="","",G12*VLOOKUP($C12,ATELIER!$B$2:$F$109,4,0))</f>
        <v/>
      </c>
      <c r="I12" s="364"/>
      <c r="J12" s="372" t="str">
        <f>IF($C12="","",I12*VLOOKUP($C12,ATELIER!$B$2:$F$109,4,0))</f>
        <v/>
      </c>
      <c r="K12" s="364"/>
      <c r="L12" s="372" t="str">
        <f>IF($C12="","",K12*VLOOKUP($C12,ATELIER!$B$2:$F$109,4,0))</f>
        <v/>
      </c>
      <c r="M12" s="364"/>
      <c r="N12" s="372" t="str">
        <f>IF($C12="","",M12*VLOOKUP($C12,ATELIER!$B$2:$F$109,4,0))</f>
        <v/>
      </c>
      <c r="O12" s="364"/>
    </row>
    <row r="13" spans="1:15" ht="18" customHeight="1" x14ac:dyDescent="0.2">
      <c r="A13" s="1553"/>
      <c r="B13" s="361" t="s">
        <v>1079</v>
      </c>
      <c r="C13" s="362"/>
      <c r="D13" s="363" t="str">
        <f>IF($C13="","",VLOOKUP($C13,ATELIER!$B$2:$E$109,3,0))</f>
        <v/>
      </c>
      <c r="E13" s="364"/>
      <c r="F13" s="372" t="str">
        <f>IF($C13="","",E13*VLOOKUP($C13,ATELIER!$B$2:$F$109,4,0))</f>
        <v/>
      </c>
      <c r="G13" s="364"/>
      <c r="H13" s="372" t="str">
        <f>IF($C13="","",G13*VLOOKUP($C13,ATELIER!$B$2:$F$109,4,0))</f>
        <v/>
      </c>
      <c r="I13" s="364"/>
      <c r="J13" s="372" t="str">
        <f>IF($C13="","",I13*VLOOKUP($C13,ATELIER!$B$2:$F$109,4,0))</f>
        <v/>
      </c>
      <c r="K13" s="364"/>
      <c r="L13" s="372" t="str">
        <f>IF($C13="","",K13*VLOOKUP($C13,ATELIER!$B$2:$F$109,4,0))</f>
        <v/>
      </c>
      <c r="M13" s="364"/>
      <c r="N13" s="372" t="str">
        <f>IF($C13="","",M13*VLOOKUP($C13,ATELIER!$B$2:$F$109,4,0))</f>
        <v/>
      </c>
      <c r="O13" s="364"/>
    </row>
    <row r="14" spans="1:15" ht="18" customHeight="1" x14ac:dyDescent="0.2">
      <c r="A14" s="1552"/>
      <c r="B14" s="361" t="s">
        <v>1079</v>
      </c>
      <c r="C14" s="374"/>
      <c r="D14" s="363" t="str">
        <f>IF($C14="","",VLOOKUP($C14,ATELIER!$B$2:$E$109,3,0))</f>
        <v/>
      </c>
      <c r="E14" s="364"/>
      <c r="F14" s="372" t="str">
        <f>IF($C14="","",E14*VLOOKUP($C14,ATELIER!$B$2:$F$109,4,0))</f>
        <v/>
      </c>
      <c r="G14" s="364"/>
      <c r="H14" s="372" t="str">
        <f>IF($C14="","",G14*VLOOKUP($C14,ATELIER!$B$2:$F$109,4,0))</f>
        <v/>
      </c>
      <c r="I14" s="364"/>
      <c r="J14" s="372" t="str">
        <f>IF($C14="","",I14*VLOOKUP($C14,ATELIER!$B$2:$F$109,4,0))</f>
        <v/>
      </c>
      <c r="K14" s="364"/>
      <c r="L14" s="372" t="str">
        <f>IF($C14="","",K14*VLOOKUP($C14,ATELIER!$B$2:$F$109,4,0))</f>
        <v/>
      </c>
      <c r="M14" s="364"/>
      <c r="N14" s="372" t="str">
        <f>IF($C14="","",M14*VLOOKUP($C14,ATELIER!$B$2:$F$109,4,0))</f>
        <v/>
      </c>
      <c r="O14" s="364"/>
    </row>
    <row r="15" spans="1:15" ht="18" customHeight="1" x14ac:dyDescent="0.2">
      <c r="A15" s="1553"/>
      <c r="B15" s="361" t="s">
        <v>1079</v>
      </c>
      <c r="C15" s="362"/>
      <c r="D15" s="363" t="str">
        <f>IF($C15="","",VLOOKUP($C15,ATELIER!$B$2:$E$109,3,0))</f>
        <v/>
      </c>
      <c r="E15" s="364"/>
      <c r="F15" s="372" t="str">
        <f>IF($C15="","",E15*VLOOKUP($C15,ATELIER!$B$2:$F$109,4,0))</f>
        <v/>
      </c>
      <c r="G15" s="364"/>
      <c r="H15" s="372" t="str">
        <f>IF($C15="","",G15*VLOOKUP($C15,ATELIER!$B$2:$F$109,4,0))</f>
        <v/>
      </c>
      <c r="I15" s="364"/>
      <c r="J15" s="372" t="str">
        <f>IF($C15="","",I15*VLOOKUP($C15,ATELIER!$B$2:$F$109,4,0))</f>
        <v/>
      </c>
      <c r="K15" s="364"/>
      <c r="L15" s="372" t="str">
        <f>IF($C15="","",K15*VLOOKUP($C15,ATELIER!$B$2:$F$109,4,0))</f>
        <v/>
      </c>
      <c r="M15" s="364"/>
      <c r="N15" s="372" t="str">
        <f>IF($C15="","",M15*VLOOKUP($C15,ATELIER!$B$2:$F$109,4,0))</f>
        <v/>
      </c>
      <c r="O15" s="364"/>
    </row>
    <row r="16" spans="1:15" x14ac:dyDescent="0.2">
      <c r="A16" s="1553"/>
      <c r="B16" s="361" t="str">
        <f>IF($C16="","",VLOOKUP($C16,ATELIER!$B$2:$F$109,2,0))</f>
        <v/>
      </c>
      <c r="C16" s="362"/>
      <c r="D16" s="363" t="str">
        <f>IF($C16="","",VLOOKUP($C16,ATELIER!$B$2:$E$109,3,0))</f>
        <v/>
      </c>
      <c r="E16" s="364"/>
      <c r="F16" s="372" t="str">
        <f>IF($C16="","",E16*VLOOKUP($C16,ATELIER!$B$2:$F$109,4,0))</f>
        <v/>
      </c>
      <c r="G16" s="364"/>
      <c r="H16" s="372" t="str">
        <f>IF($C16="","",G16*VLOOKUP($C16,ATELIER!$B$2:$F$109,4,0))</f>
        <v/>
      </c>
      <c r="I16" s="364"/>
      <c r="J16" s="372" t="str">
        <f>IF($C16="","",I16*VLOOKUP($C16,ATELIER!$B$2:$F$109,4,0))</f>
        <v/>
      </c>
      <c r="K16" s="364"/>
      <c r="L16" s="372" t="str">
        <f>IF($C16="","",K16*VLOOKUP($C16,ATELIER!$B$2:$F$109,4,0))</f>
        <v/>
      </c>
      <c r="M16" s="364"/>
      <c r="N16" s="372" t="str">
        <f>IF($C16="","",M16*VLOOKUP($C16,ATELIER!$B$2:$F$109,4,0))</f>
        <v/>
      </c>
      <c r="O16" s="364"/>
    </row>
    <row r="17" spans="1:15" x14ac:dyDescent="0.2">
      <c r="A17" s="1553"/>
      <c r="B17" s="361" t="str">
        <f>IF($C17="","",VLOOKUP($C17,ATELIER!$B$2:$F$109,2,0))</f>
        <v/>
      </c>
      <c r="C17" s="362"/>
      <c r="D17" s="363" t="str">
        <f>IF($C17="","",VLOOKUP($C17,ATELIER!$B$2:$E$109,3,0))</f>
        <v/>
      </c>
      <c r="E17" s="364"/>
      <c r="F17" s="372" t="str">
        <f>IF($C17="","",E17*VLOOKUP($C17,ATELIER!$B$2:$F$109,4,0))</f>
        <v/>
      </c>
      <c r="G17" s="364"/>
      <c r="H17" s="372" t="str">
        <f>IF($C17="","",G17*VLOOKUP($C17,ATELIER!$B$2:$F$109,4,0))</f>
        <v/>
      </c>
      <c r="I17" s="364"/>
      <c r="J17" s="372" t="str">
        <f>IF($C17="","",I17*VLOOKUP($C17,ATELIER!$B$2:$F$109,4,0))</f>
        <v/>
      </c>
      <c r="K17" s="364"/>
      <c r="L17" s="372" t="str">
        <f>IF($C17="","",K17*VLOOKUP($C17,ATELIER!$B$2:$F$109,4,0))</f>
        <v/>
      </c>
      <c r="M17" s="364"/>
      <c r="N17" s="372" t="str">
        <f>IF($C17="","",M17*VLOOKUP($C17,ATELIER!$B$2:$F$109,4,0))</f>
        <v/>
      </c>
      <c r="O17" s="364"/>
    </row>
    <row r="18" spans="1:15" x14ac:dyDescent="0.2">
      <c r="A18" s="1553"/>
      <c r="B18" s="375" t="s">
        <v>449</v>
      </c>
      <c r="C18" s="376" t="s">
        <v>450</v>
      </c>
      <c r="D18" s="377" t="s">
        <v>451</v>
      </c>
      <c r="E18" s="376">
        <f>F18*Simulation!$P$8</f>
        <v>0</v>
      </c>
      <c r="F18" s="377">
        <f>SUM(F12:F17)</f>
        <v>0</v>
      </c>
      <c r="G18" s="376">
        <f>H18*Simulation!$P$8</f>
        <v>0</v>
      </c>
      <c r="H18" s="377">
        <f>SUM(H12:H17)</f>
        <v>0</v>
      </c>
      <c r="I18" s="376">
        <f>J18*Simulation!$P$8</f>
        <v>0</v>
      </c>
      <c r="J18" s="377">
        <f>SUM(J12:J17)</f>
        <v>0</v>
      </c>
      <c r="K18" s="376">
        <f>L18*Simulation!$P$8</f>
        <v>0</v>
      </c>
      <c r="L18" s="377">
        <f>SUM(L12:L17)</f>
        <v>0</v>
      </c>
      <c r="M18" s="376">
        <f>N18*Simulation!$P$8</f>
        <v>0</v>
      </c>
      <c r="N18" s="377">
        <f>SUM(N12:N17)</f>
        <v>0</v>
      </c>
      <c r="O18" s="376" t="e">
        <f>#REF!*Simulation!$P$8</f>
        <v>#REF!</v>
      </c>
    </row>
    <row r="19" spans="1:15" x14ac:dyDescent="0.2">
      <c r="A19" s="1554" t="s">
        <v>452</v>
      </c>
      <c r="B19" s="361" t="s">
        <v>1434</v>
      </c>
      <c r="C19" s="378" t="s">
        <v>1435</v>
      </c>
      <c r="D19" s="363" t="str">
        <f>IF(C19="","",VLOOKUP($C19,CHANTIER!$A$2:$C$83,3,0))</f>
        <v>ml</v>
      </c>
      <c r="E19" s="364"/>
      <c r="F19" s="372">
        <f>IF($C19="","",E19*VLOOKUP($C19,CHANTIER!$A$2:$D$83,4,0))</f>
        <v>0</v>
      </c>
      <c r="G19" s="364">
        <v>1</v>
      </c>
      <c r="H19" s="372">
        <f>IF($C19="","",G19*VLOOKUP($C19,CHANTIER!$A$2:$D$83,4,0))</f>
        <v>0.05</v>
      </c>
      <c r="I19" s="364"/>
      <c r="J19" s="372">
        <f>IF($C19="","",I19*VLOOKUP($C19,CHANTIER!$A$2:$D$83,4,0))</f>
        <v>0</v>
      </c>
      <c r="K19" s="364"/>
      <c r="L19" s="372">
        <f>IF($C19="","",K19*VLOOKUP($C19,CHANTIER!$A$2:$D$83,4,0))</f>
        <v>0</v>
      </c>
      <c r="M19" s="364"/>
      <c r="N19" s="372">
        <f>IF($C19="","",M19*VLOOKUP($C19,CHANTIER!$A$2:$D$83,4,0))</f>
        <v>0</v>
      </c>
      <c r="O19" s="364"/>
    </row>
    <row r="20" spans="1:15" x14ac:dyDescent="0.2">
      <c r="A20" s="1555"/>
      <c r="B20" s="361" t="s">
        <v>1434</v>
      </c>
      <c r="C20" s="378" t="s">
        <v>1447</v>
      </c>
      <c r="D20" s="363" t="str">
        <f>IF(C20="","",VLOOKUP($C20,CHANTIER!$A$2:$C$83,3,0))</f>
        <v>ml</v>
      </c>
      <c r="E20" s="364"/>
      <c r="F20" s="372">
        <f>IF($C20="","",E20*VLOOKUP($C20,CHANTIER!$A$2:$D$83,4,0))</f>
        <v>0</v>
      </c>
      <c r="G20" s="364"/>
      <c r="H20" s="372">
        <f>IF($C20="","",G20*VLOOKUP($C20,CHANTIER!$A$2:$D$83,4,0))</f>
        <v>0</v>
      </c>
      <c r="I20" s="364">
        <v>1.5</v>
      </c>
      <c r="J20" s="372">
        <f>IF($C20="","",I20*VLOOKUP($C20,CHANTIER!$A$2:$D$83,4,0))</f>
        <v>0.15000000000000002</v>
      </c>
      <c r="K20" s="364"/>
      <c r="L20" s="372">
        <f>IF($C20="","",K20*VLOOKUP($C20,CHANTIER!$A$2:$D$83,4,0))</f>
        <v>0</v>
      </c>
      <c r="M20" s="364">
        <v>1</v>
      </c>
      <c r="N20" s="372">
        <f>IF($C20="","",M20*VLOOKUP($C20,CHANTIER!$A$2:$D$83,4,0))</f>
        <v>0.1</v>
      </c>
      <c r="O20" s="364"/>
    </row>
    <row r="21" spans="1:15" x14ac:dyDescent="0.2">
      <c r="A21" s="1554"/>
      <c r="B21" s="361" t="s">
        <v>1434</v>
      </c>
      <c r="C21" s="378" t="s">
        <v>1448</v>
      </c>
      <c r="D21" s="363" t="str">
        <f>IF(C21="","",VLOOKUP($C21,CHANTIER!$A$2:$C$83,3,0))</f>
        <v>ml</v>
      </c>
      <c r="E21" s="364"/>
      <c r="F21" s="372">
        <f>IF($C21="","",E21*VLOOKUP($C21,CHANTIER!$A$2:$D$83,4,0))</f>
        <v>0</v>
      </c>
      <c r="G21" s="364"/>
      <c r="H21" s="372">
        <f>IF($C21="","",G21*VLOOKUP($C21,CHANTIER!$A$2:$D$83,4,0))</f>
        <v>0</v>
      </c>
      <c r="I21" s="364"/>
      <c r="J21" s="372">
        <f>IF($C21="","",I21*VLOOKUP($C21,CHANTIER!$A$2:$D$83,4,0))</f>
        <v>0</v>
      </c>
      <c r="K21" s="364">
        <v>1</v>
      </c>
      <c r="L21" s="372">
        <f>IF($C21="","",K21*VLOOKUP($C21,CHANTIER!$A$2:$D$83,4,0))</f>
        <v>0.1</v>
      </c>
      <c r="M21" s="364"/>
      <c r="N21" s="372">
        <f>IF($C21="","",M21*VLOOKUP($C21,CHANTIER!$A$2:$D$83,4,0))</f>
        <v>0</v>
      </c>
      <c r="O21" s="364"/>
    </row>
    <row r="22" spans="1:15" x14ac:dyDescent="0.2">
      <c r="A22" s="1554"/>
      <c r="B22" s="361" t="s">
        <v>1434</v>
      </c>
      <c r="C22" s="378" t="s">
        <v>1449</v>
      </c>
      <c r="D22" s="363" t="str">
        <f>IF(C22="","",VLOOKUP($C22,CHANTIER!$A$2:$C$83,3,0))</f>
        <v>ml</v>
      </c>
      <c r="E22" s="364">
        <v>1</v>
      </c>
      <c r="F22" s="372">
        <f>IF($C22="","",E22*VLOOKUP($C22,CHANTIER!$A$2:$D$83,4,0))</f>
        <v>0.1</v>
      </c>
      <c r="G22" s="364"/>
      <c r="H22" s="372">
        <f>IF($C22="","",G22*VLOOKUP($C22,CHANTIER!$A$2:$D$83,4,0))</f>
        <v>0</v>
      </c>
      <c r="I22" s="364"/>
      <c r="J22" s="372">
        <f>IF($C22="","",I22*VLOOKUP($C22,CHANTIER!$A$2:$D$83,4,0))</f>
        <v>0</v>
      </c>
      <c r="K22" s="364"/>
      <c r="L22" s="372">
        <f>IF($C22="","",K22*VLOOKUP($C22,CHANTIER!$A$2:$D$83,4,0))</f>
        <v>0</v>
      </c>
      <c r="M22" s="364"/>
      <c r="N22" s="372">
        <f>IF($C22="","",M22*VLOOKUP($C22,CHANTIER!$A$2:$D$83,4,0))</f>
        <v>0</v>
      </c>
      <c r="O22" s="364"/>
    </row>
    <row r="23" spans="1:15" x14ac:dyDescent="0.2">
      <c r="A23" s="1554"/>
      <c r="B23" s="361" t="s">
        <v>1434</v>
      </c>
      <c r="C23" s="378"/>
      <c r="D23" s="363" t="str">
        <f>IF(C23="","",VLOOKUP($C23,CHANTIER!$A$2:$C$83,3,0))</f>
        <v/>
      </c>
      <c r="E23" s="364"/>
      <c r="F23" s="372" t="str">
        <f>IF($C23="","",E23*VLOOKUP($C23,CHANTIER!$A$2:$D$83,4,0))</f>
        <v/>
      </c>
      <c r="G23" s="364"/>
      <c r="H23" s="372" t="str">
        <f>IF($C23="","",G23*VLOOKUP($C23,CHANTIER!$A$2:$D$83,4,0))</f>
        <v/>
      </c>
      <c r="I23" s="364"/>
      <c r="J23" s="372" t="str">
        <f>IF($C23="","",I23*VLOOKUP($C23,CHANTIER!$A$2:$D$83,4,0))</f>
        <v/>
      </c>
      <c r="K23" s="364"/>
      <c r="L23" s="372" t="str">
        <f>IF($C23="","",K23*VLOOKUP($C23,CHANTIER!$A$2:$D$83,4,0))</f>
        <v/>
      </c>
      <c r="M23" s="364"/>
      <c r="N23" s="372" t="str">
        <f>IF($C23="","",M23*VLOOKUP($C23,CHANTIER!$A$2:$D$83,4,0))</f>
        <v/>
      </c>
      <c r="O23" s="364"/>
    </row>
    <row r="24" spans="1:15" x14ac:dyDescent="0.2">
      <c r="A24" s="1554"/>
      <c r="B24" s="361" t="s">
        <v>1434</v>
      </c>
      <c r="C24" s="378"/>
      <c r="D24" s="363" t="str">
        <f>IF(C24="","",VLOOKUP($C24,CHANTIER!$A$2:$C$83,3,0))</f>
        <v/>
      </c>
      <c r="E24" s="364"/>
      <c r="F24" s="372" t="str">
        <f>IF($C24="","",E24*VLOOKUP($C24,CHANTIER!$A$2:$D$83,4,0))</f>
        <v/>
      </c>
      <c r="G24" s="364"/>
      <c r="H24" s="372" t="str">
        <f>IF($C24="","",G24*VLOOKUP($C24,CHANTIER!$A$2:$D$83,4,0))</f>
        <v/>
      </c>
      <c r="I24" s="364"/>
      <c r="J24" s="372" t="str">
        <f>IF($C24="","",I24*VLOOKUP($C24,CHANTIER!$A$2:$D$83,4,0))</f>
        <v/>
      </c>
      <c r="K24" s="364"/>
      <c r="L24" s="372" t="str">
        <f>IF($C24="","",K24*VLOOKUP($C24,CHANTIER!$A$2:$D$83,4,0))</f>
        <v/>
      </c>
      <c r="M24" s="364"/>
      <c r="N24" s="372" t="str">
        <f>IF($C24="","",M24*VLOOKUP($C24,CHANTIER!$A$2:$D$83,4,0))</f>
        <v/>
      </c>
      <c r="O24" s="364"/>
    </row>
    <row r="25" spans="1:15" ht="36.75" customHeight="1" x14ac:dyDescent="0.2">
      <c r="A25" s="1554"/>
      <c r="B25" s="361"/>
      <c r="C25" s="378"/>
      <c r="D25" s="363" t="str">
        <f>IF(C25="","",VLOOKUP($C25,CHANTIER!$A$2:$C$83,3,0))</f>
        <v/>
      </c>
      <c r="E25" s="364"/>
      <c r="F25" s="372" t="str">
        <f>IF($C25="","",E25*VLOOKUP($C25,CHANTIER!$A$2:$D$83,4,0))</f>
        <v/>
      </c>
      <c r="G25" s="364"/>
      <c r="H25" s="372" t="str">
        <f>IF($C25="","",G25*VLOOKUP($C25,CHANTIER!$A$2:$D$83,4,0))</f>
        <v/>
      </c>
      <c r="I25" s="364"/>
      <c r="J25" s="372" t="str">
        <f>IF($C25="","",I25*VLOOKUP($C25,CHANTIER!$A$2:$D$83,4,0))</f>
        <v/>
      </c>
      <c r="K25" s="364"/>
      <c r="L25" s="372" t="str">
        <f>IF($C25="","",K25*VLOOKUP($C25,CHANTIER!$A$2:$D$83,4,0))</f>
        <v/>
      </c>
      <c r="M25" s="364"/>
      <c r="N25" s="372" t="str">
        <f>IF($C25="","",M25*VLOOKUP($C25,CHANTIER!$A$2:$D$83,4,0))</f>
        <v/>
      </c>
      <c r="O25" s="364"/>
    </row>
    <row r="26" spans="1:15" ht="31.35" customHeight="1" x14ac:dyDescent="0.2">
      <c r="A26" s="1554"/>
      <c r="B26" s="361"/>
      <c r="C26" s="378"/>
      <c r="D26" s="363" t="str">
        <f>IF(C26="","",VLOOKUP($C26,CHANTIER!$A$2:$C$83,3,0))</f>
        <v/>
      </c>
      <c r="E26" s="364"/>
      <c r="F26" s="372" t="str">
        <f>IF($C26="","",E26*VLOOKUP($C26,CHANTIER!$A$2:$D$83,4,0))</f>
        <v/>
      </c>
      <c r="G26" s="364"/>
      <c r="H26" s="372" t="str">
        <f>IF($C26="","",G26*VLOOKUP($C26,CHANTIER!$A$2:$D$83,4,0))</f>
        <v/>
      </c>
      <c r="I26" s="364"/>
      <c r="J26" s="372" t="str">
        <f>IF($C26="","",I26*VLOOKUP($C26,CHANTIER!$A$2:$D$83,4,0))</f>
        <v/>
      </c>
      <c r="K26" s="364"/>
      <c r="L26" s="372" t="str">
        <f>IF($C26="","",K26*VLOOKUP($C26,CHANTIER!$A$2:$D$83,4,0))</f>
        <v/>
      </c>
      <c r="M26" s="364"/>
      <c r="N26" s="372" t="str">
        <f>IF($C26="","",M26*VLOOKUP($C26,CHANTIER!$A$2:$D$83,4,0))</f>
        <v/>
      </c>
      <c r="O26" s="364"/>
    </row>
    <row r="27" spans="1:15" x14ac:dyDescent="0.2">
      <c r="A27" s="1554"/>
      <c r="B27" s="361"/>
      <c r="C27" s="378"/>
      <c r="D27" s="363" t="str">
        <f>IF(C27="","",VLOOKUP($C27,CHANTIER!$A$2:$C$83,3,0))</f>
        <v/>
      </c>
      <c r="E27" s="364"/>
      <c r="F27" s="372" t="str">
        <f>IF($C27="","",E27*VLOOKUP($C27,CHANTIER!$A$2:$D$83,4,0))</f>
        <v/>
      </c>
      <c r="G27" s="364"/>
      <c r="H27" s="372" t="str">
        <f>IF($C27="","",G27*VLOOKUP($C27,CHANTIER!$A$2:$D$83,4,0))</f>
        <v/>
      </c>
      <c r="I27" s="364"/>
      <c r="J27" s="372" t="str">
        <f>IF($C27="","",I27*VLOOKUP($C27,CHANTIER!$A$2:$D$83,4,0))</f>
        <v/>
      </c>
      <c r="K27" s="364"/>
      <c r="L27" s="372" t="str">
        <f>IF($C27="","",K27*VLOOKUP($C27,CHANTIER!$A$2:$D$83,4,0))</f>
        <v/>
      </c>
      <c r="M27" s="364"/>
      <c r="N27" s="372" t="str">
        <f>IF($C27="","",M27*VLOOKUP($C27,CHANTIER!$A$2:$D$83,4,0))</f>
        <v/>
      </c>
      <c r="O27" s="364"/>
    </row>
    <row r="28" spans="1:15" x14ac:dyDescent="0.2">
      <c r="A28" s="1554"/>
      <c r="B28" s="361"/>
      <c r="C28" s="378"/>
      <c r="D28" s="363" t="str">
        <f>IF(C28="","",VLOOKUP($C28,CHANTIER!$A$2:$C$83,3,0))</f>
        <v/>
      </c>
      <c r="E28" s="364"/>
      <c r="F28" s="372" t="str">
        <f>IF($C28="","",E28*VLOOKUP($C28,CHANTIER!$A$2:$D$83,4,0))</f>
        <v/>
      </c>
      <c r="G28" s="364"/>
      <c r="H28" s="372" t="str">
        <f>IF($C28="","",G28*VLOOKUP($C28,CHANTIER!$A$2:$D$83,4,0))</f>
        <v/>
      </c>
      <c r="I28" s="364"/>
      <c r="J28" s="372" t="str">
        <f>IF($C28="","",I28*VLOOKUP($C28,CHANTIER!$A$2:$D$83,4,0))</f>
        <v/>
      </c>
      <c r="K28" s="364"/>
      <c r="L28" s="372" t="str">
        <f>IF($C28="","",K28*VLOOKUP($C28,CHANTIER!$A$2:$D$83,4,0))</f>
        <v/>
      </c>
      <c r="M28" s="364"/>
      <c r="N28" s="372" t="str">
        <f>IF($C28="","",M28*VLOOKUP($C28,CHANTIER!$A$2:$D$83,4,0))</f>
        <v/>
      </c>
      <c r="O28" s="364"/>
    </row>
    <row r="29" spans="1:15" x14ac:dyDescent="0.2">
      <c r="A29" s="1554"/>
      <c r="B29" s="379" t="s">
        <v>453</v>
      </c>
      <c r="C29" s="380" t="s">
        <v>450</v>
      </c>
      <c r="D29" s="381" t="s">
        <v>451</v>
      </c>
      <c r="E29" s="382">
        <f>F29*Simulation!$P$9</f>
        <v>4.5</v>
      </c>
      <c r="F29" s="383">
        <f>SUM(F19:F28)</f>
        <v>0.1</v>
      </c>
      <c r="G29" s="382">
        <f>H29*Simulation!$P$9</f>
        <v>2.25</v>
      </c>
      <c r="H29" s="383">
        <f>SUM(H19:H28)</f>
        <v>0.05</v>
      </c>
      <c r="I29" s="382">
        <f>J29*Simulation!$P$9</f>
        <v>6.7500000000000009</v>
      </c>
      <c r="J29" s="383">
        <f>SUM(J19:J28)</f>
        <v>0.15000000000000002</v>
      </c>
      <c r="K29" s="382">
        <f>L29*Simulation!$P$9</f>
        <v>4.5</v>
      </c>
      <c r="L29" s="383">
        <f>SUM(L19:L28)</f>
        <v>0.1</v>
      </c>
      <c r="M29" s="382">
        <f>N29*Simulation!$P$9</f>
        <v>4.5</v>
      </c>
      <c r="N29" s="383">
        <f>SUM(N19:N28)</f>
        <v>0.1</v>
      </c>
      <c r="O29" s="382" t="e">
        <f>#REF!*Simulation!$P$9</f>
        <v>#REF!</v>
      </c>
    </row>
    <row r="30" spans="1:15" ht="15" customHeight="1" x14ac:dyDescent="0.2">
      <c r="A30" s="1559" t="s">
        <v>4</v>
      </c>
      <c r="B30" s="361" t="s">
        <v>371</v>
      </c>
      <c r="C30" s="378"/>
      <c r="D30" s="363" t="str">
        <f>IF(C30="","",VLOOKUP($C30,MINIPELLE!$A$2:$C$28,3,0))</f>
        <v/>
      </c>
      <c r="E30" s="364"/>
      <c r="F30" s="372" t="str">
        <f>IF($C30="","",E30*VLOOKUP($C30,MINIPELLE!$A$2:$D$28,4,0))</f>
        <v/>
      </c>
      <c r="G30" s="364"/>
      <c r="H30" s="372" t="str">
        <f>IF($C30="","",G30*VLOOKUP($C30,MINIPELLE!$A$2:$D$28,4,0))</f>
        <v/>
      </c>
      <c r="I30" s="364"/>
      <c r="J30" s="372" t="str">
        <f>IF($C30="","",I30*VLOOKUP($C30,MINIPELLE!$A$2:$D$28,4,0))</f>
        <v/>
      </c>
      <c r="K30" s="364"/>
      <c r="L30" s="372" t="str">
        <f>IF($C30="","",K30*VLOOKUP($C30,MINIPELLE!$A$2:$D$28,4,0))</f>
        <v/>
      </c>
      <c r="M30" s="364"/>
      <c r="N30" s="372" t="str">
        <f>IF($C30="","",M30*VLOOKUP($C30,MINIPELLE!$A$2:$D$28,4,0))</f>
        <v/>
      </c>
      <c r="O30" s="364"/>
    </row>
    <row r="31" spans="1:15" x14ac:dyDescent="0.2">
      <c r="A31" s="1560"/>
      <c r="B31" s="361"/>
      <c r="C31" s="378"/>
      <c r="D31" s="363" t="str">
        <f>IF(C31="","",VLOOKUP($C31,MINIPELLE!$A$2:$C$28,3,0))</f>
        <v/>
      </c>
      <c r="E31" s="364"/>
      <c r="F31" s="389" t="str">
        <f>IF($C31="","",E31*VLOOKUP($C31,MINIPELLE!$A$2:$D$28,4,0))</f>
        <v/>
      </c>
      <c r="G31" s="364"/>
      <c r="H31" s="389" t="str">
        <f>IF($C31="","",G31*VLOOKUP($C31,MINIPELLE!$A$2:$D$28,4,0))</f>
        <v/>
      </c>
      <c r="I31" s="364"/>
      <c r="J31" s="389" t="str">
        <f>IF($C31="","",I31*VLOOKUP($C31,MINIPELLE!$A$2:$D$28,4,0))</f>
        <v/>
      </c>
      <c r="K31" s="364"/>
      <c r="L31" s="389" t="str">
        <f>IF($C31="","",K31*VLOOKUP($C31,MINIPELLE!$A$2:$D$28,4,0))</f>
        <v/>
      </c>
      <c r="M31" s="364"/>
      <c r="N31" s="389" t="str">
        <f>IF($C31="","",M31*VLOOKUP($C31,MINIPELLE!$A$2:$D$28,4,0))</f>
        <v/>
      </c>
      <c r="O31" s="364"/>
    </row>
    <row r="32" spans="1:15" x14ac:dyDescent="0.2">
      <c r="A32" s="1560"/>
      <c r="B32" s="384" t="s">
        <v>454</v>
      </c>
      <c r="C32" s="385" t="s">
        <v>455</v>
      </c>
      <c r="D32" s="386" t="s">
        <v>451</v>
      </c>
      <c r="E32" s="387">
        <f>F32*Simulation!$P$10</f>
        <v>0</v>
      </c>
      <c r="F32" s="388">
        <f>SUM(F30:F31)</f>
        <v>0</v>
      </c>
      <c r="G32" s="387">
        <f>H32*Simulation!$P$10</f>
        <v>0</v>
      </c>
      <c r="H32" s="388">
        <f>SUM(H30:H31)</f>
        <v>0</v>
      </c>
      <c r="I32" s="387">
        <f>J32*Simulation!$P$10</f>
        <v>0</v>
      </c>
      <c r="J32" s="388">
        <f>SUM(J30:J31)</f>
        <v>0</v>
      </c>
      <c r="K32" s="387">
        <f>L32*Simulation!$P$10</f>
        <v>0</v>
      </c>
      <c r="L32" s="388">
        <f>SUM(L30:L31)</f>
        <v>0</v>
      </c>
      <c r="M32" s="387">
        <f>N32*Simulation!$P$10</f>
        <v>0</v>
      </c>
      <c r="N32" s="388">
        <f>SUM(N30:N31)</f>
        <v>0</v>
      </c>
      <c r="O32" s="387" t="e">
        <f>#REF!*Simulation!$P$10</f>
        <v>#REF!</v>
      </c>
    </row>
    <row r="33" spans="1:15" ht="18" x14ac:dyDescent="0.2">
      <c r="A33" s="199"/>
      <c r="B33" s="172"/>
      <c r="C33" s="200"/>
      <c r="D33" s="201"/>
      <c r="E33" s="202"/>
      <c r="F33" s="203"/>
      <c r="G33" s="202"/>
      <c r="H33" s="203"/>
      <c r="I33" s="202"/>
      <c r="J33" s="203"/>
      <c r="K33" s="202"/>
      <c r="L33" s="203"/>
      <c r="M33" s="202"/>
      <c r="N33" s="203"/>
      <c r="O33" s="202"/>
    </row>
    <row r="34" spans="1:15" ht="36" customHeight="1" x14ac:dyDescent="0.2">
      <c r="A34" s="204"/>
      <c r="B34" s="1561" t="s">
        <v>456</v>
      </c>
      <c r="C34" s="1564" t="s">
        <v>445</v>
      </c>
      <c r="D34" s="1564"/>
      <c r="E34" s="1547">
        <f>E32+E29+E18+E11</f>
        <v>5.93</v>
      </c>
      <c r="F34" s="1547"/>
      <c r="G34" s="1547">
        <f>G32+G29+G18+G11</f>
        <v>10.050000000000001</v>
      </c>
      <c r="H34" s="1547"/>
      <c r="I34" s="1547">
        <f>I32+I29+I18+I11</f>
        <v>6.7500000000000009</v>
      </c>
      <c r="J34" s="1547"/>
      <c r="K34" s="1547">
        <f>K32+K29+K18+K11</f>
        <v>9.57</v>
      </c>
      <c r="L34" s="1547"/>
      <c r="M34" s="1547">
        <f>M32+M29+M18+M11</f>
        <v>9.57</v>
      </c>
      <c r="N34" s="1547"/>
      <c r="O34" s="1374" t="e">
        <f>O32+O29+O18+O11</f>
        <v>#REF!</v>
      </c>
    </row>
    <row r="35" spans="1:15" ht="18" customHeight="1" x14ac:dyDescent="0.2">
      <c r="A35" s="154"/>
      <c r="B35" s="1562"/>
      <c r="C35" s="1565" t="s">
        <v>457</v>
      </c>
      <c r="D35" s="1565"/>
      <c r="E35" s="149">
        <f>E11-F11</f>
        <v>0.33000000000000007</v>
      </c>
      <c r="F35" s="207">
        <f>E35/E$34</f>
        <v>5.5649241146711652E-2</v>
      </c>
      <c r="G35" s="149">
        <f>G11-H11</f>
        <v>1.8000000000000007</v>
      </c>
      <c r="H35" s="207">
        <f>G35/G$34</f>
        <v>0.17910447761194034</v>
      </c>
      <c r="I35" s="149">
        <f>I11-J11</f>
        <v>0</v>
      </c>
      <c r="J35" s="207">
        <f>I35/I$34</f>
        <v>0</v>
      </c>
      <c r="K35" s="149">
        <f>K11-L11</f>
        <v>1.1700000000000004</v>
      </c>
      <c r="L35" s="207">
        <f>K35/K$34</f>
        <v>0.12225705329153609</v>
      </c>
      <c r="M35" s="149">
        <f>M11-N11</f>
        <v>1.1700000000000004</v>
      </c>
      <c r="N35" s="207">
        <f>M35/M$34</f>
        <v>0.12225705329153609</v>
      </c>
      <c r="O35" s="149" t="e">
        <f>O11-#REF!</f>
        <v>#REF!</v>
      </c>
    </row>
    <row r="36" spans="1:15" ht="18" customHeight="1" x14ac:dyDescent="0.2">
      <c r="A36" s="154"/>
      <c r="B36" s="1562"/>
      <c r="C36" s="1565" t="s">
        <v>9</v>
      </c>
      <c r="D36" s="1565"/>
      <c r="E36" s="149">
        <f>E11</f>
        <v>1.4300000000000002</v>
      </c>
      <c r="F36" s="207">
        <f>E36/E$34</f>
        <v>0.24114671163575047</v>
      </c>
      <c r="G36" s="149">
        <f>G11</f>
        <v>7.8000000000000007</v>
      </c>
      <c r="H36" s="207">
        <f>G36/G$34</f>
        <v>0.77611940298507465</v>
      </c>
      <c r="I36" s="149">
        <f>I11</f>
        <v>0</v>
      </c>
      <c r="J36" s="207">
        <f>I36/I$34</f>
        <v>0</v>
      </c>
      <c r="K36" s="149">
        <f>K11</f>
        <v>5.07</v>
      </c>
      <c r="L36" s="207">
        <f>K36/K$34</f>
        <v>0.52978056426332287</v>
      </c>
      <c r="M36" s="149">
        <f>M11</f>
        <v>5.07</v>
      </c>
      <c r="N36" s="207">
        <f>M36/M$34</f>
        <v>0.52978056426332287</v>
      </c>
      <c r="O36" s="149" t="e">
        <f>O11</f>
        <v>#REF!</v>
      </c>
    </row>
    <row r="37" spans="1:15" ht="18" customHeight="1" x14ac:dyDescent="0.2">
      <c r="A37" s="154"/>
      <c r="B37" s="1562"/>
      <c r="C37" s="1565" t="s">
        <v>458</v>
      </c>
      <c r="D37" s="1565"/>
      <c r="E37" s="149">
        <f>E18</f>
        <v>0</v>
      </c>
      <c r="F37" s="207">
        <f>E37/E$34</f>
        <v>0</v>
      </c>
      <c r="G37" s="149">
        <f>G18</f>
        <v>0</v>
      </c>
      <c r="H37" s="207">
        <f>G37/G$34</f>
        <v>0</v>
      </c>
      <c r="I37" s="149">
        <f>I18</f>
        <v>0</v>
      </c>
      <c r="J37" s="207">
        <f>I37/I$34</f>
        <v>0</v>
      </c>
      <c r="K37" s="149">
        <f>K18</f>
        <v>0</v>
      </c>
      <c r="L37" s="207">
        <f>K37/K$34</f>
        <v>0</v>
      </c>
      <c r="M37" s="149">
        <f>M18</f>
        <v>0</v>
      </c>
      <c r="N37" s="207">
        <f>M37/M$34</f>
        <v>0</v>
      </c>
      <c r="O37" s="149" t="e">
        <f>O18</f>
        <v>#REF!</v>
      </c>
    </row>
    <row r="38" spans="1:15" ht="18" customHeight="1" x14ac:dyDescent="0.2">
      <c r="A38" s="154"/>
      <c r="B38" s="1562"/>
      <c r="C38" s="1565" t="s">
        <v>459</v>
      </c>
      <c r="D38" s="1565"/>
      <c r="E38" s="149">
        <f>E29</f>
        <v>4.5</v>
      </c>
      <c r="F38" s="207">
        <f>E38/E$34</f>
        <v>0.75885328836424959</v>
      </c>
      <c r="G38" s="149">
        <f>G29</f>
        <v>2.25</v>
      </c>
      <c r="H38" s="207">
        <f>G38/G$34</f>
        <v>0.22388059701492535</v>
      </c>
      <c r="I38" s="149">
        <f>I29</f>
        <v>6.7500000000000009</v>
      </c>
      <c r="J38" s="207">
        <f>I38/I$34</f>
        <v>1</v>
      </c>
      <c r="K38" s="149">
        <f>K29</f>
        <v>4.5</v>
      </c>
      <c r="L38" s="207">
        <f>K38/K$34</f>
        <v>0.47021943573667713</v>
      </c>
      <c r="M38" s="149">
        <f>M29</f>
        <v>4.5</v>
      </c>
      <c r="N38" s="207">
        <f>M38/M$34</f>
        <v>0.47021943573667713</v>
      </c>
      <c r="O38" s="149" t="e">
        <f>O29</f>
        <v>#REF!</v>
      </c>
    </row>
    <row r="39" spans="1:15" ht="18" customHeight="1" x14ac:dyDescent="0.2">
      <c r="A39" s="154"/>
      <c r="B39" s="1563"/>
      <c r="C39" s="1565" t="s">
        <v>5</v>
      </c>
      <c r="D39" s="1565"/>
      <c r="E39" s="149">
        <f>E32</f>
        <v>0</v>
      </c>
      <c r="F39" s="207">
        <f>E39/E$34</f>
        <v>0</v>
      </c>
      <c r="G39" s="149">
        <f>G32</f>
        <v>0</v>
      </c>
      <c r="H39" s="207">
        <f>G39/G$34</f>
        <v>0</v>
      </c>
      <c r="I39" s="149">
        <f>I32</f>
        <v>0</v>
      </c>
      <c r="J39" s="207">
        <f>I39/I$34</f>
        <v>0</v>
      </c>
      <c r="K39" s="149">
        <f>K32</f>
        <v>0</v>
      </c>
      <c r="L39" s="207">
        <f>K39/K$34</f>
        <v>0</v>
      </c>
      <c r="M39" s="149">
        <f>M32</f>
        <v>0</v>
      </c>
      <c r="N39" s="207">
        <f>M39/M$34</f>
        <v>0</v>
      </c>
      <c r="O39" s="149" t="e">
        <f>O32</f>
        <v>#REF!</v>
      </c>
    </row>
  </sheetData>
  <mergeCells count="23">
    <mergeCell ref="I34:J34"/>
    <mergeCell ref="M2:N2"/>
    <mergeCell ref="B2:B3"/>
    <mergeCell ref="C2:C3"/>
    <mergeCell ref="E2:F2"/>
    <mergeCell ref="G2:H2"/>
    <mergeCell ref="I2:J2"/>
    <mergeCell ref="K2:L2"/>
    <mergeCell ref="K34:L34"/>
    <mergeCell ref="M34:N34"/>
    <mergeCell ref="C34:D34"/>
    <mergeCell ref="E34:F34"/>
    <mergeCell ref="G34:H34"/>
    <mergeCell ref="A4:A10"/>
    <mergeCell ref="A12:A18"/>
    <mergeCell ref="A19:A29"/>
    <mergeCell ref="A30:A32"/>
    <mergeCell ref="B34:B39"/>
    <mergeCell ref="C35:D35"/>
    <mergeCell ref="C36:D36"/>
    <mergeCell ref="C37:D37"/>
    <mergeCell ref="C38:D38"/>
    <mergeCell ref="C39:D39"/>
  </mergeCells>
  <dataValidations xWindow="331" yWindow="576" count="7">
    <dataValidation type="list" allowBlank="1" showInputMessage="1" showErrorMessage="1" promptTitle="Main d'oeuvre ATELIER" prompt="choisir la prestation" sqref="C12" xr:uid="{00000000-0002-0000-2E00-000000000000}">
      <formula1>INDIRECT(B12)</formula1>
    </dataValidation>
    <dataValidation type="list" allowBlank="1" showInputMessage="1" showErrorMessage="1" promptTitle="MO ATELIER" prompt="choisir catégorie" sqref="B12:B15" xr:uid="{00000000-0002-0000-2E00-000001000000}">
      <formula1>CATEGORIE_MOA</formula1>
    </dataValidation>
    <dataValidation type="list" allowBlank="1" showInputMessage="1" showErrorMessage="1" promptTitle="MINIPELLE" prompt="choisir catégorie" sqref="B30:B31" xr:uid="{00000000-0002-0000-2E00-000002000000}">
      <formula1>CATEGORIE_MP</formula1>
    </dataValidation>
    <dataValidation type="list" allowBlank="1" showInputMessage="1" showErrorMessage="1" promptTitle="MATIERES" prompt="choisir le produit" sqref="C4:C10" xr:uid="{00000000-0002-0000-2E00-000003000000}">
      <formula1>INDIRECT(B4)</formula1>
    </dataValidation>
    <dataValidation type="list" allowBlank="1" showInputMessage="1" promptTitle="Main d'oeuvre CHANTIER" prompt="choisir la prestation" sqref="C19:C28" xr:uid="{00000000-0002-0000-2E00-000004000000}">
      <formula1>INDIRECT(B19)</formula1>
    </dataValidation>
    <dataValidation type="list" allowBlank="1" showInputMessage="1" showErrorMessage="1" promptTitle="Catégorie MOC" prompt="choisir" sqref="B19:B27" xr:uid="{00000000-0002-0000-2E00-000005000000}">
      <formula1>CATEGORIE_MOC</formula1>
    </dataValidation>
    <dataValidation type="list" allowBlank="1" showInputMessage="1" promptTitle="MINIPELLE" prompt="choisir la prestation" sqref="C30:C31" xr:uid="{00000000-0002-0000-2E00-000006000000}">
      <formula1>INDIRECT(B30)</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xWindow="331" yWindow="576" count="2">
        <x14:dataValidation type="list" allowBlank="1" showInputMessage="1" showErrorMessage="1" promptTitle="MATIERES" prompt="choisir catégorie" xr:uid="{00000000-0002-0000-2E00-000007000000}">
          <x14:formula1>
            <xm:f>MATIERES!$J$2:$J$32</xm:f>
          </x14:formula1>
          <xm:sqref>B4:B10</xm:sqref>
        </x14:dataValidation>
        <x14:dataValidation type="list" allowBlank="1" showErrorMessage="1" xr:uid="{00000000-0002-0000-2E00-000008000000}">
          <x14:formula1>
            <xm:f>ATELIER!$B$2:$B$109</xm:f>
          </x14:formula1>
          <xm:sqref>C13:C17</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published="0" codeName="Feuil56"/>
  <dimension ref="A1:V121"/>
  <sheetViews>
    <sheetView zoomScale="70" zoomScaleNormal="70" zoomScaleSheetLayoutView="100" workbookViewId="0">
      <selection activeCell="I106" sqref="I106"/>
    </sheetView>
  </sheetViews>
  <sheetFormatPr baseColWidth="10" defaultColWidth="10.625" defaultRowHeight="10.35" customHeight="1" x14ac:dyDescent="0.2"/>
  <cols>
    <col min="1" max="2" width="10" customWidth="1"/>
    <col min="3" max="19" width="8.125" customWidth="1"/>
  </cols>
  <sheetData>
    <row r="1" spans="1:22" ht="41.85" customHeight="1" x14ac:dyDescent="0.2">
      <c r="A1" s="580"/>
      <c r="B1" s="581"/>
      <c r="C1" s="581"/>
      <c r="D1" s="581"/>
      <c r="E1" s="581"/>
      <c r="F1" s="581"/>
      <c r="G1" s="581"/>
      <c r="H1" s="581"/>
      <c r="I1" s="581"/>
      <c r="J1" s="581"/>
      <c r="K1" s="581"/>
      <c r="L1" s="581"/>
      <c r="M1" s="581"/>
      <c r="N1" s="643"/>
      <c r="O1" s="643" t="str">
        <f>"Habitation      "&amp;Simulation!AB30</f>
        <v>Habitation      5 EH</v>
      </c>
      <c r="P1" s="643"/>
      <c r="Q1" s="644"/>
      <c r="R1" s="644"/>
      <c r="S1" s="583"/>
      <c r="T1" s="583"/>
      <c r="U1" s="583"/>
      <c r="V1" s="584"/>
    </row>
    <row r="2" spans="1:22" ht="51" customHeight="1" x14ac:dyDescent="0.2">
      <c r="A2" s="580"/>
      <c r="B2" s="581"/>
      <c r="C2" s="581"/>
      <c r="D2" s="581"/>
      <c r="E2" s="581"/>
      <c r="F2" s="581"/>
      <c r="G2" s="581"/>
      <c r="H2" s="581"/>
      <c r="I2" s="581"/>
      <c r="J2" s="581"/>
      <c r="K2" s="581"/>
      <c r="L2" s="581"/>
      <c r="M2" s="581"/>
      <c r="N2" s="582"/>
      <c r="O2" s="582"/>
      <c r="P2" s="582"/>
      <c r="Q2" s="582"/>
      <c r="R2" s="582"/>
      <c r="S2" s="582"/>
      <c r="T2" s="582"/>
      <c r="U2" s="582"/>
      <c r="V2" s="582"/>
    </row>
    <row r="3" spans="1:22" ht="71.099999999999994" customHeight="1" thickBot="1" x14ac:dyDescent="0.25">
      <c r="A3" s="586"/>
      <c r="B3" s="635">
        <v>0</v>
      </c>
      <c r="C3" s="635">
        <v>5</v>
      </c>
      <c r="D3" s="635">
        <v>10</v>
      </c>
      <c r="E3" s="635">
        <v>15</v>
      </c>
      <c r="F3" s="635">
        <v>20</v>
      </c>
      <c r="G3" s="635">
        <v>25</v>
      </c>
      <c r="H3" s="635">
        <v>30</v>
      </c>
      <c r="I3" s="635">
        <v>35</v>
      </c>
      <c r="J3" s="635">
        <v>40</v>
      </c>
      <c r="K3" s="635">
        <v>45</v>
      </c>
      <c r="L3" s="635">
        <v>50</v>
      </c>
      <c r="M3" s="635">
        <v>55</v>
      </c>
      <c r="N3" s="636">
        <v>60</v>
      </c>
      <c r="O3" s="636">
        <v>65</v>
      </c>
      <c r="P3" s="636">
        <v>70</v>
      </c>
      <c r="Q3" s="636">
        <v>75</v>
      </c>
      <c r="R3" s="636">
        <v>80</v>
      </c>
      <c r="S3" s="636">
        <v>85</v>
      </c>
      <c r="T3" s="636">
        <v>90</v>
      </c>
      <c r="U3" s="636">
        <v>95</v>
      </c>
      <c r="V3" s="636">
        <v>100</v>
      </c>
    </row>
    <row r="4" spans="1:22" ht="5.0999999999999996" customHeight="1" thickBot="1" x14ac:dyDescent="0.25">
      <c r="A4" s="587"/>
      <c r="B4" s="588">
        <v>4.2</v>
      </c>
      <c r="C4" s="589"/>
      <c r="D4" s="590"/>
      <c r="E4" s="590"/>
      <c r="F4" s="590"/>
      <c r="G4" s="590"/>
      <c r="H4" s="590"/>
      <c r="I4" s="590"/>
      <c r="J4" s="590"/>
      <c r="K4" s="590"/>
      <c r="L4" s="590"/>
      <c r="M4" s="590"/>
      <c r="N4" s="590"/>
      <c r="O4" s="590"/>
      <c r="P4" s="590"/>
      <c r="Q4" s="590"/>
      <c r="R4" s="590"/>
      <c r="S4" s="590"/>
      <c r="T4" s="590"/>
      <c r="U4" s="590"/>
      <c r="V4" s="590"/>
    </row>
    <row r="5" spans="1:22" ht="5.0999999999999996" customHeight="1" thickBot="1" x14ac:dyDescent="0.25">
      <c r="A5" s="642"/>
      <c r="B5" s="588">
        <v>4.0999999999999996</v>
      </c>
      <c r="C5" s="591"/>
      <c r="D5" s="592"/>
      <c r="E5" s="592"/>
      <c r="F5" s="592"/>
      <c r="G5" s="592"/>
      <c r="H5" s="592"/>
      <c r="I5" s="592"/>
      <c r="J5" s="592"/>
      <c r="K5" s="592"/>
      <c r="L5" s="592"/>
      <c r="M5" s="592"/>
      <c r="N5" s="592"/>
      <c r="O5" s="592"/>
      <c r="P5" s="592"/>
      <c r="Q5" s="592"/>
      <c r="R5" s="592"/>
      <c r="S5" s="592"/>
      <c r="T5" s="592"/>
      <c r="U5" s="592"/>
      <c r="V5" s="592"/>
    </row>
    <row r="6" spans="1:22" ht="5.0999999999999996" customHeight="1" thickBot="1" x14ac:dyDescent="0.25">
      <c r="A6" s="1657">
        <v>4</v>
      </c>
      <c r="B6" s="593">
        <v>4</v>
      </c>
      <c r="C6" s="594"/>
      <c r="D6" s="595"/>
      <c r="E6" s="595"/>
      <c r="F6" s="595"/>
      <c r="G6" s="595"/>
      <c r="H6" s="595"/>
      <c r="I6" s="595"/>
      <c r="J6" s="595"/>
      <c r="K6" s="595"/>
      <c r="L6" s="595"/>
      <c r="M6" s="595"/>
      <c r="N6" s="595"/>
      <c r="O6" s="595"/>
      <c r="P6" s="595"/>
      <c r="Q6" s="595"/>
      <c r="R6" s="595"/>
      <c r="S6" s="595"/>
      <c r="T6" s="595"/>
      <c r="U6" s="595"/>
      <c r="V6" s="595"/>
    </row>
    <row r="7" spans="1:22" ht="5.0999999999999996" customHeight="1" x14ac:dyDescent="0.2">
      <c r="A7" s="1657"/>
      <c r="B7" s="625">
        <v>3.9</v>
      </c>
      <c r="C7" s="626"/>
      <c r="D7" s="626"/>
      <c r="E7" s="626"/>
      <c r="F7" s="626"/>
      <c r="G7" s="626"/>
      <c r="H7" s="626"/>
      <c r="I7" s="626"/>
      <c r="J7" s="626"/>
      <c r="K7" s="626"/>
      <c r="L7" s="626"/>
      <c r="M7" s="626"/>
      <c r="N7" s="626"/>
      <c r="O7" s="626"/>
      <c r="P7" s="626"/>
      <c r="Q7" s="626"/>
      <c r="R7" s="626"/>
      <c r="S7" s="626"/>
      <c r="T7" s="626"/>
      <c r="U7" s="626"/>
      <c r="V7" s="626"/>
    </row>
    <row r="8" spans="1:22" ht="5.0999999999999996" customHeight="1" x14ac:dyDescent="0.2">
      <c r="A8" s="587"/>
      <c r="B8" s="627">
        <v>3.8</v>
      </c>
      <c r="C8" s="628"/>
      <c r="D8" s="628"/>
      <c r="E8" s="628"/>
      <c r="F8" s="628"/>
      <c r="G8" s="628"/>
      <c r="H8" s="628"/>
      <c r="I8" s="628"/>
      <c r="J8" s="628"/>
      <c r="K8" s="628"/>
      <c r="L8" s="628"/>
      <c r="M8" s="628"/>
      <c r="N8" s="628"/>
      <c r="O8" s="628"/>
      <c r="P8" s="628"/>
      <c r="Q8" s="628"/>
      <c r="R8" s="628"/>
      <c r="S8" s="628"/>
      <c r="T8" s="628"/>
      <c r="U8" s="628"/>
      <c r="V8" s="628"/>
    </row>
    <row r="9" spans="1:22" ht="5.0999999999999996" customHeight="1" x14ac:dyDescent="0.2">
      <c r="A9" s="587"/>
      <c r="B9" s="627">
        <v>3.7</v>
      </c>
      <c r="C9" s="628"/>
      <c r="D9" s="628"/>
      <c r="E9" s="628"/>
      <c r="F9" s="628"/>
      <c r="G9" s="628"/>
      <c r="H9" s="628"/>
      <c r="I9" s="628"/>
      <c r="J9" s="628"/>
      <c r="K9" s="628"/>
      <c r="L9" s="628"/>
      <c r="M9" s="628"/>
      <c r="N9" s="628"/>
      <c r="O9" s="628"/>
      <c r="P9" s="628"/>
      <c r="Q9" s="628"/>
      <c r="R9" s="628"/>
      <c r="S9" s="628"/>
      <c r="T9" s="628"/>
      <c r="U9" s="628"/>
      <c r="V9" s="628"/>
    </row>
    <row r="10" spans="1:22" ht="5.0999999999999996" customHeight="1" x14ac:dyDescent="0.2">
      <c r="A10" s="587"/>
      <c r="B10" s="627">
        <v>3.6</v>
      </c>
      <c r="C10" s="628"/>
      <c r="D10" s="628"/>
      <c r="E10" s="628"/>
      <c r="F10" s="628"/>
      <c r="G10" s="628"/>
      <c r="H10" s="628"/>
      <c r="I10" s="628"/>
      <c r="J10" s="628"/>
      <c r="K10" s="628"/>
      <c r="L10" s="628"/>
      <c r="M10" s="628"/>
      <c r="N10" s="628"/>
      <c r="O10" s="628"/>
      <c r="P10" s="628"/>
      <c r="Q10" s="628"/>
      <c r="R10" s="628"/>
      <c r="S10" s="628"/>
      <c r="T10" s="628"/>
      <c r="U10" s="628"/>
      <c r="V10" s="628"/>
    </row>
    <row r="11" spans="1:22" ht="5.0999999999999996" customHeight="1" x14ac:dyDescent="0.2">
      <c r="A11" s="587"/>
      <c r="B11" s="627">
        <v>3.5</v>
      </c>
      <c r="C11" s="628"/>
      <c r="D11" s="628"/>
      <c r="E11" s="628"/>
      <c r="F11" s="628"/>
      <c r="G11" s="628"/>
      <c r="H11" s="628"/>
      <c r="I11" s="628"/>
      <c r="J11" s="628"/>
      <c r="K11" s="628"/>
      <c r="L11" s="628"/>
      <c r="M11" s="628"/>
      <c r="N11" s="628"/>
      <c r="O11" s="628"/>
      <c r="P11" s="628"/>
      <c r="Q11" s="628"/>
      <c r="R11" s="628"/>
      <c r="S11" s="628"/>
      <c r="T11" s="628"/>
      <c r="U11" s="628"/>
      <c r="V11" s="628"/>
    </row>
    <row r="12" spans="1:22" ht="5.0999999999999996" customHeight="1" x14ac:dyDescent="0.2">
      <c r="A12" s="587"/>
      <c r="B12" s="627">
        <v>3.4</v>
      </c>
      <c r="C12" s="628"/>
      <c r="D12" s="628"/>
      <c r="E12" s="628"/>
      <c r="F12" s="628"/>
      <c r="G12" s="628"/>
      <c r="H12" s="628"/>
      <c r="I12" s="628"/>
      <c r="J12" s="628"/>
      <c r="K12" s="628"/>
      <c r="L12" s="628"/>
      <c r="M12" s="628"/>
      <c r="N12" s="628"/>
      <c r="O12" s="628"/>
      <c r="P12" s="628"/>
      <c r="Q12" s="628"/>
      <c r="R12" s="628"/>
      <c r="S12" s="628"/>
      <c r="T12" s="628"/>
      <c r="U12" s="628"/>
      <c r="V12" s="628"/>
    </row>
    <row r="13" spans="1:22" ht="5.0999999999999996" customHeight="1" x14ac:dyDescent="0.2">
      <c r="A13" s="587"/>
      <c r="B13" s="627">
        <v>3.3</v>
      </c>
      <c r="C13" s="628"/>
      <c r="D13" s="628"/>
      <c r="E13" s="628"/>
      <c r="F13" s="628"/>
      <c r="G13" s="628"/>
      <c r="H13" s="628"/>
      <c r="I13" s="628"/>
      <c r="J13" s="628"/>
      <c r="K13" s="628"/>
      <c r="L13" s="628"/>
      <c r="M13" s="628"/>
      <c r="N13" s="628"/>
      <c r="O13" s="628"/>
      <c r="P13" s="628"/>
      <c r="Q13" s="628"/>
      <c r="R13" s="628"/>
      <c r="S13" s="628"/>
      <c r="T13" s="628"/>
      <c r="U13" s="628"/>
      <c r="V13" s="628"/>
    </row>
    <row r="14" spans="1:22" ht="5.0999999999999996" customHeight="1" x14ac:dyDescent="0.2">
      <c r="A14" s="587"/>
      <c r="B14" s="627">
        <v>3.2</v>
      </c>
      <c r="C14" s="628"/>
      <c r="D14" s="628"/>
      <c r="E14" s="628"/>
      <c r="F14" s="628"/>
      <c r="G14" s="628"/>
      <c r="H14" s="628"/>
      <c r="I14" s="628"/>
      <c r="J14" s="628"/>
      <c r="K14" s="628"/>
      <c r="L14" s="628"/>
      <c r="M14" s="628"/>
      <c r="N14" s="628"/>
      <c r="O14" s="628"/>
      <c r="P14" s="628"/>
      <c r="Q14" s="628"/>
      <c r="R14" s="628"/>
      <c r="S14" s="628"/>
      <c r="T14" s="628"/>
      <c r="U14" s="628"/>
      <c r="V14" s="628"/>
    </row>
    <row r="15" spans="1:22" ht="5.0999999999999996" customHeight="1" x14ac:dyDescent="0.2">
      <c r="A15" s="587"/>
      <c r="B15" s="627">
        <v>3.1</v>
      </c>
      <c r="C15" s="628"/>
      <c r="D15" s="628"/>
      <c r="E15" s="628"/>
      <c r="F15" s="628"/>
      <c r="G15" s="628"/>
      <c r="H15" s="628"/>
      <c r="I15" s="628"/>
      <c r="J15" s="628"/>
      <c r="K15" s="628"/>
      <c r="L15" s="628"/>
      <c r="M15" s="628"/>
      <c r="N15" s="628"/>
      <c r="O15" s="628"/>
      <c r="P15" s="628"/>
      <c r="Q15" s="628"/>
      <c r="R15" s="628"/>
      <c r="S15" s="628"/>
      <c r="T15" s="628"/>
      <c r="U15" s="628"/>
      <c r="V15" s="628"/>
    </row>
    <row r="16" spans="1:22" ht="5.0999999999999996" customHeight="1" thickBot="1" x14ac:dyDescent="0.25">
      <c r="A16" s="1657">
        <v>3</v>
      </c>
      <c r="B16" s="629">
        <v>3</v>
      </c>
      <c r="C16" s="630"/>
      <c r="D16" s="630"/>
      <c r="E16" s="630"/>
      <c r="F16" s="630"/>
      <c r="G16" s="630"/>
      <c r="H16" s="630"/>
      <c r="I16" s="630"/>
      <c r="J16" s="630"/>
      <c r="K16" s="630"/>
      <c r="L16" s="630"/>
      <c r="M16" s="630"/>
      <c r="N16" s="630"/>
      <c r="O16" s="630"/>
      <c r="P16" s="630"/>
      <c r="Q16" s="630"/>
      <c r="R16" s="630"/>
      <c r="S16" s="630"/>
      <c r="T16" s="630"/>
      <c r="U16" s="630"/>
      <c r="V16" s="630"/>
    </row>
    <row r="17" spans="1:22" ht="5.0999999999999996" customHeight="1" x14ac:dyDescent="0.2">
      <c r="A17" s="1657"/>
      <c r="B17" s="625">
        <v>2.9</v>
      </c>
      <c r="C17" s="626"/>
      <c r="D17" s="626"/>
      <c r="E17" s="626"/>
      <c r="F17" s="626"/>
      <c r="G17" s="626"/>
      <c r="H17" s="626"/>
      <c r="I17" s="626"/>
      <c r="J17" s="626"/>
      <c r="K17" s="626"/>
      <c r="L17" s="626"/>
      <c r="M17" s="626"/>
      <c r="N17" s="626"/>
      <c r="O17" s="626"/>
      <c r="P17" s="626"/>
      <c r="Q17" s="626"/>
      <c r="R17" s="626"/>
      <c r="S17" s="626"/>
      <c r="T17" s="626"/>
      <c r="U17" s="626"/>
      <c r="V17" s="626"/>
    </row>
    <row r="18" spans="1:22" ht="5.0999999999999996" customHeight="1" x14ac:dyDescent="0.2">
      <c r="A18" s="587"/>
      <c r="B18" s="627">
        <v>2.8</v>
      </c>
      <c r="C18" s="628"/>
      <c r="D18" s="628"/>
      <c r="E18" s="628"/>
      <c r="F18" s="628"/>
      <c r="G18" s="628"/>
      <c r="H18" s="628"/>
      <c r="I18" s="628"/>
      <c r="J18" s="628"/>
      <c r="K18" s="628"/>
      <c r="L18" s="628"/>
      <c r="M18" s="628"/>
      <c r="N18" s="628"/>
      <c r="O18" s="628"/>
      <c r="P18" s="628"/>
      <c r="Q18" s="628"/>
      <c r="R18" s="628"/>
      <c r="S18" s="628"/>
      <c r="T18" s="628"/>
      <c r="U18" s="628"/>
      <c r="V18" s="628"/>
    </row>
    <row r="19" spans="1:22" ht="5.0999999999999996" customHeight="1" x14ac:dyDescent="0.2">
      <c r="A19" s="587"/>
      <c r="B19" s="627">
        <v>2.7</v>
      </c>
      <c r="C19" s="628"/>
      <c r="D19" s="628"/>
      <c r="E19" s="628"/>
      <c r="F19" s="628"/>
      <c r="G19" s="628"/>
      <c r="H19" s="628"/>
      <c r="I19" s="628"/>
      <c r="J19" s="628"/>
      <c r="K19" s="628"/>
      <c r="L19" s="628"/>
      <c r="M19" s="628"/>
      <c r="N19" s="628"/>
      <c r="O19" s="628"/>
      <c r="P19" s="628"/>
      <c r="Q19" s="628"/>
      <c r="R19" s="628"/>
      <c r="S19" s="628"/>
      <c r="T19" s="628"/>
      <c r="U19" s="628"/>
      <c r="V19" s="628"/>
    </row>
    <row r="20" spans="1:22" ht="5.0999999999999996" customHeight="1" x14ac:dyDescent="0.2">
      <c r="A20" s="587"/>
      <c r="B20" s="627">
        <v>2.6</v>
      </c>
      <c r="C20" s="628"/>
      <c r="D20" s="628"/>
      <c r="E20" s="628"/>
      <c r="F20" s="628"/>
      <c r="G20" s="628"/>
      <c r="H20" s="628"/>
      <c r="I20" s="628"/>
      <c r="J20" s="628"/>
      <c r="K20" s="628"/>
      <c r="L20" s="628"/>
      <c r="M20" s="628"/>
      <c r="N20" s="628"/>
      <c r="O20" s="628"/>
      <c r="P20" s="628"/>
      <c r="Q20" s="628"/>
      <c r="R20" s="628"/>
      <c r="S20" s="628"/>
      <c r="T20" s="628"/>
      <c r="U20" s="628"/>
      <c r="V20" s="628"/>
    </row>
    <row r="21" spans="1:22" ht="5.0999999999999996" customHeight="1" x14ac:dyDescent="0.2">
      <c r="A21" s="587"/>
      <c r="B21" s="627">
        <v>2.5</v>
      </c>
      <c r="C21" s="628"/>
      <c r="D21" s="628"/>
      <c r="E21" s="628"/>
      <c r="F21" s="628"/>
      <c r="G21" s="628"/>
      <c r="H21" s="628"/>
      <c r="I21" s="628"/>
      <c r="J21" s="628"/>
      <c r="K21" s="628"/>
      <c r="L21" s="628"/>
      <c r="M21" s="628"/>
      <c r="N21" s="628"/>
      <c r="O21" s="628"/>
      <c r="P21" s="628"/>
      <c r="Q21" s="628"/>
      <c r="R21" s="628"/>
      <c r="S21" s="628"/>
      <c r="T21" s="628"/>
      <c r="U21" s="628"/>
      <c r="V21" s="628"/>
    </row>
    <row r="22" spans="1:22" ht="5.0999999999999996" customHeight="1" x14ac:dyDescent="0.2">
      <c r="A22" s="587"/>
      <c r="B22" s="627">
        <v>2.4</v>
      </c>
      <c r="C22" s="628"/>
      <c r="D22" s="628"/>
      <c r="E22" s="628"/>
      <c r="F22" s="628"/>
      <c r="G22" s="628"/>
      <c r="H22" s="628"/>
      <c r="I22" s="628"/>
      <c r="J22" s="628"/>
      <c r="K22" s="628"/>
      <c r="L22" s="628"/>
      <c r="M22" s="628"/>
      <c r="N22" s="628"/>
      <c r="O22" s="628"/>
      <c r="P22" s="628"/>
      <c r="Q22" s="628"/>
      <c r="R22" s="628"/>
      <c r="S22" s="628"/>
      <c r="T22" s="628"/>
      <c r="U22" s="628"/>
      <c r="V22" s="628"/>
    </row>
    <row r="23" spans="1:22" ht="5.0999999999999996" customHeight="1" x14ac:dyDescent="0.2">
      <c r="A23" s="587"/>
      <c r="B23" s="627">
        <v>2.2999999999999998</v>
      </c>
      <c r="C23" s="628"/>
      <c r="D23" s="628"/>
      <c r="E23" s="628"/>
      <c r="F23" s="628"/>
      <c r="G23" s="628"/>
      <c r="H23" s="628"/>
      <c r="I23" s="628"/>
      <c r="J23" s="628"/>
      <c r="K23" s="628"/>
      <c r="L23" s="628"/>
      <c r="M23" s="628"/>
      <c r="N23" s="628"/>
      <c r="O23" s="628"/>
      <c r="P23" s="628"/>
      <c r="Q23" s="628"/>
      <c r="R23" s="628"/>
      <c r="S23" s="628"/>
      <c r="T23" s="628"/>
      <c r="U23" s="628"/>
      <c r="V23" s="628"/>
    </row>
    <row r="24" spans="1:22" ht="5.0999999999999996" customHeight="1" x14ac:dyDescent="0.2">
      <c r="A24" s="587"/>
      <c r="B24" s="627">
        <v>2.2000000000000002</v>
      </c>
      <c r="C24" s="628"/>
      <c r="D24" s="628"/>
      <c r="E24" s="628"/>
      <c r="F24" s="628"/>
      <c r="G24" s="628"/>
      <c r="H24" s="628"/>
      <c r="I24" s="628"/>
      <c r="J24" s="628"/>
      <c r="K24" s="628"/>
      <c r="L24" s="628"/>
      <c r="M24" s="628"/>
      <c r="N24" s="628"/>
      <c r="O24" s="628"/>
      <c r="P24" s="628"/>
      <c r="Q24" s="628"/>
      <c r="R24" s="628"/>
      <c r="S24" s="628"/>
      <c r="T24" s="628"/>
      <c r="U24" s="628"/>
      <c r="V24" s="628"/>
    </row>
    <row r="25" spans="1:22" ht="5.0999999999999996" customHeight="1" x14ac:dyDescent="0.2">
      <c r="A25" s="587"/>
      <c r="B25" s="627">
        <v>2.1</v>
      </c>
      <c r="C25" s="628"/>
      <c r="D25" s="628"/>
      <c r="E25" s="628"/>
      <c r="F25" s="628"/>
      <c r="G25" s="628"/>
      <c r="H25" s="628"/>
      <c r="I25" s="628"/>
      <c r="J25" s="628"/>
      <c r="K25" s="628"/>
      <c r="L25" s="628"/>
      <c r="M25" s="628"/>
      <c r="N25" s="628"/>
      <c r="O25" s="628"/>
      <c r="P25" s="628"/>
      <c r="Q25" s="628"/>
      <c r="R25" s="628"/>
      <c r="S25" s="628"/>
      <c r="T25" s="628"/>
      <c r="U25" s="628"/>
      <c r="V25" s="628"/>
    </row>
    <row r="26" spans="1:22" ht="5.0999999999999996" customHeight="1" thickBot="1" x14ac:dyDescent="0.25">
      <c r="A26" s="1657">
        <v>2</v>
      </c>
      <c r="B26" s="629">
        <v>2</v>
      </c>
      <c r="C26" s="630"/>
      <c r="D26" s="630"/>
      <c r="E26" s="630"/>
      <c r="F26" s="630"/>
      <c r="G26" s="630"/>
      <c r="H26" s="630"/>
      <c r="I26" s="630"/>
      <c r="J26" s="630"/>
      <c r="K26" s="630"/>
      <c r="L26" s="630"/>
      <c r="M26" s="630"/>
      <c r="N26" s="630"/>
      <c r="O26" s="630"/>
      <c r="P26" s="630"/>
      <c r="Q26" s="630"/>
      <c r="R26" s="630"/>
      <c r="S26" s="630"/>
      <c r="T26" s="630"/>
      <c r="U26" s="630"/>
      <c r="V26" s="630"/>
    </row>
    <row r="27" spans="1:22" ht="5.0999999999999996" customHeight="1" x14ac:dyDescent="0.2">
      <c r="A27" s="1657"/>
      <c r="B27" s="625">
        <v>1.9</v>
      </c>
      <c r="C27" s="626"/>
      <c r="D27" s="626"/>
      <c r="E27" s="626"/>
      <c r="F27" s="626"/>
      <c r="G27" s="626"/>
      <c r="H27" s="626"/>
      <c r="I27" s="626"/>
      <c r="J27" s="626"/>
      <c r="K27" s="626"/>
      <c r="L27" s="626"/>
      <c r="M27" s="626"/>
      <c r="N27" s="626"/>
      <c r="O27" s="626"/>
      <c r="P27" s="626"/>
      <c r="Q27" s="626"/>
      <c r="R27" s="626"/>
      <c r="S27" s="626"/>
      <c r="T27" s="626"/>
      <c r="U27" s="626"/>
      <c r="V27" s="626"/>
    </row>
    <row r="28" spans="1:22" ht="5.0999999999999996" customHeight="1" x14ac:dyDescent="0.2">
      <c r="A28" s="587"/>
      <c r="B28" s="627">
        <v>1.8</v>
      </c>
      <c r="C28" s="628"/>
      <c r="D28" s="628"/>
      <c r="E28" s="628"/>
      <c r="F28" s="628"/>
      <c r="G28" s="628"/>
      <c r="H28" s="628"/>
      <c r="I28" s="628"/>
      <c r="J28" s="628"/>
      <c r="K28" s="628"/>
      <c r="L28" s="628"/>
      <c r="M28" s="628"/>
      <c r="N28" s="628"/>
      <c r="O28" s="628"/>
      <c r="P28" s="628"/>
      <c r="Q28" s="628"/>
      <c r="R28" s="628"/>
      <c r="S28" s="628"/>
      <c r="T28" s="628"/>
      <c r="U28" s="628"/>
      <c r="V28" s="628"/>
    </row>
    <row r="29" spans="1:22" ht="5.0999999999999996" customHeight="1" x14ac:dyDescent="0.2">
      <c r="A29" s="587"/>
      <c r="B29" s="627">
        <v>1.7</v>
      </c>
      <c r="C29" s="628"/>
      <c r="D29" s="628"/>
      <c r="E29" s="628"/>
      <c r="F29" s="628"/>
      <c r="G29" s="628"/>
      <c r="H29" s="628"/>
      <c r="I29" s="628"/>
      <c r="J29" s="628"/>
      <c r="K29" s="628"/>
      <c r="L29" s="628"/>
      <c r="M29" s="628"/>
      <c r="N29" s="628"/>
      <c r="O29" s="628"/>
      <c r="P29" s="628"/>
      <c r="Q29" s="628"/>
      <c r="R29" s="628"/>
      <c r="S29" s="628"/>
      <c r="T29" s="628"/>
      <c r="U29" s="628"/>
      <c r="V29" s="628"/>
    </row>
    <row r="30" spans="1:22" ht="5.0999999999999996" customHeight="1" x14ac:dyDescent="0.2">
      <c r="A30" s="587"/>
      <c r="B30" s="627">
        <v>1.6</v>
      </c>
      <c r="C30" s="628"/>
      <c r="D30" s="628"/>
      <c r="E30" s="628"/>
      <c r="F30" s="628"/>
      <c r="G30" s="628"/>
      <c r="H30" s="628"/>
      <c r="I30" s="628"/>
      <c r="J30" s="628"/>
      <c r="K30" s="628"/>
      <c r="L30" s="628"/>
      <c r="M30" s="628"/>
      <c r="N30" s="628"/>
      <c r="O30" s="628"/>
      <c r="P30" s="628"/>
      <c r="Q30" s="628"/>
      <c r="R30" s="628"/>
      <c r="S30" s="628"/>
      <c r="T30" s="628"/>
      <c r="U30" s="628"/>
      <c r="V30" s="628"/>
    </row>
    <row r="31" spans="1:22" ht="5.0999999999999996" customHeight="1" x14ac:dyDescent="0.2">
      <c r="A31" s="587"/>
      <c r="B31" s="627">
        <v>1.5</v>
      </c>
      <c r="C31" s="628"/>
      <c r="D31" s="628"/>
      <c r="E31" s="628"/>
      <c r="F31" s="628"/>
      <c r="G31" s="628"/>
      <c r="H31" s="628"/>
      <c r="I31" s="628"/>
      <c r="J31" s="628"/>
      <c r="K31" s="628"/>
      <c r="L31" s="628"/>
      <c r="M31" s="628"/>
      <c r="N31" s="628"/>
      <c r="O31" s="628"/>
      <c r="P31" s="628"/>
      <c r="Q31" s="628"/>
      <c r="R31" s="628"/>
      <c r="S31" s="628"/>
      <c r="T31" s="628"/>
      <c r="U31" s="628"/>
      <c r="V31" s="628"/>
    </row>
    <row r="32" spans="1:22" ht="5.0999999999999996" customHeight="1" x14ac:dyDescent="0.2">
      <c r="A32" s="587"/>
      <c r="B32" s="627">
        <v>1.4</v>
      </c>
      <c r="C32" s="628"/>
      <c r="D32" s="628"/>
      <c r="E32" s="628"/>
      <c r="F32" s="628"/>
      <c r="G32" s="628"/>
      <c r="H32" s="628"/>
      <c r="I32" s="628"/>
      <c r="J32" s="628"/>
      <c r="K32" s="628"/>
      <c r="L32" s="628"/>
      <c r="M32" s="628"/>
      <c r="N32" s="628"/>
      <c r="O32" s="628"/>
      <c r="P32" s="628"/>
      <c r="Q32" s="628"/>
      <c r="R32" s="628"/>
      <c r="S32" s="628"/>
      <c r="T32" s="628"/>
      <c r="U32" s="628"/>
      <c r="V32" s="628"/>
    </row>
    <row r="33" spans="1:22" ht="5.0999999999999996" customHeight="1" x14ac:dyDescent="0.2">
      <c r="A33" s="587"/>
      <c r="B33" s="627">
        <v>1.3</v>
      </c>
      <c r="C33" s="628"/>
      <c r="D33" s="628"/>
      <c r="E33" s="628"/>
      <c r="F33" s="628"/>
      <c r="G33" s="628"/>
      <c r="H33" s="628"/>
      <c r="I33" s="628"/>
      <c r="J33" s="628"/>
      <c r="K33" s="628"/>
      <c r="L33" s="628"/>
      <c r="M33" s="628"/>
      <c r="N33" s="628"/>
      <c r="O33" s="628"/>
      <c r="P33" s="628"/>
      <c r="Q33" s="628"/>
      <c r="R33" s="628"/>
      <c r="S33" s="628"/>
      <c r="T33" s="628"/>
      <c r="U33" s="628"/>
      <c r="V33" s="628"/>
    </row>
    <row r="34" spans="1:22" ht="5.0999999999999996" customHeight="1" x14ac:dyDescent="0.2">
      <c r="A34" s="587"/>
      <c r="B34" s="627">
        <v>1.2</v>
      </c>
      <c r="C34" s="628"/>
      <c r="D34" s="628"/>
      <c r="E34" s="628"/>
      <c r="F34" s="628"/>
      <c r="G34" s="628"/>
      <c r="H34" s="628"/>
      <c r="I34" s="628"/>
      <c r="J34" s="628"/>
      <c r="K34" s="628"/>
      <c r="L34" s="628"/>
      <c r="M34" s="628"/>
      <c r="N34" s="628"/>
      <c r="O34" s="628"/>
      <c r="P34" s="628"/>
      <c r="Q34" s="628"/>
      <c r="R34" s="628"/>
      <c r="S34" s="628"/>
      <c r="T34" s="628"/>
      <c r="U34" s="628"/>
      <c r="V34" s="628"/>
    </row>
    <row r="35" spans="1:22" ht="5.0999999999999996" customHeight="1" x14ac:dyDescent="0.2">
      <c r="A35" s="587"/>
      <c r="B35" s="627">
        <v>1.1000000000000001</v>
      </c>
      <c r="C35" s="628"/>
      <c r="D35" s="628"/>
      <c r="E35" s="628"/>
      <c r="F35" s="628"/>
      <c r="G35" s="628"/>
      <c r="H35" s="628"/>
      <c r="I35" s="628"/>
      <c r="J35" s="628"/>
      <c r="K35" s="628"/>
      <c r="L35" s="628"/>
      <c r="M35" s="628"/>
      <c r="N35" s="628"/>
      <c r="O35" s="628"/>
      <c r="P35" s="628"/>
      <c r="Q35" s="628"/>
      <c r="R35" s="628"/>
      <c r="S35" s="628"/>
      <c r="T35" s="628"/>
      <c r="U35" s="628"/>
      <c r="V35" s="628"/>
    </row>
    <row r="36" spans="1:22" ht="5.0999999999999996" customHeight="1" thickBot="1" x14ac:dyDescent="0.25">
      <c r="A36" s="1657">
        <v>1</v>
      </c>
      <c r="B36" s="629">
        <v>1</v>
      </c>
      <c r="C36" s="630"/>
      <c r="D36" s="630"/>
      <c r="E36" s="630"/>
      <c r="F36" s="630"/>
      <c r="G36" s="630"/>
      <c r="H36" s="630"/>
      <c r="I36" s="630"/>
      <c r="J36" s="630"/>
      <c r="K36" s="630"/>
      <c r="L36" s="630"/>
      <c r="M36" s="630"/>
      <c r="N36" s="630"/>
      <c r="O36" s="630"/>
      <c r="P36" s="630"/>
      <c r="Q36" s="630"/>
      <c r="R36" s="630"/>
      <c r="S36" s="630"/>
      <c r="T36" s="630"/>
      <c r="U36" s="630"/>
      <c r="V36" s="630"/>
    </row>
    <row r="37" spans="1:22" ht="5.0999999999999996" customHeight="1" x14ac:dyDescent="0.2">
      <c r="A37" s="1657"/>
      <c r="B37" s="625">
        <v>0.9</v>
      </c>
      <c r="C37" s="626"/>
      <c r="D37" s="626"/>
      <c r="E37" s="626"/>
      <c r="F37" s="626"/>
      <c r="G37" s="626"/>
      <c r="H37" s="626"/>
      <c r="I37" s="626"/>
      <c r="J37" s="626"/>
      <c r="K37" s="626"/>
      <c r="L37" s="626"/>
      <c r="M37" s="626"/>
      <c r="N37" s="626"/>
      <c r="O37" s="626"/>
      <c r="P37" s="626"/>
      <c r="Q37" s="626"/>
      <c r="R37" s="626"/>
      <c r="S37" s="626"/>
      <c r="T37" s="626"/>
      <c r="U37" s="626"/>
      <c r="V37" s="626"/>
    </row>
    <row r="38" spans="1:22" ht="5.0999999999999996" customHeight="1" x14ac:dyDescent="0.2">
      <c r="A38" s="587"/>
      <c r="B38" s="627">
        <v>0.8</v>
      </c>
      <c r="C38" s="628"/>
      <c r="D38" s="628"/>
      <c r="E38" s="628"/>
      <c r="F38" s="628"/>
      <c r="G38" s="628"/>
      <c r="H38" s="628"/>
      <c r="I38" s="628"/>
      <c r="J38" s="628"/>
      <c r="K38" s="628"/>
      <c r="L38" s="628"/>
      <c r="M38" s="628"/>
      <c r="N38" s="628"/>
      <c r="O38" s="628"/>
      <c r="P38" s="628"/>
      <c r="Q38" s="628"/>
      <c r="R38" s="628"/>
      <c r="S38" s="628"/>
      <c r="T38" s="628"/>
      <c r="U38" s="628"/>
      <c r="V38" s="628"/>
    </row>
    <row r="39" spans="1:22" ht="5.0999999999999996" customHeight="1" x14ac:dyDescent="0.2">
      <c r="A39" s="587"/>
      <c r="B39" s="627">
        <v>0.7</v>
      </c>
      <c r="C39" s="628"/>
      <c r="D39" s="628"/>
      <c r="E39" s="628"/>
      <c r="F39" s="628"/>
      <c r="G39" s="628"/>
      <c r="H39" s="628"/>
      <c r="I39" s="628"/>
      <c r="J39" s="628"/>
      <c r="K39" s="628"/>
      <c r="L39" s="628"/>
      <c r="M39" s="628"/>
      <c r="N39" s="628"/>
      <c r="O39" s="628"/>
      <c r="P39" s="628"/>
      <c r="Q39" s="628"/>
      <c r="R39" s="628"/>
      <c r="S39" s="628"/>
      <c r="T39" s="628"/>
      <c r="U39" s="628"/>
      <c r="V39" s="628"/>
    </row>
    <row r="40" spans="1:22" ht="5.0999999999999996" customHeight="1" x14ac:dyDescent="0.2">
      <c r="A40" s="587"/>
      <c r="B40" s="627">
        <v>0.6</v>
      </c>
      <c r="C40" s="628"/>
      <c r="D40" s="628"/>
      <c r="E40" s="628"/>
      <c r="F40" s="628"/>
      <c r="G40" s="628"/>
      <c r="H40" s="628"/>
      <c r="I40" s="628"/>
      <c r="J40" s="628"/>
      <c r="K40" s="628"/>
      <c r="L40" s="628"/>
      <c r="M40" s="628"/>
      <c r="N40" s="628"/>
      <c r="O40" s="628"/>
      <c r="P40" s="628"/>
      <c r="Q40" s="628"/>
      <c r="R40" s="628"/>
      <c r="S40" s="628"/>
      <c r="T40" s="628"/>
      <c r="U40" s="628"/>
      <c r="V40" s="628"/>
    </row>
    <row r="41" spans="1:22" ht="5.0999999999999996" customHeight="1" x14ac:dyDescent="0.2">
      <c r="A41" s="587"/>
      <c r="B41" s="627">
        <f>FEFHev</f>
        <v>0</v>
      </c>
      <c r="C41" s="628"/>
      <c r="D41" s="628"/>
      <c r="E41" s="628"/>
      <c r="F41" s="628"/>
      <c r="G41" s="628"/>
      <c r="H41" s="628"/>
      <c r="I41" s="628"/>
      <c r="J41" s="628"/>
      <c r="K41" s="628"/>
      <c r="L41" s="628"/>
      <c r="M41" s="628"/>
      <c r="N41" s="628"/>
      <c r="O41" s="628"/>
      <c r="P41" s="628"/>
      <c r="Q41" s="628"/>
      <c r="R41" s="628"/>
      <c r="S41" s="628"/>
      <c r="T41" s="628"/>
      <c r="U41" s="628"/>
      <c r="V41" s="628"/>
    </row>
    <row r="42" spans="1:22" ht="5.0999999999999996" customHeight="1" x14ac:dyDescent="0.2">
      <c r="A42" s="587"/>
      <c r="B42" s="627">
        <v>0.4</v>
      </c>
      <c r="C42" s="628"/>
      <c r="D42" s="628"/>
      <c r="E42" s="628"/>
      <c r="F42" s="628"/>
      <c r="G42" s="628"/>
      <c r="H42" s="628"/>
      <c r="I42" s="628"/>
      <c r="J42" s="628"/>
      <c r="K42" s="628"/>
      <c r="L42" s="628"/>
      <c r="M42" s="628"/>
      <c r="N42" s="628"/>
      <c r="O42" s="628"/>
      <c r="P42" s="628"/>
      <c r="Q42" s="628"/>
      <c r="R42" s="628"/>
      <c r="S42" s="628"/>
      <c r="T42" s="628"/>
      <c r="U42" s="628"/>
      <c r="V42" s="628"/>
    </row>
    <row r="43" spans="1:22" ht="5.0999999999999996" customHeight="1" x14ac:dyDescent="0.2">
      <c r="A43" s="587"/>
      <c r="B43" s="627">
        <v>0.3</v>
      </c>
      <c r="C43" s="628"/>
      <c r="D43" s="628"/>
      <c r="E43" s="628"/>
      <c r="F43" s="628"/>
      <c r="G43" s="628"/>
      <c r="H43" s="628"/>
      <c r="I43" s="628"/>
      <c r="J43" s="628"/>
      <c r="K43" s="628"/>
      <c r="L43" s="628"/>
      <c r="M43" s="628"/>
      <c r="N43" s="628"/>
      <c r="O43" s="628"/>
      <c r="P43" s="628"/>
      <c r="Q43" s="628"/>
      <c r="R43" s="628"/>
      <c r="S43" s="628"/>
      <c r="T43" s="628"/>
      <c r="U43" s="628"/>
      <c r="V43" s="628"/>
    </row>
    <row r="44" spans="1:22" ht="5.0999999999999996" customHeight="1" x14ac:dyDescent="0.2">
      <c r="A44" s="587"/>
      <c r="B44" s="627">
        <v>0.2</v>
      </c>
      <c r="C44" s="628"/>
      <c r="D44" s="628"/>
      <c r="E44" s="628"/>
      <c r="F44" s="628"/>
      <c r="G44" s="628"/>
      <c r="H44" s="628"/>
      <c r="I44" s="628"/>
      <c r="J44" s="628"/>
      <c r="K44" s="628"/>
      <c r="L44" s="628"/>
      <c r="M44" s="628"/>
      <c r="N44" s="628"/>
      <c r="O44" s="628"/>
      <c r="P44" s="628"/>
      <c r="Q44" s="628"/>
      <c r="R44" s="628"/>
      <c r="S44" s="628"/>
      <c r="T44" s="628"/>
      <c r="U44" s="628"/>
      <c r="V44" s="628"/>
    </row>
    <row r="45" spans="1:22" ht="5.0999999999999996" customHeight="1" x14ac:dyDescent="0.2">
      <c r="A45" s="587"/>
      <c r="B45" s="627">
        <v>0.1</v>
      </c>
      <c r="C45" s="628"/>
      <c r="D45" s="628"/>
      <c r="E45" s="628"/>
      <c r="F45" s="628"/>
      <c r="G45" s="628"/>
      <c r="H45" s="628"/>
      <c r="I45" s="628"/>
      <c r="J45" s="628"/>
      <c r="K45" s="628"/>
      <c r="L45" s="628"/>
      <c r="M45" s="628"/>
      <c r="N45" s="628"/>
      <c r="O45" s="628"/>
      <c r="P45" s="628"/>
      <c r="Q45" s="628"/>
      <c r="R45" s="628"/>
      <c r="S45" s="628"/>
      <c r="T45" s="628"/>
      <c r="U45" s="628"/>
      <c r="V45" s="628"/>
    </row>
    <row r="46" spans="1:22" ht="5.0999999999999996" customHeight="1" thickBot="1" x14ac:dyDescent="0.25">
      <c r="A46" s="1657">
        <v>0</v>
      </c>
      <c r="B46" s="631">
        <v>0</v>
      </c>
      <c r="C46" s="632"/>
      <c r="D46" s="632"/>
      <c r="E46" s="632"/>
      <c r="F46" s="632"/>
      <c r="G46" s="632"/>
      <c r="H46" s="632"/>
      <c r="I46" s="632"/>
      <c r="J46" s="632"/>
      <c r="K46" s="632"/>
      <c r="L46" s="632"/>
      <c r="M46" s="632"/>
      <c r="N46" s="632"/>
      <c r="O46" s="632"/>
      <c r="P46" s="632"/>
      <c r="Q46" s="632"/>
      <c r="R46" s="632"/>
      <c r="S46" s="632"/>
      <c r="T46" s="632"/>
      <c r="U46" s="632"/>
      <c r="V46" s="632"/>
    </row>
    <row r="47" spans="1:22" ht="5.0999999999999996" customHeight="1" x14ac:dyDescent="0.2">
      <c r="A47" s="1657"/>
      <c r="B47" s="633">
        <v>-0.1</v>
      </c>
      <c r="C47" s="634"/>
      <c r="D47" s="634"/>
      <c r="E47" s="634"/>
      <c r="F47" s="634"/>
      <c r="G47" s="634"/>
      <c r="H47" s="634"/>
      <c r="I47" s="634"/>
      <c r="J47" s="634"/>
      <c r="K47" s="634"/>
      <c r="L47" s="634"/>
      <c r="M47" s="634"/>
      <c r="N47" s="634"/>
      <c r="O47" s="634"/>
      <c r="P47" s="634"/>
      <c r="Q47" s="634"/>
      <c r="R47" s="634"/>
      <c r="S47" s="634"/>
      <c r="T47" s="634"/>
      <c r="U47" s="634"/>
      <c r="V47" s="634"/>
    </row>
    <row r="48" spans="1:22" ht="5.0999999999999996" customHeight="1" x14ac:dyDescent="0.2">
      <c r="A48" s="587"/>
      <c r="B48" s="627">
        <v>-0.2</v>
      </c>
      <c r="C48" s="628"/>
      <c r="D48" s="628"/>
      <c r="E48" s="628"/>
      <c r="F48" s="628"/>
      <c r="G48" s="628"/>
      <c r="H48" s="628"/>
      <c r="I48" s="628"/>
      <c r="J48" s="628"/>
      <c r="K48" s="628"/>
      <c r="L48" s="628"/>
      <c r="M48" s="628"/>
      <c r="N48" s="628"/>
      <c r="O48" s="628"/>
      <c r="P48" s="628"/>
      <c r="Q48" s="628"/>
      <c r="R48" s="628"/>
      <c r="S48" s="628"/>
      <c r="T48" s="628"/>
      <c r="U48" s="628"/>
      <c r="V48" s="628"/>
    </row>
    <row r="49" spans="1:22" ht="5.0999999999999996" customHeight="1" x14ac:dyDescent="0.2">
      <c r="A49" s="587"/>
      <c r="B49" s="627">
        <v>-0.3</v>
      </c>
      <c r="C49" s="628"/>
      <c r="D49" s="628"/>
      <c r="E49" s="628"/>
      <c r="F49" s="628"/>
      <c r="G49" s="628"/>
      <c r="H49" s="628"/>
      <c r="I49" s="628"/>
      <c r="J49" s="628"/>
      <c r="K49" s="628"/>
      <c r="L49" s="628"/>
      <c r="M49" s="628"/>
      <c r="N49" s="628"/>
      <c r="O49" s="628"/>
      <c r="P49" s="628"/>
      <c r="Q49" s="628"/>
      <c r="R49" s="628"/>
      <c r="S49" s="628"/>
      <c r="T49" s="628"/>
      <c r="U49" s="628"/>
      <c r="V49" s="628"/>
    </row>
    <row r="50" spans="1:22" ht="5.0999999999999996" customHeight="1" x14ac:dyDescent="0.2">
      <c r="A50" s="587"/>
      <c r="B50" s="627">
        <v>-0.4</v>
      </c>
      <c r="C50" s="628"/>
      <c r="D50" s="628"/>
      <c r="E50" s="628"/>
      <c r="F50" s="628"/>
      <c r="G50" s="628"/>
      <c r="H50" s="628"/>
      <c r="I50" s="628"/>
      <c r="J50" s="628"/>
      <c r="K50" s="628"/>
      <c r="L50" s="628"/>
      <c r="M50" s="628"/>
      <c r="N50" s="628"/>
      <c r="O50" s="628"/>
      <c r="P50" s="628"/>
      <c r="Q50" s="628"/>
      <c r="R50" s="628"/>
      <c r="S50" s="628"/>
      <c r="T50" s="628"/>
      <c r="U50" s="628"/>
      <c r="V50" s="628"/>
    </row>
    <row r="51" spans="1:22" ht="5.0999999999999996" customHeight="1" x14ac:dyDescent="0.2">
      <c r="A51" s="587"/>
      <c r="B51" s="627">
        <v>-0.5</v>
      </c>
      <c r="C51" s="628"/>
      <c r="D51" s="628"/>
      <c r="E51" s="628"/>
      <c r="F51" s="628"/>
      <c r="G51" s="628"/>
      <c r="H51" s="628"/>
      <c r="I51" s="628"/>
      <c r="J51" s="628"/>
      <c r="K51" s="628"/>
      <c r="L51" s="628"/>
      <c r="M51" s="628"/>
      <c r="N51" s="628"/>
      <c r="O51" s="628"/>
      <c r="P51" s="628"/>
      <c r="Q51" s="628"/>
      <c r="R51" s="628"/>
      <c r="S51" s="628"/>
      <c r="T51" s="628"/>
      <c r="U51" s="628"/>
      <c r="V51" s="628"/>
    </row>
    <row r="52" spans="1:22" ht="5.0999999999999996" customHeight="1" x14ac:dyDescent="0.2">
      <c r="A52" s="587"/>
      <c r="B52" s="627">
        <v>-0.6</v>
      </c>
      <c r="C52" s="628"/>
      <c r="D52" s="628"/>
      <c r="E52" s="628"/>
      <c r="F52" s="628"/>
      <c r="G52" s="628"/>
      <c r="H52" s="628"/>
      <c r="I52" s="628"/>
      <c r="J52" s="628"/>
      <c r="K52" s="628"/>
      <c r="L52" s="628"/>
      <c r="M52" s="628"/>
      <c r="N52" s="628"/>
      <c r="O52" s="628"/>
      <c r="P52" s="628"/>
      <c r="Q52" s="628"/>
      <c r="R52" s="628"/>
      <c r="S52" s="628"/>
      <c r="T52" s="628"/>
      <c r="U52" s="628"/>
      <c r="V52" s="628"/>
    </row>
    <row r="53" spans="1:22" ht="5.0999999999999996" customHeight="1" x14ac:dyDescent="0.2">
      <c r="A53" s="587"/>
      <c r="B53" s="627">
        <v>-0.7</v>
      </c>
      <c r="C53" s="628"/>
      <c r="D53" s="628"/>
      <c r="E53" s="628"/>
      <c r="F53" s="628"/>
      <c r="G53" s="628"/>
      <c r="H53" s="628"/>
      <c r="I53" s="628"/>
      <c r="J53" s="628"/>
      <c r="K53" s="628"/>
      <c r="L53" s="628"/>
      <c r="M53" s="628"/>
      <c r="N53" s="628"/>
      <c r="O53" s="628"/>
      <c r="P53" s="628"/>
      <c r="Q53" s="628"/>
      <c r="R53" s="628"/>
      <c r="S53" s="628"/>
      <c r="T53" s="628"/>
      <c r="U53" s="628"/>
      <c r="V53" s="628"/>
    </row>
    <row r="54" spans="1:22" ht="5.0999999999999996" customHeight="1" x14ac:dyDescent="0.2">
      <c r="A54" s="587"/>
      <c r="B54" s="627">
        <v>-0.8</v>
      </c>
      <c r="C54" s="628"/>
      <c r="D54" s="628"/>
      <c r="E54" s="628"/>
      <c r="F54" s="628"/>
      <c r="G54" s="628"/>
      <c r="H54" s="628"/>
      <c r="I54" s="628"/>
      <c r="J54" s="628"/>
      <c r="K54" s="628"/>
      <c r="L54" s="628"/>
      <c r="M54" s="628"/>
      <c r="N54" s="628"/>
      <c r="O54" s="628"/>
      <c r="P54" s="628"/>
      <c r="Q54" s="628"/>
      <c r="R54" s="628"/>
      <c r="S54" s="628"/>
      <c r="T54" s="628"/>
      <c r="U54" s="628"/>
      <c r="V54" s="628"/>
    </row>
    <row r="55" spans="1:22" ht="5.0999999999999996" customHeight="1" x14ac:dyDescent="0.2">
      <c r="A55" s="587"/>
      <c r="B55" s="627">
        <v>-0.9</v>
      </c>
      <c r="C55" s="628"/>
      <c r="D55" s="628"/>
      <c r="E55" s="628"/>
      <c r="F55" s="628"/>
      <c r="G55" s="628"/>
      <c r="H55" s="628"/>
      <c r="I55" s="628"/>
      <c r="J55" s="628"/>
      <c r="K55" s="628"/>
      <c r="L55" s="628"/>
      <c r="M55" s="628"/>
      <c r="N55" s="628"/>
      <c r="O55" s="628"/>
      <c r="P55" s="628"/>
      <c r="Q55" s="628"/>
      <c r="R55" s="628"/>
      <c r="S55" s="628"/>
      <c r="T55" s="628"/>
      <c r="U55" s="628"/>
      <c r="V55" s="628"/>
    </row>
    <row r="56" spans="1:22" ht="5.0999999999999996" customHeight="1" thickBot="1" x14ac:dyDescent="0.25">
      <c r="A56" s="1657">
        <v>-1</v>
      </c>
      <c r="B56" s="629">
        <v>-1</v>
      </c>
      <c r="C56" s="630"/>
      <c r="D56" s="630"/>
      <c r="E56" s="630"/>
      <c r="F56" s="630"/>
      <c r="G56" s="630"/>
      <c r="H56" s="630"/>
      <c r="I56" s="630"/>
      <c r="J56" s="630"/>
      <c r="K56" s="630"/>
      <c r="L56" s="630"/>
      <c r="M56" s="630"/>
      <c r="N56" s="630"/>
      <c r="O56" s="630"/>
      <c r="P56" s="630"/>
      <c r="Q56" s="630"/>
      <c r="R56" s="630"/>
      <c r="S56" s="630"/>
      <c r="T56" s="630"/>
      <c r="U56" s="630"/>
      <c r="V56" s="630"/>
    </row>
    <row r="57" spans="1:22" ht="5.0999999999999996" customHeight="1" x14ac:dyDescent="0.2">
      <c r="A57" s="1657"/>
      <c r="B57" s="625">
        <v>-1.1000000000000001</v>
      </c>
      <c r="C57" s="626"/>
      <c r="D57" s="626"/>
      <c r="E57" s="626"/>
      <c r="F57" s="626"/>
      <c r="G57" s="626"/>
      <c r="H57" s="626"/>
      <c r="I57" s="626"/>
      <c r="J57" s="626"/>
      <c r="K57" s="626"/>
      <c r="L57" s="626"/>
      <c r="M57" s="626"/>
      <c r="N57" s="626"/>
      <c r="O57" s="626"/>
      <c r="P57" s="626"/>
      <c r="Q57" s="626"/>
      <c r="R57" s="626"/>
      <c r="S57" s="626"/>
      <c r="T57" s="626"/>
      <c r="U57" s="626"/>
      <c r="V57" s="626"/>
    </row>
    <row r="58" spans="1:22" ht="5.0999999999999996" customHeight="1" x14ac:dyDescent="0.2">
      <c r="A58" s="587"/>
      <c r="B58" s="627">
        <v>-1.2</v>
      </c>
      <c r="C58" s="628"/>
      <c r="D58" s="628"/>
      <c r="E58" s="628"/>
      <c r="F58" s="628"/>
      <c r="G58" s="628"/>
      <c r="H58" s="628"/>
      <c r="I58" s="628"/>
      <c r="J58" s="628"/>
      <c r="K58" s="628"/>
      <c r="L58" s="628"/>
      <c r="M58" s="628"/>
      <c r="N58" s="628"/>
      <c r="O58" s="628"/>
      <c r="P58" s="628"/>
      <c r="Q58" s="628"/>
      <c r="R58" s="628"/>
      <c r="S58" s="628"/>
      <c r="T58" s="628"/>
      <c r="U58" s="628"/>
      <c r="V58" s="628"/>
    </row>
    <row r="59" spans="1:22" ht="5.0999999999999996" customHeight="1" x14ac:dyDescent="0.2">
      <c r="A59" s="587"/>
      <c r="B59" s="627">
        <v>-1.3</v>
      </c>
      <c r="C59" s="628"/>
      <c r="D59" s="628"/>
      <c r="E59" s="628"/>
      <c r="F59" s="628"/>
      <c r="G59" s="628"/>
      <c r="H59" s="628"/>
      <c r="I59" s="628"/>
      <c r="J59" s="628"/>
      <c r="K59" s="628"/>
      <c r="L59" s="628"/>
      <c r="M59" s="628"/>
      <c r="N59" s="628"/>
      <c r="O59" s="628"/>
      <c r="P59" s="628"/>
      <c r="Q59" s="628"/>
      <c r="R59" s="628"/>
      <c r="S59" s="628"/>
      <c r="T59" s="628"/>
      <c r="U59" s="628"/>
      <c r="V59" s="628"/>
    </row>
    <row r="60" spans="1:22" ht="5.0999999999999996" customHeight="1" x14ac:dyDescent="0.2">
      <c r="A60" s="587"/>
      <c r="B60" s="627">
        <v>-1.4</v>
      </c>
      <c r="C60" s="628"/>
      <c r="D60" s="628"/>
      <c r="E60" s="628"/>
      <c r="F60" s="628"/>
      <c r="G60" s="628"/>
      <c r="H60" s="628"/>
      <c r="I60" s="628"/>
      <c r="J60" s="628"/>
      <c r="K60" s="628"/>
      <c r="L60" s="628"/>
      <c r="M60" s="628"/>
      <c r="N60" s="628"/>
      <c r="O60" s="628"/>
      <c r="P60" s="628"/>
      <c r="Q60" s="628"/>
      <c r="R60" s="628"/>
      <c r="S60" s="628"/>
      <c r="T60" s="628"/>
      <c r="U60" s="628"/>
      <c r="V60" s="628"/>
    </row>
    <row r="61" spans="1:22" ht="5.0999999999999996" customHeight="1" x14ac:dyDescent="0.2">
      <c r="A61" s="587"/>
      <c r="B61" s="627">
        <v>-1.5</v>
      </c>
      <c r="C61" s="628"/>
      <c r="D61" s="628"/>
      <c r="E61" s="628"/>
      <c r="F61" s="628"/>
      <c r="G61" s="628"/>
      <c r="H61" s="628"/>
      <c r="I61" s="628"/>
      <c r="J61" s="628"/>
      <c r="K61" s="628"/>
      <c r="L61" s="628"/>
      <c r="M61" s="628"/>
      <c r="N61" s="628"/>
      <c r="O61" s="628"/>
      <c r="P61" s="628"/>
      <c r="Q61" s="628"/>
      <c r="R61" s="628"/>
      <c r="S61" s="628"/>
      <c r="T61" s="628"/>
      <c r="U61" s="628"/>
      <c r="V61" s="628"/>
    </row>
    <row r="62" spans="1:22" ht="5.0999999999999996" customHeight="1" x14ac:dyDescent="0.2">
      <c r="A62" s="587"/>
      <c r="B62" s="627">
        <v>-1.6</v>
      </c>
      <c r="C62" s="628"/>
      <c r="D62" s="628"/>
      <c r="E62" s="628"/>
      <c r="F62" s="628"/>
      <c r="G62" s="628"/>
      <c r="H62" s="628"/>
      <c r="I62" s="628"/>
      <c r="J62" s="628"/>
      <c r="K62" s="628"/>
      <c r="L62" s="628"/>
      <c r="M62" s="628"/>
      <c r="N62" s="628"/>
      <c r="O62" s="628"/>
      <c r="P62" s="628"/>
      <c r="Q62" s="628"/>
      <c r="R62" s="628"/>
      <c r="S62" s="628"/>
      <c r="T62" s="628"/>
      <c r="U62" s="628"/>
      <c r="V62" s="628"/>
    </row>
    <row r="63" spans="1:22" ht="5.0999999999999996" customHeight="1" x14ac:dyDescent="0.2">
      <c r="A63" s="587"/>
      <c r="B63" s="627">
        <v>-1.7</v>
      </c>
      <c r="C63" s="628"/>
      <c r="D63" s="628"/>
      <c r="E63" s="628"/>
      <c r="F63" s="628"/>
      <c r="G63" s="628"/>
      <c r="H63" s="628"/>
      <c r="I63" s="628"/>
      <c r="J63" s="628"/>
      <c r="K63" s="628"/>
      <c r="L63" s="628"/>
      <c r="M63" s="628"/>
      <c r="N63" s="628"/>
      <c r="O63" s="628"/>
      <c r="P63" s="628"/>
      <c r="Q63" s="628"/>
      <c r="R63" s="628"/>
      <c r="S63" s="628"/>
      <c r="T63" s="628"/>
      <c r="U63" s="628"/>
      <c r="V63" s="628"/>
    </row>
    <row r="64" spans="1:22" ht="5.0999999999999996" customHeight="1" x14ac:dyDescent="0.2">
      <c r="A64" s="587"/>
      <c r="B64" s="627">
        <v>-1.8</v>
      </c>
      <c r="C64" s="628"/>
      <c r="D64" s="628"/>
      <c r="E64" s="628"/>
      <c r="F64" s="628"/>
      <c r="G64" s="628"/>
      <c r="H64" s="628"/>
      <c r="I64" s="628"/>
      <c r="J64" s="628"/>
      <c r="K64" s="628"/>
      <c r="L64" s="628"/>
      <c r="M64" s="628"/>
      <c r="N64" s="628"/>
      <c r="O64" s="628"/>
      <c r="P64" s="628"/>
      <c r="Q64" s="628"/>
      <c r="R64" s="628"/>
      <c r="S64" s="628"/>
      <c r="T64" s="628"/>
      <c r="U64" s="628"/>
      <c r="V64" s="628"/>
    </row>
    <row r="65" spans="1:22" ht="5.0999999999999996" customHeight="1" x14ac:dyDescent="0.2">
      <c r="A65" s="587"/>
      <c r="B65" s="627">
        <v>-1.9</v>
      </c>
      <c r="C65" s="628"/>
      <c r="D65" s="628"/>
      <c r="E65" s="628"/>
      <c r="F65" s="628"/>
      <c r="G65" s="628"/>
      <c r="H65" s="628"/>
      <c r="I65" s="628"/>
      <c r="J65" s="628"/>
      <c r="K65" s="628"/>
      <c r="L65" s="628"/>
      <c r="M65" s="628"/>
      <c r="N65" s="628"/>
      <c r="O65" s="628"/>
      <c r="P65" s="628"/>
      <c r="Q65" s="628"/>
      <c r="R65" s="628"/>
      <c r="S65" s="628"/>
      <c r="T65" s="628"/>
      <c r="U65" s="628"/>
      <c r="V65" s="628"/>
    </row>
    <row r="66" spans="1:22" ht="5.0999999999999996" customHeight="1" thickBot="1" x14ac:dyDescent="0.25">
      <c r="A66" s="1657">
        <v>-2</v>
      </c>
      <c r="B66" s="629">
        <v>-2</v>
      </c>
      <c r="C66" s="630"/>
      <c r="D66" s="630"/>
      <c r="E66" s="630"/>
      <c r="F66" s="630"/>
      <c r="G66" s="630"/>
      <c r="H66" s="630"/>
      <c r="I66" s="630"/>
      <c r="J66" s="630"/>
      <c r="K66" s="630"/>
      <c r="L66" s="630"/>
      <c r="M66" s="630"/>
      <c r="N66" s="630"/>
      <c r="O66" s="630"/>
      <c r="P66" s="630"/>
      <c r="Q66" s="630"/>
      <c r="R66" s="630"/>
      <c r="S66" s="630"/>
      <c r="T66" s="630"/>
      <c r="U66" s="630"/>
      <c r="V66" s="630"/>
    </row>
    <row r="67" spans="1:22" ht="5.0999999999999996" customHeight="1" x14ac:dyDescent="0.2">
      <c r="A67" s="1657"/>
      <c r="B67" s="625">
        <v>-2.1</v>
      </c>
      <c r="C67" s="626"/>
      <c r="D67" s="626"/>
      <c r="E67" s="626"/>
      <c r="F67" s="626"/>
      <c r="G67" s="626"/>
      <c r="H67" s="626"/>
      <c r="I67" s="626"/>
      <c r="J67" s="626"/>
      <c r="K67" s="626"/>
      <c r="L67" s="626"/>
      <c r="M67" s="626"/>
      <c r="N67" s="626"/>
      <c r="O67" s="626"/>
      <c r="P67" s="626"/>
      <c r="Q67" s="626"/>
      <c r="R67" s="626"/>
      <c r="S67" s="626"/>
      <c r="T67" s="626"/>
      <c r="U67" s="626"/>
      <c r="V67" s="626"/>
    </row>
    <row r="68" spans="1:22" ht="5.0999999999999996" customHeight="1" x14ac:dyDescent="0.2">
      <c r="A68" s="587"/>
      <c r="B68" s="627">
        <v>-2.2000000000000002</v>
      </c>
      <c r="C68" s="628"/>
      <c r="D68" s="628"/>
      <c r="E68" s="628"/>
      <c r="F68" s="628"/>
      <c r="G68" s="628"/>
      <c r="H68" s="628"/>
      <c r="I68" s="628"/>
      <c r="J68" s="628"/>
      <c r="K68" s="628"/>
      <c r="L68" s="628"/>
      <c r="M68" s="628"/>
      <c r="N68" s="628"/>
      <c r="O68" s="628"/>
      <c r="P68" s="628"/>
      <c r="Q68" s="628"/>
      <c r="R68" s="628"/>
      <c r="S68" s="628"/>
      <c r="T68" s="628"/>
      <c r="U68" s="628"/>
      <c r="V68" s="628"/>
    </row>
    <row r="69" spans="1:22" ht="5.0999999999999996" customHeight="1" x14ac:dyDescent="0.2">
      <c r="A69" s="587"/>
      <c r="B69" s="627">
        <v>-2.2999999999999998</v>
      </c>
      <c r="C69" s="628"/>
      <c r="D69" s="628"/>
      <c r="E69" s="628"/>
      <c r="F69" s="628"/>
      <c r="G69" s="628"/>
      <c r="H69" s="628"/>
      <c r="I69" s="628"/>
      <c r="J69" s="628"/>
      <c r="K69" s="628"/>
      <c r="L69" s="628"/>
      <c r="M69" s="628"/>
      <c r="N69" s="628"/>
      <c r="O69" s="628"/>
      <c r="P69" s="628"/>
      <c r="Q69" s="628"/>
      <c r="R69" s="628"/>
      <c r="S69" s="628"/>
      <c r="T69" s="628"/>
      <c r="U69" s="628"/>
      <c r="V69" s="628"/>
    </row>
    <row r="70" spans="1:22" ht="5.0999999999999996" customHeight="1" x14ac:dyDescent="0.2">
      <c r="A70" s="587"/>
      <c r="B70" s="627">
        <v>-2.4</v>
      </c>
      <c r="C70" s="628"/>
      <c r="D70" s="628"/>
      <c r="E70" s="628"/>
      <c r="F70" s="628"/>
      <c r="G70" s="628"/>
      <c r="H70" s="628"/>
      <c r="I70" s="628"/>
      <c r="J70" s="628"/>
      <c r="K70" s="628"/>
      <c r="L70" s="628"/>
      <c r="M70" s="628"/>
      <c r="N70" s="628"/>
      <c r="O70" s="628"/>
      <c r="P70" s="628"/>
      <c r="Q70" s="628"/>
      <c r="R70" s="628"/>
      <c r="S70" s="628"/>
      <c r="T70" s="628"/>
      <c r="U70" s="628"/>
      <c r="V70" s="628"/>
    </row>
    <row r="71" spans="1:22" ht="5.0999999999999996" customHeight="1" x14ac:dyDescent="0.2">
      <c r="A71" s="587"/>
      <c r="B71" s="627">
        <v>-2.5</v>
      </c>
      <c r="C71" s="628"/>
      <c r="D71" s="628"/>
      <c r="E71" s="628"/>
      <c r="F71" s="628"/>
      <c r="G71" s="628"/>
      <c r="H71" s="628"/>
      <c r="I71" s="628"/>
      <c r="J71" s="628"/>
      <c r="K71" s="628"/>
      <c r="L71" s="628"/>
      <c r="M71" s="628"/>
      <c r="N71" s="628"/>
      <c r="O71" s="628"/>
      <c r="P71" s="628"/>
      <c r="Q71" s="628"/>
      <c r="R71" s="628"/>
      <c r="S71" s="628"/>
      <c r="T71" s="628"/>
      <c r="U71" s="628"/>
      <c r="V71" s="628"/>
    </row>
    <row r="72" spans="1:22" ht="5.0999999999999996" customHeight="1" x14ac:dyDescent="0.2">
      <c r="A72" s="587"/>
      <c r="B72" s="627">
        <v>-2.6</v>
      </c>
      <c r="C72" s="628"/>
      <c r="D72" s="628"/>
      <c r="E72" s="628"/>
      <c r="F72" s="628"/>
      <c r="G72" s="628"/>
      <c r="H72" s="628"/>
      <c r="I72" s="628"/>
      <c r="J72" s="628"/>
      <c r="K72" s="628"/>
      <c r="L72" s="628"/>
      <c r="M72" s="628"/>
      <c r="N72" s="628"/>
      <c r="O72" s="628"/>
      <c r="P72" s="628"/>
      <c r="Q72" s="628"/>
      <c r="R72" s="628"/>
      <c r="S72" s="628"/>
      <c r="T72" s="628"/>
      <c r="U72" s="628"/>
      <c r="V72" s="628"/>
    </row>
    <row r="73" spans="1:22" ht="5.0999999999999996" customHeight="1" x14ac:dyDescent="0.2">
      <c r="A73" s="587"/>
      <c r="B73" s="627">
        <v>-2.7</v>
      </c>
      <c r="C73" s="628"/>
      <c r="D73" s="628"/>
      <c r="E73" s="628"/>
      <c r="F73" s="628"/>
      <c r="G73" s="628"/>
      <c r="H73" s="628"/>
      <c r="I73" s="628"/>
      <c r="J73" s="628"/>
      <c r="K73" s="628"/>
      <c r="L73" s="628"/>
      <c r="M73" s="628"/>
      <c r="N73" s="628"/>
      <c r="O73" s="628"/>
      <c r="P73" s="628"/>
      <c r="Q73" s="628"/>
      <c r="R73" s="628"/>
      <c r="S73" s="628"/>
      <c r="T73" s="628"/>
      <c r="U73" s="628"/>
      <c r="V73" s="628"/>
    </row>
    <row r="74" spans="1:22" ht="5.0999999999999996" customHeight="1" x14ac:dyDescent="0.2">
      <c r="A74" s="587"/>
      <c r="B74" s="627">
        <v>-2.8</v>
      </c>
      <c r="C74" s="628"/>
      <c r="D74" s="628"/>
      <c r="E74" s="628"/>
      <c r="F74" s="628"/>
      <c r="G74" s="628"/>
      <c r="H74" s="628"/>
      <c r="I74" s="628"/>
      <c r="J74" s="628"/>
      <c r="K74" s="628"/>
      <c r="L74" s="628"/>
      <c r="M74" s="628"/>
      <c r="N74" s="628"/>
      <c r="O74" s="628"/>
      <c r="P74" s="628"/>
      <c r="Q74" s="628"/>
      <c r="R74" s="628"/>
      <c r="S74" s="628"/>
      <c r="T74" s="628"/>
      <c r="U74" s="628"/>
      <c r="V74" s="628"/>
    </row>
    <row r="75" spans="1:22" ht="5.0999999999999996" customHeight="1" x14ac:dyDescent="0.2">
      <c r="A75" s="587"/>
      <c r="B75" s="627">
        <v>-2.9</v>
      </c>
      <c r="C75" s="628"/>
      <c r="D75" s="628"/>
      <c r="E75" s="628"/>
      <c r="F75" s="628"/>
      <c r="G75" s="628"/>
      <c r="H75" s="628"/>
      <c r="I75" s="628"/>
      <c r="J75" s="628"/>
      <c r="K75" s="628"/>
      <c r="L75" s="628"/>
      <c r="M75" s="628"/>
      <c r="N75" s="628"/>
      <c r="O75" s="628"/>
      <c r="P75" s="628"/>
      <c r="Q75" s="628"/>
      <c r="R75" s="628"/>
      <c r="S75" s="628"/>
      <c r="T75" s="628"/>
      <c r="U75" s="628"/>
      <c r="V75" s="628"/>
    </row>
    <row r="76" spans="1:22" ht="5.0999999999999996" customHeight="1" thickBot="1" x14ac:dyDescent="0.25">
      <c r="A76" s="1657">
        <v>-3</v>
      </c>
      <c r="B76" s="629">
        <v>-3</v>
      </c>
      <c r="C76" s="630"/>
      <c r="D76" s="630"/>
      <c r="E76" s="630"/>
      <c r="F76" s="630"/>
      <c r="G76" s="630"/>
      <c r="H76" s="630"/>
      <c r="I76" s="630"/>
      <c r="J76" s="630"/>
      <c r="K76" s="630"/>
      <c r="L76" s="630"/>
      <c r="M76" s="630"/>
      <c r="N76" s="630"/>
      <c r="O76" s="630"/>
      <c r="P76" s="630"/>
      <c r="Q76" s="630"/>
      <c r="R76" s="630"/>
      <c r="S76" s="630"/>
      <c r="T76" s="630"/>
      <c r="U76" s="630"/>
      <c r="V76" s="630"/>
    </row>
    <row r="77" spans="1:22" ht="5.0999999999999996" customHeight="1" x14ac:dyDescent="0.2">
      <c r="A77" s="1657"/>
      <c r="B77" s="625">
        <v>-3.1</v>
      </c>
      <c r="C77" s="626"/>
      <c r="D77" s="626"/>
      <c r="E77" s="626"/>
      <c r="F77" s="626"/>
      <c r="G77" s="626"/>
      <c r="H77" s="626"/>
      <c r="I77" s="626"/>
      <c r="J77" s="626"/>
      <c r="K77" s="626"/>
      <c r="L77" s="626"/>
      <c r="M77" s="626"/>
      <c r="N77" s="626"/>
      <c r="O77" s="626"/>
      <c r="P77" s="626"/>
      <c r="Q77" s="626"/>
      <c r="R77" s="626"/>
      <c r="S77" s="626"/>
      <c r="T77" s="626"/>
      <c r="U77" s="626"/>
      <c r="V77" s="626"/>
    </row>
    <row r="78" spans="1:22" ht="5.0999999999999996" customHeight="1" x14ac:dyDescent="0.2">
      <c r="A78" s="587"/>
      <c r="B78" s="627">
        <v>-3.2</v>
      </c>
      <c r="C78" s="628"/>
      <c r="D78" s="628"/>
      <c r="E78" s="628"/>
      <c r="F78" s="628"/>
      <c r="G78" s="628"/>
      <c r="H78" s="628"/>
      <c r="I78" s="628"/>
      <c r="J78" s="628"/>
      <c r="K78" s="628"/>
      <c r="L78" s="628"/>
      <c r="M78" s="628"/>
      <c r="N78" s="628"/>
      <c r="O78" s="628"/>
      <c r="P78" s="628"/>
      <c r="Q78" s="628"/>
      <c r="R78" s="628"/>
      <c r="S78" s="628"/>
      <c r="T78" s="628"/>
      <c r="U78" s="628"/>
      <c r="V78" s="628"/>
    </row>
    <row r="79" spans="1:22" ht="5.0999999999999996" customHeight="1" x14ac:dyDescent="0.2">
      <c r="A79" s="587"/>
      <c r="B79" s="627">
        <v>-3.3</v>
      </c>
      <c r="C79" s="628"/>
      <c r="D79" s="628"/>
      <c r="E79" s="628"/>
      <c r="F79" s="628"/>
      <c r="G79" s="628"/>
      <c r="H79" s="628"/>
      <c r="I79" s="628"/>
      <c r="J79" s="628"/>
      <c r="K79" s="628"/>
      <c r="L79" s="628"/>
      <c r="M79" s="628"/>
      <c r="N79" s="628"/>
      <c r="O79" s="628"/>
      <c r="P79" s="628"/>
      <c r="Q79" s="628"/>
      <c r="R79" s="628"/>
      <c r="S79" s="628"/>
      <c r="T79" s="628"/>
      <c r="U79" s="628"/>
      <c r="V79" s="628"/>
    </row>
    <row r="80" spans="1:22" ht="5.0999999999999996" customHeight="1" x14ac:dyDescent="0.2">
      <c r="A80" s="587"/>
      <c r="B80" s="627">
        <v>-3.4</v>
      </c>
      <c r="C80" s="628"/>
      <c r="D80" s="628"/>
      <c r="E80" s="628"/>
      <c r="F80" s="628"/>
      <c r="G80" s="628"/>
      <c r="H80" s="628"/>
      <c r="I80" s="628"/>
      <c r="J80" s="628"/>
      <c r="K80" s="628"/>
      <c r="L80" s="628"/>
      <c r="M80" s="628"/>
      <c r="N80" s="628"/>
      <c r="O80" s="628"/>
      <c r="P80" s="628"/>
      <c r="Q80" s="628"/>
      <c r="R80" s="628"/>
      <c r="S80" s="628"/>
      <c r="T80" s="628"/>
      <c r="U80" s="628"/>
      <c r="V80" s="628"/>
    </row>
    <row r="81" spans="1:22" ht="5.0999999999999996" customHeight="1" x14ac:dyDescent="0.2">
      <c r="A81" s="587"/>
      <c r="B81" s="627">
        <v>-3.5</v>
      </c>
      <c r="C81" s="628"/>
      <c r="D81" s="628"/>
      <c r="E81" s="628"/>
      <c r="F81" s="628"/>
      <c r="G81" s="628"/>
      <c r="H81" s="628"/>
      <c r="I81" s="628"/>
      <c r="J81" s="628"/>
      <c r="K81" s="628"/>
      <c r="L81" s="628"/>
      <c r="M81" s="628"/>
      <c r="N81" s="628"/>
      <c r="O81" s="628"/>
      <c r="P81" s="628"/>
      <c r="Q81" s="628"/>
      <c r="R81" s="628"/>
      <c r="S81" s="628"/>
      <c r="T81" s="628"/>
      <c r="U81" s="628"/>
      <c r="V81" s="628"/>
    </row>
    <row r="82" spans="1:22" ht="5.0999999999999996" customHeight="1" x14ac:dyDescent="0.2">
      <c r="A82" s="587"/>
      <c r="B82" s="627">
        <v>-3.6</v>
      </c>
      <c r="C82" s="628"/>
      <c r="D82" s="628"/>
      <c r="E82" s="628"/>
      <c r="F82" s="628"/>
      <c r="G82" s="628"/>
      <c r="H82" s="628"/>
      <c r="I82" s="628"/>
      <c r="J82" s="628"/>
      <c r="K82" s="628"/>
      <c r="L82" s="628"/>
      <c r="M82" s="628"/>
      <c r="N82" s="628"/>
      <c r="O82" s="628"/>
      <c r="P82" s="628"/>
      <c r="Q82" s="628"/>
      <c r="R82" s="628"/>
      <c r="S82" s="628"/>
      <c r="T82" s="628"/>
      <c r="U82" s="628"/>
      <c r="V82" s="628"/>
    </row>
    <row r="83" spans="1:22" ht="5.0999999999999996" customHeight="1" x14ac:dyDescent="0.2">
      <c r="A83" s="587"/>
      <c r="B83" s="627">
        <v>-3.7</v>
      </c>
      <c r="C83" s="628"/>
      <c r="D83" s="628"/>
      <c r="E83" s="628"/>
      <c r="F83" s="628"/>
      <c r="G83" s="628"/>
      <c r="H83" s="628"/>
      <c r="I83" s="628"/>
      <c r="J83" s="628"/>
      <c r="K83" s="628"/>
      <c r="L83" s="628"/>
      <c r="M83" s="628"/>
      <c r="N83" s="628"/>
      <c r="O83" s="628"/>
      <c r="P83" s="628"/>
      <c r="Q83" s="628"/>
      <c r="R83" s="628"/>
      <c r="S83" s="628"/>
      <c r="T83" s="628"/>
      <c r="U83" s="628"/>
      <c r="V83" s="628"/>
    </row>
    <row r="84" spans="1:22" ht="5.0999999999999996" customHeight="1" x14ac:dyDescent="0.2">
      <c r="A84" s="587"/>
      <c r="B84" s="627">
        <v>-3.8</v>
      </c>
      <c r="C84" s="628"/>
      <c r="D84" s="628"/>
      <c r="E84" s="628"/>
      <c r="F84" s="628"/>
      <c r="G84" s="628"/>
      <c r="H84" s="628"/>
      <c r="I84" s="628"/>
      <c r="J84" s="628"/>
      <c r="K84" s="628"/>
      <c r="L84" s="628"/>
      <c r="M84" s="628"/>
      <c r="N84" s="628"/>
      <c r="O84" s="628"/>
      <c r="P84" s="628"/>
      <c r="Q84" s="628"/>
      <c r="R84" s="628"/>
      <c r="S84" s="628"/>
      <c r="T84" s="628"/>
      <c r="U84" s="628"/>
      <c r="V84" s="628"/>
    </row>
    <row r="85" spans="1:22" ht="5.0999999999999996" customHeight="1" x14ac:dyDescent="0.2">
      <c r="A85" s="587"/>
      <c r="B85" s="627">
        <v>-3.9</v>
      </c>
      <c r="C85" s="628"/>
      <c r="D85" s="628"/>
      <c r="E85" s="628"/>
      <c r="F85" s="628"/>
      <c r="G85" s="628"/>
      <c r="H85" s="628"/>
      <c r="I85" s="628"/>
      <c r="J85" s="628"/>
      <c r="K85" s="628"/>
      <c r="L85" s="628"/>
      <c r="M85" s="628"/>
      <c r="N85" s="628"/>
      <c r="O85" s="628"/>
      <c r="P85" s="628"/>
      <c r="Q85" s="628"/>
      <c r="R85" s="628"/>
      <c r="S85" s="628"/>
      <c r="T85" s="628"/>
      <c r="U85" s="628"/>
      <c r="V85" s="628"/>
    </row>
    <row r="86" spans="1:22" ht="5.0999999999999996" customHeight="1" thickBot="1" x14ac:dyDescent="0.25">
      <c r="A86" s="1657">
        <v>-4</v>
      </c>
      <c r="B86" s="629">
        <v>-4</v>
      </c>
      <c r="C86" s="630"/>
      <c r="D86" s="630"/>
      <c r="E86" s="630"/>
      <c r="F86" s="630"/>
      <c r="G86" s="630"/>
      <c r="H86" s="630"/>
      <c r="I86" s="630"/>
      <c r="J86" s="630"/>
      <c r="K86" s="630"/>
      <c r="L86" s="630"/>
      <c r="M86" s="630"/>
      <c r="N86" s="630"/>
      <c r="O86" s="630"/>
      <c r="P86" s="630"/>
      <c r="Q86" s="630"/>
      <c r="R86" s="630"/>
      <c r="S86" s="630"/>
      <c r="T86" s="630"/>
      <c r="U86" s="630"/>
      <c r="V86" s="630"/>
    </row>
    <row r="87" spans="1:22" ht="5.0999999999999996" customHeight="1" x14ac:dyDescent="0.2">
      <c r="A87" s="1657"/>
      <c r="B87" s="625">
        <v>-4.0999999999999996</v>
      </c>
      <c r="C87" s="626"/>
      <c r="D87" s="626"/>
      <c r="E87" s="626"/>
      <c r="F87" s="626"/>
      <c r="G87" s="626"/>
      <c r="H87" s="626"/>
      <c r="I87" s="626"/>
      <c r="J87" s="626"/>
      <c r="K87" s="626"/>
      <c r="L87" s="626"/>
      <c r="M87" s="626"/>
      <c r="N87" s="626"/>
      <c r="O87" s="626"/>
      <c r="P87" s="626"/>
      <c r="Q87" s="626"/>
      <c r="R87" s="626"/>
      <c r="S87" s="626"/>
      <c r="T87" s="626"/>
      <c r="U87" s="626"/>
      <c r="V87" s="626"/>
    </row>
    <row r="88" spans="1:22" ht="5.0999999999999996" customHeight="1" x14ac:dyDescent="0.2">
      <c r="A88" s="587"/>
      <c r="B88" s="627">
        <v>-4.2</v>
      </c>
      <c r="C88" s="628"/>
      <c r="D88" s="628"/>
      <c r="E88" s="628"/>
      <c r="F88" s="628"/>
      <c r="G88" s="628"/>
      <c r="H88" s="628"/>
      <c r="I88" s="628"/>
      <c r="J88" s="628"/>
      <c r="K88" s="628"/>
      <c r="L88" s="628"/>
      <c r="M88" s="628"/>
      <c r="N88" s="628"/>
      <c r="O88" s="628"/>
      <c r="P88" s="628"/>
      <c r="Q88" s="628"/>
      <c r="R88" s="628"/>
      <c r="S88" s="628"/>
      <c r="T88" s="628"/>
      <c r="U88" s="628"/>
      <c r="V88" s="628"/>
    </row>
    <row r="89" spans="1:22" ht="5.0999999999999996" customHeight="1" x14ac:dyDescent="0.2">
      <c r="A89" s="587"/>
      <c r="B89" s="627">
        <v>-4.3</v>
      </c>
      <c r="C89" s="628"/>
      <c r="D89" s="628"/>
      <c r="E89" s="628"/>
      <c r="F89" s="628"/>
      <c r="G89" s="628"/>
      <c r="H89" s="628"/>
      <c r="I89" s="628"/>
      <c r="J89" s="628"/>
      <c r="K89" s="628"/>
      <c r="L89" s="628"/>
      <c r="M89" s="628"/>
      <c r="N89" s="628"/>
      <c r="O89" s="628"/>
      <c r="P89" s="628"/>
      <c r="Q89" s="628"/>
      <c r="R89" s="628"/>
      <c r="S89" s="628"/>
      <c r="T89" s="628"/>
      <c r="U89" s="628"/>
      <c r="V89" s="628"/>
    </row>
    <row r="90" spans="1:22" ht="5.0999999999999996" customHeight="1" x14ac:dyDescent="0.2">
      <c r="A90" s="587"/>
      <c r="B90" s="627">
        <v>-4.4000000000000004</v>
      </c>
      <c r="C90" s="628"/>
      <c r="D90" s="628"/>
      <c r="E90" s="628"/>
      <c r="F90" s="628"/>
      <c r="G90" s="628"/>
      <c r="H90" s="628"/>
      <c r="I90" s="628"/>
      <c r="J90" s="628"/>
      <c r="K90" s="628"/>
      <c r="L90" s="628"/>
      <c r="M90" s="628"/>
      <c r="N90" s="628"/>
      <c r="O90" s="628"/>
      <c r="P90" s="628"/>
      <c r="Q90" s="628"/>
      <c r="R90" s="628"/>
      <c r="S90" s="628"/>
      <c r="T90" s="628"/>
      <c r="U90" s="628"/>
      <c r="V90" s="628"/>
    </row>
    <row r="91" spans="1:22" ht="5.0999999999999996" customHeight="1" x14ac:dyDescent="0.2">
      <c r="A91" s="587"/>
      <c r="B91" s="627">
        <v>-4.5</v>
      </c>
      <c r="C91" s="628"/>
      <c r="D91" s="628"/>
      <c r="E91" s="628"/>
      <c r="F91" s="628"/>
      <c r="G91" s="628"/>
      <c r="H91" s="628"/>
      <c r="I91" s="628"/>
      <c r="J91" s="628"/>
      <c r="K91" s="628"/>
      <c r="L91" s="628"/>
      <c r="M91" s="628"/>
      <c r="N91" s="628"/>
      <c r="O91" s="628"/>
      <c r="P91" s="628"/>
      <c r="Q91" s="628"/>
      <c r="R91" s="628"/>
      <c r="S91" s="628"/>
      <c r="T91" s="628"/>
      <c r="U91" s="628"/>
      <c r="V91" s="628"/>
    </row>
    <row r="92" spans="1:22" ht="5.0999999999999996" customHeight="1" x14ac:dyDescent="0.2">
      <c r="A92" s="587"/>
      <c r="B92" s="627">
        <v>-4.5999999999999996</v>
      </c>
      <c r="C92" s="628"/>
      <c r="D92" s="628"/>
      <c r="E92" s="628"/>
      <c r="F92" s="628"/>
      <c r="G92" s="628"/>
      <c r="H92" s="628"/>
      <c r="I92" s="628"/>
      <c r="J92" s="628"/>
      <c r="K92" s="628"/>
      <c r="L92" s="628"/>
      <c r="M92" s="628"/>
      <c r="N92" s="628"/>
      <c r="O92" s="628"/>
      <c r="P92" s="628"/>
      <c r="Q92" s="628"/>
      <c r="R92" s="628"/>
      <c r="S92" s="628"/>
      <c r="T92" s="628"/>
      <c r="U92" s="628"/>
      <c r="V92" s="628"/>
    </row>
    <row r="93" spans="1:22" ht="5.0999999999999996" customHeight="1" x14ac:dyDescent="0.2">
      <c r="A93" s="587"/>
      <c r="B93" s="627">
        <v>-4.7</v>
      </c>
      <c r="C93" s="628"/>
      <c r="D93" s="628"/>
      <c r="E93" s="628"/>
      <c r="F93" s="628"/>
      <c r="G93" s="628"/>
      <c r="H93" s="628"/>
      <c r="I93" s="628"/>
      <c r="J93" s="628"/>
      <c r="K93" s="628"/>
      <c r="L93" s="628"/>
      <c r="M93" s="628"/>
      <c r="N93" s="628"/>
      <c r="O93" s="628"/>
      <c r="P93" s="628"/>
      <c r="Q93" s="628"/>
      <c r="R93" s="628"/>
      <c r="S93" s="628"/>
      <c r="T93" s="628"/>
      <c r="U93" s="628"/>
      <c r="V93" s="628"/>
    </row>
    <row r="94" spans="1:22" ht="5.0999999999999996" customHeight="1" x14ac:dyDescent="0.2">
      <c r="A94" s="587"/>
      <c r="B94" s="627">
        <v>-4.8</v>
      </c>
      <c r="C94" s="628"/>
      <c r="D94" s="628"/>
      <c r="E94" s="628"/>
      <c r="F94" s="628"/>
      <c r="G94" s="628"/>
      <c r="H94" s="628"/>
      <c r="I94" s="628"/>
      <c r="J94" s="628"/>
      <c r="K94" s="628"/>
      <c r="L94" s="628"/>
      <c r="M94" s="628"/>
      <c r="N94" s="628"/>
      <c r="O94" s="628"/>
      <c r="P94" s="628"/>
      <c r="Q94" s="628"/>
      <c r="R94" s="628"/>
      <c r="S94" s="628"/>
      <c r="T94" s="628"/>
      <c r="U94" s="628"/>
      <c r="V94" s="628"/>
    </row>
    <row r="95" spans="1:22" ht="5.0999999999999996" customHeight="1" x14ac:dyDescent="0.2">
      <c r="A95" s="587"/>
      <c r="B95" s="627">
        <v>-4.9000000000000004</v>
      </c>
      <c r="C95" s="628"/>
      <c r="D95" s="628"/>
      <c r="E95" s="628"/>
      <c r="F95" s="628"/>
      <c r="G95" s="628"/>
      <c r="H95" s="628"/>
      <c r="I95" s="628"/>
      <c r="J95" s="628"/>
      <c r="K95" s="628"/>
      <c r="L95" s="628"/>
      <c r="M95" s="628"/>
      <c r="N95" s="628"/>
      <c r="O95" s="628"/>
      <c r="P95" s="628"/>
      <c r="Q95" s="628"/>
      <c r="R95" s="628"/>
      <c r="S95" s="628"/>
      <c r="T95" s="628"/>
      <c r="U95" s="628"/>
      <c r="V95" s="628"/>
    </row>
    <row r="96" spans="1:22" ht="5.0999999999999996" customHeight="1" thickBot="1" x14ac:dyDescent="0.25">
      <c r="A96" s="1657">
        <v>-5</v>
      </c>
      <c r="B96" s="629">
        <v>-5</v>
      </c>
      <c r="C96" s="630"/>
      <c r="D96" s="630"/>
      <c r="E96" s="630"/>
      <c r="F96" s="630"/>
      <c r="G96" s="630"/>
      <c r="H96" s="630"/>
      <c r="I96" s="630"/>
      <c r="J96" s="630"/>
      <c r="K96" s="630"/>
      <c r="L96" s="630"/>
      <c r="M96" s="630"/>
      <c r="N96" s="630"/>
      <c r="O96" s="630"/>
      <c r="P96" s="630"/>
      <c r="Q96" s="630"/>
      <c r="R96" s="630"/>
      <c r="S96" s="630"/>
      <c r="T96" s="630"/>
      <c r="U96" s="630"/>
      <c r="V96" s="630"/>
    </row>
    <row r="97" spans="1:22" ht="5.0999999999999996" customHeight="1" x14ac:dyDescent="0.2">
      <c r="A97" s="1657"/>
      <c r="B97" s="581"/>
      <c r="C97" s="581"/>
      <c r="D97" s="581"/>
      <c r="E97" s="581"/>
      <c r="F97" s="581"/>
      <c r="G97" s="581"/>
      <c r="H97" s="581"/>
      <c r="I97" s="581"/>
      <c r="J97" s="581"/>
      <c r="K97" s="581"/>
      <c r="L97" s="581"/>
      <c r="M97" s="581"/>
      <c r="N97" s="610"/>
      <c r="O97" s="581"/>
      <c r="P97" s="581"/>
      <c r="Q97" s="581"/>
      <c r="R97" s="581"/>
      <c r="S97" s="581"/>
      <c r="T97" s="581"/>
      <c r="U97" s="581"/>
      <c r="V97" s="581"/>
    </row>
    <row r="98" spans="1:22" ht="15" customHeight="1" x14ac:dyDescent="0.2">
      <c r="A98" s="587"/>
      <c r="B98" s="581"/>
      <c r="C98" s="581"/>
      <c r="D98" s="581"/>
      <c r="E98" s="581"/>
      <c r="F98" s="581"/>
      <c r="G98" s="581"/>
      <c r="H98" s="581"/>
      <c r="I98" s="581"/>
      <c r="J98" s="581"/>
      <c r="K98" s="581"/>
      <c r="L98" s="581"/>
      <c r="M98" s="581"/>
      <c r="N98" s="610"/>
      <c r="O98" s="581"/>
      <c r="P98" s="581"/>
      <c r="Q98" s="581"/>
      <c r="R98" s="581"/>
      <c r="S98" s="581"/>
      <c r="T98" s="581"/>
      <c r="U98" s="581"/>
      <c r="V98" s="581"/>
    </row>
    <row r="99" spans="1:22" ht="15" customHeight="1" x14ac:dyDescent="0.2">
      <c r="A99" s="587"/>
      <c r="B99" s="596"/>
      <c r="C99" s="597"/>
      <c r="D99" s="597"/>
      <c r="E99" s="581"/>
      <c r="F99" s="585"/>
      <c r="G99" s="598" t="s">
        <v>1598</v>
      </c>
      <c r="H99" s="599" t="s">
        <v>1590</v>
      </c>
      <c r="I99" s="600" t="s">
        <v>1591</v>
      </c>
      <c r="J99" s="581"/>
      <c r="K99" s="581"/>
      <c r="L99" s="581"/>
      <c r="M99" s="597"/>
      <c r="N99" s="610"/>
      <c r="O99" s="581"/>
      <c r="P99" s="581"/>
      <c r="Q99" s="581"/>
      <c r="R99" s="581"/>
      <c r="S99" s="617" t="s">
        <v>1626</v>
      </c>
      <c r="T99" s="581"/>
      <c r="U99" s="581"/>
      <c r="V99" s="581"/>
    </row>
    <row r="100" spans="1:22" ht="15" customHeight="1" x14ac:dyDescent="0.2">
      <c r="A100" s="587"/>
      <c r="B100" s="596"/>
      <c r="C100" s="597"/>
      <c r="D100" s="597"/>
      <c r="E100" s="581"/>
      <c r="F100" s="601" t="s">
        <v>1592</v>
      </c>
      <c r="G100" s="620">
        <v>0</v>
      </c>
      <c r="H100" s="621">
        <v>0</v>
      </c>
      <c r="I100" s="638"/>
      <c r="J100" s="581"/>
      <c r="K100" s="581"/>
      <c r="L100" s="581"/>
      <c r="M100" s="610"/>
      <c r="N100" s="610"/>
      <c r="O100" s="581"/>
      <c r="P100" s="581"/>
      <c r="Q100" s="581"/>
      <c r="R100" s="581"/>
      <c r="S100" s="616"/>
      <c r="T100" s="581"/>
      <c r="U100" s="581"/>
      <c r="V100" s="581"/>
    </row>
    <row r="101" spans="1:22" ht="15" customHeight="1" thickBot="1" x14ac:dyDescent="0.25">
      <c r="A101" s="587"/>
      <c r="B101" s="596"/>
      <c r="C101" s="597"/>
      <c r="D101" s="597"/>
      <c r="E101" s="581"/>
      <c r="F101" s="601" t="s">
        <v>1593</v>
      </c>
      <c r="G101" s="620">
        <v>0</v>
      </c>
      <c r="H101" s="621">
        <v>-105</v>
      </c>
      <c r="I101" s="639">
        <v>0</v>
      </c>
      <c r="J101" s="581"/>
      <c r="K101" s="581"/>
      <c r="L101" s="581"/>
      <c r="M101" s="610"/>
      <c r="N101" s="610"/>
      <c r="O101" s="581"/>
      <c r="P101" s="581"/>
      <c r="Q101" s="610" t="b">
        <v>1</v>
      </c>
      <c r="R101" s="581"/>
      <c r="S101" s="616"/>
      <c r="T101" s="581"/>
      <c r="U101" s="581"/>
      <c r="V101" s="581"/>
    </row>
    <row r="102" spans="1:22" ht="15" customHeight="1" thickBot="1" x14ac:dyDescent="0.25">
      <c r="A102" s="587"/>
      <c r="B102" s="596"/>
      <c r="C102" s="597"/>
      <c r="D102" s="602"/>
      <c r="E102" s="581"/>
      <c r="F102" s="601" t="s">
        <v>1594</v>
      </c>
      <c r="G102" s="620">
        <v>0</v>
      </c>
      <c r="H102" s="622">
        <v>-145</v>
      </c>
      <c r="I102" s="640">
        <v>0</v>
      </c>
      <c r="J102" s="603" t="s">
        <v>1599</v>
      </c>
      <c r="K102" s="604"/>
      <c r="L102" s="581"/>
      <c r="M102" s="615"/>
      <c r="N102" s="610"/>
      <c r="O102" s="581"/>
      <c r="P102" s="581"/>
      <c r="Q102" s="581"/>
      <c r="R102" s="581"/>
      <c r="S102" s="618"/>
      <c r="T102" s="581"/>
      <c r="U102" s="581"/>
      <c r="V102" s="581"/>
    </row>
    <row r="103" spans="1:22" ht="15" customHeight="1" x14ac:dyDescent="0.2">
      <c r="A103" s="587"/>
      <c r="B103" s="596" t="s">
        <v>1604</v>
      </c>
      <c r="C103" s="597"/>
      <c r="D103" s="602"/>
      <c r="E103" s="581"/>
      <c r="F103" s="601" t="s">
        <v>1595</v>
      </c>
      <c r="G103" s="620">
        <v>0</v>
      </c>
      <c r="H103" s="621">
        <v>-151</v>
      </c>
      <c r="I103" s="641">
        <v>0</v>
      </c>
      <c r="J103" s="581"/>
      <c r="K103" s="581"/>
      <c r="L103" s="581"/>
      <c r="M103" s="610"/>
      <c r="N103" s="610"/>
      <c r="O103" s="581"/>
      <c r="P103" s="581"/>
      <c r="Q103" s="581"/>
      <c r="R103" s="581"/>
      <c r="S103" s="616"/>
      <c r="T103" s="581"/>
      <c r="U103" s="581"/>
      <c r="V103" s="581"/>
    </row>
    <row r="104" spans="1:22" ht="15" customHeight="1" x14ac:dyDescent="0.2">
      <c r="A104" s="587"/>
      <c r="B104" s="596" t="s">
        <v>1605</v>
      </c>
      <c r="C104" s="597"/>
      <c r="D104" s="602"/>
      <c r="E104" s="581"/>
      <c r="F104" s="601" t="s">
        <v>1570</v>
      </c>
      <c r="G104" s="620">
        <v>0</v>
      </c>
      <c r="H104" s="621">
        <f>TNFHe</f>
        <v>-184</v>
      </c>
      <c r="I104" s="638">
        <v>0</v>
      </c>
      <c r="J104" s="581"/>
      <c r="K104" s="581"/>
      <c r="L104" s="581"/>
      <c r="M104" s="610"/>
      <c r="N104" s="610"/>
      <c r="O104" s="581"/>
      <c r="P104" s="581"/>
      <c r="Q104" s="581"/>
      <c r="R104" s="581"/>
      <c r="S104" s="616"/>
      <c r="T104" s="581"/>
      <c r="U104" s="581"/>
      <c r="V104" s="581"/>
    </row>
    <row r="105" spans="1:22" ht="15" customHeight="1" thickBot="1" x14ac:dyDescent="0.25">
      <c r="A105" s="587"/>
      <c r="B105" s="596" t="s">
        <v>1606</v>
      </c>
      <c r="C105" s="597"/>
      <c r="D105" s="602"/>
      <c r="E105" s="581"/>
      <c r="F105" s="601" t="s">
        <v>1635</v>
      </c>
      <c r="G105" s="620">
        <v>0</v>
      </c>
      <c r="H105" s="621">
        <f>TNFHs</f>
        <v>-184</v>
      </c>
      <c r="I105" s="638">
        <v>0</v>
      </c>
      <c r="J105" s="581"/>
      <c r="K105" s="581"/>
      <c r="L105" s="581"/>
      <c r="M105" s="610"/>
      <c r="N105" s="610"/>
      <c r="O105" s="581"/>
      <c r="P105" s="581"/>
      <c r="Q105" s="581"/>
      <c r="R105" s="581"/>
      <c r="S105" s="616"/>
      <c r="T105" s="581"/>
      <c r="U105" s="581"/>
      <c r="V105" s="581"/>
    </row>
    <row r="106" spans="1:22" ht="15" customHeight="1" thickBot="1" x14ac:dyDescent="0.25">
      <c r="A106" s="580"/>
      <c r="B106" s="596" t="s">
        <v>1607</v>
      </c>
      <c r="C106" s="606" t="s">
        <v>1622</v>
      </c>
      <c r="D106" s="606"/>
      <c r="E106" s="606"/>
      <c r="F106" s="601" t="s">
        <v>1596</v>
      </c>
      <c r="G106" s="620">
        <v>0</v>
      </c>
      <c r="H106" s="621">
        <f>TNPR3</f>
        <v>-184</v>
      </c>
      <c r="I106" s="623">
        <v>0</v>
      </c>
      <c r="J106" s="603" t="s">
        <v>1599</v>
      </c>
      <c r="K106" s="581"/>
      <c r="L106" s="581"/>
      <c r="M106" s="610"/>
      <c r="N106" s="610"/>
      <c r="O106" s="581"/>
      <c r="P106" s="581"/>
      <c r="Q106" s="581"/>
      <c r="R106" s="581"/>
      <c r="S106" s="616"/>
      <c r="T106" s="581"/>
      <c r="U106" s="581"/>
      <c r="V106" s="581"/>
    </row>
    <row r="107" spans="1:22" ht="15" customHeight="1" thickBot="1" x14ac:dyDescent="0.25">
      <c r="A107" s="580"/>
      <c r="B107" s="596" t="s">
        <v>1608</v>
      </c>
      <c r="C107" s="606"/>
      <c r="D107" s="606"/>
      <c r="E107" s="606"/>
      <c r="F107" s="601" t="s">
        <v>1597</v>
      </c>
      <c r="G107" s="620">
        <v>0</v>
      </c>
      <c r="H107" s="621">
        <f>TNZIe</f>
        <v>-184</v>
      </c>
      <c r="I107" s="623">
        <v>0</v>
      </c>
      <c r="J107" s="581" t="s">
        <v>1624</v>
      </c>
      <c r="K107" s="581"/>
      <c r="L107" s="581"/>
      <c r="M107" s="610"/>
      <c r="N107" s="610"/>
      <c r="O107" s="581"/>
      <c r="P107" s="581"/>
      <c r="Q107" s="581"/>
      <c r="R107" s="581"/>
      <c r="S107" s="616"/>
      <c r="T107" s="581"/>
      <c r="U107" s="581"/>
      <c r="V107" s="581"/>
    </row>
    <row r="108" spans="1:22" ht="15" customHeight="1" thickBot="1" x14ac:dyDescent="0.25">
      <c r="A108" s="580"/>
      <c r="B108" s="605"/>
      <c r="C108" s="606"/>
      <c r="D108" s="606"/>
      <c r="E108" s="606"/>
      <c r="F108" s="601" t="s">
        <v>1613</v>
      </c>
      <c r="G108" s="620">
        <v>0</v>
      </c>
      <c r="H108" s="621">
        <v>-184</v>
      </c>
      <c r="I108" s="638">
        <v>0</v>
      </c>
      <c r="J108" s="603" t="s">
        <v>1599</v>
      </c>
      <c r="K108" s="581"/>
      <c r="L108" s="581"/>
      <c r="M108" s="610"/>
      <c r="N108" s="610"/>
      <c r="O108" s="581"/>
      <c r="P108" s="581"/>
      <c r="Q108" s="581"/>
      <c r="R108" s="581"/>
      <c r="S108" s="616"/>
      <c r="T108" s="581"/>
      <c r="U108" s="581"/>
      <c r="V108" s="581"/>
    </row>
    <row r="109" spans="1:22" ht="15" customHeight="1" x14ac:dyDescent="0.2">
      <c r="A109" s="580"/>
      <c r="B109" s="605"/>
      <c r="C109" s="606" t="s">
        <v>1621</v>
      </c>
      <c r="D109" s="607"/>
      <c r="E109" s="607"/>
      <c r="F109" s="601" t="s">
        <v>1614</v>
      </c>
      <c r="G109" s="620">
        <v>0</v>
      </c>
      <c r="H109" s="621">
        <v>-160</v>
      </c>
      <c r="I109" s="638">
        <v>0</v>
      </c>
      <c r="J109" s="581"/>
      <c r="K109" s="581"/>
      <c r="L109" s="581"/>
      <c r="M109" s="610"/>
      <c r="N109" s="613"/>
      <c r="O109" s="585"/>
      <c r="P109" s="581"/>
      <c r="Q109" s="581"/>
      <c r="R109" s="581"/>
      <c r="S109" s="616"/>
      <c r="T109" s="581"/>
      <c r="U109" s="581"/>
      <c r="V109" s="581"/>
    </row>
    <row r="110" spans="1:22" ht="15" customHeight="1" x14ac:dyDescent="0.2">
      <c r="A110" s="580"/>
      <c r="B110" s="605"/>
      <c r="C110" s="606"/>
      <c r="D110" s="607"/>
      <c r="E110" s="607"/>
      <c r="F110" s="601" t="s">
        <v>1612</v>
      </c>
      <c r="G110" s="620">
        <v>0</v>
      </c>
      <c r="H110" s="621">
        <f>TNZI2e</f>
        <v>-160</v>
      </c>
      <c r="I110" s="638">
        <f>FEZI2ev</f>
        <v>0</v>
      </c>
      <c r="J110" s="581"/>
      <c r="K110" s="581"/>
      <c r="L110" s="581"/>
      <c r="M110" s="610"/>
      <c r="N110" s="613"/>
      <c r="O110" s="581"/>
      <c r="P110" s="581"/>
      <c r="Q110" s="581"/>
      <c r="R110" s="581"/>
      <c r="S110" s="616"/>
      <c r="T110" s="581"/>
      <c r="U110" s="581"/>
      <c r="V110" s="581"/>
    </row>
    <row r="111" spans="1:22" ht="15" customHeight="1" x14ac:dyDescent="0.2">
      <c r="A111" s="580"/>
      <c r="B111" s="605"/>
      <c r="C111" s="606"/>
      <c r="D111" s="607"/>
      <c r="E111" s="607"/>
      <c r="F111" s="601" t="s">
        <v>1615</v>
      </c>
      <c r="G111" s="620">
        <v>0</v>
      </c>
      <c r="H111" s="621">
        <f>TNZI2s</f>
        <v>-160</v>
      </c>
      <c r="I111" s="638">
        <f>FEZI2sv</f>
        <v>0</v>
      </c>
      <c r="J111" s="581"/>
      <c r="K111" s="581"/>
      <c r="L111" s="581"/>
      <c r="M111" s="610"/>
      <c r="N111" s="581"/>
      <c r="O111" s="581"/>
      <c r="P111" s="581"/>
      <c r="Q111" s="581"/>
      <c r="R111" s="581"/>
      <c r="S111" s="616"/>
      <c r="T111" s="581"/>
      <c r="U111" s="581"/>
      <c r="V111" s="581"/>
    </row>
    <row r="112" spans="1:22" ht="15" customHeight="1" x14ac:dyDescent="0.2">
      <c r="A112" s="580"/>
      <c r="B112" s="605"/>
      <c r="C112" s="606"/>
      <c r="D112" s="607"/>
      <c r="E112" s="607"/>
      <c r="F112" s="601" t="s">
        <v>1616</v>
      </c>
      <c r="G112" s="620">
        <v>0</v>
      </c>
      <c r="H112" s="621">
        <f>TNZI3e</f>
        <v>-160</v>
      </c>
      <c r="I112" s="638">
        <f>FEZI3ev</f>
        <v>0</v>
      </c>
      <c r="J112" s="581"/>
      <c r="K112" s="581"/>
      <c r="L112" s="581"/>
      <c r="M112" s="610"/>
      <c r="N112" s="581"/>
      <c r="O112" s="581"/>
      <c r="P112" s="581"/>
      <c r="Q112" s="581"/>
      <c r="R112" s="581"/>
      <c r="S112" s="616"/>
      <c r="T112" s="581"/>
      <c r="U112" s="581"/>
      <c r="V112" s="581"/>
    </row>
    <row r="113" spans="1:22" ht="15" customHeight="1" x14ac:dyDescent="0.2">
      <c r="A113" s="580"/>
      <c r="B113" s="605"/>
      <c r="C113" s="606"/>
      <c r="D113" s="607"/>
      <c r="E113" s="607"/>
      <c r="F113" s="601" t="s">
        <v>1617</v>
      </c>
      <c r="G113" s="620">
        <v>0</v>
      </c>
      <c r="H113" s="621">
        <f>TNZI3s</f>
        <v>-160</v>
      </c>
      <c r="I113" s="638">
        <f>FEZI3sv</f>
        <v>0</v>
      </c>
      <c r="J113" s="581"/>
      <c r="K113" s="581"/>
      <c r="L113" s="581"/>
      <c r="M113" s="610"/>
      <c r="N113" s="581"/>
      <c r="O113" s="581"/>
      <c r="P113" s="581"/>
      <c r="Q113" s="581"/>
      <c r="R113" s="581"/>
      <c r="S113" s="616"/>
      <c r="T113" s="581"/>
      <c r="U113" s="581"/>
      <c r="V113" s="581"/>
    </row>
    <row r="114" spans="1:22" ht="15" customHeight="1" x14ac:dyDescent="0.25">
      <c r="A114" s="580"/>
      <c r="B114" s="605"/>
      <c r="C114" s="606"/>
      <c r="D114" s="607"/>
      <c r="E114" s="607"/>
      <c r="F114" s="601" t="s">
        <v>1618</v>
      </c>
      <c r="G114" s="620">
        <v>0</v>
      </c>
      <c r="H114" s="621">
        <f>TNfosse</f>
        <v>-160</v>
      </c>
      <c r="I114" s="638">
        <f>FEfossev</f>
        <v>0</v>
      </c>
      <c r="J114" s="581"/>
      <c r="K114" s="581" t="s">
        <v>1625</v>
      </c>
      <c r="L114" s="581"/>
      <c r="M114" s="610"/>
      <c r="N114" s="619"/>
      <c r="O114" s="581"/>
      <c r="P114" s="581"/>
      <c r="Q114" s="581"/>
      <c r="R114" s="581"/>
      <c r="S114" s="616"/>
      <c r="T114" s="581"/>
      <c r="U114" s="581"/>
      <c r="V114" s="581"/>
    </row>
    <row r="115" spans="1:22" ht="15" customHeight="1" x14ac:dyDescent="0.25">
      <c r="A115" s="580"/>
      <c r="B115" s="608" t="s">
        <v>1609</v>
      </c>
      <c r="C115" s="609"/>
      <c r="D115" s="610"/>
      <c r="E115" s="607"/>
      <c r="F115" s="611" t="s">
        <v>1602</v>
      </c>
      <c r="G115" s="620">
        <v>0</v>
      </c>
      <c r="H115" s="621">
        <v>-160</v>
      </c>
      <c r="I115" s="638">
        <v>0</v>
      </c>
      <c r="J115" s="581"/>
      <c r="K115" s="581"/>
      <c r="L115" s="581"/>
      <c r="M115" s="610"/>
      <c r="N115" s="619"/>
      <c r="O115" s="581"/>
      <c r="P115" s="581"/>
      <c r="Q115" s="581"/>
      <c r="R115" s="581"/>
      <c r="S115" s="616"/>
      <c r="T115" s="581"/>
      <c r="U115" s="581"/>
      <c r="V115" s="581"/>
    </row>
    <row r="116" spans="1:22" ht="15" customHeight="1" x14ac:dyDescent="0.2">
      <c r="A116" s="580"/>
      <c r="B116" s="608" t="s">
        <v>1610</v>
      </c>
      <c r="C116" s="609"/>
      <c r="D116" s="607"/>
      <c r="E116" s="607"/>
      <c r="F116" s="612" t="s">
        <v>1600</v>
      </c>
      <c r="G116" s="620">
        <v>0</v>
      </c>
      <c r="H116" s="621">
        <v>-160</v>
      </c>
      <c r="I116" s="624">
        <v>0</v>
      </c>
      <c r="J116" s="581"/>
      <c r="K116" s="581"/>
      <c r="L116" s="581"/>
      <c r="M116" s="610"/>
      <c r="N116" s="585"/>
      <c r="O116" s="581"/>
      <c r="P116" s="581"/>
      <c r="Q116" s="581"/>
      <c r="R116" s="581"/>
      <c r="S116" s="616"/>
      <c r="T116" s="581"/>
      <c r="U116" s="581"/>
      <c r="V116" s="581"/>
    </row>
    <row r="117" spans="1:22" ht="15" customHeight="1" x14ac:dyDescent="0.2">
      <c r="A117" s="580"/>
      <c r="B117" s="608" t="s">
        <v>1611</v>
      </c>
      <c r="C117" s="614"/>
      <c r="D117" s="607"/>
      <c r="E117" s="607"/>
      <c r="F117" s="612" t="s">
        <v>1601</v>
      </c>
      <c r="G117" s="620">
        <v>0</v>
      </c>
      <c r="H117" s="621">
        <v>-160</v>
      </c>
      <c r="I117" s="624">
        <v>0</v>
      </c>
      <c r="J117" s="581"/>
      <c r="K117" s="581"/>
      <c r="L117" s="581"/>
      <c r="M117" s="610"/>
      <c r="N117" s="585"/>
      <c r="O117" s="581"/>
      <c r="P117" s="581"/>
      <c r="Q117" s="581"/>
      <c r="R117" s="581"/>
      <c r="S117" s="616"/>
      <c r="T117" s="581"/>
      <c r="U117" s="581"/>
      <c r="V117" s="581"/>
    </row>
    <row r="118" spans="1:22" ht="15" customHeight="1" x14ac:dyDescent="0.2">
      <c r="A118" s="580"/>
      <c r="B118" s="605"/>
      <c r="C118" s="606"/>
      <c r="D118" s="607"/>
      <c r="E118" s="607"/>
      <c r="F118" s="581"/>
      <c r="G118" s="581"/>
      <c r="H118" s="581"/>
      <c r="I118" s="581"/>
      <c r="J118" s="581"/>
      <c r="K118" s="581"/>
      <c r="L118" s="581"/>
      <c r="M118" s="581"/>
      <c r="N118" s="585"/>
      <c r="O118" s="581"/>
      <c r="P118" s="581"/>
      <c r="Q118" s="581"/>
      <c r="R118" s="581"/>
      <c r="S118" s="581"/>
      <c r="T118" s="581"/>
      <c r="U118" s="581"/>
      <c r="V118" s="581"/>
    </row>
    <row r="119" spans="1:22" ht="15" customHeight="1" x14ac:dyDescent="0.2">
      <c r="A119" s="580"/>
      <c r="B119" s="605"/>
      <c r="C119" s="606"/>
      <c r="D119" s="607"/>
      <c r="E119" s="607" t="s">
        <v>1623</v>
      </c>
      <c r="F119" s="581"/>
      <c r="G119" s="581"/>
      <c r="H119" s="581"/>
      <c r="I119" s="581"/>
      <c r="J119" s="581"/>
      <c r="K119" s="581"/>
      <c r="L119" s="581"/>
      <c r="M119" s="581"/>
      <c r="N119" s="585"/>
      <c r="O119" s="581"/>
      <c r="P119" s="581"/>
      <c r="Q119" s="581"/>
      <c r="R119" s="581"/>
      <c r="S119" s="581"/>
      <c r="T119" s="581"/>
      <c r="U119" s="581"/>
      <c r="V119" s="581"/>
    </row>
    <row r="120" spans="1:22" ht="15" customHeight="1" x14ac:dyDescent="0.2">
      <c r="A120" s="580"/>
      <c r="B120" s="605"/>
      <c r="C120" s="606"/>
      <c r="D120" s="607"/>
      <c r="E120" s="606"/>
      <c r="F120" s="581"/>
      <c r="G120" s="581"/>
      <c r="H120" s="581"/>
      <c r="I120" s="581"/>
      <c r="J120" s="581"/>
      <c r="K120" s="581"/>
      <c r="L120" s="581"/>
      <c r="M120" s="581"/>
      <c r="N120" s="585"/>
      <c r="O120" s="581"/>
      <c r="P120" s="581"/>
      <c r="Q120" s="581"/>
      <c r="R120" s="581"/>
      <c r="S120" s="581"/>
      <c r="T120" s="581"/>
      <c r="U120" s="581"/>
      <c r="V120" s="581"/>
    </row>
    <row r="121" spans="1:22" ht="15" customHeight="1" x14ac:dyDescent="0.25">
      <c r="A121" s="580"/>
      <c r="B121" s="585"/>
      <c r="C121" s="585"/>
      <c r="D121" s="585"/>
      <c r="E121" s="585"/>
      <c r="F121" s="585"/>
      <c r="G121" s="619" t="s">
        <v>1603</v>
      </c>
      <c r="H121" s="619"/>
      <c r="I121" s="619"/>
      <c r="J121" s="619"/>
      <c r="K121" s="619"/>
      <c r="L121" s="619"/>
      <c r="M121" s="619"/>
      <c r="N121" s="585"/>
      <c r="O121" s="619"/>
      <c r="P121" s="619"/>
      <c r="Q121" s="581"/>
      <c r="R121" s="581"/>
      <c r="S121" s="581"/>
      <c r="T121" s="581"/>
      <c r="U121" s="581"/>
      <c r="V121" s="581"/>
    </row>
  </sheetData>
  <mergeCells count="10">
    <mergeCell ref="A16:A17"/>
    <mergeCell ref="A6:A7"/>
    <mergeCell ref="A96:A97"/>
    <mergeCell ref="A76:A77"/>
    <mergeCell ref="A26:A27"/>
    <mergeCell ref="A36:A37"/>
    <mergeCell ref="A46:A47"/>
    <mergeCell ref="A56:A57"/>
    <mergeCell ref="A86:A87"/>
    <mergeCell ref="A66:A67"/>
  </mergeCell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02" r:id="rId4" name="Case à cocher 2">
              <controlPr defaultSize="0" autoFill="0" autoLine="0" autoPict="0">
                <anchor moveWithCells="1">
                  <from>
                    <xdr:col>12</xdr:col>
                    <xdr:colOff>304800</xdr:colOff>
                    <xdr:row>100</xdr:row>
                    <xdr:rowOff>28575</xdr:rowOff>
                  </from>
                  <to>
                    <xdr:col>14</xdr:col>
                    <xdr:colOff>419100</xdr:colOff>
                    <xdr:row>101</xdr:row>
                    <xdr:rowOff>152400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published="0" codeName="Feuil46"/>
  <dimension ref="A1:AA119"/>
  <sheetViews>
    <sheetView zoomScale="70" zoomScaleNormal="70" workbookViewId="0">
      <pane xSplit="4" ySplit="3" topLeftCell="E52" activePane="bottomRight" state="frozen"/>
      <selection pane="topRight" activeCell="E1" sqref="E1"/>
      <selection pane="bottomLeft" activeCell="A4" sqref="A4"/>
      <selection pane="bottomRight" activeCell="I72" sqref="I72"/>
    </sheetView>
  </sheetViews>
  <sheetFormatPr baseColWidth="10" defaultRowHeight="14.25" x14ac:dyDescent="0.2"/>
  <cols>
    <col min="1" max="1" width="7.625" customWidth="1"/>
    <col min="2" max="2" width="20.125" customWidth="1"/>
    <col min="3" max="3" width="41.125" customWidth="1"/>
    <col min="4" max="4" width="38.5" customWidth="1"/>
    <col min="5" max="5" width="11.5" bestFit="1" customWidth="1"/>
    <col min="6" max="6" width="14.125" customWidth="1"/>
    <col min="7" max="25" width="10.625" customWidth="1"/>
    <col min="26" max="26" width="115.625" customWidth="1"/>
    <col min="27" max="796" width="10.625" customWidth="1"/>
  </cols>
  <sheetData>
    <row r="1" spans="1:27" ht="15.75" customHeight="1" x14ac:dyDescent="0.2">
      <c r="A1" s="1669" t="s">
        <v>543</v>
      </c>
      <c r="B1" s="1677" t="s">
        <v>443</v>
      </c>
      <c r="C1" s="1678" t="s">
        <v>635</v>
      </c>
      <c r="D1" s="470" t="s">
        <v>636</v>
      </c>
      <c r="E1" s="146" t="s">
        <v>637</v>
      </c>
      <c r="F1" s="1675" t="s">
        <v>445</v>
      </c>
      <c r="G1" s="3">
        <v>2</v>
      </c>
      <c r="H1" s="3">
        <v>3</v>
      </c>
      <c r="I1" s="3">
        <v>4</v>
      </c>
      <c r="J1" s="3">
        <v>5</v>
      </c>
      <c r="K1" s="3">
        <v>6</v>
      </c>
      <c r="L1" s="3">
        <v>7</v>
      </c>
      <c r="M1" s="3">
        <v>8</v>
      </c>
      <c r="N1" s="3">
        <v>9</v>
      </c>
      <c r="O1" s="3">
        <v>10</v>
      </c>
      <c r="P1" s="3" t="s">
        <v>460</v>
      </c>
      <c r="Q1" s="3" t="s">
        <v>461</v>
      </c>
      <c r="R1" s="3" t="s">
        <v>462</v>
      </c>
      <c r="S1" s="3" t="s">
        <v>463</v>
      </c>
      <c r="T1" s="3">
        <v>16</v>
      </c>
      <c r="U1" s="3" t="s">
        <v>464</v>
      </c>
      <c r="V1" s="3" t="s">
        <v>465</v>
      </c>
      <c r="W1" s="3" t="s">
        <v>466</v>
      </c>
      <c r="X1" s="3" t="s">
        <v>467</v>
      </c>
      <c r="Y1" s="3"/>
      <c r="Z1" s="3" t="s">
        <v>1437</v>
      </c>
      <c r="AA1" s="3"/>
    </row>
    <row r="2" spans="1:27" ht="15.75" customHeight="1" x14ac:dyDescent="0.2">
      <c r="A2" s="1669"/>
      <c r="B2" s="1677"/>
      <c r="C2" s="1678"/>
      <c r="D2" s="470"/>
      <c r="E2" s="349"/>
      <c r="F2" s="1676"/>
      <c r="G2" s="3">
        <f>COLUMN(G1)</f>
        <v>7</v>
      </c>
      <c r="H2" s="3">
        <f t="shared" ref="H2:X2" si="0">COLUMN(H1)</f>
        <v>8</v>
      </c>
      <c r="I2" s="3">
        <f t="shared" si="0"/>
        <v>9</v>
      </c>
      <c r="J2" s="3">
        <f t="shared" si="0"/>
        <v>10</v>
      </c>
      <c r="K2" s="3">
        <f t="shared" si="0"/>
        <v>11</v>
      </c>
      <c r="L2" s="3">
        <f t="shared" si="0"/>
        <v>12</v>
      </c>
      <c r="M2" s="3">
        <f t="shared" si="0"/>
        <v>13</v>
      </c>
      <c r="N2" s="3">
        <f t="shared" si="0"/>
        <v>14</v>
      </c>
      <c r="O2" s="3">
        <f t="shared" si="0"/>
        <v>15</v>
      </c>
      <c r="P2" s="3">
        <f t="shared" si="0"/>
        <v>16</v>
      </c>
      <c r="Q2" s="3">
        <f t="shared" si="0"/>
        <v>17</v>
      </c>
      <c r="R2" s="3">
        <f t="shared" si="0"/>
        <v>18</v>
      </c>
      <c r="S2" s="3">
        <f t="shared" si="0"/>
        <v>19</v>
      </c>
      <c r="T2" s="3">
        <f t="shared" si="0"/>
        <v>20</v>
      </c>
      <c r="U2" s="3">
        <f t="shared" si="0"/>
        <v>21</v>
      </c>
      <c r="V2" s="3">
        <f t="shared" si="0"/>
        <v>22</v>
      </c>
      <c r="W2" s="3">
        <f t="shared" si="0"/>
        <v>23</v>
      </c>
      <c r="X2" s="3">
        <f t="shared" si="0"/>
        <v>24</v>
      </c>
      <c r="Y2" s="3"/>
      <c r="Z2" s="3" t="s">
        <v>1437</v>
      </c>
      <c r="AA2" s="3"/>
    </row>
    <row r="3" spans="1:27" ht="36.6" customHeight="1" x14ac:dyDescent="0.5">
      <c r="A3" s="1669"/>
      <c r="B3" s="1677"/>
      <c r="C3" s="1678"/>
      <c r="D3" s="470"/>
      <c r="E3" s="304" t="s">
        <v>622</v>
      </c>
      <c r="F3" s="500"/>
      <c r="G3" s="300" t="s">
        <v>638</v>
      </c>
      <c r="H3" s="129" t="s">
        <v>639</v>
      </c>
      <c r="I3" s="129" t="s">
        <v>640</v>
      </c>
      <c r="J3" s="129" t="s">
        <v>641</v>
      </c>
      <c r="K3" s="129" t="s">
        <v>642</v>
      </c>
      <c r="L3" s="129" t="s">
        <v>643</v>
      </c>
      <c r="M3" s="129" t="s">
        <v>644</v>
      </c>
      <c r="N3" s="129" t="s">
        <v>645</v>
      </c>
      <c r="O3" s="129" t="s">
        <v>646</v>
      </c>
      <c r="P3" s="129" t="s">
        <v>647</v>
      </c>
      <c r="Q3" s="129" t="s">
        <v>647</v>
      </c>
      <c r="R3" s="129" t="s">
        <v>648</v>
      </c>
      <c r="S3" s="129" t="s">
        <v>648</v>
      </c>
      <c r="T3" s="129" t="s">
        <v>649</v>
      </c>
      <c r="U3" s="129" t="s">
        <v>650</v>
      </c>
      <c r="V3" s="129" t="s">
        <v>650</v>
      </c>
      <c r="W3" s="129" t="s">
        <v>651</v>
      </c>
      <c r="X3" s="129" t="s">
        <v>651</v>
      </c>
      <c r="Y3" s="135"/>
      <c r="Z3" s="521" t="s">
        <v>1437</v>
      </c>
      <c r="AA3" s="135"/>
    </row>
    <row r="4" spans="1:27" ht="15" customHeight="1" x14ac:dyDescent="0.2">
      <c r="A4" s="305" t="s">
        <v>544</v>
      </c>
      <c r="B4" s="1662" t="s">
        <v>439</v>
      </c>
      <c r="C4" s="1663" t="s">
        <v>652</v>
      </c>
      <c r="D4" s="306" t="s">
        <v>546</v>
      </c>
      <c r="E4" s="301" t="s">
        <v>223</v>
      </c>
      <c r="F4" s="301"/>
      <c r="G4" s="457">
        <f>IFERROR(VLOOKUP($F$1,'FV1'!$C$1:$AM$51,((G$2-5)*2-1),0),"")</f>
        <v>1196.85446252</v>
      </c>
      <c r="H4" s="457">
        <f>IFERROR(VLOOKUP($F$1,'FV1'!$C$1:$AM$51,((H$2-5)*2-1),0),"")</f>
        <v>1386.5171210000001</v>
      </c>
      <c r="I4" s="457">
        <f>IFERROR(VLOOKUP($F$1,'FV1'!$C$1:$AM$51,((I$2-5)*2-1),0),"")</f>
        <v>1589.2534082000002</v>
      </c>
      <c r="J4" s="457">
        <f>IFERROR(VLOOKUP($F$1,'FV1'!$C$1:$AM$51,((J$2-5)*2-1),0),"")</f>
        <v>1690.6215518000004</v>
      </c>
      <c r="K4" s="457">
        <f>IFERROR(VLOOKUP($F$1,'FV1'!$C$1:$AM$51,((K$2-5)*2-1),0),"")</f>
        <v>1818.9896954000003</v>
      </c>
      <c r="L4" s="457">
        <f>IFERROR(VLOOKUP($F$1,'FV1'!$C$1:$AM$51,((L$2-5)*2-1),0),"")</f>
        <v>1924.8578390000002</v>
      </c>
      <c r="M4" s="457">
        <f>IFERROR(VLOOKUP($F$1,'FV1'!$C$1:$AM$51,((M$2-5)*2-1),0),"")</f>
        <v>2039.7259826000004</v>
      </c>
      <c r="N4" s="457">
        <f>IFERROR(VLOOKUP($F$1,'FV1'!$C$1:$AM$51,((N$2-5)*2-1),0),"")</f>
        <v>2141.0941262000006</v>
      </c>
      <c r="O4" s="457">
        <f>IFERROR(VLOOKUP($F$1,'FV1'!$C$1:$AM$51,((O$2-5)*2-1),0),"")</f>
        <v>2233.4622698000003</v>
      </c>
      <c r="P4" s="457">
        <f>IFERROR(VLOOKUP($F$1,'FV1'!$C$1:$AM$51,((P$2-5)*2-1),0),"")</f>
        <v>2494.1605570000002</v>
      </c>
      <c r="Q4" s="457">
        <f>IFERROR(VLOOKUP($F$1,'FV1'!$C$1:$AM$51,((Q$2-5)*2-1),0),"")</f>
        <v>2678.8968442000005</v>
      </c>
      <c r="R4" s="457">
        <f>IFERROR(VLOOKUP($F$1,'FV1'!$C$1:$AM$51,((R$2-5)*2-1),0),"")</f>
        <v>2789.2649878000002</v>
      </c>
      <c r="S4" s="457">
        <f>IFERROR(VLOOKUP($F$1,'FV1'!$C$1:$AM$51,((S$2-5)*2-1),0),"")</f>
        <v>2705.8968442000005</v>
      </c>
      <c r="T4" s="457">
        <f>IFERROR(VLOOKUP($F$1,'FV1'!$C$1:$AM$51,((T$2-5)*2-1),0),"")</f>
        <v>2904.1331314000008</v>
      </c>
      <c r="U4" s="457">
        <f>IFERROR(VLOOKUP($F$1,'FV1'!$C$1:$AM$51,((U$2-5)*2-1),0),"")</f>
        <v>3019.0012750000005</v>
      </c>
      <c r="V4" s="457">
        <f>IFERROR(VLOOKUP($F$1,'FV1'!$C$1:$AM$51,((V$2-5)*2-1),0),"")</f>
        <v>3111.3694186000007</v>
      </c>
      <c r="W4" s="457">
        <f>IFERROR(VLOOKUP($F$1,'FV1'!$C$1:$AM$51,((W$2-5)*2-1),0),"")</f>
        <v>3318.6057058000001</v>
      </c>
      <c r="X4" s="457">
        <f>IFERROR(VLOOKUP($F$1,'FV1'!$C$1:$AM$51,((X$2-5)*2-1),0),"")</f>
        <v>3142.8694186000007</v>
      </c>
      <c r="Y4" s="135"/>
      <c r="Z4" s="523" t="s">
        <v>1637</v>
      </c>
      <c r="AA4" s="135"/>
    </row>
    <row r="5" spans="1:27" ht="15" customHeight="1" x14ac:dyDescent="0.2">
      <c r="A5" s="305" t="s">
        <v>547</v>
      </c>
      <c r="B5" s="1662"/>
      <c r="C5" s="1663"/>
      <c r="D5" s="235" t="s">
        <v>548</v>
      </c>
      <c r="E5" s="302" t="s">
        <v>223</v>
      </c>
      <c r="F5" s="302"/>
      <c r="G5" s="457">
        <f>IFERROR(VLOOKUP($F$1,'FV2'!$C$1:$AM$37,((G$2-5)*2-1),0),"")</f>
        <v>1537.6114685999999</v>
      </c>
      <c r="H5" s="457">
        <f>IFERROR(VLOOKUP($F$1,'FV2'!$C$1:$AM$37,((H$2-5)*2-1),0),"")</f>
        <v>1874.4217050000002</v>
      </c>
      <c r="I5" s="457">
        <f>IFERROR(VLOOKUP($F$1,'FV2'!$C$1:$AM$37,((I$2-5)*2-1),0),"")</f>
        <v>2244.8253810000001</v>
      </c>
      <c r="J5" s="457">
        <f>IFERROR(VLOOKUP($F$1,'FV2'!$C$1:$AM$37,((J$2-5)*2-1),0),"")</f>
        <v>2434.3358790000002</v>
      </c>
      <c r="K5" s="457">
        <f>IFERROR(VLOOKUP($F$1,'FV2'!$C$1:$AM$37,((K$2-5)*2-1),0),"")</f>
        <v>2623.8463770000003</v>
      </c>
      <c r="L5" s="457">
        <f>IFERROR(VLOOKUP($F$1,'FV2'!$C$1:$AM$37,((L$2-5)*2-1),0),"")</f>
        <v>2813.3568750000004</v>
      </c>
      <c r="M5" s="457">
        <f>IFERROR(VLOOKUP($F$1,'FV2'!$C$1:$AM$37,((M$2-5)*2-1),0),"")</f>
        <v>3002.867373</v>
      </c>
      <c r="N5" s="457">
        <f>IFERROR(VLOOKUP($F$1,'FV2'!$C$1:$AM$37,((N$2-5)*2-1),0),"")</f>
        <v>3188.0692110000005</v>
      </c>
      <c r="O5" s="457">
        <f>IFERROR(VLOOKUP($F$1,'FV2'!$C$1:$AM$37,((O$2-5)*2-1),0),"")</f>
        <v>3373.2710489999999</v>
      </c>
      <c r="P5" s="457">
        <f>IFERROR(VLOOKUP($F$1,'FV2'!$C$1:$AM$37,((P$2-5)*2-1),0),"")</f>
        <v>3743.6747249999999</v>
      </c>
      <c r="Q5" s="457">
        <f>IFERROR(VLOOKUP($F$1,'FV2'!$C$1:$AM$37,((Q$2-5)*2-1),0),"")</f>
        <v>4105.4610809999995</v>
      </c>
      <c r="R5" s="457">
        <f>IFERROR(VLOOKUP($F$1,'FV2'!$C$1:$AM$37,((R$2-5)*2-1),0),"")</f>
        <v>4294.9715790000009</v>
      </c>
      <c r="S5" s="457">
        <f>IFERROR(VLOOKUP($F$1,'FV2'!$C$1:$AM$37,((S$2-5)*2-1),0),"")</f>
        <v>4114.0784009999998</v>
      </c>
      <c r="T5" s="457">
        <f>IFERROR(VLOOKUP($F$1,'FV2'!$C$1:$AM$37,((T$2-5)*2-1),0),"")</f>
        <v>4484.4820770000006</v>
      </c>
      <c r="U5" s="457">
        <f>IFERROR(VLOOKUP($F$1,'FV2'!$C$1:$AM$37,((U$2-5)*2-1),0),"")</f>
        <v>4673.9925750000011</v>
      </c>
      <c r="V5" s="457">
        <f>IFERROR(VLOOKUP($F$1,'FV2'!$C$1:$AM$37,((V$2-5)*2-1),0),"")</f>
        <v>4854.8857530000014</v>
      </c>
      <c r="W5" s="457">
        <f>IFERROR(VLOOKUP($F$1,'FV2'!$C$1:$AM$37,((W$2-5)*2-1),0),"")</f>
        <v>5225.2894290000022</v>
      </c>
      <c r="X5" s="457">
        <f>IFERROR(VLOOKUP($F$1,'FV2'!$C$1:$AM$37,((X$2-5)*2-1),0),"")</f>
        <v>4863.5030730000008</v>
      </c>
      <c r="Y5" s="135"/>
      <c r="Z5" s="523" t="s">
        <v>1638</v>
      </c>
      <c r="AA5" s="135"/>
    </row>
    <row r="6" spans="1:27" ht="15" customHeight="1" x14ac:dyDescent="0.2">
      <c r="A6" s="305" t="s">
        <v>549</v>
      </c>
      <c r="B6" s="1662"/>
      <c r="C6" s="1663"/>
      <c r="D6" s="235" t="s">
        <v>653</v>
      </c>
      <c r="E6" s="301" t="s">
        <v>223</v>
      </c>
      <c r="F6" s="301"/>
      <c r="G6" s="457">
        <f>IFERROR(VLOOKUP($F$1,'FV3'!$C$1:$AM$34,((G$2-5)*2-1),0),"")</f>
        <v>766.98453359999996</v>
      </c>
      <c r="H6" s="457">
        <f>IFERROR(VLOOKUP($F$1,'FV3'!$C$1:$AM$34,((H$2-5)*2-1),0),"")</f>
        <v>916.62887999999998</v>
      </c>
      <c r="I6" s="457">
        <f>IFERROR(VLOOKUP($F$1,'FV3'!$C$1:$AM$34,((I$2-5)*2-1),0),"")</f>
        <v>1082.9003760000001</v>
      </c>
      <c r="J6" s="457">
        <f>IFERROR(VLOOKUP($F$1,'FV3'!$C$1:$AM$34,((J$2-5)*2-1),0),"")</f>
        <v>1166.0361240000002</v>
      </c>
      <c r="K6" s="457">
        <f>IFERROR(VLOOKUP($F$1,'FV3'!$C$1:$AM$34,((K$2-5)*2-1),0),"")</f>
        <v>1249.1718719999999</v>
      </c>
      <c r="L6" s="457">
        <f>IFERROR(VLOOKUP($F$1,'FV3'!$C$1:$AM$34,((L$2-5)*2-1),0),"")</f>
        <v>1332.30762</v>
      </c>
      <c r="M6" s="457">
        <f>IFERROR(VLOOKUP($F$1,'FV3'!$C$1:$AM$34,((M$2-5)*2-1),0),"")</f>
        <v>1415.4433680000002</v>
      </c>
      <c r="N6" s="457">
        <f>IFERROR(VLOOKUP($F$1,'FV3'!$C$1:$AM$34,((N$2-5)*2-1),0),"")</f>
        <v>1498.5791160000001</v>
      </c>
      <c r="O6" s="457">
        <f>IFERROR(VLOOKUP($F$1,'FV3'!$C$1:$AM$34,((O$2-5)*2-1),0),"")</f>
        <v>1581.7148640000003</v>
      </c>
      <c r="P6" s="457">
        <f>IFERROR(VLOOKUP($F$1,'FV3'!$C$1:$AM$34,((P$2-5)*2-1),0),"")</f>
        <v>1747.9863600000001</v>
      </c>
      <c r="Q6" s="457">
        <f>IFERROR(VLOOKUP($F$1,'FV3'!$C$1:$AM$34,((Q$2-5)*2-1),0),"")</f>
        <v>1914.2578559999999</v>
      </c>
      <c r="R6" s="457">
        <f>IFERROR(VLOOKUP($F$1,'FV3'!$C$1:$AM$34,((R$2-5)*2-1),0),"")</f>
        <v>1997.3936040000001</v>
      </c>
      <c r="S6" s="457">
        <f>IFERROR(VLOOKUP($F$1,'FV3'!$C$1:$AM$34,((S$2-5)*2-1),0),"")</f>
        <v>1914.2578559999999</v>
      </c>
      <c r="T6" s="457">
        <f>IFERROR(VLOOKUP($F$1,'FV3'!$C$1:$AM$34,((T$2-5)*2-1),0),"")</f>
        <v>2080.529352</v>
      </c>
      <c r="U6" s="457">
        <f>IFERROR(VLOOKUP($F$1,'FV3'!$C$1:$AM$34,((U$2-5)*2-1),0),"")</f>
        <v>2163.6651000000002</v>
      </c>
      <c r="V6" s="457">
        <f>IFERROR(VLOOKUP($F$1,'FV3'!$C$1:$AM$34,((V$2-5)*2-1),0),"")</f>
        <v>2246.8008479999999</v>
      </c>
      <c r="W6" s="457">
        <f>IFERROR(VLOOKUP($F$1,'FV3'!$C$1:$AM$34,((W$2-5)*2-1),0),"")</f>
        <v>2413.0723440000002</v>
      </c>
      <c r="X6" s="457">
        <f>IFERROR(VLOOKUP($F$1,'FV3'!$C$1:$AM$34,((X$2-5)*2-1),0),"")</f>
        <v>2246.8008479999999</v>
      </c>
      <c r="Y6" s="135"/>
      <c r="Z6" s="523" t="s">
        <v>1639</v>
      </c>
      <c r="AA6" s="135"/>
    </row>
    <row r="7" spans="1:27" ht="15" customHeight="1" x14ac:dyDescent="0.2">
      <c r="A7" s="305" t="s">
        <v>550</v>
      </c>
      <c r="B7" s="1662"/>
      <c r="C7" s="1663"/>
      <c r="D7" s="472" t="s">
        <v>551</v>
      </c>
      <c r="E7" s="302" t="s">
        <v>223</v>
      </c>
      <c r="F7" s="302"/>
      <c r="G7" s="457">
        <f>IFERROR(VLOOKUP($F$1,'FV4'!$C$1:$AM$36,((G$2-5)*2-1),0),"")</f>
        <v>1218.2885000000001</v>
      </c>
      <c r="H7" s="457">
        <f>IFERROR(VLOOKUP($F$1,'FV4'!$C$1:$AM$36,((H$2-5)*2-1),0),"")</f>
        <v>1211.6420000000003</v>
      </c>
      <c r="I7" s="457">
        <f>IFERROR(VLOOKUP($F$1,'FV4'!$C$1:$AM$36,((I$2-5)*2-1),0),"")</f>
        <v>1540.34</v>
      </c>
      <c r="J7" s="457">
        <f>IFERROR(VLOOKUP($F$1,'FV4'!$C$1:$AM$36,((J$2-5)*2-1),0),"")</f>
        <v>1835.1889999999999</v>
      </c>
      <c r="K7" s="457">
        <f>IFERROR(VLOOKUP($F$1,'FV4'!$C$1:$AM$36,((K$2-5)*2-1),0),"")</f>
        <v>2130.038</v>
      </c>
      <c r="L7" s="457">
        <f>IFERROR(VLOOKUP($F$1,'FV4'!$C$1:$AM$36,((L$2-5)*2-1),0),"")</f>
        <v>2424.8869999999997</v>
      </c>
      <c r="M7" s="457">
        <f>IFERROR(VLOOKUP($F$1,'FV4'!$C$1:$AM$36,((M$2-5)*2-1),0),"")</f>
        <v>2719.7359999999999</v>
      </c>
      <c r="N7" s="457">
        <f>IFERROR(VLOOKUP($F$1,'FV4'!$C$1:$AM$36,((N$2-5)*2-1),0),"")</f>
        <v>3014.585</v>
      </c>
      <c r="O7" s="457">
        <f>IFERROR(VLOOKUP($F$1,'FV4'!$C$1:$AM$36,((O$2-5)*2-1),0),"")</f>
        <v>3309.4340000000002</v>
      </c>
      <c r="P7" s="457">
        <f>IFERROR(VLOOKUP($F$1,'FV4'!$C$1:$AM$36,((P$2-5)*2-1),0),"")</f>
        <v>3863.1320000000001</v>
      </c>
      <c r="Q7" s="457">
        <f>IFERROR(VLOOKUP($F$1,'FV4'!$C$1:$AM$36,((Q$2-5)*2-1),0),"")</f>
        <v>3966.83</v>
      </c>
      <c r="R7" s="457">
        <f>IFERROR(VLOOKUP($F$1,'FV4'!$C$1:$AM$36,((R$2-5)*2-1),0),"")</f>
        <v>4486.6789999999992</v>
      </c>
      <c r="S7" s="457">
        <f>IFERROR(VLOOKUP($F$1,'FV4'!$C$1:$AM$36,((S$2-5)*2-1),0),"")</f>
        <v>4488.83</v>
      </c>
      <c r="T7" s="457">
        <f>IFERROR(VLOOKUP($F$1,'FV4'!$C$1:$AM$36,((T$2-5)*2-1),0),"")</f>
        <v>5042.5280000000002</v>
      </c>
      <c r="U7" s="457">
        <f>IFERROR(VLOOKUP($F$1,'FV4'!$C$1:$AM$36,((U$2-5)*2-1),0),"")</f>
        <v>5562.3770000000004</v>
      </c>
      <c r="V7" s="457">
        <f>IFERROR(VLOOKUP($F$1,'FV4'!$C$1:$AM$36,((V$2-5)*2-1),0),"")</f>
        <v>5632.2259999999997</v>
      </c>
      <c r="W7" s="457">
        <f>IFERROR(VLOOKUP($F$1,'FV4'!$C$1:$AM$36,((W$2-5)*2-1),0),"")</f>
        <v>6185.924</v>
      </c>
      <c r="X7" s="457">
        <f>IFERROR(VLOOKUP($F$1,'FV4'!$C$1:$AM$36,((X$2-5)*2-1),0),"")</f>
        <v>6154.2259999999997</v>
      </c>
      <c r="Y7" s="135"/>
      <c r="Z7" s="523" t="s">
        <v>1640</v>
      </c>
      <c r="AA7" s="135"/>
    </row>
    <row r="8" spans="1:27" ht="15" customHeight="1" x14ac:dyDescent="0.2">
      <c r="A8" s="305" t="s">
        <v>552</v>
      </c>
      <c r="B8" s="1662"/>
      <c r="C8" s="1661" t="s">
        <v>654</v>
      </c>
      <c r="D8" s="307" t="s">
        <v>1786</v>
      </c>
      <c r="E8" s="301" t="s">
        <v>223</v>
      </c>
      <c r="F8" s="301"/>
      <c r="G8" s="457">
        <f>IFERROR(VLOOKUP($F$1,'FV5'!$C$1:$AM$34,((G$2-5)*2-1),0),"")</f>
        <v>392.85706999999991</v>
      </c>
      <c r="H8" s="457">
        <f>IFERROR(VLOOKUP($F$1,'FV5'!$C$1:$AM$34,((H$2-5)*2-1),0),"")</f>
        <v>482.32018333333338</v>
      </c>
      <c r="I8" s="457">
        <f>IFERROR(VLOOKUP($F$1,'FV5'!$C$1:$AM$34,((I$2-5)*2-1),0),"")</f>
        <v>578.1301666666667</v>
      </c>
      <c r="J8" s="457">
        <f>IFERROR(VLOOKUP($F$1,'FV5'!$C$1:$AM$34,((J$2-5)*2-1),0),"")</f>
        <v>638.52030000000002</v>
      </c>
      <c r="K8" s="457">
        <f>IFERROR(VLOOKUP($F$1,'FV5'!$C$1:$AM$34,((K$2-5)*2-1),0),"")</f>
        <v>698.91043333333346</v>
      </c>
      <c r="L8" s="457">
        <f>IFERROR(VLOOKUP($F$1,'FV5'!$C$1:$AM$34,((L$2-5)*2-1),0),"")</f>
        <v>759.30056666666667</v>
      </c>
      <c r="M8" s="457">
        <f>IFERROR(VLOOKUP($F$1,'FV5'!$C$1:$AM$34,((M$2-5)*2-1),0),"")</f>
        <v>819.69070000000011</v>
      </c>
      <c r="N8" s="457">
        <f>IFERROR(VLOOKUP($F$1,'FV5'!$C$1:$AM$34,((N$2-5)*2-1),0),"")</f>
        <v>878.85233333333349</v>
      </c>
      <c r="O8" s="457">
        <f>IFERROR(VLOOKUP($F$1,'FV5'!$C$1:$AM$34,((O$2-5)*2-1),0),"")</f>
        <v>938.01396666666665</v>
      </c>
      <c r="P8" s="457">
        <f>IFERROR(VLOOKUP($F$1,'FV5'!$C$1:$AM$34,((P$2-5)*2-1),0),"")</f>
        <v>1055.82395</v>
      </c>
      <c r="Q8" s="457">
        <f>IFERROR(VLOOKUP($F$1,'FV5'!$C$1:$AM$34,((Q$2-5)*2-1),0),"")</f>
        <v>1127.1769333333334</v>
      </c>
      <c r="R8" s="457">
        <f>IFERROR(VLOOKUP($F$1,'FV5'!$C$1:$AM$34,((R$2-5)*2-1),0),"")</f>
        <v>1209.5670666666667</v>
      </c>
      <c r="S8" s="457">
        <f>IFERROR(VLOOKUP($F$1,'FV5'!$C$1:$AM$34,((S$2-5)*2-1),0),"")</f>
        <v>1174.6605000000002</v>
      </c>
      <c r="T8" s="457">
        <f>IFERROR(VLOOKUP($F$1,'FV5'!$C$1:$AM$34,((T$2-5)*2-1),0),"")</f>
        <v>1292.4704833333335</v>
      </c>
      <c r="U8" s="457">
        <f>IFERROR(VLOOKUP($F$1,'FV5'!$C$1:$AM$34,((U$2-5)*2-1),0),"")</f>
        <v>1374.8606166666666</v>
      </c>
      <c r="V8" s="457">
        <f>IFERROR(VLOOKUP($F$1,'FV5'!$C$1:$AM$34,((V$2-5)*2-1),0),"")</f>
        <v>1410.79375</v>
      </c>
      <c r="W8" s="457">
        <f>IFERROR(VLOOKUP($F$1,'FV5'!$C$1:$AM$34,((W$2-5)*2-1),0),"")</f>
        <v>1528.6037333333334</v>
      </c>
      <c r="X8" s="457">
        <f>IFERROR(VLOOKUP($F$1,'FV5'!$C$1:$AM$34,((X$2-5)*2-1),0),"")</f>
        <v>1458.2773166666666</v>
      </c>
      <c r="Y8" s="135"/>
      <c r="Z8" s="523" t="s">
        <v>1789</v>
      </c>
      <c r="AA8" s="135"/>
    </row>
    <row r="9" spans="1:27" ht="15" customHeight="1" x14ac:dyDescent="0.2">
      <c r="A9" s="305" t="s">
        <v>553</v>
      </c>
      <c r="B9" s="1662"/>
      <c r="C9" s="1661"/>
      <c r="D9" s="306" t="s">
        <v>546</v>
      </c>
      <c r="E9" s="301"/>
      <c r="F9" s="301"/>
      <c r="G9" s="457">
        <f>IFERROR(VLOOKUP($F$1,'FV6'!$C$1:$AM$39,((G$2-5)*2-1),0),"")</f>
        <v>773.77688876000002</v>
      </c>
      <c r="H9" s="457">
        <f>IFERROR(VLOOKUP($F$1,'FV6'!$C$1:$AM$39,((H$2-5)*2-1),0),"")</f>
        <v>912.71793300000013</v>
      </c>
      <c r="I9" s="457">
        <f>IFERROR(VLOOKUP($F$1,'FV6'!$C$1:$AM$39,((I$2-5)*2-1),0),"")</f>
        <v>1066.4823466000003</v>
      </c>
      <c r="J9" s="457">
        <f>IFERROR(VLOOKUP($F$1,'FV6'!$C$1:$AM$39,((J$2-5)*2-1),0),"")</f>
        <v>1152.3058934000001</v>
      </c>
      <c r="K9" s="457">
        <f>IFERROR(VLOOKUP($F$1,'FV6'!$C$1:$AM$39,((K$2-5)*2-1),0),"")</f>
        <v>1247.1294402000001</v>
      </c>
      <c r="L9" s="457">
        <f>IFERROR(VLOOKUP($F$1,'FV6'!$C$1:$AM$39,((L$2-5)*2-1),0),"")</f>
        <v>1328.4529870000001</v>
      </c>
      <c r="M9" s="457">
        <f>IFERROR(VLOOKUP($F$1,'FV6'!$C$1:$AM$39,((M$2-5)*2-1),0),"")</f>
        <v>1418.7765338000004</v>
      </c>
      <c r="N9" s="457">
        <f>IFERROR(VLOOKUP($F$1,'FV6'!$C$1:$AM$39,((N$2-5)*2-1),0),"")</f>
        <v>1506.6587406000003</v>
      </c>
      <c r="O9" s="457">
        <f>IFERROR(VLOOKUP($F$1,'FV6'!$C$1:$AM$39,((O$2-5)*2-1),0),"")</f>
        <v>1599.0409474000003</v>
      </c>
      <c r="P9" s="457">
        <f>IFERROR(VLOOKUP($F$1,'FV6'!$C$1:$AM$39,((P$2-5)*2-1),0),"")</f>
        <v>1652.3628610000001</v>
      </c>
      <c r="Q9" s="457">
        <f>IFERROR(VLOOKUP($F$1,'FV6'!$C$1:$AM$39,((Q$2-5)*2-1),0),"")</f>
        <v>1779.7945946000004</v>
      </c>
      <c r="R9" s="457">
        <f>IFERROR(VLOOKUP($F$1,'FV6'!$C$1:$AM$39,((R$2-5)*2-1),0),"")</f>
        <v>1867.6431413999999</v>
      </c>
      <c r="S9" s="457">
        <f>IFERROR(VLOOKUP($F$1,'FV6'!$C$1:$AM$39,((S$2-5)*2-1),0),"")</f>
        <v>1815.1772746000004</v>
      </c>
      <c r="T9" s="457">
        <f>IFERROR(VLOOKUP($F$1,'FV6'!$C$1:$AM$39,((T$2-5)*2-1),0),"")</f>
        <v>1977.9916882000002</v>
      </c>
      <c r="U9" s="457">
        <f>IFERROR(VLOOKUP($F$1,'FV6'!$C$1:$AM$39,((U$2-5)*2-1),0),"")</f>
        <v>2079.3402350000001</v>
      </c>
      <c r="V9" s="457">
        <f>IFERROR(VLOOKUP($F$1,'FV6'!$C$1:$AM$39,((V$2-5)*2-1),0),"")</f>
        <v>2149.8061017999999</v>
      </c>
      <c r="W9" s="457">
        <f>IFERROR(VLOOKUP($F$1,'FV6'!$C$1:$AM$39,((W$2-5)*2-1),0),"")</f>
        <v>2317.1205154000008</v>
      </c>
      <c r="X9" s="457">
        <f>IFERROR(VLOOKUP($F$1,'FV6'!$C$1:$AM$39,((X$2-5)*2-1),0),"")</f>
        <v>2189.6887818000005</v>
      </c>
      <c r="Y9" s="135"/>
      <c r="Z9" s="523" t="s">
        <v>1648</v>
      </c>
      <c r="AA9" s="135"/>
    </row>
    <row r="10" spans="1:27" ht="15" customHeight="1" x14ac:dyDescent="0.2">
      <c r="A10" s="305" t="s">
        <v>554</v>
      </c>
      <c r="B10" s="1662"/>
      <c r="C10" s="1661"/>
      <c r="D10" s="235" t="s">
        <v>653</v>
      </c>
      <c r="E10" s="302" t="s">
        <v>223</v>
      </c>
      <c r="F10" s="302"/>
      <c r="G10" s="457">
        <f>IFERROR(VLOOKUP($F$1,'FV7'!$C$1:$AM$38,((G$2-5)*2-1),0),"")</f>
        <v>579.16124499999989</v>
      </c>
      <c r="H10" s="457">
        <f>IFERROR(VLOOKUP($F$1,'FV7'!$C$1:$AM$38,((H$2-5)*2-1),0),"")</f>
        <v>699.49115000000006</v>
      </c>
      <c r="I10" s="457">
        <f>IFERROR(VLOOKUP($F$1,'FV7'!$C$1:$AM$38,((I$2-5)*2-1),0),"")</f>
        <v>830.74659999999994</v>
      </c>
      <c r="J10" s="457">
        <f>IFERROR(VLOOKUP($F$1,'FV7'!$C$1:$AM$38,((J$2-5)*2-1),0),"")</f>
        <v>907.374325</v>
      </c>
      <c r="K10" s="457">
        <f>IFERROR(VLOOKUP($F$1,'FV7'!$C$1:$AM$38,((K$2-5)*2-1),0),"")</f>
        <v>984.00205000000005</v>
      </c>
      <c r="L10" s="457">
        <f>IFERROR(VLOOKUP($F$1,'FV7'!$C$1:$AM$38,((L$2-5)*2-1),0),"")</f>
        <v>1060.6297749999999</v>
      </c>
      <c r="M10" s="457">
        <f>IFERROR(VLOOKUP($F$1,'FV7'!$C$1:$AM$38,((M$2-5)*2-1),0),"")</f>
        <v>1137.2575000000002</v>
      </c>
      <c r="N10" s="457">
        <f>IFERROR(VLOOKUP($F$1,'FV7'!$C$1:$AM$38,((N$2-5)*2-1),0),"")</f>
        <v>1213.8852250000002</v>
      </c>
      <c r="O10" s="457">
        <f>IFERROR(VLOOKUP($F$1,'FV7'!$C$1:$AM$38,((O$2-5)*2-1),0),"")</f>
        <v>1290.5129499999998</v>
      </c>
      <c r="P10" s="457">
        <f>IFERROR(VLOOKUP($F$1,'FV7'!$C$1:$AM$38,((P$2-5)*2-1),0),"")</f>
        <v>1443.7684000000002</v>
      </c>
      <c r="Q10" s="457">
        <f>IFERROR(VLOOKUP($F$1,'FV7'!$C$1:$AM$38,((Q$2-5)*2-1),0),"")</f>
        <v>1553.02385</v>
      </c>
      <c r="R10" s="457">
        <f>IFERROR(VLOOKUP($F$1,'FV7'!$C$1:$AM$38,((R$2-5)*2-1),0),"")</f>
        <v>1651.6515750000001</v>
      </c>
      <c r="S10" s="457">
        <f>IFERROR(VLOOKUP($F$1,'FV7'!$C$1:$AM$38,((S$2-5)*2-1),0),"")</f>
        <v>1597.02385</v>
      </c>
      <c r="T10" s="457">
        <f>IFERROR(VLOOKUP($F$1,'FV7'!$C$1:$AM$38,((T$2-5)*2-1),0),"")</f>
        <v>1750.2793000000001</v>
      </c>
      <c r="U10" s="457">
        <f>IFERROR(VLOOKUP($F$1,'FV7'!$C$1:$AM$38,((U$2-5)*2-1),0),"")</f>
        <v>1848.907025</v>
      </c>
      <c r="V10" s="457">
        <f>IFERROR(VLOOKUP($F$1,'FV7'!$C$1:$AM$38,((V$2-5)*2-1),0),"")</f>
        <v>1903.5347500000003</v>
      </c>
      <c r="W10" s="457">
        <f>IFERROR(VLOOKUP($F$1,'FV7'!$C$1:$AM$38,((W$2-5)*2-1),0),"")</f>
        <v>2056.7902000000004</v>
      </c>
      <c r="X10" s="457">
        <f>IFERROR(VLOOKUP($F$1,'FV7'!$C$1:$AM$38,((X$2-5)*2-1),0),"")</f>
        <v>1947.5347500000003</v>
      </c>
      <c r="Y10" s="135"/>
      <c r="Z10" s="523" t="s">
        <v>1649</v>
      </c>
      <c r="AA10" s="135"/>
    </row>
    <row r="11" spans="1:27" ht="15" customHeight="1" x14ac:dyDescent="0.2">
      <c r="A11" s="305" t="s">
        <v>556</v>
      </c>
      <c r="B11" s="1662"/>
      <c r="C11" s="1661" t="s">
        <v>523</v>
      </c>
      <c r="D11" s="235" t="s">
        <v>1787</v>
      </c>
      <c r="E11" s="301" t="s">
        <v>223</v>
      </c>
      <c r="F11" s="301"/>
      <c r="G11" s="457">
        <f>IFERROR(VLOOKUP($F$1,'FV8'!$C$1:$AM$33,((G$2-5)*2-1),0),"")</f>
        <v>604.81988499999989</v>
      </c>
      <c r="H11" s="457">
        <f>IFERROR(VLOOKUP($F$1,'FV8'!$C$1:$AM$33,((H$2-5)*2-1),0),"")</f>
        <v>733.25194999999997</v>
      </c>
      <c r="I11" s="457">
        <f>IFERROR(VLOOKUP($F$1,'FV8'!$C$1:$AM$33,((I$2-5)*2-1),0),"")</f>
        <v>864.50740000000008</v>
      </c>
      <c r="J11" s="457">
        <f>IFERROR(VLOOKUP($F$1,'FV8'!$C$1:$AM$33,((J$2-5)*2-1),0),"")</f>
        <v>951.26282500000002</v>
      </c>
      <c r="K11" s="457">
        <f>IFERROR(VLOOKUP($F$1,'FV8'!$C$1:$AM$33,((K$2-5)*2-1),0),"")</f>
        <v>1038.0182500000001</v>
      </c>
      <c r="L11" s="457">
        <f>IFERROR(VLOOKUP($F$1,'FV8'!$C$1:$AM$33,((L$2-5)*2-1),0),"")</f>
        <v>1124.7736749999999</v>
      </c>
      <c r="M11" s="457">
        <f>IFERROR(VLOOKUP($F$1,'FV8'!$C$1:$AM$33,((M$2-5)*2-1),0),"")</f>
        <v>1211.5291000000002</v>
      </c>
      <c r="N11" s="457">
        <f>IFERROR(VLOOKUP($F$1,'FV8'!$C$1:$AM$33,((N$2-5)*2-1),0),"")</f>
        <v>1288.156825</v>
      </c>
      <c r="O11" s="457">
        <f>IFERROR(VLOOKUP($F$1,'FV8'!$C$1:$AM$33,((O$2-5)*2-1),0),"")</f>
        <v>1364.7845499999999</v>
      </c>
      <c r="P11" s="457">
        <f>IFERROR(VLOOKUP($F$1,'FV8'!$C$1:$AM$33,((P$2-5)*2-1),0),"")</f>
        <v>1518.04</v>
      </c>
      <c r="Q11" s="457">
        <f>IFERROR(VLOOKUP($F$1,'FV8'!$C$1:$AM$33,((Q$2-5)*2-1),0),"")</f>
        <v>1607.0400500000003</v>
      </c>
      <c r="R11" s="457">
        <f>IFERROR(VLOOKUP($F$1,'FV8'!$C$1:$AM$33,((R$2-5)*2-1),0),"")</f>
        <v>1715.7954750000004</v>
      </c>
      <c r="S11" s="457">
        <f>IFERROR(VLOOKUP($F$1,'FV8'!$C$1:$AM$33,((S$2-5)*2-1),0),"")</f>
        <v>1671.2954500000001</v>
      </c>
      <c r="T11" s="457">
        <f>IFERROR(VLOOKUP($F$1,'FV8'!$C$1:$AM$33,((T$2-5)*2-1),0),"")</f>
        <v>1824.5509</v>
      </c>
      <c r="U11" s="457">
        <f>IFERROR(VLOOKUP($F$1,'FV8'!$C$1:$AM$33,((U$2-5)*2-1),0),"")</f>
        <v>1933.3063250000002</v>
      </c>
      <c r="V11" s="457">
        <f>IFERROR(VLOOKUP($F$1,'FV8'!$C$1:$AM$33,((V$2-5)*2-1),0),"")</f>
        <v>1977.8063500000003</v>
      </c>
      <c r="W11" s="457">
        <f>IFERROR(VLOOKUP($F$1,'FV8'!$C$1:$AM$33,((W$2-5)*2-1),0),"")</f>
        <v>2131.0618000000004</v>
      </c>
      <c r="X11" s="457">
        <f>IFERROR(VLOOKUP($F$1,'FV8'!$C$1:$AM$33,((X$2-5)*2-1),0),"")</f>
        <v>2042.0617500000003</v>
      </c>
      <c r="Y11" s="135"/>
      <c r="Z11" s="523" t="s">
        <v>1650</v>
      </c>
      <c r="AA11" s="135"/>
    </row>
    <row r="12" spans="1:27" ht="15" customHeight="1" x14ac:dyDescent="0.2">
      <c r="A12" s="305" t="s">
        <v>557</v>
      </c>
      <c r="B12" s="1662"/>
      <c r="C12" s="1661"/>
      <c r="D12" s="307" t="s">
        <v>1786</v>
      </c>
      <c r="E12" s="302" t="s">
        <v>223</v>
      </c>
      <c r="F12" s="302"/>
      <c r="G12" s="457">
        <f>IFERROR(VLOOKUP($F$1,'FV9'!$C$1:$AM$34,((G$2-5)*2-1),0),"")</f>
        <v>697.60088959999996</v>
      </c>
      <c r="H12" s="457">
        <f>IFERROR(VLOOKUP($F$1,'FV9'!$C$1:$AM$34,((H$2-5)*2-1),0),"")</f>
        <v>933.85596333333342</v>
      </c>
      <c r="I12" s="457">
        <f>IFERROR(VLOOKUP($F$1,'FV9'!$C$1:$AM$34,((I$2-5)*2-1),0),"")</f>
        <v>1138.5931560000001</v>
      </c>
      <c r="J12" s="457">
        <f>IFERROR(VLOOKUP($F$1,'FV9'!$C$1:$AM$34,((J$2-5)*2-1),0),"")</f>
        <v>1253.2117523333334</v>
      </c>
      <c r="K12" s="457">
        <f>IFERROR(VLOOKUP($F$1,'FV9'!$C$1:$AM$34,((K$2-5)*2-1),0),"")</f>
        <v>1348.3303486666669</v>
      </c>
      <c r="L12" s="457">
        <f>IFERROR(VLOOKUP($F$1,'FV9'!$C$1:$AM$34,((L$2-5)*2-1),0),"")</f>
        <v>1482.4489450000001</v>
      </c>
      <c r="M12" s="457">
        <f>IFERROR(VLOOKUP($F$1,'FV9'!$C$1:$AM$34,((M$2-5)*2-1),0),"")</f>
        <v>1597.0675413333333</v>
      </c>
      <c r="N12" s="457">
        <f>IFERROR(VLOOKUP($F$1,'FV9'!$C$1:$AM$34,((N$2-5)*2-1),0),"")</f>
        <v>1711.686137666667</v>
      </c>
      <c r="O12" s="457">
        <f>IFERROR(VLOOKUP($F$1,'FV9'!$C$1:$AM$34,((O$2-5)*2-1),0),"")</f>
        <v>1826.3047340000001</v>
      </c>
      <c r="P12" s="457">
        <f>IFERROR(VLOOKUP($F$1,'FV9'!$C$1:$AM$34,((P$2-5)*2-1),0),"")</f>
        <v>2035.4569266666667</v>
      </c>
      <c r="Q12" s="457">
        <f>IFERROR(VLOOKUP($F$1,'FV9'!$C$1:$AM$34,((Q$2-5)*2-1),0),"")</f>
        <v>2117.6091193333336</v>
      </c>
      <c r="R12" s="457">
        <f>IFERROR(VLOOKUP($F$1,'FV9'!$C$1:$AM$34,((R$2-5)*2-1),0),"")</f>
        <v>2354.8127156666674</v>
      </c>
      <c r="S12" s="457">
        <f>IFERROR(VLOOKUP($F$1,'FV9'!$C$1:$AM$34,((S$2-5)*2-1),0),"")</f>
        <v>2274.4441193333337</v>
      </c>
      <c r="T12" s="457">
        <f>IFERROR(VLOOKUP($F$1,'FV9'!$C$1:$AM$34,((T$2-5)*2-1),0),"")</f>
        <v>2513.4313120000006</v>
      </c>
      <c r="U12" s="457">
        <f>IFERROR(VLOOKUP($F$1,'FV9'!$C$1:$AM$34,((U$2-5)*2-1),0),"")</f>
        <v>2672.0499083333334</v>
      </c>
      <c r="V12" s="457">
        <f>IFERROR(VLOOKUP($F$1,'FV9'!$C$1:$AM$34,((V$2-5)*2-1),0),"")</f>
        <v>2742.6685046666666</v>
      </c>
      <c r="W12" s="457">
        <f>IFERROR(VLOOKUP($F$1,'FV9'!$C$1:$AM$34,((W$2-5)*2-1),0),"")</f>
        <v>2971.9056973333336</v>
      </c>
      <c r="X12" s="457">
        <f>IFERROR(VLOOKUP($F$1,'FV9'!$C$1:$AM$34,((X$2-5)*2-1),0),"")</f>
        <v>2830.6685046666666</v>
      </c>
      <c r="Y12" s="135"/>
      <c r="Z12" s="523" t="s">
        <v>1788</v>
      </c>
      <c r="AA12" s="135"/>
    </row>
    <row r="13" spans="1:27" ht="15" customHeight="1" x14ac:dyDescent="0.2">
      <c r="A13" s="305" t="s">
        <v>561</v>
      </c>
      <c r="B13" s="1670" t="s">
        <v>399</v>
      </c>
      <c r="C13" s="1661" t="s">
        <v>545</v>
      </c>
      <c r="D13" s="483" t="s">
        <v>546</v>
      </c>
      <c r="E13" s="301" t="s">
        <v>223</v>
      </c>
      <c r="F13" s="301"/>
      <c r="G13" s="457" t="str">
        <f>IFERROR(VLOOKUP($F$1,'FH1'!$C$1:$AN$72,((G$2-5)*2-1),0),"")</f>
        <v/>
      </c>
      <c r="H13" s="457" t="str">
        <f>IFERROR(VLOOKUP($F$1,'FH1'!$C$1:$AN$72,((H$2-5)*2-1),0),"")</f>
        <v/>
      </c>
      <c r="I13" s="457" t="str">
        <f>IFERROR(VLOOKUP($F$1,'FH1'!$C$1:$AN$72,((I$2-5)*2-1),0),"")</f>
        <v/>
      </c>
      <c r="J13" s="457" t="str">
        <f>IFERROR(VLOOKUP($F$1,'FH1'!$C$1:$AN$72,((J$2-5)*2-1),0),"")</f>
        <v/>
      </c>
      <c r="K13" s="457" t="str">
        <f>IFERROR(VLOOKUP($F$1,'FH1'!$C$1:$AN$72,((K$2-5)*2-1),0),"")</f>
        <v/>
      </c>
      <c r="L13" s="457" t="str">
        <f>IFERROR(VLOOKUP($F$1,'FH1'!$C$1:$AN$72,((L$2-5)*2-1),0),"")</f>
        <v/>
      </c>
      <c r="M13" s="457" t="str">
        <f>IFERROR(VLOOKUP($F$1,'FH1'!$C$1:$AN$72,((M$2-5)*2-1),0),"")</f>
        <v/>
      </c>
      <c r="N13" s="457" t="str">
        <f>IFERROR(VLOOKUP($F$1,'FH1'!$C$1:$AN$72,((N$2-5)*2-1),0),"")</f>
        <v/>
      </c>
      <c r="O13" s="457" t="str">
        <f>IFERROR(VLOOKUP($F$1,'FH1'!$C$1:$AN$72,((O$2-5)*2-1),0),"")</f>
        <v/>
      </c>
      <c r="P13" s="457" t="str">
        <f>IFERROR(VLOOKUP($F$1,'FH1'!$C$1:$AN$72,((P$2-5)*2-1),0),"")</f>
        <v/>
      </c>
      <c r="Q13" s="457" t="str">
        <f>IFERROR(VLOOKUP($F$1,'FH1'!$C$1:$AN$72,((Q$2-5)*2-1),0),"")</f>
        <v/>
      </c>
      <c r="R13" s="457" t="str">
        <f>IFERROR(VLOOKUP($F$1,'FH1'!$C$1:$AN$72,((R$2-5)*2-1),0),"")</f>
        <v/>
      </c>
      <c r="S13" s="457" t="str">
        <f>IFERROR(VLOOKUP($F$1,'FH1'!$C$1:$AN$72,((S$2-5)*2-1),0),"")</f>
        <v/>
      </c>
      <c r="T13" s="457" t="str">
        <f>IFERROR(VLOOKUP($F$1,'FH1'!$C$1:$AN$72,((T$2-5)*2-1),0),"")</f>
        <v/>
      </c>
      <c r="U13" s="457" t="str">
        <f>IFERROR(VLOOKUP($F$1,'FH1'!$C$1:$AN$72,((U$2-5)*2-1),0),"")</f>
        <v/>
      </c>
      <c r="V13" s="457" t="str">
        <f>IFERROR(VLOOKUP($F$1,'FH1'!$C$1:$AN$72,((V$2-5)*2-1),0),"")</f>
        <v/>
      </c>
      <c r="W13" s="457" t="str">
        <f>IFERROR(VLOOKUP($F$1,'FH1'!$C$1:$AN$72,((W$2-5)*2-1),0),"")</f>
        <v/>
      </c>
      <c r="X13" s="457" t="str">
        <f>IFERROR(VLOOKUP($F$1,'FH1'!$C$1:$AN$72,((X$2-5)*2-1),0),"")</f>
        <v/>
      </c>
      <c r="Y13" s="135"/>
      <c r="Z13" s="523" t="s">
        <v>1651</v>
      </c>
      <c r="AA13" s="135"/>
    </row>
    <row r="14" spans="1:27" ht="15" customHeight="1" x14ac:dyDescent="0.2">
      <c r="A14" s="305" t="s">
        <v>563</v>
      </c>
      <c r="B14" s="1670"/>
      <c r="C14" s="1661"/>
      <c r="D14" s="472" t="s">
        <v>548</v>
      </c>
      <c r="E14" s="302" t="s">
        <v>223</v>
      </c>
      <c r="F14" s="302"/>
      <c r="G14" s="457" t="str">
        <f>IFERROR(VLOOKUP($F$1,'FH2'!$C$1:$AN$73,((G$2-5)*2-1),0),"")</f>
        <v/>
      </c>
      <c r="H14" s="457" t="str">
        <f>IFERROR(VLOOKUP($F$1,'FH2'!$C$1:$AN$73,((H$2-5)*2-1),0),"")</f>
        <v/>
      </c>
      <c r="I14" s="457" t="str">
        <f>IFERROR(VLOOKUP($F$1,'FH2'!$C$1:$AN$73,((I$2-5)*2-1),0),"")</f>
        <v/>
      </c>
      <c r="J14" s="457" t="str">
        <f>IFERROR(VLOOKUP($F$1,'FH2'!$C$1:$AN$73,((J$2-5)*2-1),0),"")</f>
        <v/>
      </c>
      <c r="K14" s="457" t="str">
        <f>IFERROR(VLOOKUP($F$1,'FH2'!$C$1:$AN$73,((K$2-5)*2-1),0),"")</f>
        <v/>
      </c>
      <c r="L14" s="457" t="str">
        <f>IFERROR(VLOOKUP($F$1,'FH2'!$C$1:$AN$73,((L$2-5)*2-1),0),"")</f>
        <v/>
      </c>
      <c r="M14" s="457" t="str">
        <f>IFERROR(VLOOKUP($F$1,'FH2'!$C$1:$AN$73,((M$2-5)*2-1),0),"")</f>
        <v/>
      </c>
      <c r="N14" s="457" t="str">
        <f>IFERROR(VLOOKUP($F$1,'FH2'!$C$1:$AN$73,((N$2-5)*2-1),0),"")</f>
        <v/>
      </c>
      <c r="O14" s="457" t="str">
        <f>IFERROR(VLOOKUP($F$1,'FH2'!$C$1:$AN$73,((O$2-5)*2-1),0),"")</f>
        <v/>
      </c>
      <c r="P14" s="457" t="str">
        <f>IFERROR(VLOOKUP($F$1,'FH2'!$C$1:$AN$73,((P$2-5)*2-1),0),"")</f>
        <v/>
      </c>
      <c r="Q14" s="457" t="str">
        <f>IFERROR(VLOOKUP($F$1,'FH2'!$C$1:$AN$73,((Q$2-5)*2-1),0),"")</f>
        <v/>
      </c>
      <c r="R14" s="457" t="str">
        <f>IFERROR(VLOOKUP($F$1,'FH2'!$C$1:$AN$73,((R$2-5)*2-1),0),"")</f>
        <v/>
      </c>
      <c r="S14" s="457" t="str">
        <f>IFERROR(VLOOKUP($F$1,'FH2'!$C$1:$AN$73,((S$2-5)*2-1),0),"")</f>
        <v/>
      </c>
      <c r="T14" s="457" t="str">
        <f>IFERROR(VLOOKUP($F$1,'FH2'!$C$1:$AN$73,((T$2-5)*2-1),0),"")</f>
        <v/>
      </c>
      <c r="U14" s="457" t="str">
        <f>IFERROR(VLOOKUP($F$1,'FH2'!$C$1:$AN$73,((U$2-5)*2-1),0),"")</f>
        <v/>
      </c>
      <c r="V14" s="457" t="str">
        <f>IFERROR(VLOOKUP($F$1,'FH2'!$C$1:$AN$73,((V$2-5)*2-1),0),"")</f>
        <v/>
      </c>
      <c r="W14" s="457" t="str">
        <f>IFERROR(VLOOKUP($F$1,'FH2'!$C$1:$AN$73,((W$2-5)*2-1),0),"")</f>
        <v/>
      </c>
      <c r="X14" s="457" t="str">
        <f>IFERROR(VLOOKUP($F$1,'FH2'!$C$1:$AN$73,((X$2-5)*2-1),0),"")</f>
        <v/>
      </c>
      <c r="Y14" s="135"/>
      <c r="Z14" s="523" t="s">
        <v>1641</v>
      </c>
      <c r="AA14" s="135"/>
    </row>
    <row r="15" spans="1:27" ht="15" customHeight="1" x14ac:dyDescent="0.2">
      <c r="A15" s="305" t="s">
        <v>658</v>
      </c>
      <c r="B15" s="1670"/>
      <c r="C15" s="1661"/>
      <c r="D15" s="472" t="s">
        <v>653</v>
      </c>
      <c r="E15" s="301" t="s">
        <v>223</v>
      </c>
      <c r="F15" s="301"/>
      <c r="G15" s="457" t="str">
        <f>IFERROR(VLOOKUP($F$1,'FH3'!$C$1:$AN$72,((G$2-5)*2-1),0),"")</f>
        <v/>
      </c>
      <c r="H15" s="457" t="str">
        <f>IFERROR(VLOOKUP($F$1,'FH3'!$C$1:$AN$72,((H$2-5)*2-1),0),"")</f>
        <v/>
      </c>
      <c r="I15" s="457" t="str">
        <f>IFERROR(VLOOKUP($F$1,'FH3'!$C$1:$AN$72,((I$2-5)*2-1),0),"")</f>
        <v/>
      </c>
      <c r="J15" s="457" t="str">
        <f>IFERROR(VLOOKUP($F$1,'FH3'!$C$1:$AN$72,((J$2-5)*2-1),0),"")</f>
        <v/>
      </c>
      <c r="K15" s="457" t="str">
        <f>IFERROR(VLOOKUP($F$1,'FH3'!$C$1:$AN$72,((K$2-5)*2-1),0),"")</f>
        <v/>
      </c>
      <c r="L15" s="457" t="str">
        <f>IFERROR(VLOOKUP($F$1,'FH3'!$C$1:$AN$72,((L$2-5)*2-1),0),"")</f>
        <v/>
      </c>
      <c r="M15" s="457" t="str">
        <f>IFERROR(VLOOKUP($F$1,'FH3'!$C$1:$AN$72,((M$2-5)*2-1),0),"")</f>
        <v/>
      </c>
      <c r="N15" s="457" t="str">
        <f>IFERROR(VLOOKUP($F$1,'FH3'!$C$1:$AN$72,((N$2-5)*2-1),0),"")</f>
        <v/>
      </c>
      <c r="O15" s="457" t="str">
        <f>IFERROR(VLOOKUP($F$1,'FH3'!$C$1:$AN$72,((O$2-5)*2-1),0),"")</f>
        <v/>
      </c>
      <c r="P15" s="457" t="str">
        <f>IFERROR(VLOOKUP($F$1,'FH3'!$C$1:$AN$72,((P$2-5)*2-1),0),"")</f>
        <v/>
      </c>
      <c r="Q15" s="457" t="str">
        <f>IFERROR(VLOOKUP($F$1,'FH3'!$C$1:$AN$72,((Q$2-5)*2-1),0),"")</f>
        <v/>
      </c>
      <c r="R15" s="457" t="str">
        <f>IFERROR(VLOOKUP($F$1,'FH3'!$C$1:$AN$72,((R$2-5)*2-1),0),"")</f>
        <v/>
      </c>
      <c r="S15" s="457" t="str">
        <f>IFERROR(VLOOKUP($F$1,'FH3'!$C$1:$AN$72,((S$2-5)*2-1),0),"")</f>
        <v/>
      </c>
      <c r="T15" s="457" t="str">
        <f>IFERROR(VLOOKUP($F$1,'FH3'!$C$1:$AN$72,((T$2-5)*2-1),0),"")</f>
        <v/>
      </c>
      <c r="U15" s="457" t="str">
        <f>IFERROR(VLOOKUP($F$1,'FH3'!$C$1:$AN$72,((U$2-5)*2-1),0),"")</f>
        <v/>
      </c>
      <c r="V15" s="457" t="str">
        <f>IFERROR(VLOOKUP($F$1,'FH3'!$C$1:$AN$72,((V$2-5)*2-1),0),"")</f>
        <v/>
      </c>
      <c r="W15" s="457" t="str">
        <f>IFERROR(VLOOKUP($F$1,'FH3'!$C$1:$AN$72,((W$2-5)*2-1),0),"")</f>
        <v/>
      </c>
      <c r="X15" s="457" t="str">
        <f>IFERROR(VLOOKUP($F$1,'FH3'!$C$1:$AN$72,((X$2-5)*2-1),0),"")</f>
        <v/>
      </c>
      <c r="Y15" s="135"/>
      <c r="Z15" s="523" t="s">
        <v>1642</v>
      </c>
      <c r="AA15" s="135"/>
    </row>
    <row r="16" spans="1:27" ht="15" customHeight="1" x14ac:dyDescent="0.2">
      <c r="A16" s="305" t="s">
        <v>659</v>
      </c>
      <c r="B16" s="1670"/>
      <c r="C16" s="1661"/>
      <c r="D16" s="472" t="s">
        <v>551</v>
      </c>
      <c r="E16" s="302" t="s">
        <v>223</v>
      </c>
      <c r="F16" s="302"/>
      <c r="G16" s="457" t="str">
        <f>IFERROR(VLOOKUP($F$1,'FH4'!$C$1:$AN$72,((G$2-5)*2-1),0),"")</f>
        <v/>
      </c>
      <c r="H16" s="457" t="str">
        <f>IFERROR(VLOOKUP($F$1,'FH4'!$C$1:$AN$72,((H$2-5)*2-1),0),"")</f>
        <v/>
      </c>
      <c r="I16" s="457" t="str">
        <f>IFERROR(VLOOKUP($F$1,'FH4'!$C$1:$AN$72,((I$2-5)*2-1),0),"")</f>
        <v/>
      </c>
      <c r="J16" s="457" t="str">
        <f>IFERROR(VLOOKUP($F$1,'FH4'!$C$1:$AN$72,((J$2-5)*2-1),0),"")</f>
        <v/>
      </c>
      <c r="K16" s="457" t="str">
        <f>IFERROR(VLOOKUP($F$1,'FH4'!$C$1:$AN$72,((K$2-5)*2-1),0),"")</f>
        <v/>
      </c>
      <c r="L16" s="457" t="str">
        <f>IFERROR(VLOOKUP($F$1,'FH4'!$C$1:$AN$72,((L$2-5)*2-1),0),"")</f>
        <v/>
      </c>
      <c r="M16" s="457" t="str">
        <f>IFERROR(VLOOKUP($F$1,'FH4'!$C$1:$AN$72,((M$2-5)*2-1),0),"")</f>
        <v/>
      </c>
      <c r="N16" s="457" t="str">
        <f>IFERROR(VLOOKUP($F$1,'FH4'!$C$1:$AN$72,((N$2-5)*2-1),0),"")</f>
        <v/>
      </c>
      <c r="O16" s="457" t="str">
        <f>IFERROR(VLOOKUP($F$1,'FH4'!$C$1:$AN$72,((O$2-5)*2-1),0),"")</f>
        <v/>
      </c>
      <c r="P16" s="457" t="str">
        <f>IFERROR(VLOOKUP($F$1,'FH4'!$C$1:$AN$72,((P$2-5)*2-1),0),"")</f>
        <v/>
      </c>
      <c r="Q16" s="457" t="str">
        <f>IFERROR(VLOOKUP($F$1,'FH4'!$C$1:$AN$72,((Q$2-5)*2-1),0),"")</f>
        <v/>
      </c>
      <c r="R16" s="457" t="str">
        <f>IFERROR(VLOOKUP($F$1,'FH4'!$C$1:$AN$72,((R$2-5)*2-1),0),"")</f>
        <v/>
      </c>
      <c r="S16" s="457" t="str">
        <f>IFERROR(VLOOKUP($F$1,'FH4'!$C$1:$AN$72,((S$2-5)*2-1),0),"")</f>
        <v/>
      </c>
      <c r="T16" s="457" t="str">
        <f>IFERROR(VLOOKUP($F$1,'FH4'!$C$1:$AN$72,((T$2-5)*2-1),0),"")</f>
        <v/>
      </c>
      <c r="U16" s="457" t="str">
        <f>IFERROR(VLOOKUP($F$1,'FH4'!$C$1:$AN$72,((U$2-5)*2-1),0),"")</f>
        <v/>
      </c>
      <c r="V16" s="457" t="str">
        <f>IFERROR(VLOOKUP($F$1,'FH4'!$C$1:$AN$72,((V$2-5)*2-1),0),"")</f>
        <v/>
      </c>
      <c r="W16" s="457" t="str">
        <f>IFERROR(VLOOKUP($F$1,'FH4'!$C$1:$AN$72,((W$2-5)*2-1),0),"")</f>
        <v/>
      </c>
      <c r="X16" s="457" t="str">
        <f>IFERROR(VLOOKUP($F$1,'FH4'!$C$1:$AN$72,((X$2-5)*2-1),0),"")</f>
        <v/>
      </c>
      <c r="Y16" s="135"/>
      <c r="Z16" s="523" t="s">
        <v>1643</v>
      </c>
      <c r="AA16" s="135"/>
    </row>
    <row r="17" spans="1:27" ht="15" customHeight="1" x14ac:dyDescent="0.2">
      <c r="A17" s="305" t="s">
        <v>660</v>
      </c>
      <c r="B17" s="1670"/>
      <c r="C17" s="1661" t="s">
        <v>555</v>
      </c>
      <c r="D17" s="472" t="s">
        <v>655</v>
      </c>
      <c r="E17" s="301" t="s">
        <v>223</v>
      </c>
      <c r="F17" s="301"/>
      <c r="G17" s="457" t="str">
        <f>IFERROR(VLOOKUP($F$1,'FH5'!$C$1:$AN$72,((G$2-5)*2-1),0),"")</f>
        <v/>
      </c>
      <c r="H17" s="457" t="str">
        <f>IFERROR(VLOOKUP($F$1,'FH5'!$C$1:$AN$72,((H$2-5)*2-1),0),"")</f>
        <v/>
      </c>
      <c r="I17" s="457" t="str">
        <f>IFERROR(VLOOKUP($F$1,'FH5'!$C$1:$AN$72,((I$2-5)*2-1),0),"")</f>
        <v/>
      </c>
      <c r="J17" s="457" t="str">
        <f>IFERROR(VLOOKUP($F$1,'FH5'!$C$1:$AN$72,((J$2-5)*2-1),0),"")</f>
        <v/>
      </c>
      <c r="K17" s="457" t="str">
        <f>IFERROR(VLOOKUP($F$1,'FH5'!$C$1:$AN$72,((K$2-5)*2-1),0),"")</f>
        <v/>
      </c>
      <c r="L17" s="457" t="str">
        <f>IFERROR(VLOOKUP($F$1,'FH5'!$C$1:$AN$72,((L$2-5)*2-1),0),"")</f>
        <v/>
      </c>
      <c r="M17" s="457" t="str">
        <f>IFERROR(VLOOKUP($F$1,'FH5'!$C$1:$AN$72,((M$2-5)*2-1),0),"")</f>
        <v/>
      </c>
      <c r="N17" s="457" t="str">
        <f>IFERROR(VLOOKUP($F$1,'FH5'!$C$1:$AN$72,((N$2-5)*2-1),0),"")</f>
        <v/>
      </c>
      <c r="O17" s="457" t="str">
        <f>IFERROR(VLOOKUP($F$1,'FH5'!$C$1:$AN$72,((O$2-5)*2-1),0),"")</f>
        <v/>
      </c>
      <c r="P17" s="457" t="str">
        <f>IFERROR(VLOOKUP($F$1,'FH5'!$C$1:$AN$72,((P$2-5)*2-1),0),"")</f>
        <v/>
      </c>
      <c r="Q17" s="457" t="str">
        <f>IFERROR(VLOOKUP($F$1,'FH5'!$C$1:$AN$72,((Q$2-5)*2-1),0),"")</f>
        <v/>
      </c>
      <c r="R17" s="457" t="str">
        <f>IFERROR(VLOOKUP($F$1,'FH5'!$C$1:$AN$72,((R$2-5)*2-1),0),"")</f>
        <v/>
      </c>
      <c r="S17" s="457" t="str">
        <f>IFERROR(VLOOKUP($F$1,'FH5'!$C$1:$AN$72,((S$2-5)*2-1),0),"")</f>
        <v/>
      </c>
      <c r="T17" s="457" t="str">
        <f>IFERROR(VLOOKUP($F$1,'FH5'!$C$1:$AN$72,((T$2-5)*2-1),0),"")</f>
        <v/>
      </c>
      <c r="U17" s="457" t="str">
        <f>IFERROR(VLOOKUP($F$1,'FH5'!$C$1:$AN$72,((U$2-5)*2-1),0),"")</f>
        <v/>
      </c>
      <c r="V17" s="457" t="str">
        <f>IFERROR(VLOOKUP($F$1,'FH5'!$C$1:$AN$72,((V$2-5)*2-1),0),"")</f>
        <v/>
      </c>
      <c r="W17" s="457" t="str">
        <f>IFERROR(VLOOKUP($F$1,'FH5'!$C$1:$AN$72,((W$2-5)*2-1),0),"")</f>
        <v/>
      </c>
      <c r="X17" s="457" t="str">
        <f>IFERROR(VLOOKUP($F$1,'FH5'!$C$1:$AN$72,((X$2-5)*2-1),0),"")</f>
        <v/>
      </c>
      <c r="Y17" s="135"/>
      <c r="Z17" s="523" t="s">
        <v>1644</v>
      </c>
      <c r="AA17" s="135"/>
    </row>
    <row r="18" spans="1:27" ht="15" customHeight="1" x14ac:dyDescent="0.2">
      <c r="A18" s="305" t="s">
        <v>661</v>
      </c>
      <c r="B18" s="1670"/>
      <c r="C18" s="1661"/>
      <c r="D18" s="483" t="s">
        <v>546</v>
      </c>
      <c r="E18" s="301"/>
      <c r="F18" s="301"/>
      <c r="G18" s="457" t="str">
        <f>IFERROR(VLOOKUP($F$1,'FH6'!$C$1:$AN$72,((G$2-5)*2-1),0),"")</f>
        <v/>
      </c>
      <c r="H18" s="457" t="str">
        <f>IFERROR(VLOOKUP($F$1,'FH6'!$C$1:$AN$72,((H$2-5)*2-1),0),"")</f>
        <v/>
      </c>
      <c r="I18" s="457" t="str">
        <f>IFERROR(VLOOKUP($F$1,'FH6'!$C$1:$AN$72,((I$2-5)*2-1),0),"")</f>
        <v/>
      </c>
      <c r="J18" s="457" t="str">
        <f>IFERROR(VLOOKUP($F$1,'FH6'!$C$1:$AN$72,((J$2-5)*2-1),0),"")</f>
        <v/>
      </c>
      <c r="K18" s="457" t="str">
        <f>IFERROR(VLOOKUP($F$1,'FH6'!$C$1:$AN$72,((K$2-5)*2-1),0),"")</f>
        <v/>
      </c>
      <c r="L18" s="457" t="str">
        <f>IFERROR(VLOOKUP($F$1,'FH6'!$C$1:$AN$72,((L$2-5)*2-1),0),"")</f>
        <v/>
      </c>
      <c r="M18" s="457" t="str">
        <f>IFERROR(VLOOKUP($F$1,'FH6'!$C$1:$AN$72,((M$2-5)*2-1),0),"")</f>
        <v/>
      </c>
      <c r="N18" s="457" t="str">
        <f>IFERROR(VLOOKUP($F$1,'FH6'!$C$1:$AN$72,((N$2-5)*2-1),0),"")</f>
        <v/>
      </c>
      <c r="O18" s="457" t="str">
        <f>IFERROR(VLOOKUP($F$1,'FH6'!$C$1:$AN$72,((O$2-5)*2-1),0),"")</f>
        <v/>
      </c>
      <c r="P18" s="457" t="str">
        <f>IFERROR(VLOOKUP($F$1,'FH6'!$C$1:$AN$72,((P$2-5)*2-1),0),"")</f>
        <v/>
      </c>
      <c r="Q18" s="457" t="str">
        <f>IFERROR(VLOOKUP($F$1,'FH6'!$C$1:$AN$72,((Q$2-5)*2-1),0),"")</f>
        <v/>
      </c>
      <c r="R18" s="457" t="str">
        <f>IFERROR(VLOOKUP($F$1,'FH6'!$C$1:$AN$72,((R$2-5)*2-1),0),"")</f>
        <v/>
      </c>
      <c r="S18" s="457" t="str">
        <f>IFERROR(VLOOKUP($F$1,'FH6'!$C$1:$AN$72,((S$2-5)*2-1),0),"")</f>
        <v/>
      </c>
      <c r="T18" s="457" t="str">
        <f>IFERROR(VLOOKUP($F$1,'FH6'!$C$1:$AN$72,((T$2-5)*2-1),0),"")</f>
        <v/>
      </c>
      <c r="U18" s="457" t="str">
        <f>IFERROR(VLOOKUP($F$1,'FH6'!$C$1:$AN$72,((U$2-5)*2-1),0),"")</f>
        <v/>
      </c>
      <c r="V18" s="457" t="str">
        <f>IFERROR(VLOOKUP($F$1,'FH6'!$C$1:$AN$72,((V$2-5)*2-1),0),"")</f>
        <v/>
      </c>
      <c r="W18" s="457" t="str">
        <f>IFERROR(VLOOKUP($F$1,'FH6'!$C$1:$AN$72,((W$2-5)*2-1),0),"")</f>
        <v/>
      </c>
      <c r="X18" s="457" t="str">
        <f>IFERROR(VLOOKUP($F$1,'FH6'!$C$1:$AN$72,((X$2-5)*2-1),0),"")</f>
        <v/>
      </c>
      <c r="Y18" s="135"/>
      <c r="Z18" s="523" t="s">
        <v>1645</v>
      </c>
      <c r="AA18" s="135"/>
    </row>
    <row r="19" spans="1:27" ht="15.6" customHeight="1" x14ac:dyDescent="0.2">
      <c r="A19" s="305" t="s">
        <v>662</v>
      </c>
      <c r="B19" s="1670"/>
      <c r="C19" s="1661"/>
      <c r="D19" s="472" t="s">
        <v>653</v>
      </c>
      <c r="E19" s="302" t="s">
        <v>223</v>
      </c>
      <c r="F19" s="302"/>
      <c r="G19" s="457" t="str">
        <f>IFERROR(VLOOKUP($F$1,'FH7'!$C$1:$AN$71,((G$2-5)*2-1),0),"")</f>
        <v/>
      </c>
      <c r="H19" s="457" t="str">
        <f>IFERROR(VLOOKUP($F$1,'FH7'!$C$1:$AN$71,((H$2-5)*2-1),0),"")</f>
        <v/>
      </c>
      <c r="I19" s="457" t="str">
        <f>IFERROR(VLOOKUP($F$1,'FH7'!$C$1:$AN$71,((I$2-5)*2-1),0),"")</f>
        <v/>
      </c>
      <c r="J19" s="457" t="str">
        <f>IFERROR(VLOOKUP($F$1,'FH7'!$C$1:$AN$71,((J$2-5)*2-1),0),"")</f>
        <v/>
      </c>
      <c r="K19" s="457" t="str">
        <f>IFERROR(VLOOKUP($F$1,'FH7'!$C$1:$AN$71,((K$2-5)*2-1),0),"")</f>
        <v/>
      </c>
      <c r="L19" s="457" t="str">
        <f>IFERROR(VLOOKUP($F$1,'FH7'!$C$1:$AN$71,((L$2-5)*2-1),0),"")</f>
        <v/>
      </c>
      <c r="M19" s="457" t="str">
        <f>IFERROR(VLOOKUP($F$1,'FH7'!$C$1:$AN$71,((M$2-5)*2-1),0),"")</f>
        <v/>
      </c>
      <c r="N19" s="457" t="str">
        <f>IFERROR(VLOOKUP($F$1,'FH7'!$C$1:$AN$71,((N$2-5)*2-1),0),"")</f>
        <v/>
      </c>
      <c r="O19" s="457" t="str">
        <f>IFERROR(VLOOKUP($F$1,'FH7'!$C$1:$AN$71,((O$2-5)*2-1),0),"")</f>
        <v/>
      </c>
      <c r="P19" s="457" t="str">
        <f>IFERROR(VLOOKUP($F$1,'FH7'!$C$1:$AN$71,((P$2-5)*2-1),0),"")</f>
        <v/>
      </c>
      <c r="Q19" s="457" t="str">
        <f>IFERROR(VLOOKUP($F$1,'FH7'!$C$1:$AN$71,((Q$2-5)*2-1),0),"")</f>
        <v/>
      </c>
      <c r="R19" s="457" t="str">
        <f>IFERROR(VLOOKUP($F$1,'FH7'!$C$1:$AN$71,((R$2-5)*2-1),0),"")</f>
        <v/>
      </c>
      <c r="S19" s="457" t="str">
        <f>IFERROR(VLOOKUP($F$1,'FH7'!$C$1:$AN$71,((S$2-5)*2-1),0),"")</f>
        <v/>
      </c>
      <c r="T19" s="457" t="str">
        <f>IFERROR(VLOOKUP($F$1,'FH7'!$C$1:$AN$71,((T$2-5)*2-1),0),"")</f>
        <v/>
      </c>
      <c r="U19" s="457" t="str">
        <f>IFERROR(VLOOKUP($F$1,'FH7'!$C$1:$AN$71,((U$2-5)*2-1),0),"")</f>
        <v/>
      </c>
      <c r="V19" s="457" t="str">
        <f>IFERROR(VLOOKUP($F$1,'FH7'!$C$1:$AN$71,((V$2-5)*2-1),0),"")</f>
        <v/>
      </c>
      <c r="W19" s="457" t="str">
        <f>IFERROR(VLOOKUP($F$1,'FH7'!$C$1:$AN$71,((W$2-5)*2-1),0),"")</f>
        <v/>
      </c>
      <c r="X19" s="457" t="str">
        <f>IFERROR(VLOOKUP($F$1,'FH7'!$C$1:$AN$71,((X$2-5)*2-1),0),"")</f>
        <v/>
      </c>
      <c r="Y19" s="135"/>
      <c r="Z19" s="523" t="s">
        <v>1646</v>
      </c>
      <c r="AA19" s="135"/>
    </row>
    <row r="20" spans="1:27" ht="15" customHeight="1" x14ac:dyDescent="0.2">
      <c r="A20" s="305" t="s">
        <v>663</v>
      </c>
      <c r="B20" s="1670"/>
      <c r="C20" s="1672" t="s">
        <v>523</v>
      </c>
      <c r="D20" s="471" t="s">
        <v>656</v>
      </c>
      <c r="E20" s="301" t="s">
        <v>223</v>
      </c>
      <c r="F20" s="301"/>
      <c r="G20" s="457" t="str">
        <f>IFERROR(VLOOKUP($F$1,'FH8'!$C$1:$AN$72,((G$2-5)*2-1),0),"")</f>
        <v/>
      </c>
      <c r="H20" s="457" t="str">
        <f>IFERROR(VLOOKUP($F$1,'FH8'!$C$1:$AN$72,((H$2-5)*2-1),0),"")</f>
        <v/>
      </c>
      <c r="I20" s="457" t="str">
        <f>IFERROR(VLOOKUP($F$1,'FH8'!$C$1:$AN$72,((I$2-5)*2-1),0),"")</f>
        <v/>
      </c>
      <c r="J20" s="457" t="str">
        <f>IFERROR(VLOOKUP($F$1,'FH8'!$C$1:$AN$72,((J$2-5)*2-1),0),"")</f>
        <v/>
      </c>
      <c r="K20" s="457" t="str">
        <f>IFERROR(VLOOKUP($F$1,'FH8'!$C$1:$AN$72,((K$2-5)*2-1),0),"")</f>
        <v/>
      </c>
      <c r="L20" s="457" t="str">
        <f>IFERROR(VLOOKUP($F$1,'FH8'!$C$1:$AN$72,((L$2-5)*2-1),0),"")</f>
        <v/>
      </c>
      <c r="M20" s="457" t="str">
        <f>IFERROR(VLOOKUP($F$1,'FH8'!$C$1:$AN$72,((M$2-5)*2-1),0),"")</f>
        <v/>
      </c>
      <c r="N20" s="457" t="str">
        <f>IFERROR(VLOOKUP($F$1,'FH8'!$C$1:$AN$72,((N$2-5)*2-1),0),"")</f>
        <v/>
      </c>
      <c r="O20" s="457" t="str">
        <f>IFERROR(VLOOKUP($F$1,'FH8'!$C$1:$AN$72,((O$2-5)*2-1),0),"")</f>
        <v/>
      </c>
      <c r="P20" s="457" t="str">
        <f>IFERROR(VLOOKUP($F$1,'FH8'!$C$1:$AN$72,((P$2-5)*2-1),0),"")</f>
        <v/>
      </c>
      <c r="Q20" s="457" t="str">
        <f>IFERROR(VLOOKUP($F$1,'FH8'!$C$1:$AN$72,((Q$2-5)*2-1),0),"")</f>
        <v/>
      </c>
      <c r="R20" s="457" t="str">
        <f>IFERROR(VLOOKUP($F$1,'FH8'!$C$1:$AN$72,((R$2-5)*2-1),0),"")</f>
        <v/>
      </c>
      <c r="S20" s="457" t="str">
        <f>IFERROR(VLOOKUP($F$1,'FH8'!$C$1:$AN$72,((S$2-5)*2-1),0),"")</f>
        <v/>
      </c>
      <c r="T20" s="457" t="str">
        <f>IFERROR(VLOOKUP($F$1,'FH8'!$C$1:$AN$72,((T$2-5)*2-1),0),"")</f>
        <v/>
      </c>
      <c r="U20" s="457" t="str">
        <f>IFERROR(VLOOKUP($F$1,'FH8'!$C$1:$AN$72,((U$2-5)*2-1),0),"")</f>
        <v/>
      </c>
      <c r="V20" s="457" t="str">
        <f>IFERROR(VLOOKUP($F$1,'FH8'!$C$1:$AN$72,((V$2-5)*2-1),0),"")</f>
        <v/>
      </c>
      <c r="W20" s="457" t="str">
        <f>IFERROR(VLOOKUP($F$1,'FH8'!$C$1:$AN$72,((W$2-5)*2-1),0),"")</f>
        <v/>
      </c>
      <c r="X20" s="457" t="str">
        <f>IFERROR(VLOOKUP($F$1,'FH8'!$C$1:$AN$72,((X$2-5)*2-1),0),"")</f>
        <v/>
      </c>
      <c r="Y20" s="135"/>
      <c r="Z20" s="523" t="s">
        <v>1647</v>
      </c>
      <c r="AA20" s="135"/>
    </row>
    <row r="21" spans="1:27" ht="15" customHeight="1" x14ac:dyDescent="0.2">
      <c r="A21" s="305" t="s">
        <v>1288</v>
      </c>
      <c r="B21" s="1670"/>
      <c r="C21" s="1663"/>
      <c r="D21" s="235" t="s">
        <v>657</v>
      </c>
      <c r="E21" s="301"/>
      <c r="F21" s="301"/>
      <c r="G21" s="457">
        <f>IFERROR(VLOOKUP($F$1,'FH9'!$C$1:$AM$31,((G$2-5)*2-1),0),"")</f>
        <v>473.60578333333336</v>
      </c>
      <c r="H21" s="457">
        <f>IFERROR(VLOOKUP($F$1,'FH9'!$C$1:$AM$31,((H$2-5)*2-1),0),"")</f>
        <v>650.43453333333343</v>
      </c>
      <c r="I21" s="457">
        <f>IFERROR(VLOOKUP($F$1,'FH9'!$C$1:$AM$31,((I$2-5)*2-1),0),"")</f>
        <v>742.73453333333327</v>
      </c>
      <c r="J21" s="457">
        <f>IFERROR(VLOOKUP($F$1,'FH9'!$C$1:$AM$31,((J$2-5)*2-1),0),"")</f>
        <v>876.3775333333333</v>
      </c>
      <c r="K21" s="457">
        <f>IFERROR(VLOOKUP($F$1,'FH9'!$C$1:$AM$31,((K$2-5)*2-1),0),"")</f>
        <v>1010.0205333333334</v>
      </c>
      <c r="L21" s="457">
        <f>IFERROR(VLOOKUP($F$1,'FH9'!$C$1:$AM$31,((L$2-5)*2-1),0),"")</f>
        <v>1143.6635333333334</v>
      </c>
      <c r="M21" s="457">
        <f>IFERROR(VLOOKUP($F$1,'FH9'!$C$1:$AM$31,((M$2-5)*2-1),0),"")</f>
        <v>1277.3065333333334</v>
      </c>
      <c r="N21" s="457">
        <f>IFERROR(VLOOKUP($F$1,'FH9'!$C$1:$AM$31,((N$2-5)*2-1),0),"")</f>
        <v>1301.4921333333334</v>
      </c>
      <c r="O21" s="457">
        <f>IFERROR(VLOOKUP($F$1,'FH9'!$C$1:$AM$31,((O$2-5)*2-1),0),"")</f>
        <v>1418.1065333333331</v>
      </c>
      <c r="P21" s="457">
        <f>IFERROR(VLOOKUP($F$1,'FH9'!$C$1:$AM$31,((P$2-5)*2-1),0),"")</f>
        <v>1646.8353333333334</v>
      </c>
      <c r="Q21" s="457">
        <f>IFERROR(VLOOKUP($F$1,'FH9'!$C$1:$AM$31,((Q$2-5)*2-1),0),"")</f>
        <v>1651.3353333333334</v>
      </c>
      <c r="R21" s="457">
        <f>IFERROR(VLOOKUP($F$1,'FH9'!$C$1:$AM$31,((R$2-5)*2-1),0),"")</f>
        <v>1804.1725333333336</v>
      </c>
      <c r="S21" s="457">
        <f>IFERROR(VLOOKUP($F$1,'FH9'!$C$1:$AM$31,((S$2-5)*2-1),0),"")</f>
        <v>1808.6725333333336</v>
      </c>
      <c r="T21" s="457">
        <f>IFERROR(VLOOKUP($F$1,'FH9'!$C$1:$AM$31,((T$2-5)*2-1),0),"")</f>
        <v>1978.2926333333335</v>
      </c>
      <c r="U21" s="457">
        <f>IFERROR(VLOOKUP($F$1,'FH9'!$C$1:$AM$31,((U$2-5)*2-1),0),"")</f>
        <v>2181.4785333333334</v>
      </c>
      <c r="V21" s="457">
        <f>IFERROR(VLOOKUP($F$1,'FH9'!$C$1:$AM$31,((V$2-5)*2-1),0),"")</f>
        <v>2185.9785333333334</v>
      </c>
      <c r="W21" s="457">
        <f>IFERROR(VLOOKUP($F$1,'FH9'!$C$1:$AM$31,((W$2-5)*2-1),0),"")</f>
        <v>2338.5700333333334</v>
      </c>
      <c r="X21" s="457" t="str">
        <f>IFERROR(VLOOKUP($F$1,'FH9'!$C$1:$AM$31,((X$2-5)*2-1),0),"")</f>
        <v/>
      </c>
      <c r="Y21" s="135"/>
      <c r="Z21" s="523" t="s">
        <v>1652</v>
      </c>
      <c r="AA21" s="135"/>
    </row>
    <row r="22" spans="1:27" ht="15" customHeight="1" x14ac:dyDescent="0.2">
      <c r="A22" s="305" t="s">
        <v>558</v>
      </c>
      <c r="B22" s="1668" t="s">
        <v>408</v>
      </c>
      <c r="C22" s="293" t="s">
        <v>562</v>
      </c>
      <c r="D22" s="235"/>
      <c r="E22" s="301"/>
      <c r="F22" s="301"/>
      <c r="G22" s="457">
        <f>IFERROR(VLOOKUP($F$1,'FVB1'!$C$1:$AK$25,((G$2-5)*2-1),0),"")</f>
        <v>0</v>
      </c>
      <c r="H22" s="457">
        <f>IFERROR(VLOOKUP($F$1,'FVB1'!$C$1:$AK$25,((H$2-5)*2-1),0),"")</f>
        <v>280.48</v>
      </c>
      <c r="I22" s="457">
        <f>IFERROR(VLOOKUP($F$1,'FVB1'!$C$1:$AK$25,((I$2-5)*2-1),0),"")</f>
        <v>0</v>
      </c>
      <c r="J22" s="457">
        <f>IFERROR(VLOOKUP($F$1,'FVB1'!$C$1:$AK$25,((J$2-5)*2-1),0),"")</f>
        <v>480.8</v>
      </c>
      <c r="K22" s="457">
        <f>IFERROR(VLOOKUP($F$1,'FVB1'!$C$1:$AK$25,((K$2-5)*2-1),0),"")</f>
        <v>534.56000000000017</v>
      </c>
      <c r="L22" s="457">
        <f>IFERROR(VLOOKUP($F$1,'FVB1'!$C$1:$AK$25,((L$2-5)*2-1),0),"")</f>
        <v>0</v>
      </c>
      <c r="M22" s="457">
        <f>IFERROR(VLOOKUP($F$1,'FVB1'!$C$1:$AK$25,((M$2-5)*2-1),0),"")</f>
        <v>0</v>
      </c>
      <c r="N22" s="457">
        <f>IFERROR(VLOOKUP($F$1,'FVB1'!$C$1:$AK$25,((N$2-5)*2-1),0),"")</f>
        <v>0</v>
      </c>
      <c r="O22" s="457">
        <f>IFERROR(VLOOKUP($F$1,'FVB1'!$C$1:$AK$25,((O$2-5)*2-1),0),"")</f>
        <v>961.6</v>
      </c>
      <c r="P22" s="457">
        <f>IFERROR(VLOOKUP($F$1,'FVB1'!$C$1:$AK$25,((P$2-5)*2-1),0),"")</f>
        <v>1121.92</v>
      </c>
      <c r="Q22" s="457">
        <f>IFERROR(VLOOKUP($F$1,'FVB1'!$C$1:$AK$25,((Q$2-5)*2-1),0),"")</f>
        <v>0</v>
      </c>
      <c r="R22" s="457">
        <f>IFERROR(VLOOKUP($F$1,'FVB1'!$C$1:$AK$25,((R$2-5)*2-1),0),"")</f>
        <v>0</v>
      </c>
      <c r="S22" s="457">
        <f>IFERROR(VLOOKUP($F$1,'FVB1'!$C$1:$AK$25,((S$2-5)*2-1),0),"")</f>
        <v>0</v>
      </c>
      <c r="T22" s="457">
        <f>IFERROR(VLOOKUP($F$1,'FVB1'!$C$1:$AK$25,((T$2-5)*2-1),0),"")</f>
        <v>0</v>
      </c>
      <c r="U22" s="457">
        <f>IFERROR(VLOOKUP($F$1,'FVB1'!$C$1:$AK$25,((U$2-5)*2-1),0),"")</f>
        <v>0</v>
      </c>
      <c r="V22" s="457">
        <f>IFERROR(VLOOKUP($F$1,'FVB1'!$C$1:$AK$25,((V$2-5)*2-1),0),"")</f>
        <v>0</v>
      </c>
      <c r="W22" s="457">
        <f>IFERROR(VLOOKUP($F$1,'FVB1'!$C$1:$AK$25,((W$2-5)*2-1),0),"")</f>
        <v>2043.2</v>
      </c>
      <c r="X22" s="457" t="str">
        <f>IFERROR(VLOOKUP($F$1,'FVB1'!$C$1:$AK$25,((X$2-5)*2-1),0),"")</f>
        <v/>
      </c>
      <c r="Y22" s="135"/>
      <c r="Z22" s="523" t="s">
        <v>1688</v>
      </c>
      <c r="AA22" s="135"/>
    </row>
    <row r="23" spans="1:27" ht="15" customHeight="1" x14ac:dyDescent="0.2">
      <c r="A23" s="305" t="s">
        <v>559</v>
      </c>
      <c r="B23" s="1668"/>
      <c r="C23" s="293" t="s">
        <v>654</v>
      </c>
      <c r="D23" s="235"/>
      <c r="E23" s="301"/>
      <c r="F23" s="301"/>
      <c r="G23" s="457">
        <f>IFERROR(VLOOKUP($F$1,'FVB2'!$C$1:$AK$25,((G$2-5)*2-1),0),"")</f>
        <v>0</v>
      </c>
      <c r="H23" s="457">
        <f>IFERROR(VLOOKUP($F$1,'FVB2'!$C$1:$AK$25,((H$2-5)*2-1),0),"")</f>
        <v>177.64000000000004</v>
      </c>
      <c r="I23" s="457">
        <f>IFERROR(VLOOKUP($F$1,'FVB2'!$C$1:$AK$25,((I$2-5)*2-1),0),"")</f>
        <v>0</v>
      </c>
      <c r="J23" s="457">
        <f>IFERROR(VLOOKUP($F$1,'FVB2'!$C$1:$AK$25,((J$2-5)*2-1),0),"")</f>
        <v>293.40000000000003</v>
      </c>
      <c r="K23" s="457">
        <f>IFERROR(VLOOKUP($F$1,'FVB2'!$C$1:$AK$25,((K$2-5)*2-1),0),"")</f>
        <v>335.28000000000009</v>
      </c>
      <c r="L23" s="457">
        <f>IFERROR(VLOOKUP($F$1,'FVB2'!$C$1:$AK$25,((L$2-5)*2-1),0),"")</f>
        <v>0</v>
      </c>
      <c r="M23" s="457">
        <f>IFERROR(VLOOKUP($F$1,'FVB2'!$C$1:$AK$25,((M$2-5)*2-1),0),"")</f>
        <v>0</v>
      </c>
      <c r="N23" s="457">
        <f>IFERROR(VLOOKUP($F$1,'FVB2'!$C$1:$AK$25,((N$2-5)*2-1),0),"")</f>
        <v>0</v>
      </c>
      <c r="O23" s="457">
        <f>IFERROR(VLOOKUP($F$1,'FVB2'!$C$1:$AK$25,((O$2-5)*2-1),0),"")</f>
        <v>546.80000000000007</v>
      </c>
      <c r="P23" s="457">
        <f>IFERROR(VLOOKUP($F$1,'FVB2'!$C$1:$AK$25,((P$2-5)*2-1),0),"")</f>
        <v>630.56000000000017</v>
      </c>
      <c r="Q23" s="457">
        <f>IFERROR(VLOOKUP($F$1,'FVB2'!$C$1:$AK$25,((Q$2-5)*2-1),0),"")</f>
        <v>0</v>
      </c>
      <c r="R23" s="457">
        <f>IFERROR(VLOOKUP($F$1,'FVB2'!$C$1:$AK$25,((R$2-5)*2-1),0),"")</f>
        <v>0</v>
      </c>
      <c r="S23" s="457">
        <f>IFERROR(VLOOKUP($F$1,'FVB2'!$C$1:$AK$25,((S$2-5)*2-1),0),"")</f>
        <v>0</v>
      </c>
      <c r="T23" s="457">
        <f>IFERROR(VLOOKUP($F$1,'FVB2'!$C$1:$AK$25,((T$2-5)*2-1),0),"")</f>
        <v>0</v>
      </c>
      <c r="U23" s="457">
        <f>IFERROR(VLOOKUP($F$1,'FVB2'!$C$1:$AK$25,((U$2-5)*2-1),0),"")</f>
        <v>0</v>
      </c>
      <c r="V23" s="457">
        <f>IFERROR(VLOOKUP($F$1,'FVB2'!$C$1:$AK$25,((V$2-5)*2-1),0),"")</f>
        <v>0</v>
      </c>
      <c r="W23" s="457">
        <f>IFERROR(VLOOKUP($F$1,'FVB2'!$C$1:$AK$25,((W$2-5)*2-1),0),"")</f>
        <v>1057.5999999999999</v>
      </c>
      <c r="X23" s="457" t="str">
        <f>IFERROR(VLOOKUP($F$1,'FVB2'!$C$1:$AK$25,((X$2-5)*2-1),0),"")</f>
        <v/>
      </c>
      <c r="Y23" s="135"/>
      <c r="Z23" s="523" t="s">
        <v>1675</v>
      </c>
      <c r="AA23" s="135"/>
    </row>
    <row r="24" spans="1:27" ht="15" customHeight="1" x14ac:dyDescent="0.2">
      <c r="A24" s="305" t="s">
        <v>560</v>
      </c>
      <c r="B24" s="1668"/>
      <c r="C24" s="292" t="s">
        <v>523</v>
      </c>
      <c r="D24" s="235"/>
      <c r="E24" s="301" t="s">
        <v>223</v>
      </c>
      <c r="F24" s="301"/>
      <c r="G24" s="457">
        <f>IFERROR(VLOOKUP($F$1,'FVB3'!$C$1:$AK$24,((G$2-5)*2-1),0),"")</f>
        <v>0</v>
      </c>
      <c r="H24" s="457">
        <f>IFERROR(VLOOKUP($F$1,'FVB3'!$C$1:$AK$24,((H$2-5)*2-1),0),"")</f>
        <v>374.08</v>
      </c>
      <c r="I24" s="457">
        <f>IFERROR(VLOOKUP($F$1,'FVB3'!$C$1:$AK$24,((I$2-5)*2-1),0),"")</f>
        <v>0</v>
      </c>
      <c r="J24" s="457">
        <f>IFERROR(VLOOKUP($F$1,'FVB3'!$C$1:$AK$24,((J$2-5)*2-1),0),"")</f>
        <v>568.79999999999995</v>
      </c>
      <c r="K24" s="457">
        <f>IFERROR(VLOOKUP($F$1,'FVB3'!$C$1:$AK$24,((K$2-5)*2-1),0),"")</f>
        <v>666.16</v>
      </c>
      <c r="L24" s="457">
        <f>IFERROR(VLOOKUP($F$1,'FVB3'!$C$1:$AK$24,((L$2-5)*2-1),0),"")</f>
        <v>0</v>
      </c>
      <c r="M24" s="457">
        <f>IFERROR(VLOOKUP($F$1,'FVB3'!$C$1:$AK$24,((M$2-5)*2-1),0),"")</f>
        <v>0</v>
      </c>
      <c r="N24" s="457">
        <f>IFERROR(VLOOKUP($F$1,'FVB3'!$C$1:$AK$24,((N$2-5)*2-1),0),"")</f>
        <v>0</v>
      </c>
      <c r="O24" s="457">
        <f>IFERROR(VLOOKUP($F$1,'FVB3'!$C$1:$AK$24,((O$2-5)*2-1),0),"")</f>
        <v>1007.6</v>
      </c>
      <c r="P24" s="457">
        <f>IFERROR(VLOOKUP($F$1,'FVB3'!$C$1:$AK$24,((P$2-5)*2-1),0),"")</f>
        <v>1149.52</v>
      </c>
      <c r="Q24" s="457">
        <f>IFERROR(VLOOKUP($F$1,'FVB3'!$C$1:$AK$24,((Q$2-5)*2-1),0),"")</f>
        <v>0</v>
      </c>
      <c r="R24" s="457">
        <f>IFERROR(VLOOKUP($F$1,'FVB3'!$C$1:$AK$24,((R$2-5)*2-1),0),"")</f>
        <v>0</v>
      </c>
      <c r="S24" s="457">
        <f>IFERROR(VLOOKUP($F$1,'FVB3'!$C$1:$AK$24,((S$2-5)*2-1),0),"")</f>
        <v>0</v>
      </c>
      <c r="T24" s="457">
        <f>IFERROR(VLOOKUP($F$1,'FVB3'!$C$1:$AK$24,((T$2-5)*2-1),0),"")</f>
        <v>0</v>
      </c>
      <c r="U24" s="457">
        <f>IFERROR(VLOOKUP($F$1,'FVB3'!$C$1:$AK$24,((U$2-5)*2-1),0),"")</f>
        <v>0</v>
      </c>
      <c r="V24" s="457">
        <f>IFERROR(VLOOKUP($F$1,'FVB3'!$C$1:$AK$24,((V$2-5)*2-1),0),"")</f>
        <v>0</v>
      </c>
      <c r="W24" s="457">
        <f>IFERROR(VLOOKUP($F$1,'FVB3'!$C$1:$AK$24,((W$2-5)*2-1),0),"")</f>
        <v>1747.6000000000001</v>
      </c>
      <c r="X24" s="457" t="str">
        <f>IFERROR(VLOOKUP($F$1,'FVB3'!$C$1:$AK$24,((X$2-5)*2-1),0),"")</f>
        <v/>
      </c>
      <c r="Y24" s="135"/>
      <c r="Z24" s="523" t="s">
        <v>1687</v>
      </c>
      <c r="AA24" s="135"/>
    </row>
    <row r="25" spans="1:27" ht="15" customHeight="1" x14ac:dyDescent="0.2">
      <c r="A25" s="305" t="s">
        <v>564</v>
      </c>
      <c r="B25" s="1671" t="s">
        <v>565</v>
      </c>
      <c r="C25" s="292" t="s">
        <v>566</v>
      </c>
      <c r="D25" s="235"/>
      <c r="E25" s="301">
        <f>'Zones d''infiltration'!I45</f>
        <v>507.0865</v>
      </c>
      <c r="F25" s="301"/>
      <c r="G25" s="457"/>
      <c r="H25" s="457"/>
      <c r="I25" s="457"/>
      <c r="J25" s="457"/>
      <c r="K25" s="457"/>
      <c r="L25" s="457"/>
      <c r="M25" s="457"/>
      <c r="N25" s="457"/>
      <c r="O25" s="457"/>
      <c r="P25" s="457"/>
      <c r="Q25" s="457"/>
      <c r="R25" s="457"/>
      <c r="S25" s="457"/>
      <c r="T25" s="457"/>
      <c r="U25" s="457"/>
      <c r="V25" s="457"/>
      <c r="W25" s="457"/>
      <c r="X25" s="457"/>
      <c r="Y25" s="154"/>
      <c r="Z25" s="524" t="s">
        <v>1452</v>
      </c>
      <c r="AA25" s="154"/>
    </row>
    <row r="26" spans="1:27" x14ac:dyDescent="0.2">
      <c r="A26" s="308" t="s">
        <v>567</v>
      </c>
      <c r="B26" s="1671"/>
      <c r="C26" s="292" t="s">
        <v>568</v>
      </c>
      <c r="D26" s="235"/>
      <c r="E26" s="301">
        <f>'Zones d''infiltration'!K45</f>
        <v>46.655999999999999</v>
      </c>
      <c r="F26" s="301"/>
      <c r="G26" s="457"/>
      <c r="H26" s="457"/>
      <c r="I26" s="457"/>
      <c r="J26" s="457"/>
      <c r="K26" s="457"/>
      <c r="L26" s="457"/>
      <c r="M26" s="457"/>
      <c r="N26" s="457"/>
      <c r="O26" s="457"/>
      <c r="P26" s="457"/>
      <c r="Q26" s="457"/>
      <c r="R26" s="457"/>
      <c r="S26" s="457"/>
      <c r="T26" s="457"/>
      <c r="U26" s="457"/>
      <c r="V26" s="457"/>
      <c r="W26" s="457"/>
      <c r="X26" s="457"/>
      <c r="Y26" s="3"/>
      <c r="Z26" s="526" t="s">
        <v>1451</v>
      </c>
      <c r="AA26" s="3"/>
    </row>
    <row r="27" spans="1:27" x14ac:dyDescent="0.2">
      <c r="A27" s="305" t="s">
        <v>1191</v>
      </c>
      <c r="B27" s="1673" t="s">
        <v>569</v>
      </c>
      <c r="C27" s="420" t="s">
        <v>1194</v>
      </c>
      <c r="D27" s="235"/>
      <c r="E27" s="301">
        <f>'Zones d''infiltration'!E45</f>
        <v>56.555999999999997</v>
      </c>
      <c r="F27" s="301"/>
      <c r="G27" s="457"/>
      <c r="H27" s="457"/>
      <c r="I27" s="457"/>
      <c r="J27" s="457"/>
      <c r="K27" s="457"/>
      <c r="L27" s="457"/>
      <c r="M27" s="457"/>
      <c r="N27" s="457"/>
      <c r="O27" s="457"/>
      <c r="P27" s="457"/>
      <c r="Q27" s="457"/>
      <c r="R27" s="457"/>
      <c r="S27" s="457"/>
      <c r="T27" s="457"/>
      <c r="U27" s="457"/>
      <c r="V27" s="457"/>
      <c r="W27" s="457"/>
      <c r="X27" s="457"/>
      <c r="Y27" s="3"/>
      <c r="Z27" s="526" t="s">
        <v>1438</v>
      </c>
      <c r="AA27" s="3"/>
    </row>
    <row r="28" spans="1:27" ht="15" customHeight="1" x14ac:dyDescent="0.2">
      <c r="A28" s="305" t="s">
        <v>1192</v>
      </c>
      <c r="B28" s="1674"/>
      <c r="C28" s="292" t="s">
        <v>1193</v>
      </c>
      <c r="D28" s="235"/>
      <c r="E28" s="301">
        <f>'Zones d''infiltration'!G45</f>
        <v>96.873999999999995</v>
      </c>
      <c r="F28" s="301"/>
      <c r="G28" s="457"/>
      <c r="H28" s="457"/>
      <c r="I28" s="457"/>
      <c r="J28" s="457"/>
      <c r="K28" s="457"/>
      <c r="L28" s="457"/>
      <c r="M28" s="457"/>
      <c r="N28" s="457"/>
      <c r="O28" s="457"/>
      <c r="P28" s="457"/>
      <c r="Q28" s="457"/>
      <c r="R28" s="457"/>
      <c r="S28" s="457"/>
      <c r="T28" s="457"/>
      <c r="U28" s="457"/>
      <c r="V28" s="457"/>
      <c r="W28" s="457"/>
      <c r="X28" s="457"/>
      <c r="Y28" s="135"/>
      <c r="Z28" s="526" t="s">
        <v>1439</v>
      </c>
      <c r="AA28" s="135"/>
    </row>
    <row r="29" spans="1:27" ht="15" customHeight="1" x14ac:dyDescent="0.2">
      <c r="A29" s="308" t="s">
        <v>65</v>
      </c>
      <c r="B29" s="295" t="s">
        <v>65</v>
      </c>
      <c r="C29" s="292"/>
      <c r="D29" s="235"/>
      <c r="E29" s="301">
        <f>'Zones d''infiltration'!M45</f>
        <v>0</v>
      </c>
      <c r="F29" s="301"/>
      <c r="G29" s="457"/>
      <c r="H29" s="457"/>
      <c r="I29" s="457"/>
      <c r="J29" s="457"/>
      <c r="K29" s="457"/>
      <c r="L29" s="457"/>
      <c r="M29" s="457"/>
      <c r="N29" s="457"/>
      <c r="O29" s="457"/>
      <c r="P29" s="457"/>
      <c r="Q29" s="457"/>
      <c r="R29" s="457"/>
      <c r="S29" s="457"/>
      <c r="T29" s="457"/>
      <c r="U29" s="457"/>
      <c r="V29" s="457"/>
      <c r="W29" s="457"/>
      <c r="X29" s="457"/>
      <c r="Y29" s="135"/>
      <c r="Z29" s="523"/>
      <c r="AA29" s="135"/>
    </row>
    <row r="30" spans="1:27" ht="15" customHeight="1" x14ac:dyDescent="0.2">
      <c r="A30" s="473"/>
      <c r="B30" s="474"/>
      <c r="C30" s="475"/>
      <c r="D30" s="392"/>
      <c r="E30" s="476"/>
      <c r="F30" s="476"/>
      <c r="G30" s="477"/>
      <c r="H30" s="477"/>
      <c r="I30" s="477"/>
      <c r="J30" s="477"/>
      <c r="K30" s="477"/>
      <c r="L30" s="477"/>
      <c r="M30" s="477"/>
      <c r="N30" s="477"/>
      <c r="O30" s="477"/>
      <c r="P30" s="477"/>
      <c r="Q30" s="477"/>
      <c r="R30" s="477"/>
      <c r="S30" s="477"/>
      <c r="T30" s="477"/>
      <c r="U30" s="477"/>
      <c r="V30" s="477"/>
      <c r="W30" s="477"/>
      <c r="X30" s="477"/>
      <c r="Y30" s="390"/>
      <c r="Z30" s="523"/>
      <c r="AA30" s="390"/>
    </row>
    <row r="31" spans="1:27" ht="15" customHeight="1" x14ac:dyDescent="0.2">
      <c r="A31" s="478"/>
      <c r="B31" s="337"/>
      <c r="C31" s="337"/>
      <c r="D31" s="337"/>
      <c r="E31" s="476"/>
      <c r="F31" s="476"/>
      <c r="G31" s="477"/>
      <c r="H31" s="477"/>
      <c r="I31" s="477"/>
      <c r="J31" s="477"/>
      <c r="K31" s="477"/>
      <c r="L31" s="477"/>
      <c r="M31" s="477"/>
      <c r="N31" s="477"/>
      <c r="O31" s="477"/>
      <c r="P31" s="477"/>
      <c r="Q31" s="477"/>
      <c r="R31" s="477"/>
      <c r="S31" s="477"/>
      <c r="T31" s="477"/>
      <c r="U31" s="477"/>
      <c r="V31" s="477"/>
      <c r="W31" s="477"/>
      <c r="X31" s="477"/>
      <c r="Y31" s="390"/>
      <c r="Z31" s="523"/>
      <c r="AA31" s="390"/>
    </row>
    <row r="32" spans="1:27" ht="15" customHeight="1" x14ac:dyDescent="0.2">
      <c r="A32" s="308" t="s">
        <v>571</v>
      </c>
      <c r="B32" s="1669" t="s">
        <v>572</v>
      </c>
      <c r="C32" s="401" t="s">
        <v>665</v>
      </c>
      <c r="D32" s="235" t="s">
        <v>577</v>
      </c>
      <c r="E32" s="301">
        <f>Habillage!E35</f>
        <v>0</v>
      </c>
      <c r="F32" s="301"/>
      <c r="G32" s="457"/>
      <c r="H32" s="457"/>
      <c r="I32" s="457"/>
      <c r="J32" s="457"/>
      <c r="K32" s="457"/>
      <c r="L32" s="457"/>
      <c r="M32" s="457"/>
      <c r="N32" s="457"/>
      <c r="O32" s="457"/>
      <c r="P32" s="457"/>
      <c r="Q32" s="457"/>
      <c r="R32" s="457"/>
      <c r="S32" s="457"/>
      <c r="T32" s="457"/>
      <c r="U32" s="457"/>
      <c r="V32" s="457"/>
      <c r="W32" s="457"/>
      <c r="X32" s="457"/>
      <c r="Y32" s="135"/>
      <c r="Z32" s="523" t="s">
        <v>1537</v>
      </c>
      <c r="AA32" s="135"/>
    </row>
    <row r="33" spans="1:27" ht="15" customHeight="1" x14ac:dyDescent="0.2">
      <c r="A33" s="308" t="s">
        <v>574</v>
      </c>
      <c r="B33" s="1669"/>
      <c r="C33" s="292" t="s">
        <v>408</v>
      </c>
      <c r="D33" s="235" t="s">
        <v>575</v>
      </c>
      <c r="E33" s="301" t="e">
        <f>Habillage!G35</f>
        <v>#VALUE!</v>
      </c>
      <c r="F33" s="301"/>
      <c r="G33" s="457"/>
      <c r="H33" s="457"/>
      <c r="I33" s="457"/>
      <c r="J33" s="457"/>
      <c r="K33" s="457"/>
      <c r="L33" s="457"/>
      <c r="M33" s="457"/>
      <c r="N33" s="457"/>
      <c r="O33" s="457"/>
      <c r="P33" s="457"/>
      <c r="Q33" s="457"/>
      <c r="R33" s="457"/>
      <c r="S33" s="457"/>
      <c r="T33" s="457"/>
      <c r="U33" s="457"/>
      <c r="V33" s="457"/>
      <c r="W33" s="457"/>
      <c r="X33" s="457"/>
      <c r="Y33" s="154"/>
      <c r="Z33" s="524" t="s">
        <v>1538</v>
      </c>
      <c r="AA33" s="154"/>
    </row>
    <row r="34" spans="1:27" ht="15" customHeight="1" x14ac:dyDescent="0.2">
      <c r="A34" s="308" t="s">
        <v>576</v>
      </c>
      <c r="B34" s="1669"/>
      <c r="C34" s="401" t="s">
        <v>664</v>
      </c>
      <c r="D34" s="235" t="s">
        <v>573</v>
      </c>
      <c r="E34" s="301" t="e">
        <f>Habillage!I35</f>
        <v>#VALUE!</v>
      </c>
      <c r="F34" s="301"/>
      <c r="G34" s="457"/>
      <c r="H34" s="457"/>
      <c r="I34" s="457"/>
      <c r="J34" s="457"/>
      <c r="K34" s="457"/>
      <c r="L34" s="457"/>
      <c r="M34" s="457"/>
      <c r="N34" s="457"/>
      <c r="O34" s="457"/>
      <c r="P34" s="457"/>
      <c r="Q34" s="457"/>
      <c r="R34" s="457"/>
      <c r="S34" s="457"/>
      <c r="T34" s="457"/>
      <c r="U34" s="457"/>
      <c r="V34" s="457"/>
      <c r="W34" s="457"/>
      <c r="X34" s="457"/>
      <c r="Y34" s="135"/>
      <c r="Z34" s="523" t="s">
        <v>1539</v>
      </c>
      <c r="AA34" s="135"/>
    </row>
    <row r="35" spans="1:27" ht="15" customHeight="1" x14ac:dyDescent="0.2">
      <c r="A35" s="308" t="s">
        <v>578</v>
      </c>
      <c r="B35" s="1669"/>
      <c r="C35" s="292" t="s">
        <v>579</v>
      </c>
      <c r="D35" s="472" t="s">
        <v>580</v>
      </c>
      <c r="E35" s="301">
        <f>Habillage!L35</f>
        <v>0</v>
      </c>
      <c r="F35" s="301"/>
      <c r="G35" s="457"/>
      <c r="H35" s="457"/>
      <c r="I35" s="457"/>
      <c r="J35" s="457"/>
      <c r="K35" s="457"/>
      <c r="L35" s="457"/>
      <c r="M35" s="457"/>
      <c r="N35" s="457"/>
      <c r="O35" s="457"/>
      <c r="P35" s="457"/>
      <c r="Q35" s="457"/>
      <c r="R35" s="457"/>
      <c r="S35" s="457"/>
      <c r="T35" s="457"/>
      <c r="U35" s="457"/>
      <c r="V35" s="457"/>
      <c r="W35" s="457"/>
      <c r="X35" s="457"/>
      <c r="Y35" s="135"/>
      <c r="Z35" s="523" t="s">
        <v>1540</v>
      </c>
      <c r="AA35" s="135"/>
    </row>
    <row r="36" spans="1:27" ht="15" customHeight="1" x14ac:dyDescent="0.2">
      <c r="A36" s="308" t="s">
        <v>581</v>
      </c>
      <c r="B36" s="1669"/>
      <c r="C36" s="292" t="s">
        <v>666</v>
      </c>
      <c r="D36" s="472" t="s">
        <v>582</v>
      </c>
      <c r="E36" s="301" t="e">
        <f>Habillage!#REF!</f>
        <v>#REF!</v>
      </c>
      <c r="F36" s="301"/>
      <c r="G36" s="457"/>
      <c r="H36" s="457"/>
      <c r="I36" s="457"/>
      <c r="J36" s="457"/>
      <c r="K36" s="457"/>
      <c r="L36" s="457"/>
      <c r="M36" s="457"/>
      <c r="N36" s="457"/>
      <c r="O36" s="457"/>
      <c r="P36" s="457"/>
      <c r="Q36" s="457"/>
      <c r="R36" s="457"/>
      <c r="S36" s="457"/>
      <c r="T36" s="457"/>
      <c r="U36" s="457"/>
      <c r="V36" s="457"/>
      <c r="W36" s="457"/>
      <c r="X36" s="457"/>
      <c r="Y36" s="135"/>
      <c r="Z36" s="523" t="s">
        <v>1541</v>
      </c>
      <c r="AA36" s="135"/>
    </row>
    <row r="37" spans="1:27" ht="15" customHeight="1" x14ac:dyDescent="0.2">
      <c r="A37" s="308"/>
      <c r="B37" s="298"/>
      <c r="C37" s="297"/>
      <c r="D37" s="158"/>
      <c r="E37" s="301"/>
      <c r="F37" s="301"/>
      <c r="G37" s="457"/>
      <c r="H37" s="457"/>
      <c r="I37" s="457"/>
      <c r="J37" s="457"/>
      <c r="K37" s="457"/>
      <c r="L37" s="457"/>
      <c r="M37" s="457"/>
      <c r="N37" s="457"/>
      <c r="O37" s="457"/>
      <c r="P37" s="457"/>
      <c r="Q37" s="457"/>
      <c r="R37" s="457"/>
      <c r="S37" s="457"/>
      <c r="T37" s="457"/>
      <c r="U37" s="457"/>
      <c r="V37" s="457"/>
      <c r="W37" s="457"/>
      <c r="X37" s="457"/>
      <c r="Y37" s="135"/>
      <c r="Z37" s="523"/>
      <c r="AA37" s="215" t="s">
        <v>583</v>
      </c>
    </row>
    <row r="38" spans="1:27" ht="15" customHeight="1" x14ac:dyDescent="0.2">
      <c r="A38" s="308" t="s">
        <v>583</v>
      </c>
      <c r="B38" s="1658" t="s">
        <v>487</v>
      </c>
      <c r="C38" s="573" t="s">
        <v>584</v>
      </c>
      <c r="D38" s="235" t="s">
        <v>1410</v>
      </c>
      <c r="E38" s="301">
        <f>Finitions!E49</f>
        <v>179.55856960000003</v>
      </c>
      <c r="F38" s="301"/>
      <c r="G38" s="457"/>
      <c r="H38" s="457"/>
      <c r="I38" s="457"/>
      <c r="J38" s="457"/>
      <c r="K38" s="457"/>
      <c r="L38" s="457"/>
      <c r="M38" s="457"/>
      <c r="N38" s="457"/>
      <c r="O38" s="457"/>
      <c r="P38" s="457"/>
      <c r="Q38" s="457"/>
      <c r="R38" s="457"/>
      <c r="S38" s="457"/>
      <c r="T38" s="457"/>
      <c r="U38" s="457"/>
      <c r="V38" s="457"/>
      <c r="W38" s="457"/>
      <c r="X38" s="457"/>
      <c r="Y38" s="135"/>
      <c r="Z38" s="523" t="s">
        <v>1466</v>
      </c>
      <c r="AA38" s="215">
        <v>1</v>
      </c>
    </row>
    <row r="39" spans="1:27" ht="15" customHeight="1" x14ac:dyDescent="0.2">
      <c r="A39" s="308" t="s">
        <v>585</v>
      </c>
      <c r="B39" s="1659"/>
      <c r="C39" s="573" t="s">
        <v>1521</v>
      </c>
      <c r="D39" s="235" t="s">
        <v>1520</v>
      </c>
      <c r="E39" s="301">
        <f>Finitions!G49</f>
        <v>258.20753920000004</v>
      </c>
      <c r="F39" s="301"/>
      <c r="G39" s="457"/>
      <c r="H39" s="457"/>
      <c r="I39" s="457"/>
      <c r="J39" s="457"/>
      <c r="K39" s="457"/>
      <c r="L39" s="457"/>
      <c r="M39" s="457"/>
      <c r="N39" s="457"/>
      <c r="O39" s="457"/>
      <c r="P39" s="457"/>
      <c r="Q39" s="457"/>
      <c r="R39" s="457"/>
      <c r="S39" s="457"/>
      <c r="T39" s="457"/>
      <c r="U39" s="457"/>
      <c r="V39" s="457"/>
      <c r="W39" s="457"/>
      <c r="X39" s="457"/>
      <c r="Y39" s="154"/>
      <c r="Z39" s="524" t="s">
        <v>1467</v>
      </c>
      <c r="AA39" s="215" t="s">
        <v>585</v>
      </c>
    </row>
    <row r="40" spans="1:27" ht="15" customHeight="1" x14ac:dyDescent="0.2">
      <c r="A40" s="308" t="s">
        <v>586</v>
      </c>
      <c r="B40" s="1659"/>
      <c r="C40" s="573" t="s">
        <v>667</v>
      </c>
      <c r="D40" s="235" t="s">
        <v>668</v>
      </c>
      <c r="E40" s="301">
        <f>Finitions!I49</f>
        <v>184.86795200000003</v>
      </c>
      <c r="F40" s="301"/>
      <c r="G40" s="457"/>
      <c r="H40" s="457"/>
      <c r="I40" s="457"/>
      <c r="J40" s="457"/>
      <c r="K40" s="457"/>
      <c r="L40" s="457"/>
      <c r="M40" s="457"/>
      <c r="N40" s="457"/>
      <c r="O40" s="457"/>
      <c r="P40" s="457"/>
      <c r="Q40" s="457"/>
      <c r="R40" s="457"/>
      <c r="S40" s="457"/>
      <c r="T40" s="457"/>
      <c r="U40" s="457"/>
      <c r="V40" s="457"/>
      <c r="W40" s="457"/>
      <c r="X40" s="457"/>
      <c r="Y40" s="154"/>
      <c r="Z40" s="524" t="s">
        <v>1526</v>
      </c>
      <c r="AA40" s="215">
        <v>2</v>
      </c>
    </row>
    <row r="41" spans="1:27" ht="15" customHeight="1" x14ac:dyDescent="0.2">
      <c r="A41" s="308" t="s">
        <v>587</v>
      </c>
      <c r="B41" s="1659"/>
      <c r="C41" s="573" t="s">
        <v>667</v>
      </c>
      <c r="D41" s="235" t="s">
        <v>1522</v>
      </c>
      <c r="E41" s="301">
        <f>Finitions!K49</f>
        <v>212.10504</v>
      </c>
      <c r="F41" s="301"/>
      <c r="G41" s="457"/>
      <c r="H41" s="457"/>
      <c r="I41" s="457"/>
      <c r="J41" s="457"/>
      <c r="K41" s="457"/>
      <c r="L41" s="457"/>
      <c r="M41" s="457"/>
      <c r="N41" s="457"/>
      <c r="O41" s="457"/>
      <c r="P41" s="457"/>
      <c r="Q41" s="457"/>
      <c r="R41" s="457"/>
      <c r="S41" s="457"/>
      <c r="T41" s="457"/>
      <c r="U41" s="457"/>
      <c r="V41" s="457"/>
      <c r="W41" s="457"/>
      <c r="X41" s="457"/>
      <c r="Y41" s="135"/>
      <c r="Z41" s="524" t="s">
        <v>1527</v>
      </c>
      <c r="AA41" s="135" t="s">
        <v>586</v>
      </c>
    </row>
    <row r="42" spans="1:27" ht="15" customHeight="1" x14ac:dyDescent="0.2">
      <c r="A42" s="308" t="s">
        <v>588</v>
      </c>
      <c r="B42" s="1659"/>
      <c r="C42" s="573" t="s">
        <v>1523</v>
      </c>
      <c r="D42" s="235" t="s">
        <v>1407</v>
      </c>
      <c r="E42" s="301">
        <f>Finitions!M49</f>
        <v>198.36960000000005</v>
      </c>
      <c r="F42" s="301"/>
      <c r="G42" s="457"/>
      <c r="H42" s="457"/>
      <c r="I42" s="457"/>
      <c r="J42" s="457"/>
      <c r="K42" s="457"/>
      <c r="L42" s="457"/>
      <c r="M42" s="457"/>
      <c r="N42" s="457"/>
      <c r="O42" s="457"/>
      <c r="P42" s="457"/>
      <c r="Q42" s="457"/>
      <c r="R42" s="457"/>
      <c r="S42" s="457"/>
      <c r="T42" s="457"/>
      <c r="U42" s="457"/>
      <c r="V42" s="457"/>
      <c r="W42" s="457"/>
      <c r="X42" s="457"/>
      <c r="Y42" s="135"/>
      <c r="Z42" s="523" t="s">
        <v>1530</v>
      </c>
      <c r="AA42" s="215">
        <v>3</v>
      </c>
    </row>
    <row r="43" spans="1:27" ht="15" customHeight="1" x14ac:dyDescent="0.2">
      <c r="A43" s="308" t="s">
        <v>1402</v>
      </c>
      <c r="B43" s="1659"/>
      <c r="C43" s="573" t="s">
        <v>1524</v>
      </c>
      <c r="D43" s="235" t="s">
        <v>1325</v>
      </c>
      <c r="E43" s="301">
        <f>Finitions!O49</f>
        <v>42.75</v>
      </c>
      <c r="F43" s="301"/>
      <c r="G43" s="457"/>
      <c r="H43" s="457"/>
      <c r="I43" s="457"/>
      <c r="J43" s="457"/>
      <c r="K43" s="457"/>
      <c r="L43" s="457"/>
      <c r="M43" s="457"/>
      <c r="N43" s="457"/>
      <c r="O43" s="457"/>
      <c r="P43" s="457"/>
      <c r="Q43" s="457"/>
      <c r="R43" s="457"/>
      <c r="S43" s="457"/>
      <c r="T43" s="457"/>
      <c r="U43" s="457"/>
      <c r="V43" s="457"/>
      <c r="W43" s="457"/>
      <c r="X43" s="457"/>
      <c r="Y43" s="135"/>
      <c r="Z43" s="523" t="s">
        <v>1319</v>
      </c>
      <c r="AA43" s="215" t="s">
        <v>587</v>
      </c>
    </row>
    <row r="44" spans="1:27" ht="15" customHeight="1" x14ac:dyDescent="0.2">
      <c r="A44" s="308" t="s">
        <v>1405</v>
      </c>
      <c r="B44" s="1659"/>
      <c r="C44" s="573"/>
      <c r="D44" s="235"/>
      <c r="E44" s="301" t="e">
        <f>Finitions!#REF!</f>
        <v>#REF!</v>
      </c>
      <c r="F44" s="301"/>
      <c r="G44" s="457"/>
      <c r="H44" s="457"/>
      <c r="I44" s="457"/>
      <c r="J44" s="457"/>
      <c r="K44" s="457"/>
      <c r="L44" s="457"/>
      <c r="M44" s="457"/>
      <c r="N44" s="457"/>
      <c r="O44" s="457"/>
      <c r="P44" s="457"/>
      <c r="Q44" s="457"/>
      <c r="R44" s="457"/>
      <c r="S44" s="457"/>
      <c r="T44" s="457"/>
      <c r="U44" s="457"/>
      <c r="V44" s="457"/>
      <c r="W44" s="457"/>
      <c r="X44" s="457"/>
      <c r="Y44" s="135"/>
      <c r="Z44" s="523"/>
      <c r="AA44" s="215">
        <v>4</v>
      </c>
    </row>
    <row r="45" spans="1:27" ht="15" customHeight="1" x14ac:dyDescent="0.2">
      <c r="A45" s="308" t="s">
        <v>1409</v>
      </c>
      <c r="B45" s="1659"/>
      <c r="C45" s="573" t="s">
        <v>399</v>
      </c>
      <c r="D45" s="235" t="s">
        <v>1406</v>
      </c>
      <c r="E45" s="301" t="e">
        <f>Finitions!S49</f>
        <v>#VALUE!</v>
      </c>
      <c r="F45" s="301"/>
      <c r="G45" s="457"/>
      <c r="H45" s="457"/>
      <c r="I45" s="457"/>
      <c r="J45" s="457"/>
      <c r="K45" s="457"/>
      <c r="L45" s="457"/>
      <c r="M45" s="457"/>
      <c r="N45" s="457"/>
      <c r="O45" s="457"/>
      <c r="P45" s="457"/>
      <c r="Q45" s="457"/>
      <c r="R45" s="457"/>
      <c r="S45" s="457"/>
      <c r="T45" s="457"/>
      <c r="U45" s="457"/>
      <c r="V45" s="457"/>
      <c r="W45" s="457"/>
      <c r="X45" s="457"/>
      <c r="Y45" s="135"/>
      <c r="Z45" s="523" t="s">
        <v>1529</v>
      </c>
      <c r="AA45" s="215" t="s">
        <v>588</v>
      </c>
    </row>
    <row r="46" spans="1:27" ht="15" customHeight="1" x14ac:dyDescent="0.2">
      <c r="A46" s="308" t="s">
        <v>1411</v>
      </c>
      <c r="B46" s="1660"/>
      <c r="C46" s="573" t="s">
        <v>399</v>
      </c>
      <c r="D46" s="235" t="s">
        <v>1525</v>
      </c>
      <c r="E46" s="301" t="e">
        <f>Finitions!U49</f>
        <v>#REF!</v>
      </c>
      <c r="F46" s="301"/>
      <c r="G46" s="457"/>
      <c r="H46" s="457"/>
      <c r="I46" s="457"/>
      <c r="J46" s="457"/>
      <c r="K46" s="457"/>
      <c r="L46" s="457"/>
      <c r="M46" s="457"/>
      <c r="N46" s="457"/>
      <c r="O46" s="457"/>
      <c r="P46" s="457"/>
      <c r="Q46" s="457"/>
      <c r="R46" s="457"/>
      <c r="S46" s="457"/>
      <c r="T46" s="457"/>
      <c r="U46" s="457"/>
      <c r="V46" s="457"/>
      <c r="W46" s="457"/>
      <c r="X46" s="457"/>
      <c r="Y46" s="135"/>
      <c r="Z46" s="523" t="s">
        <v>1528</v>
      </c>
      <c r="AA46" s="215"/>
    </row>
    <row r="47" spans="1:27" ht="15" customHeight="1" x14ac:dyDescent="0.2">
      <c r="A47" s="308"/>
      <c r="B47" s="299"/>
      <c r="C47" s="297"/>
      <c r="D47" s="158"/>
      <c r="E47" s="301"/>
      <c r="F47" s="301"/>
      <c r="G47" s="457"/>
      <c r="H47" s="457"/>
      <c r="I47" s="457"/>
      <c r="J47" s="457"/>
      <c r="K47" s="457"/>
      <c r="L47" s="457"/>
      <c r="M47" s="457"/>
      <c r="N47" s="457"/>
      <c r="O47" s="457"/>
      <c r="P47" s="457"/>
      <c r="Q47" s="457"/>
      <c r="R47" s="457"/>
      <c r="S47" s="457"/>
      <c r="T47" s="457"/>
      <c r="U47" s="457"/>
      <c r="V47" s="457"/>
      <c r="W47" s="457"/>
      <c r="X47" s="457"/>
      <c r="Y47" s="135"/>
      <c r="Z47" s="523"/>
      <c r="AA47" s="215">
        <v>5</v>
      </c>
    </row>
    <row r="48" spans="1:27" ht="15" customHeight="1" x14ac:dyDescent="0.2">
      <c r="A48" s="308" t="s">
        <v>589</v>
      </c>
      <c r="B48" s="1602" t="s">
        <v>590</v>
      </c>
      <c r="C48" s="292"/>
      <c r="D48" s="472" t="s">
        <v>591</v>
      </c>
      <c r="E48" s="301">
        <v>35</v>
      </c>
      <c r="F48" s="301"/>
      <c r="G48" s="457"/>
      <c r="H48" s="457"/>
      <c r="I48" s="457"/>
      <c r="J48" s="457"/>
      <c r="K48" s="457"/>
      <c r="L48" s="457"/>
      <c r="M48" s="457"/>
      <c r="N48" s="457"/>
      <c r="O48" s="457"/>
      <c r="P48" s="457"/>
      <c r="Q48" s="457"/>
      <c r="R48" s="457"/>
      <c r="S48" s="457"/>
      <c r="T48" s="457"/>
      <c r="U48" s="457"/>
      <c r="V48" s="457"/>
      <c r="W48" s="457"/>
      <c r="X48" s="457"/>
      <c r="Y48" s="135"/>
      <c r="Z48" s="523"/>
      <c r="AA48" s="215" t="s">
        <v>1402</v>
      </c>
    </row>
    <row r="49" spans="1:27" ht="15" customHeight="1" x14ac:dyDescent="0.2">
      <c r="A49" s="308" t="s">
        <v>592</v>
      </c>
      <c r="B49" s="1602"/>
      <c r="C49" s="292"/>
      <c r="D49" s="472" t="s">
        <v>593</v>
      </c>
      <c r="E49" s="301">
        <v>45</v>
      </c>
      <c r="F49" s="301"/>
      <c r="G49" s="457"/>
      <c r="H49" s="457"/>
      <c r="I49" s="457"/>
      <c r="J49" s="457"/>
      <c r="K49" s="457"/>
      <c r="L49" s="457"/>
      <c r="M49" s="457"/>
      <c r="N49" s="457"/>
      <c r="O49" s="457"/>
      <c r="P49" s="457"/>
      <c r="Q49" s="457"/>
      <c r="R49" s="457"/>
      <c r="S49" s="457"/>
      <c r="T49" s="457"/>
      <c r="U49" s="457"/>
      <c r="V49" s="457"/>
      <c r="W49" s="457"/>
      <c r="X49" s="457"/>
      <c r="Y49" s="154"/>
      <c r="Z49" s="524"/>
      <c r="AA49" s="215">
        <v>6</v>
      </c>
    </row>
    <row r="50" spans="1:27" ht="15" customHeight="1" x14ac:dyDescent="0.2">
      <c r="A50" s="308" t="s">
        <v>594</v>
      </c>
      <c r="B50" s="1602"/>
      <c r="C50" s="292"/>
      <c r="D50" s="472" t="s">
        <v>595</v>
      </c>
      <c r="E50" s="301">
        <v>15</v>
      </c>
      <c r="F50" s="301"/>
      <c r="G50" s="457"/>
      <c r="H50" s="457"/>
      <c r="I50" s="457"/>
      <c r="J50" s="457"/>
      <c r="K50" s="457"/>
      <c r="L50" s="457"/>
      <c r="M50" s="457"/>
      <c r="N50" s="457"/>
      <c r="O50" s="457"/>
      <c r="P50" s="457"/>
      <c r="Q50" s="457"/>
      <c r="R50" s="457"/>
      <c r="S50" s="457"/>
      <c r="T50" s="457"/>
      <c r="U50" s="457"/>
      <c r="V50" s="457"/>
      <c r="W50" s="457"/>
      <c r="X50" s="457"/>
      <c r="Y50" s="135"/>
      <c r="Z50" s="523"/>
      <c r="AA50" s="215" t="s">
        <v>1405</v>
      </c>
    </row>
    <row r="51" spans="1:27" ht="15" customHeight="1" x14ac:dyDescent="0.2">
      <c r="A51" s="308" t="s">
        <v>596</v>
      </c>
      <c r="B51" s="1602"/>
      <c r="C51" s="292"/>
      <c r="D51" s="472" t="s">
        <v>597</v>
      </c>
      <c r="E51" s="301">
        <f>VLOOKUP("Prix HT",'Bandes de propreté'!C1:L64,9,0)</f>
        <v>11.476980000000001</v>
      </c>
      <c r="F51" s="301"/>
      <c r="G51" s="457"/>
      <c r="H51" s="457"/>
      <c r="I51" s="457"/>
      <c r="J51" s="457"/>
      <c r="K51" s="457"/>
      <c r="L51" s="457"/>
      <c r="M51" s="457"/>
      <c r="N51" s="457"/>
      <c r="O51" s="457"/>
      <c r="P51" s="457"/>
      <c r="Q51" s="457"/>
      <c r="R51" s="457"/>
      <c r="S51" s="457"/>
      <c r="T51" s="457"/>
      <c r="U51" s="457"/>
      <c r="V51" s="457"/>
      <c r="W51" s="457"/>
      <c r="X51" s="457"/>
      <c r="Y51" s="135"/>
      <c r="Z51" s="523" t="s">
        <v>1805</v>
      </c>
      <c r="AA51" s="215">
        <v>7</v>
      </c>
    </row>
    <row r="52" spans="1:27" ht="15" customHeight="1" x14ac:dyDescent="0.2">
      <c r="A52" s="308"/>
      <c r="B52" s="298"/>
      <c r="C52" s="297"/>
      <c r="D52" s="158"/>
      <c r="E52" s="301"/>
      <c r="F52" s="301"/>
      <c r="G52" s="457"/>
      <c r="H52" s="457"/>
      <c r="I52" s="457"/>
      <c r="J52" s="457"/>
      <c r="K52" s="457"/>
      <c r="L52" s="457"/>
      <c r="M52" s="457"/>
      <c r="N52" s="457"/>
      <c r="O52" s="457"/>
      <c r="P52" s="457"/>
      <c r="Q52" s="457"/>
      <c r="R52" s="457"/>
      <c r="S52" s="457"/>
      <c r="T52" s="457"/>
      <c r="U52" s="457"/>
      <c r="V52" s="457"/>
      <c r="W52" s="457"/>
      <c r="X52" s="457"/>
      <c r="Y52" s="135"/>
      <c r="Z52" s="523"/>
      <c r="AA52" s="215" t="s">
        <v>1409</v>
      </c>
    </row>
    <row r="53" spans="1:27" ht="15" customHeight="1" x14ac:dyDescent="0.2">
      <c r="A53" s="308" t="s">
        <v>598</v>
      </c>
      <c r="B53" s="1665" t="s">
        <v>599</v>
      </c>
      <c r="C53" s="1661" t="s">
        <v>600</v>
      </c>
      <c r="D53" s="472" t="s">
        <v>601</v>
      </c>
      <c r="E53" s="301"/>
      <c r="F53" s="301"/>
      <c r="G53" s="457"/>
      <c r="H53" s="457"/>
      <c r="I53" s="457"/>
      <c r="J53" s="457"/>
      <c r="K53" s="457"/>
      <c r="L53" s="457"/>
      <c r="M53" s="457"/>
      <c r="N53" s="457"/>
      <c r="O53" s="457"/>
      <c r="P53" s="457"/>
      <c r="Q53" s="457"/>
      <c r="R53" s="457"/>
      <c r="S53" s="457"/>
      <c r="T53" s="457"/>
      <c r="U53" s="457"/>
      <c r="V53" s="457"/>
      <c r="W53" s="457"/>
      <c r="X53" s="457"/>
      <c r="Y53" s="135"/>
      <c r="Z53" s="523" t="s">
        <v>1468</v>
      </c>
      <c r="AA53" s="215">
        <v>8</v>
      </c>
    </row>
    <row r="54" spans="1:27" ht="15" customHeight="1" x14ac:dyDescent="0.2">
      <c r="A54" s="308" t="s">
        <v>514</v>
      </c>
      <c r="B54" s="1665"/>
      <c r="C54" s="1661"/>
      <c r="D54" s="472" t="s">
        <v>669</v>
      </c>
      <c r="E54" s="301">
        <f>VLOOKUP("Prix HT",Bordures!C1:L64,5,0)</f>
        <v>10.050000000000001</v>
      </c>
      <c r="F54" s="301"/>
      <c r="G54" s="457"/>
      <c r="H54" s="457"/>
      <c r="I54" s="457"/>
      <c r="J54" s="457"/>
      <c r="K54" s="457"/>
      <c r="L54" s="457"/>
      <c r="M54" s="457"/>
      <c r="N54" s="457"/>
      <c r="O54" s="457"/>
      <c r="P54" s="457"/>
      <c r="Q54" s="457"/>
      <c r="R54" s="457"/>
      <c r="S54" s="457"/>
      <c r="T54" s="457"/>
      <c r="U54" s="457"/>
      <c r="V54" s="457"/>
      <c r="W54" s="457"/>
      <c r="X54" s="457"/>
      <c r="Y54" s="135"/>
      <c r="Z54" s="523" t="s">
        <v>1469</v>
      </c>
      <c r="AA54" s="215" t="s">
        <v>1411</v>
      </c>
    </row>
    <row r="55" spans="1:27" ht="15" customHeight="1" x14ac:dyDescent="0.2">
      <c r="A55" s="308" t="s">
        <v>602</v>
      </c>
      <c r="B55" s="1665"/>
      <c r="C55" s="1661"/>
      <c r="D55" s="472" t="s">
        <v>603</v>
      </c>
      <c r="E55" s="301"/>
      <c r="F55" s="301"/>
      <c r="G55" s="457"/>
      <c r="H55" s="457"/>
      <c r="I55" s="457"/>
      <c r="J55" s="457"/>
      <c r="K55" s="457"/>
      <c r="L55" s="457"/>
      <c r="M55" s="457"/>
      <c r="N55" s="457"/>
      <c r="O55" s="457"/>
      <c r="P55" s="457"/>
      <c r="Q55" s="457"/>
      <c r="R55" s="457"/>
      <c r="S55" s="457"/>
      <c r="T55" s="457"/>
      <c r="U55" s="457"/>
      <c r="V55" s="457"/>
      <c r="W55" s="457"/>
      <c r="X55" s="457"/>
      <c r="Y55" s="154"/>
      <c r="Z55" s="524" t="s">
        <v>1470</v>
      </c>
      <c r="AA55" s="215">
        <v>9</v>
      </c>
    </row>
    <row r="56" spans="1:27" ht="15" customHeight="1" x14ac:dyDescent="0.2">
      <c r="A56" s="308" t="s">
        <v>604</v>
      </c>
      <c r="B56" s="1665"/>
      <c r="C56" s="1661"/>
      <c r="D56" s="472" t="s">
        <v>605</v>
      </c>
      <c r="E56" s="301"/>
      <c r="F56" s="301"/>
      <c r="G56" s="457"/>
      <c r="H56" s="457"/>
      <c r="I56" s="457"/>
      <c r="J56" s="457"/>
      <c r="K56" s="457"/>
      <c r="L56" s="457"/>
      <c r="M56" s="457"/>
      <c r="N56" s="457"/>
      <c r="O56" s="457"/>
      <c r="P56" s="457"/>
      <c r="Q56" s="457"/>
      <c r="R56" s="457"/>
      <c r="S56" s="457"/>
      <c r="T56" s="457"/>
      <c r="U56" s="457"/>
      <c r="V56" s="457"/>
      <c r="W56" s="457"/>
      <c r="X56" s="457"/>
      <c r="Y56" s="154"/>
      <c r="Z56" s="524" t="s">
        <v>1471</v>
      </c>
      <c r="AA56" s="154"/>
    </row>
    <row r="57" spans="1:27" ht="15" customHeight="1" x14ac:dyDescent="0.2">
      <c r="A57" s="308" t="s">
        <v>606</v>
      </c>
      <c r="B57" s="1665"/>
      <c r="C57" s="1661"/>
      <c r="D57" s="472" t="s">
        <v>607</v>
      </c>
      <c r="E57" s="301"/>
      <c r="F57" s="301"/>
      <c r="G57" s="457"/>
      <c r="H57" s="457"/>
      <c r="I57" s="457"/>
      <c r="J57" s="457"/>
      <c r="K57" s="457"/>
      <c r="L57" s="457"/>
      <c r="M57" s="457"/>
      <c r="N57" s="457"/>
      <c r="O57" s="457"/>
      <c r="P57" s="457"/>
      <c r="Q57" s="457"/>
      <c r="R57" s="457"/>
      <c r="S57" s="457"/>
      <c r="T57" s="457"/>
      <c r="U57" s="457"/>
      <c r="V57" s="457"/>
      <c r="W57" s="457"/>
      <c r="X57" s="457"/>
      <c r="Y57" s="154"/>
      <c r="Z57" s="524" t="s">
        <v>1676</v>
      </c>
      <c r="AA57" s="154"/>
    </row>
    <row r="58" spans="1:27" ht="15" customHeight="1" x14ac:dyDescent="0.2">
      <c r="A58" s="308"/>
      <c r="B58" s="296"/>
      <c r="C58" s="297"/>
      <c r="D58" s="158"/>
      <c r="E58" s="301"/>
      <c r="F58" s="301"/>
      <c r="G58" s="457"/>
      <c r="H58" s="457"/>
      <c r="I58" s="457"/>
      <c r="J58" s="457"/>
      <c r="K58" s="457"/>
      <c r="L58" s="457"/>
      <c r="M58" s="457"/>
      <c r="N58" s="457"/>
      <c r="O58" s="457"/>
      <c r="P58" s="457"/>
      <c r="Q58" s="457"/>
      <c r="R58" s="457"/>
      <c r="S58" s="457"/>
      <c r="T58" s="457"/>
      <c r="U58" s="457"/>
      <c r="V58" s="457"/>
      <c r="W58" s="457"/>
      <c r="X58" s="457"/>
      <c r="Y58" s="154"/>
      <c r="Z58" s="524"/>
      <c r="AA58" s="154"/>
    </row>
    <row r="59" spans="1:27" ht="15" customHeight="1" x14ac:dyDescent="0.2">
      <c r="A59" s="308" t="s">
        <v>1348</v>
      </c>
      <c r="B59" s="1666" t="s">
        <v>1347</v>
      </c>
      <c r="C59" s="1667"/>
      <c r="D59" s="235" t="s">
        <v>1346</v>
      </c>
      <c r="E59" s="301"/>
      <c r="F59" s="301"/>
      <c r="G59" s="457">
        <f>IFERROR(VLOOKUP($F$1,'ALIM BAC Gravitaire'!$C$1:$K$33,((G$2-5)*2-1),0),"")</f>
        <v>0</v>
      </c>
      <c r="H59" s="457">
        <f>IFERROR(VLOOKUP($F$1,'ALIM BAC Gravitaire'!$C$1:$K$33,((H$2-5)*2-1),0),"")</f>
        <v>286.43200000000002</v>
      </c>
      <c r="I59" s="457">
        <f>IFERROR(VLOOKUP($F$1,'ALIM BAC Gravitaire'!$C$1:$K$33,((I$2-5)*2-1),0),"")</f>
        <v>355.51</v>
      </c>
      <c r="J59" s="457">
        <f>IFERROR(VLOOKUP($F$1,'ALIM BAC Gravitaire'!$C$1:$K$33,((J$2-5)*2-1),0),"")</f>
        <v>355.51</v>
      </c>
      <c r="K59" s="457" t="str">
        <f>IFERROR(VLOOKUP($F$1,'ALIM BAC Gravitaire'!$C$1:$K$33,((K$2-5)*2-1),0),"")</f>
        <v/>
      </c>
      <c r="L59" s="457" t="str">
        <f>IFERROR(VLOOKUP($F$1,'ALIM BAC Gravitaire'!$C$1:$K$33,((L$2-5)*2-1),0),"")</f>
        <v/>
      </c>
      <c r="M59" s="457" t="str">
        <f>IFERROR(VLOOKUP($F$1,'ALIM BAC Gravitaire'!$C$1:$K$33,((M$2-5)*2-1),0),"")</f>
        <v/>
      </c>
      <c r="N59" s="457" t="str">
        <f>IFERROR(VLOOKUP($F$1,'ALIM BAC Gravitaire'!$C$1:$K$33,((N$2-5)*2-1),0),"")</f>
        <v/>
      </c>
      <c r="O59" s="457" t="str">
        <f>IFERROR(VLOOKUP($F$1,'ALIM BAC Gravitaire'!$C$1:$K$33,((O$2-5)*2-1),0),"")</f>
        <v/>
      </c>
      <c r="P59" s="457" t="str">
        <f>IFERROR(VLOOKUP($F$1,'ALIM BAC Gravitaire'!$C$1:$K$33,((P$2-5)*2-1),0),"")</f>
        <v/>
      </c>
      <c r="Q59" s="457" t="str">
        <f>IFERROR(VLOOKUP($F$1,'ALIM BAC Gravitaire'!$C$1:$K$33,((Q$2-5)*2-1),0),"")</f>
        <v/>
      </c>
      <c r="R59" s="457" t="str">
        <f>IFERROR(VLOOKUP($F$1,'ALIM BAC Gravitaire'!$C$1:$K$33,((R$2-5)*2-1),0),"")</f>
        <v/>
      </c>
      <c r="S59" s="457" t="str">
        <f>IFERROR(VLOOKUP($F$1,'ALIM BAC Gravitaire'!$C$1:$K$33,((S$2-5)*2-1),0),"")</f>
        <v/>
      </c>
      <c r="T59" s="457" t="str">
        <f>IFERROR(VLOOKUP($F$1,'ALIM BAC Gravitaire'!$C$1:$K$33,((T$2-5)*2-1),0),"")</f>
        <v/>
      </c>
      <c r="U59" s="457" t="str">
        <f>IFERROR(VLOOKUP($F$1,'ALIM BAC Gravitaire'!$C$1:$K$33,((U$2-5)*2-1),0),"")</f>
        <v/>
      </c>
      <c r="V59" s="457" t="str">
        <f>IFERROR(VLOOKUP($F$1,'ALIM BAC Gravitaire'!$C$1:$K$33,((V$2-5)*2-1),0),"")</f>
        <v/>
      </c>
      <c r="W59" s="457" t="str">
        <f>IFERROR(VLOOKUP($F$1,'ALIM BAC Gravitaire'!$C$1:$K$33,((W$2-5)*2-1),0),"")</f>
        <v/>
      </c>
      <c r="X59" s="457" t="str">
        <f>IFERROR(VLOOKUP($F$1,'ALIM BAC Gravitaire'!$C$1:$K$33,((X$2-5)*2-1),0),"")</f>
        <v/>
      </c>
      <c r="Y59" s="154"/>
      <c r="Z59" s="524" t="s">
        <v>1691</v>
      </c>
      <c r="AA59" s="154"/>
    </row>
    <row r="60" spans="1:27" ht="15" customHeight="1" x14ac:dyDescent="0.2">
      <c r="A60" s="308" t="s">
        <v>1349</v>
      </c>
      <c r="B60" s="1666"/>
      <c r="C60" s="1667"/>
      <c r="D60" s="235" t="s">
        <v>1352</v>
      </c>
      <c r="E60" s="301"/>
      <c r="F60" s="301"/>
      <c r="G60" s="457">
        <f>IFERROR(VLOOKUP($F$1,'ALIM BAC relevage'!$C$1:$AK$34,((G$2-5)*2-1),0),"")</f>
        <v>0</v>
      </c>
      <c r="H60" s="457">
        <f>IFERROR(VLOOKUP($F$1,'ALIM BAC relevage'!$C$1:$AK$34,((H$2-5)*2-1),0),"")</f>
        <v>241.32500000000002</v>
      </c>
      <c r="I60" s="457">
        <f>IFERROR(VLOOKUP($F$1,'ALIM BAC relevage'!$C$1:$AK$34,((I$2-5)*2-1),0),"")</f>
        <v>0</v>
      </c>
      <c r="J60" s="457">
        <f>IFERROR(VLOOKUP($F$1,'ALIM BAC relevage'!$C$1:$AK$34,((J$2-5)*2-1),0),"")</f>
        <v>223.20600000000002</v>
      </c>
      <c r="K60" s="457">
        <f>IFERROR(VLOOKUP($F$1,'ALIM BAC relevage'!$C$1:$AK$34,((K$2-5)*2-1),0),"")</f>
        <v>223.20600000000002</v>
      </c>
      <c r="L60" s="457">
        <f>IFERROR(VLOOKUP($F$1,'ALIM BAC relevage'!$C$1:$AK$34,((L$2-5)*2-1),0),"")</f>
        <v>0</v>
      </c>
      <c r="M60" s="457">
        <f>IFERROR(VLOOKUP($F$1,'ALIM BAC relevage'!$C$1:$AK$34,((M$2-5)*2-1),0),"")</f>
        <v>0</v>
      </c>
      <c r="N60" s="457">
        <f>IFERROR(VLOOKUP($F$1,'ALIM BAC relevage'!$C$1:$AK$34,((N$2-5)*2-1),0),"")</f>
        <v>0</v>
      </c>
      <c r="O60" s="457">
        <f>IFERROR(VLOOKUP($F$1,'ALIM BAC relevage'!$C$1:$AK$34,((O$2-5)*2-1),0),"")</f>
        <v>423.06299999999999</v>
      </c>
      <c r="P60" s="457">
        <f>IFERROR(VLOOKUP($F$1,'ALIM BAC relevage'!$C$1:$AK$34,((P$2-5)*2-1),0),"")</f>
        <v>454.56299999999999</v>
      </c>
      <c r="Q60" s="457">
        <f>IFERROR(VLOOKUP($F$1,'ALIM BAC relevage'!$C$1:$AK$34,((Q$2-5)*2-1),0),"")</f>
        <v>0</v>
      </c>
      <c r="R60" s="457">
        <f>IFERROR(VLOOKUP($F$1,'ALIM BAC relevage'!$C$1:$AK$34,((R$2-5)*2-1),0),"")</f>
        <v>0</v>
      </c>
      <c r="S60" s="457">
        <f>IFERROR(VLOOKUP($F$1,'ALIM BAC relevage'!$C$1:$AK$34,((S$2-5)*2-1),0),"")</f>
        <v>0</v>
      </c>
      <c r="T60" s="457">
        <f>IFERROR(VLOOKUP($F$1,'ALIM BAC relevage'!$C$1:$AK$34,((T$2-5)*2-1),0),"")</f>
        <v>0</v>
      </c>
      <c r="U60" s="457">
        <f>IFERROR(VLOOKUP($F$1,'ALIM BAC relevage'!$C$1:$AK$34,((U$2-5)*2-1),0),"")</f>
        <v>0</v>
      </c>
      <c r="V60" s="457">
        <f>IFERROR(VLOOKUP($F$1,'ALIM BAC relevage'!$C$1:$AK$34,((V$2-5)*2-1),0),"")</f>
        <v>0</v>
      </c>
      <c r="W60" s="457" t="str">
        <f>IFERROR(VLOOKUP($F$1,'ALIM BAC relevage'!$C$1:$AK$34,((W$2-5)*2-1),0),"")</f>
        <v/>
      </c>
      <c r="X60" s="457" t="str">
        <f>IFERROR(VLOOKUP($F$1,'ALIM BAC relevage'!$C$1:$AK$34,((X$2-5)*2-1),0),"")</f>
        <v/>
      </c>
      <c r="Y60" s="154"/>
      <c r="Z60" s="524" t="s">
        <v>1692</v>
      </c>
      <c r="AA60" s="154"/>
    </row>
    <row r="61" spans="1:27" ht="15" customHeight="1" x14ac:dyDescent="0.2">
      <c r="A61" s="308" t="s">
        <v>1350</v>
      </c>
      <c r="B61" s="1666"/>
      <c r="C61" s="1667"/>
      <c r="D61" s="235" t="s">
        <v>1353</v>
      </c>
      <c r="E61" s="301"/>
      <c r="F61" s="301"/>
      <c r="G61" s="457">
        <f>IFERROR(VLOOKUP($F$1,'ALIM FV-FH grav'!$C$1:$U$35,((G$2-5)*2-1),0),"")</f>
        <v>269.98</v>
      </c>
      <c r="H61" s="457">
        <f>IFERROR(VLOOKUP($F$1,'ALIM FV-FH grav'!$C$1:$U$35,((H$2-5)*2-1),0),"")</f>
        <v>288.93700000000001</v>
      </c>
      <c r="I61" s="457">
        <f>IFERROR(VLOOKUP($F$1,'ALIM FV-FH grav'!$C$1:$U$35,((I$2-5)*2-1),0),"")</f>
        <v>307.89400000000001</v>
      </c>
      <c r="J61" s="457">
        <f>IFERROR(VLOOKUP($F$1,'ALIM FV-FH grav'!$C$1:$U$35,((J$2-5)*2-1),0),"")</f>
        <v>288.93700000000001</v>
      </c>
      <c r="K61" s="457">
        <f>IFERROR(VLOOKUP($F$1,'ALIM FV-FH grav'!$C$1:$U$35,((K$2-5)*2-1),0),"")</f>
        <v>288.93700000000001</v>
      </c>
      <c r="L61" s="457">
        <f>IFERROR(VLOOKUP($F$1,'ALIM FV-FH grav'!$C$1:$U$35,((L$2-5)*2-1),0),"")</f>
        <v>288.93700000000001</v>
      </c>
      <c r="M61" s="457">
        <f>IFERROR(VLOOKUP($F$1,'ALIM FV-FH grav'!$C$1:$U$35,((M$2-5)*2-1),0),"")</f>
        <v>288.93700000000001</v>
      </c>
      <c r="N61" s="457">
        <f>IFERROR(VLOOKUP($F$1,'ALIM FV-FH grav'!$C$1:$U$35,((N$2-5)*2-1),0),"")</f>
        <v>307.89400000000001</v>
      </c>
      <c r="O61" s="457">
        <f>IFERROR(VLOOKUP($F$1,'ALIM FV-FH grav'!$C$1:$U$35,((O$2-5)*2-1),0),"")</f>
        <v>326.851</v>
      </c>
      <c r="P61" s="457" t="str">
        <f>IFERROR(VLOOKUP($F$1,'ALIM FV-FH grav'!$C$1:$U$35,((P$2-5)*2-1),0),"")</f>
        <v/>
      </c>
      <c r="Q61" s="457" t="str">
        <f>IFERROR(VLOOKUP($F$1,'ALIM FV-FH grav'!$C$1:$U$35,((Q$2-5)*2-1),0),"")</f>
        <v/>
      </c>
      <c r="R61" s="457" t="str">
        <f>IFERROR(VLOOKUP($F$1,'ALIM FV-FH grav'!$C$1:$U$35,((R$2-5)*2-1),0),"")</f>
        <v/>
      </c>
      <c r="S61" s="457" t="str">
        <f>IFERROR(VLOOKUP($F$1,'ALIM FV-FH grav'!$C$1:$U$35,((S$2-5)*2-1),0),"")</f>
        <v/>
      </c>
      <c r="T61" s="457" t="str">
        <f>IFERROR(VLOOKUP($F$1,'ALIM FV-FH grav'!$C$1:$U$35,((T$2-5)*2-1),0),"")</f>
        <v/>
      </c>
      <c r="U61" s="457" t="str">
        <f>IFERROR(VLOOKUP($F$1,'ALIM FV-FH grav'!$C$1:$U$35,((U$2-5)*2-1),0),"")</f>
        <v/>
      </c>
      <c r="V61" s="457" t="str">
        <f>IFERROR(VLOOKUP($F$1,'ALIM FV-FH grav'!$C$1:$U$35,((V$2-5)*2-1),0),"")</f>
        <v/>
      </c>
      <c r="W61" s="457" t="str">
        <f>IFERROR(VLOOKUP($F$1,'ALIM FV-FH grav'!$C$1:$U$35,((W$2-5)*2-1),0),"")</f>
        <v/>
      </c>
      <c r="X61" s="457" t="str">
        <f>IFERROR(VLOOKUP($F$1,'ALIM FV-FH grav'!$C$1:$U$35,((X$2-5)*2-1),0),"")</f>
        <v/>
      </c>
      <c r="Y61" s="135"/>
      <c r="Z61" s="524" t="s">
        <v>1693</v>
      </c>
      <c r="AA61" s="135"/>
    </row>
    <row r="62" spans="1:27" ht="15" customHeight="1" x14ac:dyDescent="0.2">
      <c r="A62" s="308" t="s">
        <v>1351</v>
      </c>
      <c r="B62" s="1666"/>
      <c r="C62" s="1667"/>
      <c r="D62" s="235" t="s">
        <v>1354</v>
      </c>
      <c r="E62" s="301"/>
      <c r="F62" s="301"/>
      <c r="G62" s="457">
        <f>IFERROR(VLOOKUP($F$1,'ALIM FV-FH relevage'!$C$1:$AM$37,((G$2-5)*2-1),0),"")</f>
        <v>420.05900000000003</v>
      </c>
      <c r="H62" s="457">
        <f>IFERROR(VLOOKUP($F$1,'ALIM FV-FH relevage'!$C$1:$AM$37,((H$2-5)*2-1),0),"")</f>
        <v>360.05900000000003</v>
      </c>
      <c r="I62" s="457">
        <f>IFERROR(VLOOKUP($F$1,'ALIM FV-FH relevage'!$C$1:$AM$37,((I$2-5)*2-1),0),"")</f>
        <v>360.05900000000003</v>
      </c>
      <c r="J62" s="457">
        <f>IFERROR(VLOOKUP($F$1,'ALIM FV-FH relevage'!$C$1:$AM$37,((J$2-5)*2-1),0),"")</f>
        <v>360.05900000000003</v>
      </c>
      <c r="K62" s="457">
        <f>IFERROR(VLOOKUP($F$1,'ALIM FV-FH relevage'!$C$1:$AM$37,((K$2-5)*2-1),0),"")</f>
        <v>360.05900000000003</v>
      </c>
      <c r="L62" s="457">
        <f>IFERROR(VLOOKUP($F$1,'ALIM FV-FH relevage'!$C$1:$AM$37,((L$2-5)*2-1),0),"")</f>
        <v>360.75450000000001</v>
      </c>
      <c r="M62" s="457">
        <f>IFERROR(VLOOKUP($F$1,'ALIM FV-FH relevage'!$C$1:$AM$37,((M$2-5)*2-1),0),"")</f>
        <v>361.45000000000005</v>
      </c>
      <c r="N62" s="457">
        <f>IFERROR(VLOOKUP($F$1,'ALIM FV-FH relevage'!$C$1:$AM$37,((N$2-5)*2-1),0),"")</f>
        <v>374.20299999999997</v>
      </c>
      <c r="O62" s="457">
        <f>IFERROR(VLOOKUP($F$1,'ALIM FV-FH relevage'!$C$1:$AM$37,((O$2-5)*2-1),0),"")</f>
        <v>373.29300000000001</v>
      </c>
      <c r="P62" s="457">
        <f>IFERROR(VLOOKUP($F$1,'ALIM FV-FH relevage'!$C$1:$AM$37,((P$2-5)*2-1),0),"")</f>
        <v>534.83799999999997</v>
      </c>
      <c r="Q62" s="457">
        <f>IFERROR(VLOOKUP($F$1,'ALIM FV-FH relevage'!$C$1:$AM$37,((Q$2-5)*2-1),0),"")</f>
        <v>537.13900000000001</v>
      </c>
      <c r="R62" s="457">
        <f>IFERROR(VLOOKUP($F$1,'ALIM FV-FH relevage'!$C$1:$AM$37,((R$2-5)*2-1),0),"")</f>
        <v>538.53</v>
      </c>
      <c r="S62" s="457">
        <f>IFERROR(VLOOKUP($F$1,'ALIM FV-FH relevage'!$C$1:$AM$37,((S$2-5)*2-1),0),"")</f>
        <v>538.53</v>
      </c>
      <c r="T62" s="457">
        <f>IFERROR(VLOOKUP($F$1,'ALIM FV-FH relevage'!$C$1:$AM$37,((T$2-5)*2-1),0),"")</f>
        <v>539.92100000000005</v>
      </c>
      <c r="U62" s="457">
        <f>IFERROR(VLOOKUP($F$1,'ALIM FV-FH relevage'!$C$1:$AM$37,((U$2-5)*2-1),0),"")</f>
        <v>541.31200000000001</v>
      </c>
      <c r="V62" s="457">
        <f>IFERROR(VLOOKUP($F$1,'ALIM FV-FH relevage'!$C$1:$AM$37,((V$2-5)*2-1),0),"")</f>
        <v>534.83799999999997</v>
      </c>
      <c r="W62" s="457">
        <f>IFERROR(VLOOKUP($F$1,'ALIM FV-FH relevage'!$C$1:$AM$37,((W$2-5)*2-1),0),"")</f>
        <v>504.34000000000003</v>
      </c>
      <c r="X62" s="457" t="str">
        <f>IFERROR(VLOOKUP($F$1,'ALIM FV-FH relevage'!$C$1:$AM$37,((X$2-5)*2-1),0),"")</f>
        <v/>
      </c>
      <c r="Y62" s="135"/>
      <c r="Z62" s="524" t="s">
        <v>1694</v>
      </c>
      <c r="AA62" s="135"/>
    </row>
    <row r="63" spans="1:27" ht="15" customHeight="1" x14ac:dyDescent="0.2">
      <c r="A63" s="308"/>
      <c r="B63" s="296"/>
      <c r="C63" s="297"/>
      <c r="D63" s="158"/>
      <c r="E63" s="301"/>
      <c r="F63" s="301"/>
      <c r="G63" s="457"/>
      <c r="H63" s="457"/>
      <c r="I63" s="457"/>
      <c r="J63" s="457"/>
      <c r="K63" s="457"/>
      <c r="L63" s="457"/>
      <c r="M63" s="457"/>
      <c r="N63" s="457"/>
      <c r="O63" s="457"/>
      <c r="P63" s="457"/>
      <c r="Q63" s="457"/>
      <c r="R63" s="457"/>
      <c r="S63" s="457"/>
      <c r="T63" s="457"/>
      <c r="U63" s="457"/>
      <c r="V63" s="457"/>
      <c r="W63" s="457"/>
      <c r="X63" s="457"/>
      <c r="Y63" s="154"/>
      <c r="Z63" s="524"/>
      <c r="AA63" s="154"/>
    </row>
    <row r="64" spans="1:27" ht="15" customHeight="1" x14ac:dyDescent="0.2">
      <c r="A64" s="308" t="s">
        <v>1332</v>
      </c>
      <c r="B64" s="1679" t="s">
        <v>1374</v>
      </c>
      <c r="C64" s="1667"/>
      <c r="D64" s="235" t="s">
        <v>1375</v>
      </c>
      <c r="E64" s="301">
        <f>IFERROR(VLOOKUP($F$1,Distribution!$D$1:$U$34,2,0),"")</f>
        <v>285.43</v>
      </c>
      <c r="F64" s="301"/>
      <c r="G64" s="457"/>
      <c r="H64" s="457"/>
      <c r="I64" s="457"/>
      <c r="J64" s="457"/>
      <c r="K64" s="457"/>
      <c r="L64" s="457"/>
      <c r="M64" s="457"/>
      <c r="N64" s="457"/>
      <c r="O64" s="457"/>
      <c r="P64" s="457"/>
      <c r="Q64" s="457"/>
      <c r="R64" s="457"/>
      <c r="S64" s="457"/>
      <c r="T64" s="457"/>
      <c r="U64" s="457"/>
      <c r="V64" s="457"/>
      <c r="W64" s="457"/>
      <c r="X64" s="457"/>
      <c r="Y64" s="154"/>
      <c r="Z64" s="524" t="s">
        <v>1677</v>
      </c>
      <c r="AA64" s="154"/>
    </row>
    <row r="65" spans="1:27" ht="15" customHeight="1" x14ac:dyDescent="0.2">
      <c r="A65" s="308" t="s">
        <v>1333</v>
      </c>
      <c r="B65" s="1680"/>
      <c r="C65" s="1667"/>
      <c r="D65" s="235" t="s">
        <v>1376</v>
      </c>
      <c r="E65" s="301">
        <f>IFERROR(VLOOKUP($F$1,Distribution!$D$1:$U$34,4,0),"")</f>
        <v>345.20400000000006</v>
      </c>
      <c r="F65" s="301"/>
      <c r="G65" s="457"/>
      <c r="H65" s="457"/>
      <c r="I65" s="457"/>
      <c r="J65" s="457"/>
      <c r="K65" s="457"/>
      <c r="L65" s="457"/>
      <c r="M65" s="457"/>
      <c r="N65" s="457"/>
      <c r="O65" s="457"/>
      <c r="P65" s="457"/>
      <c r="Q65" s="457"/>
      <c r="R65" s="457"/>
      <c r="S65" s="457"/>
      <c r="T65" s="457"/>
      <c r="U65" s="457"/>
      <c r="V65" s="457"/>
      <c r="W65" s="457"/>
      <c r="X65" s="457"/>
      <c r="Y65" s="154"/>
      <c r="Z65" s="524" t="s">
        <v>1678</v>
      </c>
      <c r="AA65" s="154"/>
    </row>
    <row r="66" spans="1:27" ht="15" customHeight="1" x14ac:dyDescent="0.2">
      <c r="A66" s="308" t="s">
        <v>1334</v>
      </c>
      <c r="B66" s="1680"/>
      <c r="C66" s="1667"/>
      <c r="D66" s="235" t="s">
        <v>1377</v>
      </c>
      <c r="E66" s="301">
        <f>IFERROR(VLOOKUP($F$1,Distribution!$D$1:$U$34,6,0),"")</f>
        <v>333.62099999999998</v>
      </c>
      <c r="F66" s="301"/>
      <c r="G66" s="457"/>
      <c r="H66" s="457"/>
      <c r="I66" s="457"/>
      <c r="J66" s="457"/>
      <c r="K66" s="457"/>
      <c r="L66" s="457"/>
      <c r="M66" s="457"/>
      <c r="N66" s="457"/>
      <c r="O66" s="457"/>
      <c r="P66" s="457"/>
      <c r="Q66" s="457"/>
      <c r="R66" s="457"/>
      <c r="S66" s="457"/>
      <c r="T66" s="457"/>
      <c r="U66" s="457"/>
      <c r="V66" s="457"/>
      <c r="W66" s="457"/>
      <c r="X66" s="457"/>
      <c r="Y66" s="154"/>
      <c r="Z66" s="524" t="s">
        <v>1679</v>
      </c>
      <c r="AA66" s="154"/>
    </row>
    <row r="67" spans="1:27" ht="15" customHeight="1" x14ac:dyDescent="0.2">
      <c r="A67" s="308" t="s">
        <v>1335</v>
      </c>
      <c r="B67" s="1680"/>
      <c r="C67" s="1667"/>
      <c r="D67" s="235" t="s">
        <v>1378</v>
      </c>
      <c r="E67" s="301">
        <f>IFERROR(VLOOKUP($F$1,Distribution!$D$1:$U$34,8,0),"")</f>
        <v>358.399</v>
      </c>
      <c r="F67" s="301"/>
      <c r="G67" s="457"/>
      <c r="H67" s="457"/>
      <c r="I67" s="457"/>
      <c r="J67" s="457"/>
      <c r="K67" s="457"/>
      <c r="L67" s="457"/>
      <c r="M67" s="457"/>
      <c r="N67" s="457"/>
      <c r="O67" s="457"/>
      <c r="P67" s="457"/>
      <c r="Q67" s="457"/>
      <c r="R67" s="457"/>
      <c r="S67" s="457"/>
      <c r="T67" s="457"/>
      <c r="U67" s="457"/>
      <c r="V67" s="457"/>
      <c r="W67" s="457"/>
      <c r="X67" s="457"/>
      <c r="Y67" s="154"/>
      <c r="Z67" s="524" t="s">
        <v>1680</v>
      </c>
      <c r="AA67" s="154"/>
    </row>
    <row r="68" spans="1:27" ht="15" customHeight="1" x14ac:dyDescent="0.2">
      <c r="A68" s="308" t="s">
        <v>1336</v>
      </c>
      <c r="B68" s="1680"/>
      <c r="C68" s="1667"/>
      <c r="D68" s="235" t="s">
        <v>1379</v>
      </c>
      <c r="E68" s="301">
        <f>IFERROR(VLOOKUP($F$1,Distribution!$D$1:$U$34,10,0),"")</f>
        <v>815.34300000000007</v>
      </c>
      <c r="F68" s="301"/>
      <c r="G68" s="457"/>
      <c r="H68" s="457"/>
      <c r="I68" s="457"/>
      <c r="J68" s="457"/>
      <c r="K68" s="457"/>
      <c r="L68" s="457"/>
      <c r="M68" s="457"/>
      <c r="N68" s="457"/>
      <c r="O68" s="457"/>
      <c r="P68" s="457"/>
      <c r="Q68" s="457"/>
      <c r="R68" s="457"/>
      <c r="S68" s="457"/>
      <c r="T68" s="457"/>
      <c r="U68" s="457"/>
      <c r="V68" s="457"/>
      <c r="W68" s="457"/>
      <c r="X68" s="457"/>
      <c r="Y68" s="154"/>
      <c r="Z68" s="524" t="s">
        <v>1681</v>
      </c>
      <c r="AA68" s="154"/>
    </row>
    <row r="69" spans="1:27" ht="15" customHeight="1" x14ac:dyDescent="0.2">
      <c r="A69" s="308" t="s">
        <v>1337</v>
      </c>
      <c r="B69" s="1680"/>
      <c r="C69" s="1667"/>
      <c r="D69" s="235" t="s">
        <v>1380</v>
      </c>
      <c r="E69" s="301">
        <f>IFERROR(VLOOKUP($F$1,Distribution!$D$1:$U$34,12,0),"")</f>
        <v>849.07799999999997</v>
      </c>
      <c r="F69" s="301"/>
      <c r="G69" s="457"/>
      <c r="H69" s="457"/>
      <c r="I69" s="457"/>
      <c r="J69" s="457"/>
      <c r="K69" s="457"/>
      <c r="L69" s="457"/>
      <c r="M69" s="457"/>
      <c r="N69" s="457"/>
      <c r="O69" s="457"/>
      <c r="P69" s="457"/>
      <c r="Q69" s="457"/>
      <c r="R69" s="457"/>
      <c r="S69" s="457"/>
      <c r="T69" s="457"/>
      <c r="U69" s="457"/>
      <c r="V69" s="457"/>
      <c r="W69" s="457"/>
      <c r="X69" s="457"/>
      <c r="Y69" s="522"/>
      <c r="Z69" s="524" t="s">
        <v>1682</v>
      </c>
      <c r="AA69" s="154"/>
    </row>
    <row r="70" spans="1:27" ht="15" customHeight="1" x14ac:dyDescent="0.2">
      <c r="A70" s="308" t="s">
        <v>1338</v>
      </c>
      <c r="B70" s="1680"/>
      <c r="C70" s="1667"/>
      <c r="D70" s="235" t="s">
        <v>1331</v>
      </c>
      <c r="E70" s="301">
        <f>IFERROR(VLOOKUP($F$1,Distribution!$D$1:$U$34,14,0),"")</f>
        <v>252.75699999999998</v>
      </c>
      <c r="F70" s="301"/>
      <c r="G70" s="457"/>
      <c r="H70" s="457"/>
      <c r="I70" s="457"/>
      <c r="J70" s="457"/>
      <c r="K70" s="457"/>
      <c r="L70" s="457"/>
      <c r="M70" s="457"/>
      <c r="N70" s="457"/>
      <c r="O70" s="457"/>
      <c r="P70" s="457"/>
      <c r="Q70" s="457"/>
      <c r="R70" s="457"/>
      <c r="S70" s="457"/>
      <c r="T70" s="457"/>
      <c r="U70" s="457"/>
      <c r="V70" s="457"/>
      <c r="W70" s="457"/>
      <c r="X70" s="457"/>
      <c r="Y70" s="522"/>
      <c r="Z70" s="524" t="s">
        <v>1685</v>
      </c>
      <c r="AA70" s="154"/>
    </row>
    <row r="71" spans="1:27" ht="15" customHeight="1" x14ac:dyDescent="0.2">
      <c r="A71" s="308" t="s">
        <v>1339</v>
      </c>
      <c r="B71" s="1680"/>
      <c r="C71" s="1667"/>
      <c r="D71" s="235" t="s">
        <v>1381</v>
      </c>
      <c r="E71" s="301">
        <f>IFERROR(VLOOKUP($F$1,Distribution!$D$1:$U$34,16,0),"")</f>
        <v>326.32400000000001</v>
      </c>
      <c r="F71" s="301"/>
      <c r="G71" s="457"/>
      <c r="H71" s="457"/>
      <c r="I71" s="457"/>
      <c r="J71" s="457"/>
      <c r="K71" s="457"/>
      <c r="L71" s="457"/>
      <c r="M71" s="457"/>
      <c r="N71" s="457"/>
      <c r="O71" s="457"/>
      <c r="P71" s="457"/>
      <c r="Q71" s="457"/>
      <c r="R71" s="457"/>
      <c r="S71" s="457"/>
      <c r="T71" s="457"/>
      <c r="U71" s="457"/>
      <c r="V71" s="457"/>
      <c r="W71" s="457"/>
      <c r="X71" s="457"/>
      <c r="Y71" s="522"/>
      <c r="Z71" s="524" t="s">
        <v>1683</v>
      </c>
      <c r="AA71" s="154"/>
    </row>
    <row r="72" spans="1:27" ht="15" customHeight="1" x14ac:dyDescent="0.2">
      <c r="A72" s="308" t="s">
        <v>1340</v>
      </c>
      <c r="B72" s="1681"/>
      <c r="C72" s="1667"/>
      <c r="D72" s="235" t="s">
        <v>1382</v>
      </c>
      <c r="E72" s="301">
        <f>IFERROR(VLOOKUP($F$1,Distribution!$D$1:$U$34,18,0),"")</f>
        <v>0</v>
      </c>
      <c r="F72" s="301"/>
      <c r="G72" s="457"/>
      <c r="H72" s="457"/>
      <c r="I72" s="457"/>
      <c r="J72" s="457"/>
      <c r="K72" s="457"/>
      <c r="L72" s="457"/>
      <c r="M72" s="457"/>
      <c r="N72" s="457"/>
      <c r="O72" s="457"/>
      <c r="P72" s="457"/>
      <c r="Q72" s="457"/>
      <c r="R72" s="457"/>
      <c r="S72" s="457"/>
      <c r="T72" s="457"/>
      <c r="U72" s="457"/>
      <c r="V72" s="457"/>
      <c r="W72" s="457"/>
      <c r="X72" s="457"/>
      <c r="Y72" s="154"/>
      <c r="Z72" s="524" t="s">
        <v>1684</v>
      </c>
      <c r="AA72" s="154"/>
    </row>
    <row r="73" spans="1:27" ht="15" customHeight="1" x14ac:dyDescent="0.2">
      <c r="A73" s="308"/>
      <c r="B73" s="296"/>
      <c r="C73" s="297"/>
      <c r="D73" s="158"/>
      <c r="E73" s="301"/>
      <c r="F73" s="301"/>
      <c r="G73" s="457"/>
      <c r="H73" s="457"/>
      <c r="I73" s="457"/>
      <c r="J73" s="457"/>
      <c r="K73" s="457"/>
      <c r="L73" s="457"/>
      <c r="M73" s="457"/>
      <c r="N73" s="457"/>
      <c r="O73" s="457"/>
      <c r="P73" s="457"/>
      <c r="Q73" s="457"/>
      <c r="R73" s="457"/>
      <c r="S73" s="457"/>
      <c r="T73" s="457"/>
      <c r="U73" s="457"/>
      <c r="V73" s="457"/>
      <c r="W73" s="457"/>
      <c r="X73" s="457"/>
      <c r="Y73" s="154"/>
      <c r="Z73" s="524"/>
      <c r="AA73" s="154"/>
    </row>
    <row r="74" spans="1:27" ht="15" customHeight="1" x14ac:dyDescent="0.2">
      <c r="A74" s="308" t="s">
        <v>608</v>
      </c>
      <c r="B74" s="1666" t="s">
        <v>1345</v>
      </c>
      <c r="C74" s="1667"/>
      <c r="D74" s="235" t="s">
        <v>609</v>
      </c>
      <c r="E74" s="301"/>
      <c r="F74" s="301"/>
      <c r="G74" s="457"/>
      <c r="H74" s="457"/>
      <c r="I74" s="457"/>
      <c r="J74" s="457"/>
      <c r="K74" s="457"/>
      <c r="L74" s="457"/>
      <c r="M74" s="457"/>
      <c r="N74" s="457"/>
      <c r="O74" s="457"/>
      <c r="P74" s="457"/>
      <c r="Q74" s="457"/>
      <c r="R74" s="457"/>
      <c r="S74" s="457"/>
      <c r="T74" s="457"/>
      <c r="U74" s="457"/>
      <c r="V74" s="457"/>
      <c r="W74" s="457"/>
      <c r="X74" s="457"/>
      <c r="Y74" s="154"/>
      <c r="Z74" s="524"/>
      <c r="AA74" s="154"/>
    </row>
    <row r="75" spans="1:27" ht="15" customHeight="1" x14ac:dyDescent="0.2">
      <c r="A75" s="308" t="s">
        <v>610</v>
      </c>
      <c r="B75" s="1666"/>
      <c r="C75" s="1667"/>
      <c r="D75" s="235" t="s">
        <v>611</v>
      </c>
      <c r="E75" s="301"/>
      <c r="F75" s="301"/>
      <c r="G75" s="457"/>
      <c r="H75" s="457"/>
      <c r="I75" s="457"/>
      <c r="J75" s="457"/>
      <c r="K75" s="457"/>
      <c r="L75" s="457"/>
      <c r="M75" s="457"/>
      <c r="N75" s="457"/>
      <c r="O75" s="457"/>
      <c r="P75" s="457"/>
      <c r="Q75" s="457"/>
      <c r="R75" s="457"/>
      <c r="S75" s="457"/>
      <c r="T75" s="457"/>
      <c r="U75" s="457"/>
      <c r="V75" s="457"/>
      <c r="W75" s="457"/>
      <c r="X75" s="457"/>
      <c r="Y75" s="154"/>
      <c r="Z75" s="524"/>
      <c r="AA75" s="154"/>
    </row>
    <row r="76" spans="1:27" ht="15" customHeight="1" x14ac:dyDescent="0.2">
      <c r="A76" s="308" t="s">
        <v>612</v>
      </c>
      <c r="B76" s="1666"/>
      <c r="C76" s="1667"/>
      <c r="D76" s="235" t="s">
        <v>613</v>
      </c>
      <c r="E76" s="301"/>
      <c r="F76" s="301"/>
      <c r="G76" s="457"/>
      <c r="H76" s="457"/>
      <c r="I76" s="457"/>
      <c r="J76" s="457"/>
      <c r="K76" s="457"/>
      <c r="L76" s="457"/>
      <c r="M76" s="457"/>
      <c r="N76" s="457"/>
      <c r="O76" s="457"/>
      <c r="P76" s="457"/>
      <c r="Q76" s="457"/>
      <c r="R76" s="457"/>
      <c r="S76" s="457"/>
      <c r="T76" s="457"/>
      <c r="U76" s="457"/>
      <c r="V76" s="457"/>
      <c r="W76" s="457"/>
      <c r="X76" s="457"/>
      <c r="Y76" s="135"/>
      <c r="Z76" s="523"/>
      <c r="AA76" s="135"/>
    </row>
    <row r="77" spans="1:27" ht="15" customHeight="1" x14ac:dyDescent="0.2">
      <c r="A77" s="308" t="s">
        <v>614</v>
      </c>
      <c r="B77" s="1666"/>
      <c r="C77" s="1667"/>
      <c r="D77" s="235" t="s">
        <v>615</v>
      </c>
      <c r="E77" s="301"/>
      <c r="F77" s="301"/>
      <c r="G77" s="457"/>
      <c r="H77" s="457"/>
      <c r="I77" s="457"/>
      <c r="J77" s="457"/>
      <c r="K77" s="457"/>
      <c r="L77" s="457"/>
      <c r="M77" s="457"/>
      <c r="N77" s="457"/>
      <c r="O77" s="457"/>
      <c r="P77" s="457"/>
      <c r="Q77" s="457"/>
      <c r="R77" s="457"/>
      <c r="S77" s="457"/>
      <c r="T77" s="457"/>
      <c r="U77" s="457"/>
      <c r="V77" s="457"/>
      <c r="W77" s="457"/>
      <c r="X77" s="457"/>
      <c r="Y77" s="135"/>
      <c r="Z77" s="523"/>
      <c r="AA77" s="135"/>
    </row>
    <row r="78" spans="1:27" ht="15" customHeight="1" x14ac:dyDescent="0.2">
      <c r="A78" s="294"/>
      <c r="B78" s="296"/>
      <c r="C78" s="297"/>
      <c r="D78" s="158"/>
      <c r="E78" s="301"/>
      <c r="F78" s="301"/>
      <c r="G78" s="457"/>
      <c r="H78" s="457"/>
      <c r="I78" s="457"/>
      <c r="J78" s="457"/>
      <c r="K78" s="457"/>
      <c r="L78" s="457"/>
      <c r="M78" s="457"/>
      <c r="N78" s="457"/>
      <c r="O78" s="457"/>
      <c r="P78" s="457"/>
      <c r="Q78" s="457"/>
      <c r="R78" s="457"/>
      <c r="S78" s="457"/>
      <c r="T78" s="457"/>
      <c r="U78" s="457"/>
      <c r="V78" s="457"/>
      <c r="W78" s="457"/>
      <c r="X78" s="457"/>
      <c r="Y78" s="154"/>
      <c r="Z78" s="524"/>
      <c r="AA78" s="154"/>
    </row>
    <row r="79" spans="1:27" x14ac:dyDescent="0.2">
      <c r="A79" s="294" t="s">
        <v>478</v>
      </c>
      <c r="B79" s="1664" t="s">
        <v>616</v>
      </c>
      <c r="C79" s="292" t="s">
        <v>478</v>
      </c>
      <c r="D79" s="291" t="s">
        <v>617</v>
      </c>
      <c r="E79" s="301">
        <f>IFERROR(VLOOKUP($F$1,'collecte-exutoire'!$C$1:$O$86,3,0),"")</f>
        <v>29.173200000000001</v>
      </c>
      <c r="F79" s="301"/>
      <c r="G79" s="457"/>
      <c r="H79" s="457"/>
      <c r="I79" s="457"/>
      <c r="J79" s="457"/>
      <c r="K79" s="457"/>
      <c r="L79" s="457"/>
      <c r="M79" s="457"/>
      <c r="N79" s="457"/>
      <c r="O79" s="457"/>
      <c r="P79" s="457"/>
      <c r="Q79" s="457"/>
      <c r="R79" s="457"/>
      <c r="S79" s="457"/>
      <c r="T79" s="457"/>
      <c r="U79" s="457"/>
      <c r="V79" s="457"/>
      <c r="W79" s="457"/>
      <c r="X79" s="457"/>
      <c r="Y79" s="135"/>
      <c r="Z79" s="523"/>
      <c r="AA79" s="135"/>
    </row>
    <row r="80" spans="1:27" x14ac:dyDescent="0.2">
      <c r="A80" s="294" t="s">
        <v>479</v>
      </c>
      <c r="B80" s="1664"/>
      <c r="C80" s="292" t="s">
        <v>479</v>
      </c>
      <c r="D80" s="291" t="s">
        <v>618</v>
      </c>
      <c r="E80" s="301">
        <f>IFERROR(VLOOKUP($F$1,'collecte-exutoire'!$C$1:$O$86,5,0),"")</f>
        <v>18.383900000000001</v>
      </c>
      <c r="F80" s="301"/>
      <c r="G80" s="457"/>
      <c r="H80" s="457"/>
      <c r="I80" s="457"/>
      <c r="J80" s="457"/>
      <c r="K80" s="457"/>
      <c r="L80" s="457"/>
      <c r="M80" s="457"/>
      <c r="N80" s="457"/>
      <c r="O80" s="457"/>
      <c r="P80" s="457"/>
      <c r="Q80" s="457"/>
      <c r="R80" s="457"/>
      <c r="S80" s="457"/>
      <c r="T80" s="457"/>
      <c r="U80" s="457"/>
      <c r="V80" s="457"/>
      <c r="W80" s="457"/>
      <c r="X80" s="457"/>
      <c r="Y80" s="135"/>
      <c r="Z80" s="523"/>
      <c r="AA80" s="135"/>
    </row>
    <row r="81" spans="1:27" x14ac:dyDescent="0.2">
      <c r="A81" s="294" t="s">
        <v>480</v>
      </c>
      <c r="B81" s="1664"/>
      <c r="C81" s="292" t="s">
        <v>480</v>
      </c>
      <c r="D81" s="291" t="s">
        <v>619</v>
      </c>
      <c r="E81" s="301">
        <f>IFERROR(VLOOKUP($F$1,'collecte-exutoire'!$C$1:$O$86,7,0),"")</f>
        <v>3.4012799999999999</v>
      </c>
      <c r="F81" s="301"/>
      <c r="G81" s="457"/>
      <c r="H81" s="457"/>
      <c r="I81" s="457"/>
      <c r="J81" s="457"/>
      <c r="K81" s="457"/>
      <c r="L81" s="457"/>
      <c r="M81" s="457"/>
      <c r="N81" s="457"/>
      <c r="O81" s="457"/>
      <c r="P81" s="457"/>
      <c r="Q81" s="457"/>
      <c r="R81" s="457"/>
      <c r="S81" s="457"/>
      <c r="T81" s="457"/>
      <c r="U81" s="457"/>
      <c r="V81" s="457"/>
      <c r="W81" s="457"/>
      <c r="X81" s="457"/>
      <c r="Y81" s="135"/>
      <c r="Z81" s="523"/>
      <c r="AA81" s="135"/>
    </row>
    <row r="82" spans="1:27" ht="15" x14ac:dyDescent="0.2">
      <c r="A82" s="541" t="s">
        <v>1472</v>
      </c>
      <c r="B82" s="542"/>
      <c r="C82" s="543" t="s">
        <v>1472</v>
      </c>
      <c r="D82" s="544" t="s">
        <v>1473</v>
      </c>
      <c r="E82" s="301">
        <f>IFERROR(VLOOKUP($F$1,'collecte-exutoire'!$C$1:$O$86,11,0),"")</f>
        <v>37.311000000000007</v>
      </c>
      <c r="F82" s="301"/>
      <c r="G82" s="457"/>
      <c r="H82" s="457"/>
      <c r="I82" s="457"/>
      <c r="J82" s="457"/>
      <c r="K82" s="457"/>
      <c r="L82" s="457"/>
      <c r="M82" s="457"/>
      <c r="N82" s="457"/>
      <c r="O82" s="457"/>
      <c r="P82" s="457"/>
      <c r="Q82" s="457"/>
      <c r="R82" s="457"/>
      <c r="S82" s="457"/>
      <c r="T82" s="457"/>
      <c r="U82" s="457"/>
      <c r="V82" s="457"/>
      <c r="W82" s="457"/>
      <c r="X82" s="457"/>
      <c r="Y82" s="135"/>
      <c r="Z82" s="523"/>
      <c r="AA82" s="135"/>
    </row>
    <row r="83" spans="1:27" x14ac:dyDescent="0.2">
      <c r="A83" s="7"/>
      <c r="B83" s="3"/>
      <c r="C83" s="3"/>
      <c r="D83" s="3"/>
      <c r="E83" s="301"/>
      <c r="F83" s="301"/>
      <c r="G83" s="457"/>
      <c r="H83" s="457"/>
      <c r="I83" s="457"/>
      <c r="J83" s="457"/>
      <c r="K83" s="457"/>
      <c r="L83" s="457"/>
      <c r="M83" s="457"/>
      <c r="N83" s="457"/>
      <c r="O83" s="457"/>
      <c r="P83" s="457"/>
      <c r="Q83" s="457"/>
      <c r="R83" s="457"/>
      <c r="S83" s="457"/>
      <c r="T83" s="457"/>
      <c r="U83" s="457"/>
      <c r="V83" s="457"/>
      <c r="W83" s="457"/>
      <c r="X83" s="457"/>
      <c r="Y83" s="135"/>
      <c r="Z83" s="523"/>
      <c r="AA83" s="135"/>
    </row>
    <row r="84" spans="1:27" x14ac:dyDescent="0.2">
      <c r="A84" s="294" t="s">
        <v>439</v>
      </c>
      <c r="B84" s="1664" t="s">
        <v>620</v>
      </c>
      <c r="C84" s="292" t="s">
        <v>439</v>
      </c>
      <c r="D84" s="291"/>
      <c r="E84" s="301"/>
      <c r="F84" s="301"/>
      <c r="G84" s="457">
        <f>IFERROR(VLOOKUP($F$1,TCFV!$C$1:$AN$95,((G$2-5)*2-1),0),"")</f>
        <v>1459.3901000000001</v>
      </c>
      <c r="H84" s="457">
        <f>IFERROR(VLOOKUP($F$1,TCFV!$C$1:$AN$95,((H$2-5)*2-1),0),"")</f>
        <v>1930.0535000000004</v>
      </c>
      <c r="I84" s="457">
        <f>IFERROR(VLOOKUP($F$1,TCFV!$C$1:$AN$95,((I$2-5)*2-1),0),"")</f>
        <v>2435.0635000000002</v>
      </c>
      <c r="J84" s="457">
        <f>IFERROR(VLOOKUP($F$1,TCFV!$C$1:$AN$95,((J$2-5)*2-1),0),"")</f>
        <v>2906.5120999999999</v>
      </c>
      <c r="K84" s="457">
        <f>IFERROR(VLOOKUP($F$1,TCFV!$C$1:$AN$95,((K$2-5)*2-1),0),"")</f>
        <v>3454.3538999999992</v>
      </c>
      <c r="L84" s="457">
        <f>IFERROR(VLOOKUP($F$1,TCFV!$C$1:$AN$95,((L$2-5)*2-1),0),"")</f>
        <v>3939.0312999999996</v>
      </c>
      <c r="M84" s="457">
        <f>IFERROR(VLOOKUP($F$1,TCFV!$C$1:$AN$95,((M$2-5)*2-1),0),"")</f>
        <v>4423.7243000000008</v>
      </c>
      <c r="N84" s="457">
        <f>IFERROR(VLOOKUP($F$1,TCFV!$C$1:$AN$95,((N$2-5)*2-1),0),"")</f>
        <v>4828.7033000000001</v>
      </c>
      <c r="O84" s="457">
        <f>IFERROR(VLOOKUP($F$1,TCFV!$C$1:$AN$95,((O$2-5)*2-1),0),"")</f>
        <v>5301.8074999999999</v>
      </c>
      <c r="P84" s="457">
        <f>IFERROR(VLOOKUP($F$1,TCFV!$C$1:$AN$95,((P$2-5)*2-1),0),"")</f>
        <v>6281.9614999999994</v>
      </c>
      <c r="Q84" s="457">
        <f>IFERROR(VLOOKUP($F$1,TCFV!$C$1:$AN$95,((Q$2-5)*2-1),0),"")</f>
        <v>6293.8699000000006</v>
      </c>
      <c r="R84" s="457">
        <f>IFERROR(VLOOKUP($F$1,TCFV!$C$1:$AN$95,((R$2-5)*2-1),0),"")</f>
        <v>7204.2344999999996</v>
      </c>
      <c r="S84" s="457">
        <f>IFERROR(VLOOKUP($F$1,TCFV!$C$1:$AN$95,((S$2-5)*2-1),0),"")</f>
        <v>7244.6903000000002</v>
      </c>
      <c r="T84" s="457">
        <f>IFERROR(VLOOKUP($F$1,TCFV!$C$1:$AN$95,((T$2-5)*2-1),0),"")</f>
        <v>8114.5991000000013</v>
      </c>
      <c r="U84" s="457">
        <f>IFERROR(VLOOKUP($F$1,TCFV!$C$1:$AN$95,((U$2-5)*2-1),0),"")</f>
        <v>9241.5853000000006</v>
      </c>
      <c r="V84" s="457">
        <f>IFERROR(VLOOKUP($F$1,TCFV!$C$1:$AN$95,((V$2-5)*2-1),0),"")</f>
        <v>9278.7083000000021</v>
      </c>
      <c r="W84" s="457">
        <f>IFERROR(VLOOKUP($F$1,TCFV!$C$1:$AN$95,((W$2-5)*2-1),0),"")</f>
        <v>10090.2263</v>
      </c>
      <c r="X84" s="457">
        <f>IFERROR(VLOOKUP($F$1,TCFV!$C$1:$AN$95,((X$2-5)*2-1),0),"")</f>
        <v>10187.595900000002</v>
      </c>
      <c r="Y84" s="135"/>
      <c r="Z84" s="523" t="s">
        <v>1534</v>
      </c>
      <c r="AA84" s="135"/>
    </row>
    <row r="85" spans="1:27" x14ac:dyDescent="0.2">
      <c r="A85" s="294" t="s">
        <v>399</v>
      </c>
      <c r="B85" s="1664"/>
      <c r="C85" s="430" t="s">
        <v>399</v>
      </c>
      <c r="D85" s="291"/>
      <c r="E85" s="301"/>
      <c r="F85" s="301"/>
      <c r="G85" s="457">
        <f>IFERROR(VLOOKUP($F$1,TCFH!$C$1:$AN$67,((G$2-5)*2-1),0),"")</f>
        <v>868.77660000000026</v>
      </c>
      <c r="H85" s="457">
        <f>IFERROR(VLOOKUP($F$1,TCFH!$C$1:$AN$67,((H$2-5)*2-1),0),"")</f>
        <v>1096.2040999999999</v>
      </c>
      <c r="I85" s="457">
        <f>IFERROR(VLOOKUP($F$1,TCFH!$C$1:$AN$67,((I$2-5)*2-1),0),"")</f>
        <v>1273.4091000000001</v>
      </c>
      <c r="J85" s="457">
        <f>IFERROR(VLOOKUP($F$1,TCFH!$C$1:$AN$67,((J$2-5)*2-1),0),"")</f>
        <v>1479.9360999999999</v>
      </c>
      <c r="K85" s="457">
        <f>IFERROR(VLOOKUP($F$1,TCFH!$C$1:$AN$67,((K$2-5)*2-1),0),"")</f>
        <v>1767.4920999999999</v>
      </c>
      <c r="L85" s="457">
        <f>IFERROR(VLOOKUP($F$1,TCFH!$C$1:$AN$67,((L$2-5)*2-1),0),"")</f>
        <v>1956.7681000000002</v>
      </c>
      <c r="M85" s="457">
        <f>IFERROR(VLOOKUP($F$1,TCFH!$C$1:$AN$67,((M$2-5)*2-1),0),"")</f>
        <v>2196.9521</v>
      </c>
      <c r="N85" s="457">
        <f>IFERROR(VLOOKUP($F$1,TCFH!$C$1:$AN$67,((N$2-5)*2-1),0),"")</f>
        <v>2384.4661000000001</v>
      </c>
      <c r="O85" s="457">
        <f>IFERROR(VLOOKUP($F$1,TCFH!$C$1:$AN$67,((O$2-5)*2-1),0),"")</f>
        <v>2607.6851000000001</v>
      </c>
      <c r="P85" s="457">
        <f>IFERROR(VLOOKUP($F$1,TCFH!$C$1:$AN$67,((P$2-5)*2-1),0),"")</f>
        <v>3026.9660999999992</v>
      </c>
      <c r="Q85" s="457">
        <f>IFERROR(VLOOKUP($F$1,TCFH!$C$1:$AN$67,((Q$2-5)*2-1),0),"")</f>
        <v>3026.9660999999992</v>
      </c>
      <c r="R85" s="457">
        <f>IFERROR(VLOOKUP($F$1,TCFH!$C$1:$AN$67,((R$2-5)*2-1),0),"")</f>
        <v>3386.1127000000006</v>
      </c>
      <c r="S85" s="457">
        <f>IFERROR(VLOOKUP($F$1,TCFH!$C$1:$AN$67,((S$2-5)*2-1),0),"")</f>
        <v>3386.1127000000006</v>
      </c>
      <c r="T85" s="457">
        <f>IFERROR(VLOOKUP($F$1,TCFH!$C$1:$AN$67,((T$2-5)*2-1),0),"")</f>
        <v>3836.5441000000001</v>
      </c>
      <c r="U85" s="457">
        <f>IFERROR(VLOOKUP($F$1,TCFH!$C$1:$AN$67,((U$2-5)*2-1),0),"")</f>
        <v>4406.9501</v>
      </c>
      <c r="V85" s="457">
        <f>IFERROR(VLOOKUP($F$1,TCFH!$C$1:$AN$67,((V$2-5)*2-1),0),"")</f>
        <v>4406.9501</v>
      </c>
      <c r="W85" s="457">
        <f>IFERROR(VLOOKUP($F$1,TCFH!$C$1:$AN$67,((W$2-5)*2-1),0),"")</f>
        <v>4722.4804999999997</v>
      </c>
      <c r="X85" s="457">
        <f>IFERROR(VLOOKUP($F$1,TCFH!$C$1:$AN$67,((X$2-5)*2-1),0),"")</f>
        <v>4722.4804999999997</v>
      </c>
      <c r="Y85" s="135"/>
      <c r="Z85" s="523" t="s">
        <v>1535</v>
      </c>
      <c r="AA85" s="135"/>
    </row>
    <row r="86" spans="1:27" x14ac:dyDescent="0.2">
      <c r="A86" s="294" t="s">
        <v>1265</v>
      </c>
      <c r="B86" s="1664"/>
      <c r="C86" s="292" t="s">
        <v>270</v>
      </c>
      <c r="D86" s="291"/>
      <c r="E86" s="301"/>
      <c r="F86" s="301"/>
      <c r="G86" s="457">
        <f>IFERROR(VLOOKUP($F$1,TCBACS!$C$1:$AK$87,((G$2-5)*2-1),0),"")</f>
        <v>0</v>
      </c>
      <c r="H86" s="457">
        <f>IFERROR(VLOOKUP($F$1,TCBACS!$C$1:$AK$87,((H$2-5)*2-1),0),"")</f>
        <v>2015.4334000000001</v>
      </c>
      <c r="I86" s="457">
        <f>IFERROR(VLOOKUP($F$1,TCBACS!$C$1:$AK$87,((I$2-5)*2-1),0),"")</f>
        <v>0</v>
      </c>
      <c r="J86" s="457">
        <f>IFERROR(VLOOKUP($F$1,TCBACS!$C$1:$AK$87,((J$2-5)*2-1),0),"")</f>
        <v>3365.5829999999996</v>
      </c>
      <c r="K86" s="457">
        <f>IFERROR(VLOOKUP($F$1,TCBACS!$C$1:$AK$87,((K$2-5)*2-1),0),"")</f>
        <v>3930.654</v>
      </c>
      <c r="L86" s="457">
        <f>IFERROR(VLOOKUP($F$1,TCBACS!$C$1:$AK$87,((L$2-5)*2-1),0),"")</f>
        <v>0</v>
      </c>
      <c r="M86" s="457">
        <f>IFERROR(VLOOKUP($F$1,TCBACS!$C$1:$AK$87,((M$2-5)*2-1),0),"")</f>
        <v>0</v>
      </c>
      <c r="N86" s="457">
        <f>IFERROR(VLOOKUP($F$1,TCBACS!$C$1:$AK$87,((N$2-5)*2-1),0),"")</f>
        <v>0</v>
      </c>
      <c r="O86" s="457">
        <f>IFERROR(VLOOKUP($F$1,TCBACS!$C$1:$AK$87,((O$2-5)*2-1),0),"")</f>
        <v>6731.1659999999993</v>
      </c>
      <c r="P86" s="457">
        <f>IFERROR(VLOOKUP($F$1,TCBACS!$C$1:$AK$87,((P$2-5)*2-1),0),"")</f>
        <v>7861.308</v>
      </c>
      <c r="Q86" s="457">
        <f>IFERROR(VLOOKUP($F$1,TCBACS!$C$1:$AK$87,((Q$2-5)*2-1),0),"")</f>
        <v>0</v>
      </c>
      <c r="R86" s="457">
        <f>IFERROR(VLOOKUP($F$1,TCBACS!$C$1:$AK$87,((R$2-5)*2-1),0),"")</f>
        <v>0</v>
      </c>
      <c r="S86" s="457">
        <f>IFERROR(VLOOKUP($F$1,TCBACS!$C$1:$AK$87,((S$2-5)*2-1),0),"")</f>
        <v>0</v>
      </c>
      <c r="T86" s="457">
        <f>IFERROR(VLOOKUP($F$1,TCBACS!$C$1:$AK$87,((T$2-5)*2-1),0),"")</f>
        <v>0</v>
      </c>
      <c r="U86" s="457">
        <f>IFERROR(VLOOKUP($F$1,TCBACS!$C$1:$AK$87,((U$2-5)*2-1),0),"")</f>
        <v>0</v>
      </c>
      <c r="V86" s="457">
        <f>IFERROR(VLOOKUP($F$1,TCBACS!$C$1:$AK$87,((V$2-5)*2-1),0),"")</f>
        <v>0</v>
      </c>
      <c r="W86" s="457">
        <f>IFERROR(VLOOKUP($F$1,TCBACS!$C$1:$AK$87,((W$2-5)*2-1),0),"")</f>
        <v>13462.331999999999</v>
      </c>
      <c r="X86" s="457" t="str">
        <f>IFERROR(VLOOKUP($F$1,TCBACS!$C$1:$AK$87,((X$2-5)*2-1),0),"")</f>
        <v/>
      </c>
      <c r="Y86" s="135"/>
      <c r="Z86" s="523" t="s">
        <v>1536</v>
      </c>
      <c r="AA86" s="135"/>
    </row>
    <row r="87" spans="1:27" x14ac:dyDescent="0.2">
      <c r="A87" s="337"/>
      <c r="B87" s="337"/>
      <c r="C87" s="337"/>
      <c r="D87" s="337"/>
      <c r="E87" s="476"/>
      <c r="F87" s="476"/>
      <c r="G87" s="477"/>
      <c r="H87" s="477"/>
      <c r="I87" s="477"/>
      <c r="J87" s="477"/>
      <c r="K87" s="477"/>
      <c r="L87" s="477"/>
      <c r="M87" s="477"/>
      <c r="N87" s="477"/>
      <c r="O87" s="477"/>
      <c r="P87" s="477"/>
      <c r="Q87" s="477"/>
      <c r="R87" s="477"/>
      <c r="S87" s="477"/>
      <c r="T87" s="477"/>
      <c r="U87" s="477"/>
      <c r="V87" s="477"/>
      <c r="W87" s="477"/>
      <c r="X87" s="477"/>
      <c r="Y87" s="337"/>
      <c r="Z87" s="525"/>
      <c r="AA87" s="337"/>
    </row>
    <row r="88" spans="1:27" x14ac:dyDescent="0.2">
      <c r="A88" s="294" t="s">
        <v>1166</v>
      </c>
      <c r="B88" s="1664" t="s">
        <v>670</v>
      </c>
      <c r="C88" s="292" t="s">
        <v>671</v>
      </c>
      <c r="D88" s="291" t="s">
        <v>672</v>
      </c>
      <c r="E88" s="301"/>
      <c r="F88" s="301"/>
      <c r="G88" s="457" t="str">
        <f>IFERROR(VLOOKUP($F$1,'PS1'!$C$1:$AM$36,((G$2-5)*2-1),0),"")</f>
        <v/>
      </c>
      <c r="H88" s="457">
        <f>IFERROR(VLOOKUP($F$1,'PS1'!$C$1:$AM$36,((H$2-5)*2-1),0),"")</f>
        <v>315.46699999999998</v>
      </c>
      <c r="I88" s="457">
        <f>IFERROR(VLOOKUP($F$1,'PS1'!$C$1:$AM$36,((I$2-5)*2-1),0),"")</f>
        <v>400.166</v>
      </c>
      <c r="J88" s="457">
        <f>IFERROR(VLOOKUP($F$1,'PS1'!$C$1:$AM$36,((J$2-5)*2-1),0),"")</f>
        <v>458.31799999999998</v>
      </c>
      <c r="K88" s="457">
        <f>IFERROR(VLOOKUP($F$1,'PS1'!$C$1:$AM$36,((K$2-5)*2-1),0),"")</f>
        <v>620.27800000000002</v>
      </c>
      <c r="L88" s="457">
        <f>IFERROR(VLOOKUP($F$1,'PS1'!$C$1:$AM$36,((L$2-5)*2-1),0),"")</f>
        <v>692.16</v>
      </c>
      <c r="M88" s="457">
        <f>IFERROR(VLOOKUP($F$1,'PS1'!$C$1:$AM$36,((M$2-5)*2-1),0),"")</f>
        <v>884.84999999999991</v>
      </c>
      <c r="N88" s="457">
        <f>IFERROR(VLOOKUP($F$1,'PS1'!$C$1:$AM$36,((N$2-5)*2-1),0),"")</f>
        <v>934.50200000000007</v>
      </c>
      <c r="O88" s="457">
        <f>IFERROR(VLOOKUP($F$1,'PS1'!$C$1:$AM$36,((O$2-5)*2-1),0),"")</f>
        <v>1127.192</v>
      </c>
      <c r="P88" s="457">
        <f>IFERROR(VLOOKUP($F$1,'PS1'!$C$1:$AM$36,((P$2-5)*2-1),0),"")</f>
        <v>1438.4879999999998</v>
      </c>
      <c r="Q88" s="457" t="str">
        <f>IFERROR(VLOOKUP($F$1,'PS1'!$C$1:$AM$36,((Q$2-5)*2-1),0),"")</f>
        <v>/</v>
      </c>
      <c r="R88" s="457">
        <f>IFERROR(VLOOKUP($F$1,'PS1'!$C$1:$AM$36,((R$2-5)*2-1),0),"")</f>
        <v>1598.9820000000002</v>
      </c>
      <c r="S88" s="457">
        <f>IFERROR(VLOOKUP($F$1,'PS1'!$C$1:$AM$36,((S$2-5)*2-1),0),"")</f>
        <v>1666.7520000000002</v>
      </c>
      <c r="T88" s="457">
        <f>IFERROR(VLOOKUP($F$1,'PS1'!$C$1:$AM$36,((T$2-5)*2-1),0),"")</f>
        <v>1883.7060000000001</v>
      </c>
      <c r="U88" s="457">
        <f>IFERROR(VLOOKUP($F$1,'PS1'!$C$1:$AM$36,((U$2-5)*2-1),0),"")</f>
        <v>1985.61</v>
      </c>
      <c r="V88" s="457">
        <f>IFERROR(VLOOKUP($F$1,'PS1'!$C$1:$AM$36,((V$2-5)*2-1),0),"")</f>
        <v>1985.8799999999999</v>
      </c>
      <c r="W88" s="457">
        <f>IFERROR(VLOOKUP($F$1,'PS1'!$C$1:$AM$36,((W$2-5)*2-1),0),"")</f>
        <v>2334.527</v>
      </c>
      <c r="X88" s="457" t="str">
        <f>IFERROR(VLOOKUP($F$1,'PS1'!$C$1:$AM$36,((X$2-5)*2-1),0),"")</f>
        <v/>
      </c>
      <c r="Y88" s="135"/>
      <c r="Z88" s="523" t="s">
        <v>1515</v>
      </c>
      <c r="AA88" s="135"/>
    </row>
    <row r="89" spans="1:27" x14ac:dyDescent="0.2">
      <c r="A89" s="294" t="s">
        <v>1167</v>
      </c>
      <c r="B89" s="1664"/>
      <c r="C89" s="292" t="s">
        <v>671</v>
      </c>
      <c r="D89" s="291" t="s">
        <v>673</v>
      </c>
      <c r="E89" s="301"/>
      <c r="F89" s="301"/>
      <c r="G89" s="457"/>
      <c r="H89" s="457"/>
      <c r="I89" s="457"/>
      <c r="J89" s="457"/>
      <c r="K89" s="457"/>
      <c r="L89" s="457"/>
      <c r="M89" s="457"/>
      <c r="N89" s="457"/>
      <c r="O89" s="457"/>
      <c r="P89" s="457"/>
      <c r="Q89" s="457"/>
      <c r="R89" s="457"/>
      <c r="S89" s="457"/>
      <c r="T89" s="457"/>
      <c r="U89" s="457"/>
      <c r="V89" s="457"/>
      <c r="W89" s="457"/>
      <c r="X89" s="457"/>
      <c r="Y89" s="135"/>
      <c r="Z89" s="523"/>
      <c r="AA89" s="135"/>
    </row>
    <row r="90" spans="1:27" x14ac:dyDescent="0.2">
      <c r="A90" s="3"/>
      <c r="B90" s="3"/>
      <c r="C90" s="3"/>
      <c r="D90" s="3"/>
      <c r="E90" s="3"/>
      <c r="F90" s="3"/>
      <c r="G90" s="135"/>
      <c r="H90" s="135"/>
      <c r="I90" s="135"/>
      <c r="J90" s="135"/>
      <c r="K90" s="135"/>
      <c r="L90" s="135"/>
      <c r="M90" s="135"/>
      <c r="N90" s="135"/>
      <c r="O90" s="135"/>
      <c r="P90" s="135"/>
      <c r="Q90" s="135"/>
      <c r="R90" s="135"/>
      <c r="S90" s="135"/>
      <c r="T90" s="135"/>
      <c r="U90" s="135"/>
      <c r="V90" s="135"/>
      <c r="W90" s="135"/>
      <c r="X90" s="135"/>
      <c r="Y90" s="135"/>
      <c r="Z90" s="523"/>
      <c r="AA90" s="135"/>
    </row>
    <row r="91" spans="1:27" ht="15" customHeight="1" x14ac:dyDescent="0.2">
      <c r="A91" s="305" t="s">
        <v>1298</v>
      </c>
      <c r="B91" s="1662" t="s">
        <v>439</v>
      </c>
      <c r="C91" s="1663" t="s">
        <v>652</v>
      </c>
      <c r="D91" s="306" t="s">
        <v>546</v>
      </c>
      <c r="E91" s="301"/>
      <c r="F91" s="301"/>
      <c r="G91" s="457">
        <f t="shared" ref="G91:X91" si="1">IF(G4="","",G$84+G4)</f>
        <v>2656.2445625199998</v>
      </c>
      <c r="H91" s="457">
        <f t="shared" si="1"/>
        <v>3316.5706210000008</v>
      </c>
      <c r="I91" s="457">
        <f t="shared" si="1"/>
        <v>4024.3169082000004</v>
      </c>
      <c r="J91" s="457">
        <f t="shared" si="1"/>
        <v>4597.1336518000007</v>
      </c>
      <c r="K91" s="457">
        <f t="shared" si="1"/>
        <v>5273.3435953999997</v>
      </c>
      <c r="L91" s="457">
        <f t="shared" si="1"/>
        <v>5863.8891389999999</v>
      </c>
      <c r="M91" s="457">
        <f t="shared" si="1"/>
        <v>6463.4502826000007</v>
      </c>
      <c r="N91" s="457">
        <f t="shared" si="1"/>
        <v>6969.7974262000007</v>
      </c>
      <c r="O91" s="457">
        <f t="shared" si="1"/>
        <v>7535.2697698000002</v>
      </c>
      <c r="P91" s="457">
        <f t="shared" si="1"/>
        <v>8776.1220570000005</v>
      </c>
      <c r="Q91" s="457">
        <f t="shared" si="1"/>
        <v>8972.766744200002</v>
      </c>
      <c r="R91" s="457">
        <f t="shared" si="1"/>
        <v>9993.4994877999998</v>
      </c>
      <c r="S91" s="457">
        <f t="shared" si="1"/>
        <v>9950.5871442000007</v>
      </c>
      <c r="T91" s="457">
        <f t="shared" si="1"/>
        <v>11018.732231400001</v>
      </c>
      <c r="U91" s="457">
        <f t="shared" si="1"/>
        <v>12260.586575000001</v>
      </c>
      <c r="V91" s="457">
        <f t="shared" si="1"/>
        <v>12390.077718600003</v>
      </c>
      <c r="W91" s="457">
        <f t="shared" si="1"/>
        <v>13408.832005800001</v>
      </c>
      <c r="X91" s="457">
        <f t="shared" si="1"/>
        <v>13330.465318600003</v>
      </c>
      <c r="Y91" s="135"/>
      <c r="Z91" s="523"/>
      <c r="AA91" s="135"/>
    </row>
    <row r="92" spans="1:27" ht="15" customHeight="1" x14ac:dyDescent="0.2">
      <c r="A92" s="305" t="s">
        <v>1299</v>
      </c>
      <c r="B92" s="1662"/>
      <c r="C92" s="1663"/>
      <c r="D92" s="235" t="s">
        <v>548</v>
      </c>
      <c r="E92" s="302"/>
      <c r="F92" s="302"/>
      <c r="G92" s="457">
        <f t="shared" ref="G92:X92" si="2">IF(G5="","",G$84+G5)</f>
        <v>2997.0015685999997</v>
      </c>
      <c r="H92" s="457">
        <f t="shared" si="2"/>
        <v>3804.4752050000006</v>
      </c>
      <c r="I92" s="457">
        <f t="shared" si="2"/>
        <v>4679.8888810000008</v>
      </c>
      <c r="J92" s="457">
        <f t="shared" si="2"/>
        <v>5340.8479790000001</v>
      </c>
      <c r="K92" s="457">
        <f t="shared" si="2"/>
        <v>6078.2002769999999</v>
      </c>
      <c r="L92" s="457">
        <f t="shared" si="2"/>
        <v>6752.388175</v>
      </c>
      <c r="M92" s="457">
        <f t="shared" si="2"/>
        <v>7426.5916730000008</v>
      </c>
      <c r="N92" s="457">
        <f t="shared" si="2"/>
        <v>8016.772511000001</v>
      </c>
      <c r="O92" s="457">
        <f t="shared" si="2"/>
        <v>8675.0785489999998</v>
      </c>
      <c r="P92" s="457">
        <f t="shared" si="2"/>
        <v>10025.636224999998</v>
      </c>
      <c r="Q92" s="457">
        <f t="shared" si="2"/>
        <v>10399.330980999999</v>
      </c>
      <c r="R92" s="457">
        <f t="shared" si="2"/>
        <v>11499.206079</v>
      </c>
      <c r="S92" s="457">
        <f t="shared" si="2"/>
        <v>11358.768701000001</v>
      </c>
      <c r="T92" s="457">
        <f t="shared" si="2"/>
        <v>12599.081177000002</v>
      </c>
      <c r="U92" s="457">
        <f t="shared" si="2"/>
        <v>13915.577875000003</v>
      </c>
      <c r="V92" s="457">
        <f t="shared" si="2"/>
        <v>14133.594053000004</v>
      </c>
      <c r="W92" s="457">
        <f t="shared" si="2"/>
        <v>15315.515729000002</v>
      </c>
      <c r="X92" s="457">
        <f t="shared" si="2"/>
        <v>15051.098973000004</v>
      </c>
      <c r="Y92" s="135"/>
      <c r="Z92" s="324"/>
      <c r="AA92" s="135"/>
    </row>
    <row r="93" spans="1:27" ht="15" customHeight="1" x14ac:dyDescent="0.2">
      <c r="A93" s="305" t="s">
        <v>1300</v>
      </c>
      <c r="B93" s="1662"/>
      <c r="C93" s="1663"/>
      <c r="D93" s="235" t="s">
        <v>653</v>
      </c>
      <c r="E93" s="301"/>
      <c r="F93" s="301"/>
      <c r="G93" s="457">
        <f t="shared" ref="G93:X93" si="3">IF(G6="","",G$84+G6)</f>
        <v>2226.3746335999999</v>
      </c>
      <c r="H93" s="457">
        <f t="shared" si="3"/>
        <v>2846.6823800000002</v>
      </c>
      <c r="I93" s="457">
        <f t="shared" si="3"/>
        <v>3517.9638760000003</v>
      </c>
      <c r="J93" s="457">
        <f t="shared" si="3"/>
        <v>4072.5482240000001</v>
      </c>
      <c r="K93" s="457">
        <f t="shared" si="3"/>
        <v>4703.5257719999991</v>
      </c>
      <c r="L93" s="457">
        <f t="shared" si="3"/>
        <v>5271.3389200000001</v>
      </c>
      <c r="M93" s="457">
        <f t="shared" si="3"/>
        <v>5839.167668000001</v>
      </c>
      <c r="N93" s="457">
        <f t="shared" si="3"/>
        <v>6327.282416</v>
      </c>
      <c r="O93" s="457">
        <f t="shared" si="3"/>
        <v>6883.5223640000004</v>
      </c>
      <c r="P93" s="457">
        <f t="shared" si="3"/>
        <v>8029.9478599999993</v>
      </c>
      <c r="Q93" s="457">
        <f t="shared" si="3"/>
        <v>8208.1277559999999</v>
      </c>
      <c r="R93" s="457">
        <f t="shared" si="3"/>
        <v>9201.6281039999994</v>
      </c>
      <c r="S93" s="457">
        <f t="shared" si="3"/>
        <v>9158.9481560000004</v>
      </c>
      <c r="T93" s="457">
        <f t="shared" si="3"/>
        <v>10195.128452000001</v>
      </c>
      <c r="U93" s="457">
        <f t="shared" si="3"/>
        <v>11405.250400000001</v>
      </c>
      <c r="V93" s="457">
        <f t="shared" si="3"/>
        <v>11525.509148000001</v>
      </c>
      <c r="W93" s="457">
        <f t="shared" si="3"/>
        <v>12503.298644</v>
      </c>
      <c r="X93" s="457">
        <f t="shared" si="3"/>
        <v>12434.396748000003</v>
      </c>
      <c r="Y93" s="135"/>
      <c r="Z93" s="324"/>
      <c r="AA93" s="135"/>
    </row>
    <row r="94" spans="1:27" ht="15" customHeight="1" x14ac:dyDescent="0.2">
      <c r="A94" s="305" t="s">
        <v>1301</v>
      </c>
      <c r="B94" s="1662"/>
      <c r="C94" s="1663"/>
      <c r="D94" s="235" t="s">
        <v>551</v>
      </c>
      <c r="E94" s="302"/>
      <c r="F94" s="302"/>
      <c r="G94" s="457">
        <f t="shared" ref="G94:X94" si="4">IF(G7="","",G$84+G7)</f>
        <v>2677.6786000000002</v>
      </c>
      <c r="H94" s="457">
        <f t="shared" si="4"/>
        <v>3141.6955000000007</v>
      </c>
      <c r="I94" s="457">
        <f t="shared" si="4"/>
        <v>3975.4035000000003</v>
      </c>
      <c r="J94" s="457">
        <f t="shared" si="4"/>
        <v>4741.7011000000002</v>
      </c>
      <c r="K94" s="457">
        <f t="shared" si="4"/>
        <v>5584.3918999999987</v>
      </c>
      <c r="L94" s="457">
        <f t="shared" si="4"/>
        <v>6363.9182999999994</v>
      </c>
      <c r="M94" s="457">
        <f t="shared" si="4"/>
        <v>7143.4603000000006</v>
      </c>
      <c r="N94" s="457">
        <f t="shared" si="4"/>
        <v>7843.2883000000002</v>
      </c>
      <c r="O94" s="457">
        <f t="shared" si="4"/>
        <v>8611.2415000000001</v>
      </c>
      <c r="P94" s="457">
        <f t="shared" si="4"/>
        <v>10145.093499999999</v>
      </c>
      <c r="Q94" s="457">
        <f t="shared" si="4"/>
        <v>10260.6999</v>
      </c>
      <c r="R94" s="457">
        <f t="shared" si="4"/>
        <v>11690.913499999999</v>
      </c>
      <c r="S94" s="457">
        <f t="shared" si="4"/>
        <v>11733.5203</v>
      </c>
      <c r="T94" s="457">
        <f t="shared" si="4"/>
        <v>13157.127100000002</v>
      </c>
      <c r="U94" s="457">
        <f t="shared" si="4"/>
        <v>14803.962300000001</v>
      </c>
      <c r="V94" s="457">
        <f t="shared" si="4"/>
        <v>14910.934300000001</v>
      </c>
      <c r="W94" s="457">
        <f t="shared" si="4"/>
        <v>16276.150300000001</v>
      </c>
      <c r="X94" s="457">
        <f t="shared" si="4"/>
        <v>16341.821900000003</v>
      </c>
      <c r="Y94" s="135"/>
      <c r="Z94" s="324"/>
      <c r="AA94" s="135"/>
    </row>
    <row r="95" spans="1:27" ht="15" customHeight="1" x14ac:dyDescent="0.2">
      <c r="A95" s="305" t="s">
        <v>1302</v>
      </c>
      <c r="B95" s="1662"/>
      <c r="C95" s="1661" t="s">
        <v>654</v>
      </c>
      <c r="D95" s="307" t="s">
        <v>657</v>
      </c>
      <c r="E95" s="301"/>
      <c r="F95" s="301"/>
      <c r="G95" s="457">
        <f t="shared" ref="G95:X95" si="5">IF(G8="","",G$84+G8)</f>
        <v>1852.2471700000001</v>
      </c>
      <c r="H95" s="457">
        <f t="shared" si="5"/>
        <v>2412.3736833333337</v>
      </c>
      <c r="I95" s="457">
        <f t="shared" si="5"/>
        <v>3013.193666666667</v>
      </c>
      <c r="J95" s="457">
        <f t="shared" si="5"/>
        <v>3545.0324000000001</v>
      </c>
      <c r="K95" s="457">
        <f t="shared" si="5"/>
        <v>4153.2643333333326</v>
      </c>
      <c r="L95" s="457">
        <f t="shared" si="5"/>
        <v>4698.3318666666664</v>
      </c>
      <c r="M95" s="457">
        <f t="shared" si="5"/>
        <v>5243.4150000000009</v>
      </c>
      <c r="N95" s="457">
        <f t="shared" si="5"/>
        <v>5707.5556333333334</v>
      </c>
      <c r="O95" s="457">
        <f t="shared" si="5"/>
        <v>6239.8214666666663</v>
      </c>
      <c r="P95" s="457">
        <f t="shared" si="5"/>
        <v>7337.7854499999994</v>
      </c>
      <c r="Q95" s="457">
        <f t="shared" si="5"/>
        <v>7421.0468333333338</v>
      </c>
      <c r="R95" s="457">
        <f t="shared" si="5"/>
        <v>8413.801566666667</v>
      </c>
      <c r="S95" s="457">
        <f t="shared" si="5"/>
        <v>8419.3508000000002</v>
      </c>
      <c r="T95" s="457">
        <f t="shared" si="5"/>
        <v>9407.0695833333339</v>
      </c>
      <c r="U95" s="457">
        <f t="shared" si="5"/>
        <v>10616.445916666667</v>
      </c>
      <c r="V95" s="457">
        <f t="shared" si="5"/>
        <v>10689.502050000003</v>
      </c>
      <c r="W95" s="457">
        <f t="shared" si="5"/>
        <v>11618.830033333334</v>
      </c>
      <c r="X95" s="457">
        <f t="shared" si="5"/>
        <v>11645.873216666669</v>
      </c>
      <c r="Y95" s="135"/>
      <c r="Z95" s="324"/>
      <c r="AA95" s="135"/>
    </row>
    <row r="96" spans="1:27" ht="15" customHeight="1" x14ac:dyDescent="0.2">
      <c r="A96" s="305" t="s">
        <v>1303</v>
      </c>
      <c r="B96" s="1662"/>
      <c r="C96" s="1661"/>
      <c r="D96" s="306" t="s">
        <v>546</v>
      </c>
      <c r="E96" s="301"/>
      <c r="F96" s="301"/>
      <c r="G96" s="457">
        <f t="shared" ref="G96:X96" si="6">IF(G9="","",G$84+G9)</f>
        <v>2233.1669887600001</v>
      </c>
      <c r="H96" s="457">
        <f t="shared" si="6"/>
        <v>2842.7714330000008</v>
      </c>
      <c r="I96" s="457">
        <f t="shared" si="6"/>
        <v>3501.5458466000005</v>
      </c>
      <c r="J96" s="457">
        <f t="shared" si="6"/>
        <v>4058.8179934</v>
      </c>
      <c r="K96" s="457">
        <f t="shared" si="6"/>
        <v>4701.4833401999995</v>
      </c>
      <c r="L96" s="457">
        <f t="shared" si="6"/>
        <v>5267.4842869999993</v>
      </c>
      <c r="M96" s="457">
        <f t="shared" si="6"/>
        <v>5842.5008338000007</v>
      </c>
      <c r="N96" s="457">
        <f t="shared" si="6"/>
        <v>6335.3620406000009</v>
      </c>
      <c r="O96" s="457">
        <f t="shared" si="6"/>
        <v>6900.8484473999997</v>
      </c>
      <c r="P96" s="457">
        <f t="shared" si="6"/>
        <v>7934.324360999999</v>
      </c>
      <c r="Q96" s="457">
        <f t="shared" si="6"/>
        <v>8073.6644946000015</v>
      </c>
      <c r="R96" s="457">
        <f t="shared" si="6"/>
        <v>9071.8776413999985</v>
      </c>
      <c r="S96" s="457">
        <f t="shared" si="6"/>
        <v>9059.8675746000008</v>
      </c>
      <c r="T96" s="457">
        <f t="shared" si="6"/>
        <v>10092.590788200001</v>
      </c>
      <c r="U96" s="457">
        <f t="shared" si="6"/>
        <v>11320.925535</v>
      </c>
      <c r="V96" s="457">
        <f t="shared" si="6"/>
        <v>11428.514401800003</v>
      </c>
      <c r="W96" s="457">
        <f t="shared" si="6"/>
        <v>12407.3468154</v>
      </c>
      <c r="X96" s="457">
        <f t="shared" si="6"/>
        <v>12377.284681800003</v>
      </c>
      <c r="Y96" s="135"/>
      <c r="Z96" s="324"/>
      <c r="AA96" s="135"/>
    </row>
    <row r="97" spans="1:27" ht="15" customHeight="1" x14ac:dyDescent="0.2">
      <c r="A97" s="305" t="s">
        <v>1304</v>
      </c>
      <c r="B97" s="1662"/>
      <c r="C97" s="1661"/>
      <c r="D97" s="235" t="s">
        <v>653</v>
      </c>
      <c r="E97" s="302"/>
      <c r="F97" s="302"/>
      <c r="G97" s="457">
        <f t="shared" ref="G97:X97" si="7">IF(G10="","",G$84+G10)</f>
        <v>2038.5513449999999</v>
      </c>
      <c r="H97" s="457">
        <f t="shared" si="7"/>
        <v>2629.5446500000007</v>
      </c>
      <c r="I97" s="457">
        <f t="shared" si="7"/>
        <v>3265.8101000000001</v>
      </c>
      <c r="J97" s="457">
        <f t="shared" si="7"/>
        <v>3813.8864249999997</v>
      </c>
      <c r="K97" s="457">
        <f t="shared" si="7"/>
        <v>4438.3559499999992</v>
      </c>
      <c r="L97" s="457">
        <f t="shared" si="7"/>
        <v>4999.661075</v>
      </c>
      <c r="M97" s="457">
        <f t="shared" si="7"/>
        <v>5560.9818000000014</v>
      </c>
      <c r="N97" s="457">
        <f t="shared" si="7"/>
        <v>6042.5885250000001</v>
      </c>
      <c r="O97" s="457">
        <f t="shared" si="7"/>
        <v>6592.3204499999993</v>
      </c>
      <c r="P97" s="457">
        <f t="shared" si="7"/>
        <v>7725.7298999999994</v>
      </c>
      <c r="Q97" s="457">
        <f t="shared" si="7"/>
        <v>7846.8937500000011</v>
      </c>
      <c r="R97" s="457">
        <f t="shared" si="7"/>
        <v>8855.8860750000003</v>
      </c>
      <c r="S97" s="457">
        <f t="shared" si="7"/>
        <v>8841.7141499999998</v>
      </c>
      <c r="T97" s="457">
        <f t="shared" si="7"/>
        <v>9864.8784000000014</v>
      </c>
      <c r="U97" s="457">
        <f t="shared" si="7"/>
        <v>11090.492325000001</v>
      </c>
      <c r="V97" s="457">
        <f t="shared" si="7"/>
        <v>11182.243050000003</v>
      </c>
      <c r="W97" s="457">
        <f t="shared" si="7"/>
        <v>12147.016500000002</v>
      </c>
      <c r="X97" s="457">
        <f t="shared" si="7"/>
        <v>12135.130650000003</v>
      </c>
      <c r="Y97" s="135"/>
      <c r="Z97" s="324"/>
      <c r="AA97" s="135"/>
    </row>
    <row r="98" spans="1:27" ht="15" customHeight="1" x14ac:dyDescent="0.2">
      <c r="A98" s="305" t="s">
        <v>1305</v>
      </c>
      <c r="B98" s="1662"/>
      <c r="C98" s="1661" t="s">
        <v>523</v>
      </c>
      <c r="D98" s="471" t="s">
        <v>656</v>
      </c>
      <c r="E98" s="301"/>
      <c r="F98" s="301"/>
      <c r="G98" s="457">
        <f t="shared" ref="G98:X98" si="8">IF(G11="","",G$84+G11)</f>
        <v>2064.209985</v>
      </c>
      <c r="H98" s="457">
        <f t="shared" si="8"/>
        <v>2663.3054500000003</v>
      </c>
      <c r="I98" s="457">
        <f t="shared" si="8"/>
        <v>3299.5709000000002</v>
      </c>
      <c r="J98" s="457">
        <f t="shared" si="8"/>
        <v>3857.7749249999997</v>
      </c>
      <c r="K98" s="457">
        <f t="shared" si="8"/>
        <v>4492.3721499999992</v>
      </c>
      <c r="L98" s="457">
        <f t="shared" si="8"/>
        <v>5063.8049749999991</v>
      </c>
      <c r="M98" s="457">
        <f t="shared" si="8"/>
        <v>5635.2534000000014</v>
      </c>
      <c r="N98" s="457">
        <f t="shared" si="8"/>
        <v>6116.8601250000002</v>
      </c>
      <c r="O98" s="457">
        <f t="shared" si="8"/>
        <v>6666.5920499999993</v>
      </c>
      <c r="P98" s="457">
        <f t="shared" si="8"/>
        <v>7800.0014999999994</v>
      </c>
      <c r="Q98" s="457">
        <f t="shared" si="8"/>
        <v>7900.9099500000011</v>
      </c>
      <c r="R98" s="457">
        <f t="shared" si="8"/>
        <v>8920.0299749999995</v>
      </c>
      <c r="S98" s="457">
        <f t="shared" si="8"/>
        <v>8915.9857499999998</v>
      </c>
      <c r="T98" s="457">
        <f t="shared" si="8"/>
        <v>9939.1500000000015</v>
      </c>
      <c r="U98" s="457">
        <f t="shared" si="8"/>
        <v>11174.891625</v>
      </c>
      <c r="V98" s="457">
        <f t="shared" si="8"/>
        <v>11256.514650000003</v>
      </c>
      <c r="W98" s="457">
        <f t="shared" si="8"/>
        <v>12221.288100000002</v>
      </c>
      <c r="X98" s="457">
        <f t="shared" si="8"/>
        <v>12229.657650000003</v>
      </c>
      <c r="Y98" s="135"/>
      <c r="Z98" s="324"/>
      <c r="AA98" s="135"/>
    </row>
    <row r="99" spans="1:27" ht="15" customHeight="1" x14ac:dyDescent="0.2">
      <c r="A99" s="305" t="s">
        <v>1306</v>
      </c>
      <c r="B99" s="1662"/>
      <c r="C99" s="1661"/>
      <c r="D99" s="307" t="s">
        <v>657</v>
      </c>
      <c r="E99" s="302"/>
      <c r="F99" s="302"/>
      <c r="G99" s="457">
        <f t="shared" ref="G99:X99" si="9">IF(G12="","",G$84+G12)</f>
        <v>2156.9909895999999</v>
      </c>
      <c r="H99" s="457">
        <f t="shared" si="9"/>
        <v>2863.9094633333339</v>
      </c>
      <c r="I99" s="457">
        <f t="shared" si="9"/>
        <v>3573.6566560000001</v>
      </c>
      <c r="J99" s="457">
        <f t="shared" si="9"/>
        <v>4159.7238523333335</v>
      </c>
      <c r="K99" s="457">
        <f t="shared" si="9"/>
        <v>4802.6842486666665</v>
      </c>
      <c r="L99" s="457">
        <f t="shared" si="9"/>
        <v>5421.4802449999997</v>
      </c>
      <c r="M99" s="457">
        <f t="shared" si="9"/>
        <v>6020.7918413333337</v>
      </c>
      <c r="N99" s="457">
        <f t="shared" si="9"/>
        <v>6540.3894376666667</v>
      </c>
      <c r="O99" s="457">
        <f t="shared" si="9"/>
        <v>7128.1122340000002</v>
      </c>
      <c r="P99" s="457">
        <f t="shared" si="9"/>
        <v>8317.4184266666671</v>
      </c>
      <c r="Q99" s="457">
        <f t="shared" si="9"/>
        <v>8411.4790193333338</v>
      </c>
      <c r="R99" s="457">
        <f t="shared" si="9"/>
        <v>9559.0472156666674</v>
      </c>
      <c r="S99" s="457">
        <f t="shared" si="9"/>
        <v>9519.1344193333334</v>
      </c>
      <c r="T99" s="457">
        <f t="shared" si="9"/>
        <v>10628.030412000002</v>
      </c>
      <c r="U99" s="457">
        <f t="shared" si="9"/>
        <v>11913.635208333333</v>
      </c>
      <c r="V99" s="457">
        <f t="shared" si="9"/>
        <v>12021.376804666668</v>
      </c>
      <c r="W99" s="457">
        <f t="shared" si="9"/>
        <v>13062.131997333334</v>
      </c>
      <c r="X99" s="457">
        <f t="shared" si="9"/>
        <v>13018.264404666668</v>
      </c>
      <c r="Y99" s="135"/>
      <c r="Z99" s="324"/>
      <c r="AA99" s="135"/>
    </row>
    <row r="100" spans="1:27" ht="15" customHeight="1" x14ac:dyDescent="0.2">
      <c r="A100" s="305" t="s">
        <v>1307</v>
      </c>
      <c r="B100" s="1670" t="s">
        <v>399</v>
      </c>
      <c r="C100" s="1661" t="s">
        <v>545</v>
      </c>
      <c r="D100" s="306" t="s">
        <v>546</v>
      </c>
      <c r="E100" s="301"/>
      <c r="F100" s="301"/>
      <c r="G100" s="457" t="str">
        <f t="shared" ref="G100:X100" si="10">IF(G13="","",G$85+G13)</f>
        <v/>
      </c>
      <c r="H100" s="457" t="str">
        <f t="shared" si="10"/>
        <v/>
      </c>
      <c r="I100" s="457" t="str">
        <f t="shared" si="10"/>
        <v/>
      </c>
      <c r="J100" s="457" t="str">
        <f t="shared" si="10"/>
        <v/>
      </c>
      <c r="K100" s="457" t="str">
        <f t="shared" si="10"/>
        <v/>
      </c>
      <c r="L100" s="457" t="str">
        <f t="shared" si="10"/>
        <v/>
      </c>
      <c r="M100" s="457" t="str">
        <f t="shared" si="10"/>
        <v/>
      </c>
      <c r="N100" s="457" t="str">
        <f t="shared" si="10"/>
        <v/>
      </c>
      <c r="O100" s="457" t="str">
        <f t="shared" si="10"/>
        <v/>
      </c>
      <c r="P100" s="457" t="str">
        <f t="shared" si="10"/>
        <v/>
      </c>
      <c r="Q100" s="457" t="str">
        <f t="shared" si="10"/>
        <v/>
      </c>
      <c r="R100" s="457" t="str">
        <f t="shared" si="10"/>
        <v/>
      </c>
      <c r="S100" s="457" t="str">
        <f t="shared" si="10"/>
        <v/>
      </c>
      <c r="T100" s="457" t="str">
        <f t="shared" si="10"/>
        <v/>
      </c>
      <c r="U100" s="457" t="str">
        <f t="shared" si="10"/>
        <v/>
      </c>
      <c r="V100" s="457" t="str">
        <f t="shared" si="10"/>
        <v/>
      </c>
      <c r="W100" s="457" t="str">
        <f t="shared" si="10"/>
        <v/>
      </c>
      <c r="X100" s="457" t="str">
        <f t="shared" si="10"/>
        <v/>
      </c>
      <c r="Y100" s="135"/>
      <c r="Z100" s="324"/>
      <c r="AA100" s="135"/>
    </row>
    <row r="101" spans="1:27" ht="15" customHeight="1" x14ac:dyDescent="0.2">
      <c r="A101" s="305" t="s">
        <v>1308</v>
      </c>
      <c r="B101" s="1670"/>
      <c r="C101" s="1661"/>
      <c r="D101" s="235" t="s">
        <v>548</v>
      </c>
      <c r="E101" s="302"/>
      <c r="F101" s="302"/>
      <c r="G101" s="457" t="str">
        <f t="shared" ref="G101:X101" si="11">IF(G14="","",G$85+G14)</f>
        <v/>
      </c>
      <c r="H101" s="457" t="str">
        <f t="shared" si="11"/>
        <v/>
      </c>
      <c r="I101" s="457" t="str">
        <f t="shared" si="11"/>
        <v/>
      </c>
      <c r="J101" s="457" t="str">
        <f t="shared" si="11"/>
        <v/>
      </c>
      <c r="K101" s="457" t="str">
        <f t="shared" si="11"/>
        <v/>
      </c>
      <c r="L101" s="457" t="str">
        <f t="shared" si="11"/>
        <v/>
      </c>
      <c r="M101" s="457" t="str">
        <f t="shared" si="11"/>
        <v/>
      </c>
      <c r="N101" s="457" t="str">
        <f t="shared" si="11"/>
        <v/>
      </c>
      <c r="O101" s="457" t="str">
        <f t="shared" si="11"/>
        <v/>
      </c>
      <c r="P101" s="457" t="str">
        <f t="shared" si="11"/>
        <v/>
      </c>
      <c r="Q101" s="457" t="str">
        <f t="shared" si="11"/>
        <v/>
      </c>
      <c r="R101" s="457" t="str">
        <f t="shared" si="11"/>
        <v/>
      </c>
      <c r="S101" s="457" t="str">
        <f t="shared" si="11"/>
        <v/>
      </c>
      <c r="T101" s="457" t="str">
        <f t="shared" si="11"/>
        <v/>
      </c>
      <c r="U101" s="457" t="str">
        <f t="shared" si="11"/>
        <v/>
      </c>
      <c r="V101" s="457" t="str">
        <f t="shared" si="11"/>
        <v/>
      </c>
      <c r="W101" s="457" t="str">
        <f t="shared" si="11"/>
        <v/>
      </c>
      <c r="X101" s="457" t="str">
        <f t="shared" si="11"/>
        <v/>
      </c>
      <c r="Y101" s="135"/>
      <c r="Z101" s="324"/>
      <c r="AA101" s="135"/>
    </row>
    <row r="102" spans="1:27" ht="15" customHeight="1" x14ac:dyDescent="0.2">
      <c r="A102" s="305" t="s">
        <v>1309</v>
      </c>
      <c r="B102" s="1670"/>
      <c r="C102" s="1661"/>
      <c r="D102" s="235" t="s">
        <v>653</v>
      </c>
      <c r="E102" s="301"/>
      <c r="F102" s="301"/>
      <c r="G102" s="457" t="str">
        <f t="shared" ref="G102:X102" si="12">IF(G15="","",G$85+G15)</f>
        <v/>
      </c>
      <c r="H102" s="457" t="str">
        <f t="shared" si="12"/>
        <v/>
      </c>
      <c r="I102" s="457" t="str">
        <f t="shared" si="12"/>
        <v/>
      </c>
      <c r="J102" s="457" t="str">
        <f t="shared" si="12"/>
        <v/>
      </c>
      <c r="K102" s="457" t="str">
        <f t="shared" si="12"/>
        <v/>
      </c>
      <c r="L102" s="457" t="str">
        <f t="shared" si="12"/>
        <v/>
      </c>
      <c r="M102" s="457" t="str">
        <f t="shared" si="12"/>
        <v/>
      </c>
      <c r="N102" s="457" t="str">
        <f t="shared" si="12"/>
        <v/>
      </c>
      <c r="O102" s="457" t="str">
        <f t="shared" si="12"/>
        <v/>
      </c>
      <c r="P102" s="457" t="str">
        <f t="shared" si="12"/>
        <v/>
      </c>
      <c r="Q102" s="457" t="str">
        <f t="shared" si="12"/>
        <v/>
      </c>
      <c r="R102" s="457" t="str">
        <f t="shared" si="12"/>
        <v/>
      </c>
      <c r="S102" s="457" t="str">
        <f t="shared" si="12"/>
        <v/>
      </c>
      <c r="T102" s="457" t="str">
        <f t="shared" si="12"/>
        <v/>
      </c>
      <c r="U102" s="457" t="str">
        <f t="shared" si="12"/>
        <v/>
      </c>
      <c r="V102" s="457" t="str">
        <f t="shared" si="12"/>
        <v/>
      </c>
      <c r="W102" s="457" t="str">
        <f t="shared" si="12"/>
        <v/>
      </c>
      <c r="X102" s="457" t="str">
        <f t="shared" si="12"/>
        <v/>
      </c>
      <c r="Y102" s="135"/>
      <c r="Z102" s="324"/>
      <c r="AA102" s="135"/>
    </row>
    <row r="103" spans="1:27" ht="15" customHeight="1" x14ac:dyDescent="0.2">
      <c r="A103" s="305" t="s">
        <v>1310</v>
      </c>
      <c r="B103" s="1670"/>
      <c r="C103" s="1661"/>
      <c r="D103" s="235" t="s">
        <v>551</v>
      </c>
      <c r="E103" s="302"/>
      <c r="F103" s="302"/>
      <c r="G103" s="457" t="str">
        <f t="shared" ref="G103:X103" si="13">IF(G16="","",G$85+G16)</f>
        <v/>
      </c>
      <c r="H103" s="457" t="str">
        <f t="shared" si="13"/>
        <v/>
      </c>
      <c r="I103" s="457" t="str">
        <f t="shared" si="13"/>
        <v/>
      </c>
      <c r="J103" s="457" t="str">
        <f t="shared" si="13"/>
        <v/>
      </c>
      <c r="K103" s="457" t="str">
        <f t="shared" si="13"/>
        <v/>
      </c>
      <c r="L103" s="457" t="str">
        <f t="shared" si="13"/>
        <v/>
      </c>
      <c r="M103" s="457" t="str">
        <f t="shared" si="13"/>
        <v/>
      </c>
      <c r="N103" s="457" t="str">
        <f t="shared" si="13"/>
        <v/>
      </c>
      <c r="O103" s="457" t="str">
        <f t="shared" si="13"/>
        <v/>
      </c>
      <c r="P103" s="457" t="str">
        <f t="shared" si="13"/>
        <v/>
      </c>
      <c r="Q103" s="457" t="str">
        <f t="shared" si="13"/>
        <v/>
      </c>
      <c r="R103" s="457" t="str">
        <f t="shared" si="13"/>
        <v/>
      </c>
      <c r="S103" s="457" t="str">
        <f t="shared" si="13"/>
        <v/>
      </c>
      <c r="T103" s="457" t="str">
        <f t="shared" si="13"/>
        <v/>
      </c>
      <c r="U103" s="457" t="str">
        <f t="shared" si="13"/>
        <v/>
      </c>
      <c r="V103" s="457" t="str">
        <f t="shared" si="13"/>
        <v/>
      </c>
      <c r="W103" s="457" t="str">
        <f t="shared" si="13"/>
        <v/>
      </c>
      <c r="X103" s="457" t="str">
        <f t="shared" si="13"/>
        <v/>
      </c>
      <c r="Y103" s="135"/>
      <c r="Z103" s="324"/>
      <c r="AA103" s="135"/>
    </row>
    <row r="104" spans="1:27" ht="15" customHeight="1" x14ac:dyDescent="0.2">
      <c r="A104" s="305" t="s">
        <v>1311</v>
      </c>
      <c r="B104" s="1670"/>
      <c r="C104" s="1661" t="s">
        <v>555</v>
      </c>
      <c r="D104" s="235" t="s">
        <v>655</v>
      </c>
      <c r="E104" s="301"/>
      <c r="F104" s="301"/>
      <c r="G104" s="457" t="str">
        <f t="shared" ref="G104:X104" si="14">IF(G17="","",G$85+G17)</f>
        <v/>
      </c>
      <c r="H104" s="457" t="str">
        <f t="shared" si="14"/>
        <v/>
      </c>
      <c r="I104" s="457" t="str">
        <f t="shared" si="14"/>
        <v/>
      </c>
      <c r="J104" s="457" t="str">
        <f t="shared" si="14"/>
        <v/>
      </c>
      <c r="K104" s="457" t="str">
        <f t="shared" si="14"/>
        <v/>
      </c>
      <c r="L104" s="457" t="str">
        <f t="shared" si="14"/>
        <v/>
      </c>
      <c r="M104" s="457" t="str">
        <f t="shared" si="14"/>
        <v/>
      </c>
      <c r="N104" s="457" t="str">
        <f t="shared" si="14"/>
        <v/>
      </c>
      <c r="O104" s="457" t="str">
        <f t="shared" si="14"/>
        <v/>
      </c>
      <c r="P104" s="457" t="str">
        <f t="shared" si="14"/>
        <v/>
      </c>
      <c r="Q104" s="457" t="str">
        <f t="shared" si="14"/>
        <v/>
      </c>
      <c r="R104" s="457" t="str">
        <f t="shared" si="14"/>
        <v/>
      </c>
      <c r="S104" s="457" t="str">
        <f t="shared" si="14"/>
        <v/>
      </c>
      <c r="T104" s="457" t="str">
        <f t="shared" si="14"/>
        <v/>
      </c>
      <c r="U104" s="457" t="str">
        <f t="shared" si="14"/>
        <v/>
      </c>
      <c r="V104" s="457" t="str">
        <f t="shared" si="14"/>
        <v/>
      </c>
      <c r="W104" s="457" t="str">
        <f t="shared" si="14"/>
        <v/>
      </c>
      <c r="X104" s="457" t="str">
        <f t="shared" si="14"/>
        <v/>
      </c>
      <c r="Y104" s="135"/>
      <c r="Z104" s="324"/>
      <c r="AA104" s="135"/>
    </row>
    <row r="105" spans="1:27" ht="15" customHeight="1" x14ac:dyDescent="0.2">
      <c r="A105" s="305" t="s">
        <v>1312</v>
      </c>
      <c r="B105" s="1670"/>
      <c r="C105" s="1661"/>
      <c r="D105" s="306" t="s">
        <v>546</v>
      </c>
      <c r="E105" s="301"/>
      <c r="F105" s="301"/>
      <c r="G105" s="457" t="str">
        <f t="shared" ref="G105:X105" si="15">IF(G18="","",G$85+G18)</f>
        <v/>
      </c>
      <c r="H105" s="457" t="str">
        <f t="shared" si="15"/>
        <v/>
      </c>
      <c r="I105" s="457" t="str">
        <f t="shared" si="15"/>
        <v/>
      </c>
      <c r="J105" s="457" t="str">
        <f t="shared" si="15"/>
        <v/>
      </c>
      <c r="K105" s="457" t="str">
        <f t="shared" si="15"/>
        <v/>
      </c>
      <c r="L105" s="457" t="str">
        <f t="shared" si="15"/>
        <v/>
      </c>
      <c r="M105" s="457" t="str">
        <f t="shared" si="15"/>
        <v/>
      </c>
      <c r="N105" s="457" t="str">
        <f t="shared" si="15"/>
        <v/>
      </c>
      <c r="O105" s="457" t="str">
        <f t="shared" si="15"/>
        <v/>
      </c>
      <c r="P105" s="457" t="str">
        <f t="shared" si="15"/>
        <v/>
      </c>
      <c r="Q105" s="457" t="str">
        <f t="shared" si="15"/>
        <v/>
      </c>
      <c r="R105" s="457" t="str">
        <f t="shared" si="15"/>
        <v/>
      </c>
      <c r="S105" s="457" t="str">
        <f t="shared" si="15"/>
        <v/>
      </c>
      <c r="T105" s="457" t="str">
        <f t="shared" si="15"/>
        <v/>
      </c>
      <c r="U105" s="457" t="str">
        <f t="shared" si="15"/>
        <v/>
      </c>
      <c r="V105" s="457" t="str">
        <f t="shared" si="15"/>
        <v/>
      </c>
      <c r="W105" s="457" t="str">
        <f t="shared" si="15"/>
        <v/>
      </c>
      <c r="X105" s="457" t="str">
        <f t="shared" si="15"/>
        <v/>
      </c>
      <c r="Y105" s="135"/>
      <c r="Z105" s="324"/>
      <c r="AA105" s="135"/>
    </row>
    <row r="106" spans="1:27" ht="15.6" customHeight="1" x14ac:dyDescent="0.2">
      <c r="A106" s="305" t="s">
        <v>1313</v>
      </c>
      <c r="B106" s="1670"/>
      <c r="C106" s="1661"/>
      <c r="D106" s="235" t="s">
        <v>653</v>
      </c>
      <c r="E106" s="302"/>
      <c r="F106" s="302"/>
      <c r="G106" s="457" t="str">
        <f t="shared" ref="G106:X106" si="16">IF(G19="","",G$85+G19)</f>
        <v/>
      </c>
      <c r="H106" s="457" t="str">
        <f t="shared" si="16"/>
        <v/>
      </c>
      <c r="I106" s="457" t="str">
        <f t="shared" si="16"/>
        <v/>
      </c>
      <c r="J106" s="457" t="str">
        <f t="shared" si="16"/>
        <v/>
      </c>
      <c r="K106" s="457" t="str">
        <f t="shared" si="16"/>
        <v/>
      </c>
      <c r="L106" s="457" t="str">
        <f t="shared" si="16"/>
        <v/>
      </c>
      <c r="M106" s="457" t="str">
        <f t="shared" si="16"/>
        <v/>
      </c>
      <c r="N106" s="457" t="str">
        <f t="shared" si="16"/>
        <v/>
      </c>
      <c r="O106" s="457" t="str">
        <f t="shared" si="16"/>
        <v/>
      </c>
      <c r="P106" s="457" t="str">
        <f t="shared" si="16"/>
        <v/>
      </c>
      <c r="Q106" s="457" t="str">
        <f t="shared" si="16"/>
        <v/>
      </c>
      <c r="R106" s="457" t="str">
        <f t="shared" si="16"/>
        <v/>
      </c>
      <c r="S106" s="457" t="str">
        <f t="shared" si="16"/>
        <v/>
      </c>
      <c r="T106" s="457" t="str">
        <f t="shared" si="16"/>
        <v/>
      </c>
      <c r="U106" s="457" t="str">
        <f t="shared" si="16"/>
        <v/>
      </c>
      <c r="V106" s="457" t="str">
        <f t="shared" si="16"/>
        <v/>
      </c>
      <c r="W106" s="457" t="str">
        <f t="shared" si="16"/>
        <v/>
      </c>
      <c r="X106" s="457" t="str">
        <f t="shared" si="16"/>
        <v/>
      </c>
      <c r="Y106" s="135"/>
      <c r="Z106" s="324"/>
      <c r="AA106" s="135"/>
    </row>
    <row r="107" spans="1:27" ht="15" customHeight="1" x14ac:dyDescent="0.2">
      <c r="A107" s="305" t="s">
        <v>1314</v>
      </c>
      <c r="B107" s="1670"/>
      <c r="C107" s="1672" t="s">
        <v>523</v>
      </c>
      <c r="D107" s="307" t="s">
        <v>656</v>
      </c>
      <c r="E107" s="301"/>
      <c r="F107" s="301"/>
      <c r="G107" s="457" t="str">
        <f t="shared" ref="G107:X107" si="17">IF(G20="","",G$85+G20)</f>
        <v/>
      </c>
      <c r="H107" s="457" t="str">
        <f t="shared" si="17"/>
        <v/>
      </c>
      <c r="I107" s="457" t="str">
        <f t="shared" si="17"/>
        <v/>
      </c>
      <c r="J107" s="457" t="str">
        <f t="shared" si="17"/>
        <v/>
      </c>
      <c r="K107" s="457" t="str">
        <f t="shared" si="17"/>
        <v/>
      </c>
      <c r="L107" s="457" t="str">
        <f t="shared" si="17"/>
        <v/>
      </c>
      <c r="M107" s="457" t="str">
        <f t="shared" si="17"/>
        <v/>
      </c>
      <c r="N107" s="457" t="str">
        <f t="shared" si="17"/>
        <v/>
      </c>
      <c r="O107" s="457" t="str">
        <f t="shared" si="17"/>
        <v/>
      </c>
      <c r="P107" s="457" t="str">
        <f t="shared" si="17"/>
        <v/>
      </c>
      <c r="Q107" s="457" t="str">
        <f t="shared" si="17"/>
        <v/>
      </c>
      <c r="R107" s="457" t="str">
        <f t="shared" si="17"/>
        <v/>
      </c>
      <c r="S107" s="457" t="str">
        <f t="shared" si="17"/>
        <v/>
      </c>
      <c r="T107" s="457" t="str">
        <f t="shared" si="17"/>
        <v/>
      </c>
      <c r="U107" s="457" t="str">
        <f t="shared" si="17"/>
        <v/>
      </c>
      <c r="V107" s="457" t="str">
        <f t="shared" si="17"/>
        <v/>
      </c>
      <c r="W107" s="457" t="str">
        <f t="shared" si="17"/>
        <v/>
      </c>
      <c r="X107" s="457" t="str">
        <f t="shared" si="17"/>
        <v/>
      </c>
      <c r="Y107" s="135"/>
      <c r="Z107" s="324"/>
      <c r="AA107" s="135"/>
    </row>
    <row r="108" spans="1:27" ht="15" customHeight="1" x14ac:dyDescent="0.2">
      <c r="A108" s="305" t="s">
        <v>1315</v>
      </c>
      <c r="B108" s="1670"/>
      <c r="C108" s="1663"/>
      <c r="D108" s="235" t="s">
        <v>657</v>
      </c>
      <c r="E108" s="301"/>
      <c r="F108" s="301"/>
      <c r="G108" s="457">
        <f t="shared" ref="G108:X108" si="18">IF(G21="","",G$85+G21)</f>
        <v>1342.3823833333336</v>
      </c>
      <c r="H108" s="457">
        <f t="shared" si="18"/>
        <v>1746.6386333333335</v>
      </c>
      <c r="I108" s="457">
        <f t="shared" si="18"/>
        <v>2016.1436333333334</v>
      </c>
      <c r="J108" s="457">
        <f t="shared" si="18"/>
        <v>2356.3136333333332</v>
      </c>
      <c r="K108" s="457">
        <f t="shared" si="18"/>
        <v>2777.5126333333333</v>
      </c>
      <c r="L108" s="457">
        <f t="shared" si="18"/>
        <v>3100.4316333333336</v>
      </c>
      <c r="M108" s="457">
        <f t="shared" si="18"/>
        <v>3474.2586333333334</v>
      </c>
      <c r="N108" s="457">
        <f t="shared" si="18"/>
        <v>3685.9582333333337</v>
      </c>
      <c r="O108" s="457">
        <f t="shared" si="18"/>
        <v>4025.7916333333333</v>
      </c>
      <c r="P108" s="457">
        <f t="shared" si="18"/>
        <v>4673.8014333333322</v>
      </c>
      <c r="Q108" s="457">
        <f t="shared" si="18"/>
        <v>4678.3014333333322</v>
      </c>
      <c r="R108" s="457">
        <f t="shared" si="18"/>
        <v>5190.285233333334</v>
      </c>
      <c r="S108" s="457">
        <f t="shared" si="18"/>
        <v>5194.785233333334</v>
      </c>
      <c r="T108" s="457">
        <f t="shared" si="18"/>
        <v>5814.8367333333335</v>
      </c>
      <c r="U108" s="457">
        <f t="shared" si="18"/>
        <v>6588.428633333333</v>
      </c>
      <c r="V108" s="457">
        <f t="shared" si="18"/>
        <v>6592.928633333333</v>
      </c>
      <c r="W108" s="457">
        <f t="shared" si="18"/>
        <v>7061.0505333333331</v>
      </c>
      <c r="X108" s="457" t="str">
        <f t="shared" si="18"/>
        <v/>
      </c>
      <c r="Y108" s="135"/>
      <c r="Z108" s="324"/>
      <c r="AA108" s="135"/>
    </row>
    <row r="109" spans="1:27" ht="15" customHeight="1" x14ac:dyDescent="0.2">
      <c r="A109" s="305" t="s">
        <v>1316</v>
      </c>
      <c r="B109" s="468"/>
      <c r="C109" s="469"/>
      <c r="D109" s="306"/>
      <c r="E109" s="301"/>
      <c r="F109" s="301"/>
      <c r="G109" s="457"/>
      <c r="H109" s="457"/>
      <c r="I109" s="457"/>
      <c r="J109" s="457"/>
      <c r="K109" s="457"/>
      <c r="L109" s="457"/>
      <c r="M109" s="457"/>
      <c r="N109" s="457"/>
      <c r="O109" s="457"/>
      <c r="P109" s="457"/>
      <c r="Q109" s="457"/>
      <c r="R109" s="457"/>
      <c r="S109" s="457"/>
      <c r="T109" s="457"/>
      <c r="U109" s="457"/>
      <c r="V109" s="457"/>
      <c r="W109" s="457"/>
      <c r="X109" s="457"/>
      <c r="Y109" s="135"/>
      <c r="Z109" s="324"/>
      <c r="AA109" s="135"/>
    </row>
    <row r="110" spans="1:27" ht="15" customHeight="1" x14ac:dyDescent="0.2">
      <c r="A110" s="305" t="s">
        <v>558</v>
      </c>
      <c r="B110" s="1668" t="s">
        <v>408</v>
      </c>
      <c r="C110" s="480" t="s">
        <v>562</v>
      </c>
      <c r="D110" s="235" t="s">
        <v>1424</v>
      </c>
      <c r="E110" s="301"/>
      <c r="F110" s="301"/>
      <c r="G110" s="457">
        <f t="shared" ref="G110:X110" si="19">IF(G22="","",G$86+G22)</f>
        <v>0</v>
      </c>
      <c r="H110" s="457">
        <f t="shared" si="19"/>
        <v>2295.9134000000004</v>
      </c>
      <c r="I110" s="457">
        <f t="shared" si="19"/>
        <v>0</v>
      </c>
      <c r="J110" s="457">
        <f t="shared" si="19"/>
        <v>3846.3829999999998</v>
      </c>
      <c r="K110" s="457">
        <f t="shared" si="19"/>
        <v>4465.2139999999999</v>
      </c>
      <c r="L110" s="457">
        <f t="shared" si="19"/>
        <v>0</v>
      </c>
      <c r="M110" s="457">
        <f t="shared" si="19"/>
        <v>0</v>
      </c>
      <c r="N110" s="457">
        <f t="shared" si="19"/>
        <v>0</v>
      </c>
      <c r="O110" s="457">
        <f t="shared" si="19"/>
        <v>7692.7659999999996</v>
      </c>
      <c r="P110" s="457">
        <f t="shared" si="19"/>
        <v>8983.2279999999992</v>
      </c>
      <c r="Q110" s="457">
        <f t="shared" si="19"/>
        <v>0</v>
      </c>
      <c r="R110" s="457">
        <f t="shared" si="19"/>
        <v>0</v>
      </c>
      <c r="S110" s="457">
        <f t="shared" si="19"/>
        <v>0</v>
      </c>
      <c r="T110" s="457">
        <f t="shared" si="19"/>
        <v>0</v>
      </c>
      <c r="U110" s="457">
        <f t="shared" si="19"/>
        <v>0</v>
      </c>
      <c r="V110" s="457">
        <f t="shared" si="19"/>
        <v>0</v>
      </c>
      <c r="W110" s="457">
        <f t="shared" si="19"/>
        <v>15505.531999999999</v>
      </c>
      <c r="X110" s="457" t="str">
        <f t="shared" si="19"/>
        <v/>
      </c>
      <c r="Y110" s="135"/>
      <c r="Z110" s="324"/>
      <c r="AA110" s="135"/>
    </row>
    <row r="111" spans="1:27" ht="15" customHeight="1" x14ac:dyDescent="0.2">
      <c r="A111" s="305" t="s">
        <v>559</v>
      </c>
      <c r="B111" s="1668"/>
      <c r="C111" s="480" t="s">
        <v>654</v>
      </c>
      <c r="D111" s="235" t="s">
        <v>1425</v>
      </c>
      <c r="E111" s="301"/>
      <c r="F111" s="301"/>
      <c r="G111" s="457">
        <f t="shared" ref="G111:X111" si="20">IF(G23="","",G$86+G23)</f>
        <v>0</v>
      </c>
      <c r="H111" s="457">
        <f t="shared" si="20"/>
        <v>2193.0734000000002</v>
      </c>
      <c r="I111" s="457">
        <f t="shared" si="20"/>
        <v>0</v>
      </c>
      <c r="J111" s="457">
        <f t="shared" si="20"/>
        <v>3658.9829999999997</v>
      </c>
      <c r="K111" s="457">
        <f t="shared" si="20"/>
        <v>4265.9340000000002</v>
      </c>
      <c r="L111" s="457">
        <f t="shared" si="20"/>
        <v>0</v>
      </c>
      <c r="M111" s="457">
        <f t="shared" si="20"/>
        <v>0</v>
      </c>
      <c r="N111" s="457">
        <f t="shared" si="20"/>
        <v>0</v>
      </c>
      <c r="O111" s="457">
        <f t="shared" si="20"/>
        <v>7277.9659999999994</v>
      </c>
      <c r="P111" s="457">
        <f t="shared" si="20"/>
        <v>8491.8680000000004</v>
      </c>
      <c r="Q111" s="457">
        <f t="shared" si="20"/>
        <v>0</v>
      </c>
      <c r="R111" s="457">
        <f t="shared" si="20"/>
        <v>0</v>
      </c>
      <c r="S111" s="457">
        <f t="shared" si="20"/>
        <v>0</v>
      </c>
      <c r="T111" s="457">
        <f t="shared" si="20"/>
        <v>0</v>
      </c>
      <c r="U111" s="457">
        <f t="shared" si="20"/>
        <v>0</v>
      </c>
      <c r="V111" s="457">
        <f t="shared" si="20"/>
        <v>0</v>
      </c>
      <c r="W111" s="457">
        <f t="shared" si="20"/>
        <v>14519.931999999999</v>
      </c>
      <c r="X111" s="457" t="str">
        <f t="shared" si="20"/>
        <v/>
      </c>
      <c r="Y111" s="135"/>
      <c r="Z111" s="324"/>
      <c r="AA111" s="135"/>
    </row>
    <row r="112" spans="1:27" ht="15" customHeight="1" x14ac:dyDescent="0.2">
      <c r="A112" s="305" t="s">
        <v>560</v>
      </c>
      <c r="B112" s="1668"/>
      <c r="C112" s="479" t="s">
        <v>523</v>
      </c>
      <c r="D112" s="235" t="s">
        <v>1426</v>
      </c>
      <c r="E112" s="301"/>
      <c r="F112" s="301"/>
      <c r="G112" s="457">
        <f t="shared" ref="G112:X112" si="21">IF(G24="","",G$86+G24)</f>
        <v>0</v>
      </c>
      <c r="H112" s="457">
        <f t="shared" si="21"/>
        <v>2389.5134000000003</v>
      </c>
      <c r="I112" s="457">
        <f t="shared" si="21"/>
        <v>0</v>
      </c>
      <c r="J112" s="457">
        <f t="shared" si="21"/>
        <v>3934.3829999999998</v>
      </c>
      <c r="K112" s="457">
        <f t="shared" si="21"/>
        <v>4596.8140000000003</v>
      </c>
      <c r="L112" s="457">
        <f t="shared" si="21"/>
        <v>0</v>
      </c>
      <c r="M112" s="457">
        <f t="shared" si="21"/>
        <v>0</v>
      </c>
      <c r="N112" s="457">
        <f t="shared" si="21"/>
        <v>0</v>
      </c>
      <c r="O112" s="457">
        <f t="shared" si="21"/>
        <v>7738.7659999999996</v>
      </c>
      <c r="P112" s="457">
        <f t="shared" si="21"/>
        <v>9010.8279999999995</v>
      </c>
      <c r="Q112" s="457">
        <f t="shared" si="21"/>
        <v>0</v>
      </c>
      <c r="R112" s="457">
        <f t="shared" si="21"/>
        <v>0</v>
      </c>
      <c r="S112" s="457">
        <f t="shared" si="21"/>
        <v>0</v>
      </c>
      <c r="T112" s="457">
        <f t="shared" si="21"/>
        <v>0</v>
      </c>
      <c r="U112" s="457">
        <f t="shared" si="21"/>
        <v>0</v>
      </c>
      <c r="V112" s="457">
        <f t="shared" si="21"/>
        <v>0</v>
      </c>
      <c r="W112" s="457">
        <f t="shared" si="21"/>
        <v>15209.931999999999</v>
      </c>
      <c r="X112" s="457" t="str">
        <f t="shared" si="21"/>
        <v/>
      </c>
      <c r="Y112" s="135"/>
      <c r="Z112" s="324"/>
      <c r="AA112" s="135"/>
    </row>
    <row r="113" spans="1:27" ht="15" customHeight="1" x14ac:dyDescent="0.2">
      <c r="A113" s="305" t="s">
        <v>1298</v>
      </c>
      <c r="B113" s="1662" t="s">
        <v>1423</v>
      </c>
      <c r="C113" s="1663" t="s">
        <v>652</v>
      </c>
      <c r="D113" s="306" t="s">
        <v>546</v>
      </c>
      <c r="E113" s="301"/>
      <c r="F113" s="301"/>
      <c r="G113" s="457">
        <f>G91+G$108</f>
        <v>3998.6269458533334</v>
      </c>
      <c r="H113" s="457">
        <f t="shared" ref="H113:X113" si="22">H91+H$108</f>
        <v>5063.2092543333347</v>
      </c>
      <c r="I113" s="457">
        <f t="shared" si="22"/>
        <v>6040.4605415333335</v>
      </c>
      <c r="J113" s="457">
        <f t="shared" si="22"/>
        <v>6953.4472851333339</v>
      </c>
      <c r="K113" s="457">
        <f t="shared" si="22"/>
        <v>8050.8562287333334</v>
      </c>
      <c r="L113" s="457">
        <f t="shared" si="22"/>
        <v>8964.3207723333326</v>
      </c>
      <c r="M113" s="457">
        <f t="shared" si="22"/>
        <v>9937.7089159333336</v>
      </c>
      <c r="N113" s="457">
        <f t="shared" si="22"/>
        <v>10655.755659533334</v>
      </c>
      <c r="O113" s="457">
        <f t="shared" si="22"/>
        <v>11561.061403133333</v>
      </c>
      <c r="P113" s="457">
        <f t="shared" si="22"/>
        <v>13449.923490333333</v>
      </c>
      <c r="Q113" s="457">
        <f t="shared" si="22"/>
        <v>13651.068177533334</v>
      </c>
      <c r="R113" s="457">
        <f t="shared" si="22"/>
        <v>15183.784721133334</v>
      </c>
      <c r="S113" s="457">
        <f t="shared" si="22"/>
        <v>15145.372377533335</v>
      </c>
      <c r="T113" s="457">
        <f t="shared" si="22"/>
        <v>16833.568964733335</v>
      </c>
      <c r="U113" s="457">
        <f t="shared" si="22"/>
        <v>18849.015208333334</v>
      </c>
      <c r="V113" s="457">
        <f t="shared" si="22"/>
        <v>18983.006351933334</v>
      </c>
      <c r="W113" s="457">
        <f t="shared" si="22"/>
        <v>20469.882539133334</v>
      </c>
      <c r="X113" s="457" t="e">
        <f t="shared" si="22"/>
        <v>#VALUE!</v>
      </c>
      <c r="Y113" s="135"/>
      <c r="Z113" s="324"/>
      <c r="AA113" s="135"/>
    </row>
    <row r="114" spans="1:27" ht="15" customHeight="1" x14ac:dyDescent="0.2">
      <c r="A114" s="305" t="s">
        <v>1299</v>
      </c>
      <c r="B114" s="1662"/>
      <c r="C114" s="1663"/>
      <c r="D114" s="235" t="s">
        <v>548</v>
      </c>
      <c r="E114" s="302"/>
      <c r="F114" s="302"/>
      <c r="G114" s="457">
        <f t="shared" ref="G114:X114" si="23">G92+G$108</f>
        <v>4339.3839519333333</v>
      </c>
      <c r="H114" s="457">
        <f t="shared" si="23"/>
        <v>5551.1138383333346</v>
      </c>
      <c r="I114" s="457">
        <f t="shared" si="23"/>
        <v>6696.0325143333339</v>
      </c>
      <c r="J114" s="457">
        <f t="shared" si="23"/>
        <v>7697.1616123333333</v>
      </c>
      <c r="K114" s="457">
        <f t="shared" si="23"/>
        <v>8855.7129103333336</v>
      </c>
      <c r="L114" s="457">
        <f t="shared" si="23"/>
        <v>9852.8198083333336</v>
      </c>
      <c r="M114" s="457">
        <f t="shared" si="23"/>
        <v>10900.850306333334</v>
      </c>
      <c r="N114" s="457">
        <f t="shared" si="23"/>
        <v>11702.730744333334</v>
      </c>
      <c r="O114" s="457">
        <f t="shared" si="23"/>
        <v>12700.870182333332</v>
      </c>
      <c r="P114" s="457">
        <f t="shared" si="23"/>
        <v>14699.437658333331</v>
      </c>
      <c r="Q114" s="457">
        <f t="shared" si="23"/>
        <v>15077.632414333331</v>
      </c>
      <c r="R114" s="457">
        <f t="shared" si="23"/>
        <v>16689.491312333332</v>
      </c>
      <c r="S114" s="457">
        <f t="shared" si="23"/>
        <v>16553.553934333337</v>
      </c>
      <c r="T114" s="457">
        <f t="shared" si="23"/>
        <v>18413.917910333337</v>
      </c>
      <c r="U114" s="457">
        <f t="shared" si="23"/>
        <v>20504.006508333336</v>
      </c>
      <c r="V114" s="457">
        <f t="shared" si="23"/>
        <v>20726.522686333337</v>
      </c>
      <c r="W114" s="457">
        <f t="shared" si="23"/>
        <v>22376.566262333334</v>
      </c>
      <c r="X114" s="457" t="e">
        <f t="shared" si="23"/>
        <v>#VALUE!</v>
      </c>
      <c r="Y114" s="135"/>
      <c r="Z114" s="324"/>
      <c r="AA114" s="135"/>
    </row>
    <row r="115" spans="1:27" ht="15" customHeight="1" x14ac:dyDescent="0.2">
      <c r="A115" s="305" t="s">
        <v>1300</v>
      </c>
      <c r="B115" s="1662"/>
      <c r="C115" s="1663"/>
      <c r="D115" s="235" t="s">
        <v>653</v>
      </c>
      <c r="E115" s="301"/>
      <c r="F115" s="301"/>
      <c r="G115" s="457">
        <f t="shared" ref="G115:X115" si="24">G93+G$108</f>
        <v>3568.7570169333335</v>
      </c>
      <c r="H115" s="457">
        <f t="shared" si="24"/>
        <v>4593.3210133333341</v>
      </c>
      <c r="I115" s="457">
        <f t="shared" si="24"/>
        <v>5534.1075093333338</v>
      </c>
      <c r="J115" s="457">
        <f t="shared" si="24"/>
        <v>6428.8618573333333</v>
      </c>
      <c r="K115" s="457">
        <f t="shared" si="24"/>
        <v>7481.0384053333328</v>
      </c>
      <c r="L115" s="457">
        <f t="shared" si="24"/>
        <v>8371.7705533333337</v>
      </c>
      <c r="M115" s="457">
        <f t="shared" si="24"/>
        <v>9313.4263013333348</v>
      </c>
      <c r="N115" s="457">
        <f t="shared" si="24"/>
        <v>10013.240649333333</v>
      </c>
      <c r="O115" s="457">
        <f t="shared" si="24"/>
        <v>10909.313997333335</v>
      </c>
      <c r="P115" s="457">
        <f t="shared" si="24"/>
        <v>12703.749293333331</v>
      </c>
      <c r="Q115" s="457">
        <f t="shared" si="24"/>
        <v>12886.429189333332</v>
      </c>
      <c r="R115" s="457">
        <f t="shared" si="24"/>
        <v>14391.913337333333</v>
      </c>
      <c r="S115" s="457">
        <f t="shared" si="24"/>
        <v>14353.733389333334</v>
      </c>
      <c r="T115" s="457">
        <f t="shared" si="24"/>
        <v>16009.965185333334</v>
      </c>
      <c r="U115" s="457">
        <f t="shared" si="24"/>
        <v>17993.679033333334</v>
      </c>
      <c r="V115" s="457">
        <f t="shared" si="24"/>
        <v>18118.437781333334</v>
      </c>
      <c r="W115" s="457">
        <f t="shared" si="24"/>
        <v>19564.349177333334</v>
      </c>
      <c r="X115" s="457" t="e">
        <f t="shared" si="24"/>
        <v>#VALUE!</v>
      </c>
      <c r="Y115" s="135"/>
      <c r="Z115" s="324"/>
      <c r="AA115" s="135"/>
    </row>
    <row r="116" spans="1:27" ht="15" customHeight="1" x14ac:dyDescent="0.2">
      <c r="A116" s="305" t="s">
        <v>1302</v>
      </c>
      <c r="B116" s="1662"/>
      <c r="C116" s="1661" t="s">
        <v>654</v>
      </c>
      <c r="D116" s="307" t="s">
        <v>657</v>
      </c>
      <c r="E116" s="301"/>
      <c r="F116" s="301"/>
      <c r="G116" s="457">
        <f t="shared" ref="G116:X116" si="25">G95+G$108</f>
        <v>3194.6295533333337</v>
      </c>
      <c r="H116" s="457">
        <f t="shared" si="25"/>
        <v>4159.0123166666672</v>
      </c>
      <c r="I116" s="457">
        <f t="shared" si="25"/>
        <v>5029.3373000000001</v>
      </c>
      <c r="J116" s="457">
        <f t="shared" si="25"/>
        <v>5901.3460333333333</v>
      </c>
      <c r="K116" s="457">
        <f t="shared" si="25"/>
        <v>6930.7769666666663</v>
      </c>
      <c r="L116" s="457">
        <f t="shared" si="25"/>
        <v>7798.7635</v>
      </c>
      <c r="M116" s="457">
        <f t="shared" si="25"/>
        <v>8717.6736333333338</v>
      </c>
      <c r="N116" s="457">
        <f t="shared" si="25"/>
        <v>9393.513866666668</v>
      </c>
      <c r="O116" s="457">
        <f t="shared" si="25"/>
        <v>10265.613099999999</v>
      </c>
      <c r="P116" s="457">
        <f t="shared" si="25"/>
        <v>12011.586883333332</v>
      </c>
      <c r="Q116" s="457">
        <f t="shared" si="25"/>
        <v>12099.348266666666</v>
      </c>
      <c r="R116" s="457">
        <f t="shared" si="25"/>
        <v>13604.086800000001</v>
      </c>
      <c r="S116" s="457">
        <f t="shared" si="25"/>
        <v>13614.136033333334</v>
      </c>
      <c r="T116" s="457">
        <f t="shared" si="25"/>
        <v>15221.906316666667</v>
      </c>
      <c r="U116" s="457">
        <f t="shared" si="25"/>
        <v>17204.87455</v>
      </c>
      <c r="V116" s="457">
        <f t="shared" si="25"/>
        <v>17282.430683333336</v>
      </c>
      <c r="W116" s="457">
        <f t="shared" si="25"/>
        <v>18679.880566666667</v>
      </c>
      <c r="X116" s="457" t="e">
        <f t="shared" si="25"/>
        <v>#VALUE!</v>
      </c>
      <c r="Y116" s="135"/>
      <c r="Z116" s="324"/>
      <c r="AA116" s="135"/>
    </row>
    <row r="117" spans="1:27" ht="15" customHeight="1" x14ac:dyDescent="0.2">
      <c r="A117" s="305" t="s">
        <v>1303</v>
      </c>
      <c r="B117" s="1662"/>
      <c r="C117" s="1661"/>
      <c r="D117" s="306" t="s">
        <v>546</v>
      </c>
      <c r="E117" s="301"/>
      <c r="F117" s="301"/>
      <c r="G117" s="457">
        <f t="shared" ref="G117:X117" si="26">G96+G$108</f>
        <v>3575.5493720933337</v>
      </c>
      <c r="H117" s="457">
        <f t="shared" si="26"/>
        <v>4589.4100663333338</v>
      </c>
      <c r="I117" s="457">
        <f t="shared" si="26"/>
        <v>5517.689479933334</v>
      </c>
      <c r="J117" s="457">
        <f t="shared" si="26"/>
        <v>6415.1316267333332</v>
      </c>
      <c r="K117" s="457">
        <f t="shared" si="26"/>
        <v>7478.9959735333323</v>
      </c>
      <c r="L117" s="457">
        <f t="shared" si="26"/>
        <v>8367.9159203333329</v>
      </c>
      <c r="M117" s="457">
        <f t="shared" si="26"/>
        <v>9316.7594671333336</v>
      </c>
      <c r="N117" s="457">
        <f t="shared" si="26"/>
        <v>10021.320273933336</v>
      </c>
      <c r="O117" s="457">
        <f t="shared" si="26"/>
        <v>10926.640080733334</v>
      </c>
      <c r="P117" s="457">
        <f t="shared" si="26"/>
        <v>12608.125794333331</v>
      </c>
      <c r="Q117" s="457">
        <f t="shared" si="26"/>
        <v>12751.965927933334</v>
      </c>
      <c r="R117" s="457">
        <f t="shared" si="26"/>
        <v>14262.162874733333</v>
      </c>
      <c r="S117" s="457">
        <f t="shared" si="26"/>
        <v>14254.652807933335</v>
      </c>
      <c r="T117" s="457">
        <f t="shared" si="26"/>
        <v>15907.427521533335</v>
      </c>
      <c r="U117" s="457">
        <f t="shared" si="26"/>
        <v>17909.354168333331</v>
      </c>
      <c r="V117" s="457">
        <f t="shared" si="26"/>
        <v>18021.443035133336</v>
      </c>
      <c r="W117" s="457">
        <f t="shared" si="26"/>
        <v>19468.397348733335</v>
      </c>
      <c r="X117" s="457" t="e">
        <f t="shared" si="26"/>
        <v>#VALUE!</v>
      </c>
      <c r="Y117" s="135"/>
      <c r="Z117" s="324"/>
      <c r="AA117" s="135"/>
    </row>
    <row r="118" spans="1:27" ht="15" customHeight="1" x14ac:dyDescent="0.2">
      <c r="A118" s="305" t="s">
        <v>1304</v>
      </c>
      <c r="B118" s="1662"/>
      <c r="C118" s="1661"/>
      <c r="D118" s="235" t="s">
        <v>653</v>
      </c>
      <c r="E118" s="302"/>
      <c r="F118" s="302"/>
      <c r="G118" s="457">
        <f t="shared" ref="G118:X118" si="27">G97+G$108</f>
        <v>3380.9337283333334</v>
      </c>
      <c r="H118" s="457">
        <f t="shared" si="27"/>
        <v>4376.1832833333337</v>
      </c>
      <c r="I118" s="457">
        <f t="shared" si="27"/>
        <v>5281.9537333333337</v>
      </c>
      <c r="J118" s="457">
        <f t="shared" si="27"/>
        <v>6170.2000583333329</v>
      </c>
      <c r="K118" s="457">
        <f t="shared" si="27"/>
        <v>7215.8685833333329</v>
      </c>
      <c r="L118" s="457">
        <f t="shared" si="27"/>
        <v>8100.0927083333336</v>
      </c>
      <c r="M118" s="457">
        <f t="shared" si="27"/>
        <v>9035.2404333333343</v>
      </c>
      <c r="N118" s="457">
        <f t="shared" si="27"/>
        <v>9728.5467583333339</v>
      </c>
      <c r="O118" s="457">
        <f t="shared" si="27"/>
        <v>10618.112083333333</v>
      </c>
      <c r="P118" s="457">
        <f t="shared" si="27"/>
        <v>12399.531333333332</v>
      </c>
      <c r="Q118" s="457">
        <f t="shared" si="27"/>
        <v>12525.195183333333</v>
      </c>
      <c r="R118" s="457">
        <f t="shared" si="27"/>
        <v>14046.171308333334</v>
      </c>
      <c r="S118" s="457">
        <f t="shared" si="27"/>
        <v>14036.499383333334</v>
      </c>
      <c r="T118" s="457">
        <f t="shared" si="27"/>
        <v>15679.715133333335</v>
      </c>
      <c r="U118" s="457">
        <f t="shared" si="27"/>
        <v>17678.920958333336</v>
      </c>
      <c r="V118" s="457">
        <f t="shared" si="27"/>
        <v>17775.171683333334</v>
      </c>
      <c r="W118" s="457">
        <f t="shared" si="27"/>
        <v>19208.067033333333</v>
      </c>
      <c r="X118" s="457" t="e">
        <f t="shared" si="27"/>
        <v>#VALUE!</v>
      </c>
      <c r="Y118" s="135"/>
      <c r="Z118" s="324"/>
      <c r="AA118" s="135"/>
    </row>
    <row r="119" spans="1:27" ht="15" customHeight="1" x14ac:dyDescent="0.2">
      <c r="A119" s="305" t="s">
        <v>1306</v>
      </c>
      <c r="B119" s="1662"/>
      <c r="C119" s="501"/>
      <c r="D119" s="307" t="s">
        <v>657</v>
      </c>
      <c r="E119" s="302"/>
      <c r="F119" s="302"/>
      <c r="G119" s="457">
        <f t="shared" ref="G119:X119" si="28">G99+G$108</f>
        <v>3499.3733729333335</v>
      </c>
      <c r="H119" s="457">
        <f t="shared" si="28"/>
        <v>4610.5480966666673</v>
      </c>
      <c r="I119" s="457">
        <f t="shared" si="28"/>
        <v>5589.8002893333332</v>
      </c>
      <c r="J119" s="457">
        <f t="shared" si="28"/>
        <v>6516.0374856666667</v>
      </c>
      <c r="K119" s="457">
        <f t="shared" si="28"/>
        <v>7580.1968820000002</v>
      </c>
      <c r="L119" s="457">
        <f t="shared" si="28"/>
        <v>8521.9118783333324</v>
      </c>
      <c r="M119" s="457">
        <f t="shared" si="28"/>
        <v>9495.0504746666666</v>
      </c>
      <c r="N119" s="457">
        <f t="shared" si="28"/>
        <v>10226.347671</v>
      </c>
      <c r="O119" s="457">
        <f t="shared" si="28"/>
        <v>11153.903867333334</v>
      </c>
      <c r="P119" s="457">
        <f t="shared" si="28"/>
        <v>12991.219859999999</v>
      </c>
      <c r="Q119" s="457">
        <f t="shared" si="28"/>
        <v>13089.780452666666</v>
      </c>
      <c r="R119" s="457">
        <f t="shared" si="28"/>
        <v>14749.332449000001</v>
      </c>
      <c r="S119" s="457">
        <f t="shared" si="28"/>
        <v>14713.919652666667</v>
      </c>
      <c r="T119" s="457">
        <f t="shared" si="28"/>
        <v>16442.867145333337</v>
      </c>
      <c r="U119" s="457">
        <f t="shared" si="28"/>
        <v>18502.063841666666</v>
      </c>
      <c r="V119" s="457">
        <f t="shared" si="28"/>
        <v>18614.305438000003</v>
      </c>
      <c r="W119" s="457">
        <f t="shared" si="28"/>
        <v>20123.182530666665</v>
      </c>
      <c r="X119" s="457" t="e">
        <f t="shared" si="28"/>
        <v>#VALUE!</v>
      </c>
      <c r="Y119" s="135"/>
      <c r="Z119" s="324"/>
      <c r="AA119" s="135"/>
    </row>
  </sheetData>
  <mergeCells count="42">
    <mergeCell ref="C59:C62"/>
    <mergeCell ref="C64:C67"/>
    <mergeCell ref="C68:C72"/>
    <mergeCell ref="B64:B72"/>
    <mergeCell ref="C95:C97"/>
    <mergeCell ref="C98:C99"/>
    <mergeCell ref="B100:B108"/>
    <mergeCell ref="C100:C103"/>
    <mergeCell ref="C104:C106"/>
    <mergeCell ref="C107:C108"/>
    <mergeCell ref="F1:F2"/>
    <mergeCell ref="A1:A3"/>
    <mergeCell ref="B1:B3"/>
    <mergeCell ref="C1:C3"/>
    <mergeCell ref="B4:B12"/>
    <mergeCell ref="C4:C7"/>
    <mergeCell ref="C8:C10"/>
    <mergeCell ref="C11:C12"/>
    <mergeCell ref="B32:B36"/>
    <mergeCell ref="B13:B21"/>
    <mergeCell ref="C13:C16"/>
    <mergeCell ref="C17:C19"/>
    <mergeCell ref="B22:B24"/>
    <mergeCell ref="B25:B26"/>
    <mergeCell ref="C20:C21"/>
    <mergeCell ref="B27:B28"/>
    <mergeCell ref="B38:B46"/>
    <mergeCell ref="C53:C57"/>
    <mergeCell ref="B113:B119"/>
    <mergeCell ref="C113:C115"/>
    <mergeCell ref="C116:C118"/>
    <mergeCell ref="B79:B81"/>
    <mergeCell ref="B84:B86"/>
    <mergeCell ref="B88:B89"/>
    <mergeCell ref="B48:B51"/>
    <mergeCell ref="B53:B57"/>
    <mergeCell ref="B74:B77"/>
    <mergeCell ref="C74:C77"/>
    <mergeCell ref="B59:B62"/>
    <mergeCell ref="B110:B112"/>
    <mergeCell ref="B91:B99"/>
    <mergeCell ref="C91:C94"/>
  </mergeCells>
  <conditionalFormatting sqref="E91:X99">
    <cfRule type="colorScale" priority="2">
      <colorScale>
        <cfvo type="min"/>
        <cfvo type="percentile" val="50"/>
        <cfvo type="max"/>
        <color rgb="FFF8696B"/>
        <color rgb="FFFCFCFF"/>
        <color rgb="FF63BE7B"/>
      </colorScale>
    </cfRule>
  </conditionalFormatting>
  <conditionalFormatting sqref="E113:X119">
    <cfRule type="colorScale" priority="4">
      <colorScale>
        <cfvo type="min"/>
        <cfvo type="percentile" val="50"/>
        <cfvo type="max"/>
        <color rgb="FFF8696B"/>
        <color rgb="FFFCFCFF"/>
        <color rgb="FF63BE7B"/>
      </colorScale>
    </cfRule>
  </conditionalFormatting>
  <pageMargins left="0.70000000000000007" right="0.70000000000000007" top="1.1437007874015745" bottom="1.1437007874015745" header="0.74999999999999989" footer="0.74999999999999989"/>
  <pageSetup paperSize="9" fitToWidth="0" fitToHeight="0" orientation="portrait" r:id="rId1"/>
  <headerFooter alignWithMargins="0"/>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published="0" codeName="Feuil45"/>
  <dimension ref="A1:W112"/>
  <sheetViews>
    <sheetView workbookViewId="0">
      <pane xSplit="5" ySplit="3" topLeftCell="F40" activePane="bottomRight" state="frozen"/>
      <selection pane="topRight" activeCell="F1" sqref="F1"/>
      <selection pane="bottomLeft" activeCell="A4" sqref="A4"/>
      <selection pane="bottomRight" activeCell="F55" sqref="F55"/>
    </sheetView>
  </sheetViews>
  <sheetFormatPr baseColWidth="10" defaultColWidth="11.125" defaultRowHeight="14.25" x14ac:dyDescent="0.2"/>
  <cols>
    <col min="1" max="1" width="7.625" customWidth="1"/>
    <col min="2" max="2" width="20.125" customWidth="1"/>
    <col min="3" max="3" width="26.625" customWidth="1"/>
    <col min="4" max="4" width="38.5" customWidth="1"/>
    <col min="5" max="6" width="11.5" customWidth="1"/>
    <col min="7" max="792" width="10.625" customWidth="1"/>
  </cols>
  <sheetData>
    <row r="1" spans="1:23" ht="9.6" customHeight="1" x14ac:dyDescent="0.2">
      <c r="A1" s="1669" t="s">
        <v>543</v>
      </c>
      <c r="B1" s="1677" t="s">
        <v>443</v>
      </c>
      <c r="C1" s="1678" t="s">
        <v>635</v>
      </c>
      <c r="D1" s="470" t="s">
        <v>636</v>
      </c>
      <c r="E1" s="497" t="s">
        <v>637</v>
      </c>
      <c r="F1" s="1682" t="s">
        <v>9</v>
      </c>
      <c r="G1" s="3">
        <v>2</v>
      </c>
      <c r="H1" s="3">
        <v>3</v>
      </c>
      <c r="I1" s="3">
        <v>4</v>
      </c>
      <c r="J1" s="3">
        <v>5</v>
      </c>
      <c r="K1" s="3">
        <v>6</v>
      </c>
      <c r="L1" s="3">
        <v>7</v>
      </c>
      <c r="M1" s="3">
        <v>8</v>
      </c>
      <c r="N1" s="3">
        <v>9</v>
      </c>
      <c r="O1" s="3">
        <v>10</v>
      </c>
      <c r="P1" s="3" t="s">
        <v>460</v>
      </c>
      <c r="Q1" s="3" t="s">
        <v>461</v>
      </c>
      <c r="R1" s="3" t="s">
        <v>462</v>
      </c>
      <c r="S1" s="3" t="s">
        <v>463</v>
      </c>
      <c r="T1" s="3">
        <v>16</v>
      </c>
      <c r="U1" s="3" t="s">
        <v>464</v>
      </c>
      <c r="V1" s="3" t="s">
        <v>465</v>
      </c>
      <c r="W1" s="3" t="s">
        <v>466</v>
      </c>
    </row>
    <row r="2" spans="1:23" ht="8.1" customHeight="1" x14ac:dyDescent="0.2">
      <c r="A2" s="1669"/>
      <c r="B2" s="1677"/>
      <c r="C2" s="1678"/>
      <c r="D2" s="470"/>
      <c r="E2" s="497"/>
      <c r="F2" s="1683"/>
      <c r="G2" s="3">
        <f t="shared" ref="G2:W2" si="0">COLUMN(G1)</f>
        <v>7</v>
      </c>
      <c r="H2" s="3">
        <f t="shared" si="0"/>
        <v>8</v>
      </c>
      <c r="I2" s="3">
        <f t="shared" si="0"/>
        <v>9</v>
      </c>
      <c r="J2" s="3">
        <f t="shared" si="0"/>
        <v>10</v>
      </c>
      <c r="K2" s="3">
        <f t="shared" si="0"/>
        <v>11</v>
      </c>
      <c r="L2" s="3">
        <f t="shared" si="0"/>
        <v>12</v>
      </c>
      <c r="M2" s="3">
        <f t="shared" si="0"/>
        <v>13</v>
      </c>
      <c r="N2" s="3">
        <f t="shared" si="0"/>
        <v>14</v>
      </c>
      <c r="O2" s="3">
        <f t="shared" si="0"/>
        <v>15</v>
      </c>
      <c r="P2" s="3">
        <f t="shared" si="0"/>
        <v>16</v>
      </c>
      <c r="Q2" s="3">
        <f t="shared" si="0"/>
        <v>17</v>
      </c>
      <c r="R2" s="3">
        <f t="shared" si="0"/>
        <v>18</v>
      </c>
      <c r="S2" s="3">
        <f t="shared" si="0"/>
        <v>19</v>
      </c>
      <c r="T2" s="3">
        <f t="shared" si="0"/>
        <v>20</v>
      </c>
      <c r="U2" s="3">
        <f t="shared" si="0"/>
        <v>21</v>
      </c>
      <c r="V2" s="3">
        <f t="shared" si="0"/>
        <v>22</v>
      </c>
      <c r="W2" s="3">
        <f t="shared" si="0"/>
        <v>23</v>
      </c>
    </row>
    <row r="3" spans="1:23" ht="36.6" customHeight="1" x14ac:dyDescent="0.2">
      <c r="A3" s="1669"/>
      <c r="B3" s="1677"/>
      <c r="C3" s="1678"/>
      <c r="D3" s="470"/>
      <c r="E3" s="304" t="s">
        <v>622</v>
      </c>
      <c r="F3" s="500"/>
      <c r="G3" s="300" t="s">
        <v>638</v>
      </c>
      <c r="H3" s="129" t="s">
        <v>639</v>
      </c>
      <c r="I3" s="129" t="s">
        <v>640</v>
      </c>
      <c r="J3" s="129" t="s">
        <v>641</v>
      </c>
      <c r="K3" s="129" t="s">
        <v>642</v>
      </c>
      <c r="L3" s="129" t="s">
        <v>643</v>
      </c>
      <c r="M3" s="129" t="s">
        <v>644</v>
      </c>
      <c r="N3" s="129" t="s">
        <v>645</v>
      </c>
      <c r="O3" s="129" t="s">
        <v>646</v>
      </c>
      <c r="P3" s="129" t="s">
        <v>647</v>
      </c>
      <c r="Q3" s="129" t="s">
        <v>647</v>
      </c>
      <c r="R3" s="129" t="s">
        <v>648</v>
      </c>
      <c r="S3" s="129" t="s">
        <v>648</v>
      </c>
      <c r="T3" s="129" t="s">
        <v>649</v>
      </c>
      <c r="U3" s="129" t="s">
        <v>650</v>
      </c>
      <c r="V3" s="129" t="s">
        <v>650</v>
      </c>
      <c r="W3" s="129" t="s">
        <v>651</v>
      </c>
    </row>
    <row r="4" spans="1:23" ht="15" customHeight="1" x14ac:dyDescent="0.2">
      <c r="A4" s="305" t="s">
        <v>544</v>
      </c>
      <c r="B4" s="1662" t="s">
        <v>439</v>
      </c>
      <c r="C4" s="1663" t="s">
        <v>652</v>
      </c>
      <c r="D4" s="306" t="s">
        <v>546</v>
      </c>
      <c r="E4" s="301" t="s">
        <v>223</v>
      </c>
      <c r="F4" s="301"/>
      <c r="G4" s="457">
        <f>IFERROR(VLOOKUP($F$1,'FV1'!$C$1:$AM$51,((G$2-5)*2-1),0),"")</f>
        <v>644.67746252000006</v>
      </c>
      <c r="H4" s="457">
        <f>IFERROR(VLOOKUP($F$1,'FV1'!$C$1:$AM$51,((H$2-5)*2-1),0),"")</f>
        <v>773.84212100000013</v>
      </c>
      <c r="I4" s="457">
        <f>IFERROR(VLOOKUP($F$1,'FV1'!$C$1:$AM$51,((I$2-5)*2-1),0),"")</f>
        <v>917.35840820000033</v>
      </c>
      <c r="J4" s="457">
        <f>IFERROR(VLOOKUP($F$1,'FV1'!$C$1:$AM$51,((J$2-5)*2-1),0),"")</f>
        <v>989.11655180000025</v>
      </c>
      <c r="K4" s="457">
        <f>IFERROR(VLOOKUP($F$1,'FV1'!$C$1:$AM$51,((K$2-5)*2-1),0),"")</f>
        <v>1060.8746954000003</v>
      </c>
      <c r="L4" s="457">
        <f>IFERROR(VLOOKUP($F$1,'FV1'!$C$1:$AM$51,((L$2-5)*2-1),0),"")</f>
        <v>1132.6328390000001</v>
      </c>
      <c r="M4" s="457">
        <f>IFERROR(VLOOKUP($F$1,'FV1'!$C$1:$AM$51,((M$2-5)*2-1),0),"")</f>
        <v>1204.3909826000004</v>
      </c>
      <c r="N4" s="457">
        <f>IFERROR(VLOOKUP($F$1,'FV1'!$C$1:$AM$51,((N$2-5)*2-1),0),"")</f>
        <v>1276.1491262000006</v>
      </c>
      <c r="O4" s="457">
        <f>IFERROR(VLOOKUP($F$1,'FV1'!$C$1:$AM$51,((O$2-5)*2-1),0),"")</f>
        <v>1347.9072698000004</v>
      </c>
      <c r="P4" s="457">
        <f>IFERROR(VLOOKUP($F$1,'FV1'!$C$1:$AM$51,((P$2-5)*2-1),0),"")</f>
        <v>1507.9855570000004</v>
      </c>
      <c r="Q4" s="457">
        <f>IFERROR(VLOOKUP($F$1,'FV1'!$C$1:$AM$51,((Q$2-5)*2-1),0),"")</f>
        <v>1651.5018442000003</v>
      </c>
      <c r="R4" s="457">
        <f>IFERROR(VLOOKUP($F$1,'FV1'!$C$1:$AM$51,((R$2-5)*2-1),0),"")</f>
        <v>1723.2599878000003</v>
      </c>
      <c r="S4" s="457">
        <f>IFERROR(VLOOKUP($F$1,'FV1'!$C$1:$AM$51,((S$2-5)*2-1),0),"")</f>
        <v>1651.5018442000003</v>
      </c>
      <c r="T4" s="457">
        <f>IFERROR(VLOOKUP($F$1,'FV1'!$C$1:$AM$51,((T$2-5)*2-1),0),"")</f>
        <v>1795.0181314000006</v>
      </c>
      <c r="U4" s="457">
        <f>IFERROR(VLOOKUP($F$1,'FV1'!$C$1:$AM$51,((U$2-5)*2-1),0),"")</f>
        <v>1866.7762750000002</v>
      </c>
      <c r="V4" s="457">
        <f>IFERROR(VLOOKUP($F$1,'FV1'!$C$1:$AM$51,((V$2-5)*2-1),0),"")</f>
        <v>1938.5344186000007</v>
      </c>
      <c r="W4" s="457">
        <f>IFERROR(VLOOKUP($F$1,'FV1'!$C$1:$AM$51,((W$2-5)*2-1),0),"")</f>
        <v>2082.0507058000003</v>
      </c>
    </row>
    <row r="5" spans="1:23" ht="15" customHeight="1" x14ac:dyDescent="0.2">
      <c r="A5" s="305" t="s">
        <v>547</v>
      </c>
      <c r="B5" s="1662"/>
      <c r="C5" s="1663"/>
      <c r="D5" s="235" t="s">
        <v>548</v>
      </c>
      <c r="E5" s="302" t="s">
        <v>223</v>
      </c>
      <c r="F5" s="302"/>
      <c r="G5" s="457">
        <f>IFERROR(VLOOKUP($F$1,'FV2'!$C$1:$AM$37,((G$2-5)*2-1),0),"")</f>
        <v>922.82946859999993</v>
      </c>
      <c r="H5" s="457">
        <f>IFERROR(VLOOKUP($F$1,'FV2'!$C$1:$AM$37,((H$2-5)*2-1),0),"")</f>
        <v>1125.296705</v>
      </c>
      <c r="I5" s="457">
        <f>IFERROR(VLOOKUP($F$1,'FV2'!$C$1:$AM$37,((I$2-5)*2-1),0),"")</f>
        <v>1349.4303810000001</v>
      </c>
      <c r="J5" s="457">
        <f>IFERROR(VLOOKUP($F$1,'FV2'!$C$1:$AM$37,((J$2-5)*2-1),0),"")</f>
        <v>1462.4308790000002</v>
      </c>
      <c r="K5" s="457">
        <f>IFERROR(VLOOKUP($F$1,'FV2'!$C$1:$AM$37,((K$2-5)*2-1),0),"")</f>
        <v>1575.4313770000003</v>
      </c>
      <c r="L5" s="457">
        <f>IFERROR(VLOOKUP($F$1,'FV2'!$C$1:$AM$37,((L$2-5)*2-1),0),"")</f>
        <v>1688.4318750000002</v>
      </c>
      <c r="M5" s="457">
        <f>IFERROR(VLOOKUP($F$1,'FV2'!$C$1:$AM$37,((M$2-5)*2-1),0),"")</f>
        <v>1801.4323730000001</v>
      </c>
      <c r="N5" s="457">
        <f>IFERROR(VLOOKUP($F$1,'FV2'!$C$1:$AM$37,((N$2-5)*2-1),0),"")</f>
        <v>1913.4992110000003</v>
      </c>
      <c r="O5" s="457">
        <f>IFERROR(VLOOKUP($F$1,'FV2'!$C$1:$AM$37,((O$2-5)*2-1),0),"")</f>
        <v>2025.566049</v>
      </c>
      <c r="P5" s="457">
        <f>IFERROR(VLOOKUP($F$1,'FV2'!$C$1:$AM$37,((P$2-5)*2-1),0),"")</f>
        <v>2249.6997249999999</v>
      </c>
      <c r="Q5" s="457">
        <f>IFERROR(VLOOKUP($F$1,'FV2'!$C$1:$AM$37,((Q$2-5)*2-1),0),"")</f>
        <v>2471.966081</v>
      </c>
      <c r="R5" s="457">
        <f>IFERROR(VLOOKUP($F$1,'FV2'!$C$1:$AM$37,((R$2-5)*2-1),0),"")</f>
        <v>2584.9665790000004</v>
      </c>
      <c r="S5" s="457">
        <f>IFERROR(VLOOKUP($F$1,'FV2'!$C$1:$AM$37,((S$2-5)*2-1),0),"")</f>
        <v>2473.8334009999999</v>
      </c>
      <c r="T5" s="457">
        <f>IFERROR(VLOOKUP($F$1,'FV2'!$C$1:$AM$37,((T$2-5)*2-1),0),"")</f>
        <v>2697.9670770000007</v>
      </c>
      <c r="U5" s="457">
        <f>IFERROR(VLOOKUP($F$1,'FV2'!$C$1:$AM$37,((U$2-5)*2-1),0),"")</f>
        <v>2810.967575000001</v>
      </c>
      <c r="V5" s="457">
        <f>IFERROR(VLOOKUP($F$1,'FV2'!$C$1:$AM$37,((V$2-5)*2-1),0),"")</f>
        <v>2922.1007530000011</v>
      </c>
      <c r="W5" s="457">
        <f>IFERROR(VLOOKUP($F$1,'FV2'!$C$1:$AM$37,((W$2-5)*2-1),0),"")</f>
        <v>3146.2344290000015</v>
      </c>
    </row>
    <row r="6" spans="1:23" ht="15" customHeight="1" x14ac:dyDescent="0.2">
      <c r="A6" s="305" t="s">
        <v>549</v>
      </c>
      <c r="B6" s="1662"/>
      <c r="C6" s="1663"/>
      <c r="D6" s="235" t="s">
        <v>653</v>
      </c>
      <c r="E6" s="301" t="s">
        <v>223</v>
      </c>
      <c r="F6" s="301"/>
      <c r="G6" s="457">
        <f>IFERROR(VLOOKUP($F$1,'FV3'!$C$1:$AM$34,((G$2-5)*2-1),0),"")</f>
        <v>198.14193359999999</v>
      </c>
      <c r="H6" s="457">
        <f>IFERROR(VLOOKUP($F$1,'FV3'!$C$1:$AM$34,((H$2-5)*2-1),0),"")</f>
        <v>236.64887999999999</v>
      </c>
      <c r="I6" s="457">
        <f>IFERROR(VLOOKUP($F$1,'FV3'!$C$1:$AM$34,((I$2-5)*2-1),0),"")</f>
        <v>279.43437600000004</v>
      </c>
      <c r="J6" s="457">
        <f>IFERROR(VLOOKUP($F$1,'FV3'!$C$1:$AM$34,((J$2-5)*2-1),0),"")</f>
        <v>300.82712400000003</v>
      </c>
      <c r="K6" s="457">
        <f>IFERROR(VLOOKUP($F$1,'FV3'!$C$1:$AM$34,((K$2-5)*2-1),0),"")</f>
        <v>322.21987200000001</v>
      </c>
      <c r="L6" s="457">
        <f>IFERROR(VLOOKUP($F$1,'FV3'!$C$1:$AM$34,((L$2-5)*2-1),0),"")</f>
        <v>343.61261999999999</v>
      </c>
      <c r="M6" s="457">
        <f>IFERROR(VLOOKUP($F$1,'FV3'!$C$1:$AM$34,((M$2-5)*2-1),0),"")</f>
        <v>365.00536800000003</v>
      </c>
      <c r="N6" s="457">
        <f>IFERROR(VLOOKUP($F$1,'FV3'!$C$1:$AM$34,((N$2-5)*2-1),0),"")</f>
        <v>386.39811600000007</v>
      </c>
      <c r="O6" s="457">
        <f>IFERROR(VLOOKUP($F$1,'FV3'!$C$1:$AM$34,((O$2-5)*2-1),0),"")</f>
        <v>407.79086400000006</v>
      </c>
      <c r="P6" s="457">
        <f>IFERROR(VLOOKUP($F$1,'FV3'!$C$1:$AM$34,((P$2-5)*2-1),0),"")</f>
        <v>450.57636000000002</v>
      </c>
      <c r="Q6" s="457">
        <f>IFERROR(VLOOKUP($F$1,'FV3'!$C$1:$AM$34,((Q$2-5)*2-1),0),"")</f>
        <v>493.36185599999999</v>
      </c>
      <c r="R6" s="457">
        <f>IFERROR(VLOOKUP($F$1,'FV3'!$C$1:$AM$34,((R$2-5)*2-1),0),"")</f>
        <v>514.75460399999997</v>
      </c>
      <c r="S6" s="457">
        <f>IFERROR(VLOOKUP($F$1,'FV3'!$C$1:$AM$34,((S$2-5)*2-1),0),"")</f>
        <v>493.36185599999999</v>
      </c>
      <c r="T6" s="457">
        <f>IFERROR(VLOOKUP($F$1,'FV3'!$C$1:$AM$34,((T$2-5)*2-1),0),"")</f>
        <v>536.14735200000007</v>
      </c>
      <c r="U6" s="457">
        <f>IFERROR(VLOOKUP($F$1,'FV3'!$C$1:$AM$34,((U$2-5)*2-1),0),"")</f>
        <v>557.54010000000005</v>
      </c>
      <c r="V6" s="457">
        <f>IFERROR(VLOOKUP($F$1,'FV3'!$C$1:$AM$34,((V$2-5)*2-1),0),"")</f>
        <v>578.93284800000015</v>
      </c>
      <c r="W6" s="457">
        <f>IFERROR(VLOOKUP($F$1,'FV3'!$C$1:$AM$34,((W$2-5)*2-1),0),"")</f>
        <v>621.718344</v>
      </c>
    </row>
    <row r="7" spans="1:23" ht="15" customHeight="1" x14ac:dyDescent="0.2">
      <c r="A7" s="305" t="s">
        <v>550</v>
      </c>
      <c r="B7" s="1662"/>
      <c r="C7" s="1663"/>
      <c r="D7" s="472" t="s">
        <v>551</v>
      </c>
      <c r="E7" s="302" t="s">
        <v>223</v>
      </c>
      <c r="F7" s="302"/>
      <c r="G7" s="457">
        <f>IFERROR(VLOOKUP($F$1,'FV4'!$C$1:$AM$36,((G$2-5)*2-1),0),"")</f>
        <v>383.68849999999998</v>
      </c>
      <c r="H7" s="457">
        <f>IFERROR(VLOOKUP($F$1,'FV4'!$C$1:$AM$36,((H$2-5)*2-1),0),"")</f>
        <v>434.64200000000005</v>
      </c>
      <c r="I7" s="457">
        <f>IFERROR(VLOOKUP($F$1,'FV4'!$C$1:$AM$36,((I$2-5)*2-1),0),"")</f>
        <v>496.34</v>
      </c>
      <c r="J7" s="457">
        <f>IFERROR(VLOOKUP($F$1,'FV4'!$C$1:$AM$36,((J$2-5)*2-1),0),"")</f>
        <v>527.18899999999996</v>
      </c>
      <c r="K7" s="457">
        <f>IFERROR(VLOOKUP($F$1,'FV4'!$C$1:$AM$36,((K$2-5)*2-1),0),"")</f>
        <v>558.03800000000001</v>
      </c>
      <c r="L7" s="457">
        <f>IFERROR(VLOOKUP($F$1,'FV4'!$C$1:$AM$36,((L$2-5)*2-1),0),"")</f>
        <v>588.88700000000006</v>
      </c>
      <c r="M7" s="457">
        <f>IFERROR(VLOOKUP($F$1,'FV4'!$C$1:$AM$36,((M$2-5)*2-1),0),"")</f>
        <v>619.73599999999999</v>
      </c>
      <c r="N7" s="457">
        <f>IFERROR(VLOOKUP($F$1,'FV4'!$C$1:$AM$36,((N$2-5)*2-1),0),"")</f>
        <v>650.58500000000004</v>
      </c>
      <c r="O7" s="457">
        <f>IFERROR(VLOOKUP($F$1,'FV4'!$C$1:$AM$36,((O$2-5)*2-1),0),"")</f>
        <v>681.43400000000008</v>
      </c>
      <c r="P7" s="457">
        <f>IFERROR(VLOOKUP($F$1,'FV4'!$C$1:$AM$36,((P$2-5)*2-1),0),"")</f>
        <v>743.13200000000006</v>
      </c>
      <c r="Q7" s="457">
        <f>IFERROR(VLOOKUP($F$1,'FV4'!$C$1:$AM$36,((Q$2-5)*2-1),0),"")</f>
        <v>804.82999999999993</v>
      </c>
      <c r="R7" s="457">
        <f>IFERROR(VLOOKUP($F$1,'FV4'!$C$1:$AM$36,((R$2-5)*2-1),0),"")</f>
        <v>835.67899999999997</v>
      </c>
      <c r="S7" s="457">
        <f>IFERROR(VLOOKUP($F$1,'FV4'!$C$1:$AM$36,((S$2-5)*2-1),0),"")</f>
        <v>804.82999999999993</v>
      </c>
      <c r="T7" s="457">
        <f>IFERROR(VLOOKUP($F$1,'FV4'!$C$1:$AM$36,((T$2-5)*2-1),0),"")</f>
        <v>866.52799999999991</v>
      </c>
      <c r="U7" s="457">
        <f>IFERROR(VLOOKUP($F$1,'FV4'!$C$1:$AM$36,((U$2-5)*2-1),0),"")</f>
        <v>897.37699999999995</v>
      </c>
      <c r="V7" s="457">
        <f>IFERROR(VLOOKUP($F$1,'FV4'!$C$1:$AM$36,((V$2-5)*2-1),0),"")</f>
        <v>928.226</v>
      </c>
      <c r="W7" s="457">
        <f>IFERROR(VLOOKUP($F$1,'FV4'!$C$1:$AM$36,((W$2-5)*2-1),0),"")</f>
        <v>989.92400000000009</v>
      </c>
    </row>
    <row r="8" spans="1:23" ht="15" customHeight="1" x14ac:dyDescent="0.2">
      <c r="A8" s="305" t="s">
        <v>552</v>
      </c>
      <c r="B8" s="1662"/>
      <c r="C8" s="1661" t="s">
        <v>654</v>
      </c>
      <c r="D8" s="307" t="s">
        <v>1786</v>
      </c>
      <c r="E8" s="301" t="s">
        <v>223</v>
      </c>
      <c r="F8" s="301"/>
      <c r="G8" s="457">
        <f>IFERROR(VLOOKUP($F$1,'FV5'!$C$1:$AM$34,((G$2-5)*2-1),0),"")</f>
        <v>71.167069999999995</v>
      </c>
      <c r="H8" s="457">
        <f>IFERROR(VLOOKUP($F$1,'FV5'!$C$1:$AM$34,((H$2-5)*2-1),0),"")</f>
        <v>86.070183333333347</v>
      </c>
      <c r="I8" s="457">
        <f>IFERROR(VLOOKUP($F$1,'FV5'!$C$1:$AM$34,((I$2-5)*2-1),0),"")</f>
        <v>101.48016666666668</v>
      </c>
      <c r="J8" s="457">
        <f>IFERROR(VLOOKUP($F$1,'FV5'!$C$1:$AM$34,((J$2-5)*2-1),0),"")</f>
        <v>110.6703</v>
      </c>
      <c r="K8" s="457">
        <f>IFERROR(VLOOKUP($F$1,'FV5'!$C$1:$AM$34,((K$2-5)*2-1),0),"")</f>
        <v>119.86043333333336</v>
      </c>
      <c r="L8" s="457">
        <f>IFERROR(VLOOKUP($F$1,'FV5'!$C$1:$AM$34,((L$2-5)*2-1),0),"")</f>
        <v>129.05056666666664</v>
      </c>
      <c r="M8" s="457">
        <f>IFERROR(VLOOKUP($F$1,'FV5'!$C$1:$AM$34,((M$2-5)*2-1),0),"")</f>
        <v>138.2407</v>
      </c>
      <c r="N8" s="457">
        <f>IFERROR(VLOOKUP($F$1,'FV5'!$C$1:$AM$34,((N$2-5)*2-1),0),"")</f>
        <v>146.20233333333337</v>
      </c>
      <c r="O8" s="457">
        <f>IFERROR(VLOOKUP($F$1,'FV5'!$C$1:$AM$34,((O$2-5)*2-1),0),"")</f>
        <v>154.16396666666668</v>
      </c>
      <c r="P8" s="457">
        <f>IFERROR(VLOOKUP($F$1,'FV5'!$C$1:$AM$34,((P$2-5)*2-1),0),"")</f>
        <v>169.57395000000002</v>
      </c>
      <c r="Q8" s="457">
        <f>IFERROR(VLOOKUP($F$1,'FV5'!$C$1:$AM$34,((Q$2-5)*2-1),0),"")</f>
        <v>182.52693333333332</v>
      </c>
      <c r="R8" s="457">
        <f>IFERROR(VLOOKUP($F$1,'FV5'!$C$1:$AM$34,((R$2-5)*2-1),0),"")</f>
        <v>191.71706666666668</v>
      </c>
      <c r="S8" s="457">
        <f>IFERROR(VLOOKUP($F$1,'FV5'!$C$1:$AM$34,((S$2-5)*2-1),0),"")</f>
        <v>186.01050000000001</v>
      </c>
      <c r="T8" s="457">
        <f>IFERROR(VLOOKUP($F$1,'FV5'!$C$1:$AM$34,((T$2-5)*2-1),0),"")</f>
        <v>201.42048333333335</v>
      </c>
      <c r="U8" s="457">
        <f>IFERROR(VLOOKUP($F$1,'FV5'!$C$1:$AM$34,((U$2-5)*2-1),0),"")</f>
        <v>210.61061666666666</v>
      </c>
      <c r="V8" s="457">
        <f>IFERROR(VLOOKUP($F$1,'FV5'!$C$1:$AM$34,((V$2-5)*2-1),0),"")</f>
        <v>217.34375000000006</v>
      </c>
      <c r="W8" s="457">
        <f>IFERROR(VLOOKUP($F$1,'FV5'!$C$1:$AM$34,((W$2-5)*2-1),0),"")</f>
        <v>232.75373333333334</v>
      </c>
    </row>
    <row r="9" spans="1:23" ht="15" customHeight="1" x14ac:dyDescent="0.2">
      <c r="A9" s="305" t="s">
        <v>553</v>
      </c>
      <c r="B9" s="1662"/>
      <c r="C9" s="1661"/>
      <c r="D9" s="306" t="s">
        <v>546</v>
      </c>
      <c r="E9" s="301"/>
      <c r="F9" s="301"/>
      <c r="G9" s="457">
        <f>IFERROR(VLOOKUP($F$1,'FV6'!$C$1:$AM$39,((G$2-5)*2-1),0),"")</f>
        <v>375.81588876000006</v>
      </c>
      <c r="H9" s="457">
        <f>IFERROR(VLOOKUP($F$1,'FV6'!$C$1:$AM$39,((H$2-5)*2-1),0),"")</f>
        <v>451.61793300000005</v>
      </c>
      <c r="I9" s="457">
        <f>IFERROR(VLOOKUP($F$1,'FV6'!$C$1:$AM$39,((I$2-5)*2-1),0),"")</f>
        <v>536.6723466000002</v>
      </c>
      <c r="J9" s="457">
        <f>IFERROR(VLOOKUP($F$1,'FV6'!$C$1:$AM$39,((J$2-5)*2-1),0),"")</f>
        <v>578.2658934000001</v>
      </c>
      <c r="K9" s="457">
        <f>IFERROR(VLOOKUP($F$1,'FV6'!$C$1:$AM$39,((K$2-5)*2-1),0),"")</f>
        <v>619.85944020000011</v>
      </c>
      <c r="L9" s="457">
        <f>IFERROR(VLOOKUP($F$1,'FV6'!$C$1:$AM$39,((L$2-5)*2-1),0),"")</f>
        <v>661.45298700000012</v>
      </c>
      <c r="M9" s="457">
        <f>IFERROR(VLOOKUP($F$1,'FV6'!$C$1:$AM$39,((M$2-5)*2-1),0),"")</f>
        <v>703.04653380000013</v>
      </c>
      <c r="N9" s="457">
        <f>IFERROR(VLOOKUP($F$1,'FV6'!$C$1:$AM$39,((N$2-5)*2-1),0),"")</f>
        <v>745.57374060000029</v>
      </c>
      <c r="O9" s="457">
        <f>IFERROR(VLOOKUP($F$1,'FV6'!$C$1:$AM$39,((O$2-5)*2-1),0),"")</f>
        <v>788.10094740000011</v>
      </c>
      <c r="P9" s="457">
        <f>IFERROR(VLOOKUP($F$1,'FV6'!$C$1:$AM$39,((P$2-5)*2-1),0),"")</f>
        <v>787.38786100000016</v>
      </c>
      <c r="Q9" s="457">
        <f>IFERROR(VLOOKUP($F$1,'FV6'!$C$1:$AM$39,((Q$2-5)*2-1),0),"")</f>
        <v>865.85959460000026</v>
      </c>
      <c r="R9" s="457">
        <f>IFERROR(VLOOKUP($F$1,'FV6'!$C$1:$AM$39,((R$2-5)*2-1),0),"")</f>
        <v>903.22814140000003</v>
      </c>
      <c r="S9" s="457">
        <f>IFERROR(VLOOKUP($F$1,'FV6'!$C$1:$AM$39,((S$2-5)*2-1),0),"")</f>
        <v>863.9922746000002</v>
      </c>
      <c r="T9" s="457">
        <f>IFERROR(VLOOKUP($F$1,'FV6'!$C$1:$AM$39,((T$2-5)*2-1),0),"")</f>
        <v>940.59668820000024</v>
      </c>
      <c r="U9" s="457">
        <f>IFERROR(VLOOKUP($F$1,'FV6'!$C$1:$AM$39,((U$2-5)*2-1),0),"")</f>
        <v>977.96523500000012</v>
      </c>
      <c r="V9" s="457">
        <f>IFERROR(VLOOKUP($F$1,'FV6'!$C$1:$AM$39,((V$2-5)*2-1),0),"")</f>
        <v>1017.2011018000001</v>
      </c>
      <c r="W9" s="457">
        <f>IFERROR(VLOOKUP($F$1,'FV6'!$C$1:$AM$39,((W$2-5)*2-1),0),"")</f>
        <v>1093.8055154000003</v>
      </c>
    </row>
    <row r="10" spans="1:23" ht="15" customHeight="1" x14ac:dyDescent="0.2">
      <c r="A10" s="305" t="s">
        <v>554</v>
      </c>
      <c r="B10" s="1662"/>
      <c r="C10" s="1661"/>
      <c r="D10" s="235" t="s">
        <v>653</v>
      </c>
      <c r="E10" s="302" t="s">
        <v>223</v>
      </c>
      <c r="F10" s="302"/>
      <c r="G10" s="457">
        <f>IFERROR(VLOOKUP($F$1,'FV7'!$C$1:$AM$38,((G$2-5)*2-1),0),"")</f>
        <v>160.61812</v>
      </c>
      <c r="H10" s="457">
        <f>IFERROR(VLOOKUP($F$1,'FV7'!$C$1:$AM$38,((H$2-5)*2-1),0),"")</f>
        <v>190.60990000000004</v>
      </c>
      <c r="I10" s="457">
        <f>IFERROR(VLOOKUP($F$1,'FV7'!$C$1:$AM$38,((I$2-5)*2-1),0),"")</f>
        <v>223.93409999999997</v>
      </c>
      <c r="J10" s="457">
        <f>IFERROR(VLOOKUP($F$1,'FV7'!$C$1:$AM$38,((J$2-5)*2-1),0),"")</f>
        <v>240.59619999999998</v>
      </c>
      <c r="K10" s="457">
        <f>IFERROR(VLOOKUP($F$1,'FV7'!$C$1:$AM$38,((K$2-5)*2-1),0),"")</f>
        <v>257.25830000000002</v>
      </c>
      <c r="L10" s="457">
        <f>IFERROR(VLOOKUP($F$1,'FV7'!$C$1:$AM$38,((L$2-5)*2-1),0),"")</f>
        <v>273.92040000000003</v>
      </c>
      <c r="M10" s="457">
        <f>IFERROR(VLOOKUP($F$1,'FV7'!$C$1:$AM$38,((M$2-5)*2-1),0),"")</f>
        <v>290.58249999999998</v>
      </c>
      <c r="N10" s="457">
        <f>IFERROR(VLOOKUP($F$1,'FV7'!$C$1:$AM$38,((N$2-5)*2-1),0),"")</f>
        <v>307.24460000000005</v>
      </c>
      <c r="O10" s="457">
        <f>IFERROR(VLOOKUP($F$1,'FV7'!$C$1:$AM$38,((O$2-5)*2-1),0),"")</f>
        <v>323.9067</v>
      </c>
      <c r="P10" s="457">
        <f>IFERROR(VLOOKUP($F$1,'FV7'!$C$1:$AM$38,((P$2-5)*2-1),0),"")</f>
        <v>357.23090000000002</v>
      </c>
      <c r="Q10" s="457">
        <f>IFERROR(VLOOKUP($F$1,'FV7'!$C$1:$AM$38,((Q$2-5)*2-1),0),"")</f>
        <v>390.55510000000004</v>
      </c>
      <c r="R10" s="457">
        <f>IFERROR(VLOOKUP($F$1,'FV7'!$C$1:$AM$38,((R$2-5)*2-1),0),"")</f>
        <v>407.21720000000005</v>
      </c>
      <c r="S10" s="457">
        <f>IFERROR(VLOOKUP($F$1,'FV7'!$C$1:$AM$38,((S$2-5)*2-1),0),"")</f>
        <v>390.55510000000004</v>
      </c>
      <c r="T10" s="457">
        <f>IFERROR(VLOOKUP($F$1,'FV7'!$C$1:$AM$38,((T$2-5)*2-1),0),"")</f>
        <v>423.8793</v>
      </c>
      <c r="U10" s="457">
        <f>IFERROR(VLOOKUP($F$1,'FV7'!$C$1:$AM$38,((U$2-5)*2-1),0),"")</f>
        <v>440.54140000000007</v>
      </c>
      <c r="V10" s="457">
        <f>IFERROR(VLOOKUP($F$1,'FV7'!$C$1:$AM$38,((V$2-5)*2-1),0),"")</f>
        <v>457.20350000000008</v>
      </c>
      <c r="W10" s="457">
        <f>IFERROR(VLOOKUP($F$1,'FV7'!$C$1:$AM$38,((W$2-5)*2-1),0),"")</f>
        <v>490.5277000000001</v>
      </c>
    </row>
    <row r="11" spans="1:23" ht="15" customHeight="1" x14ac:dyDescent="0.2">
      <c r="A11" s="305" t="s">
        <v>556</v>
      </c>
      <c r="B11" s="1662"/>
      <c r="C11" s="1661" t="s">
        <v>523</v>
      </c>
      <c r="D11" s="235" t="s">
        <v>1787</v>
      </c>
      <c r="E11" s="301" t="s">
        <v>223</v>
      </c>
      <c r="F11" s="301"/>
      <c r="G11" s="457">
        <f>IFERROR(VLOOKUP($F$1,'FV8'!$C$1:$AM$33,((G$2-5)*2-1),0),"")</f>
        <v>169.26676</v>
      </c>
      <c r="H11" s="457">
        <f>IFERROR(VLOOKUP($F$1,'FV8'!$C$1:$AM$33,((H$2-5)*2-1),0),"")</f>
        <v>201.42070000000001</v>
      </c>
      <c r="I11" s="457">
        <f>IFERROR(VLOOKUP($F$1,'FV8'!$C$1:$AM$33,((I$2-5)*2-1),0),"")</f>
        <v>234.74490000000003</v>
      </c>
      <c r="J11" s="457">
        <f>IFERROR(VLOOKUP($F$1,'FV8'!$C$1:$AM$33,((J$2-5)*2-1),0),"")</f>
        <v>254.1097</v>
      </c>
      <c r="K11" s="457">
        <f>IFERROR(VLOOKUP($F$1,'FV8'!$C$1:$AM$33,((K$2-5)*2-1),0),"")</f>
        <v>273.47450000000003</v>
      </c>
      <c r="L11" s="457">
        <f>IFERROR(VLOOKUP($F$1,'FV8'!$C$1:$AM$33,((L$2-5)*2-1),0),"")</f>
        <v>292.83929999999998</v>
      </c>
      <c r="M11" s="457">
        <f>IFERROR(VLOOKUP($F$1,'FV8'!$C$1:$AM$33,((M$2-5)*2-1),0),"")</f>
        <v>312.20410000000004</v>
      </c>
      <c r="N11" s="457">
        <f>IFERROR(VLOOKUP($F$1,'FV8'!$C$1:$AM$33,((N$2-5)*2-1),0),"")</f>
        <v>328.86619999999999</v>
      </c>
      <c r="O11" s="457">
        <f>IFERROR(VLOOKUP($F$1,'FV8'!$C$1:$AM$33,((O$2-5)*2-1),0),"")</f>
        <v>345.5283</v>
      </c>
      <c r="P11" s="457">
        <f>IFERROR(VLOOKUP($F$1,'FV8'!$C$1:$AM$33,((P$2-5)*2-1),0),"")</f>
        <v>378.85250000000002</v>
      </c>
      <c r="Q11" s="457">
        <f>IFERROR(VLOOKUP($F$1,'FV8'!$C$1:$AM$33,((Q$2-5)*2-1),0),"")</f>
        <v>406.77130000000005</v>
      </c>
      <c r="R11" s="457">
        <f>IFERROR(VLOOKUP($F$1,'FV8'!$C$1:$AM$33,((R$2-5)*2-1),0),"")</f>
        <v>426.13610000000006</v>
      </c>
      <c r="S11" s="457">
        <f>IFERROR(VLOOKUP($F$1,'FV8'!$C$1:$AM$33,((S$2-5)*2-1),0),"")</f>
        <v>412.17670000000004</v>
      </c>
      <c r="T11" s="457">
        <f>IFERROR(VLOOKUP($F$1,'FV8'!$C$1:$AM$33,((T$2-5)*2-1),0),"")</f>
        <v>445.5009</v>
      </c>
      <c r="U11" s="457">
        <f>IFERROR(VLOOKUP($F$1,'FV8'!$C$1:$AM$33,((U$2-5)*2-1),0),"")</f>
        <v>464.8657</v>
      </c>
      <c r="V11" s="457">
        <f>IFERROR(VLOOKUP($F$1,'FV8'!$C$1:$AM$33,((V$2-5)*2-1),0),"")</f>
        <v>478.82510000000002</v>
      </c>
      <c r="W11" s="457">
        <f>IFERROR(VLOOKUP($F$1,'FV8'!$C$1:$AM$33,((W$2-5)*2-1),0),"")</f>
        <v>512.14930000000004</v>
      </c>
    </row>
    <row r="12" spans="1:23" ht="15" customHeight="1" x14ac:dyDescent="0.2">
      <c r="A12" s="305" t="s">
        <v>557</v>
      </c>
      <c r="B12" s="1662"/>
      <c r="C12" s="1661"/>
      <c r="D12" s="307" t="s">
        <v>1786</v>
      </c>
      <c r="E12" s="302" t="s">
        <v>223</v>
      </c>
      <c r="F12" s="302"/>
      <c r="G12" s="457">
        <f>IFERROR(VLOOKUP($F$1,'FV9'!$C$1:$AM$34,((G$2-5)*2-1),0),"")</f>
        <v>330.0608896</v>
      </c>
      <c r="H12" s="457">
        <f>IFERROR(VLOOKUP($F$1,'FV9'!$C$1:$AM$34,((H$2-5)*2-1),0),"")</f>
        <v>468.85596333333336</v>
      </c>
      <c r="I12" s="457">
        <f>IFERROR(VLOOKUP($F$1,'FV9'!$C$1:$AM$34,((I$2-5)*2-1),0),"")</f>
        <v>570.19315600000004</v>
      </c>
      <c r="J12" s="457">
        <f>IFERROR(VLOOKUP($F$1,'FV9'!$C$1:$AM$34,((J$2-5)*2-1),0),"")</f>
        <v>611.11175233333336</v>
      </c>
      <c r="K12" s="457">
        <f>IFERROR(VLOOKUP($F$1,'FV9'!$C$1:$AM$34,((K$2-5)*2-1),0),"")</f>
        <v>632.53034866666667</v>
      </c>
      <c r="L12" s="457">
        <f>IFERROR(VLOOKUP($F$1,'FV9'!$C$1:$AM$34,((L$2-5)*2-1),0),"")</f>
        <v>692.94894499999998</v>
      </c>
      <c r="M12" s="457">
        <f>IFERROR(VLOOKUP($F$1,'FV9'!$C$1:$AM$34,((M$2-5)*2-1),0),"")</f>
        <v>733.86754133333341</v>
      </c>
      <c r="N12" s="457">
        <f>IFERROR(VLOOKUP($F$1,'FV9'!$C$1:$AM$34,((N$2-5)*2-1),0),"")</f>
        <v>774.78613766666683</v>
      </c>
      <c r="O12" s="457">
        <f>IFERROR(VLOOKUP($F$1,'FV9'!$C$1:$AM$34,((O$2-5)*2-1),0),"")</f>
        <v>815.70473399999992</v>
      </c>
      <c r="P12" s="457">
        <f>IFERROR(VLOOKUP($F$1,'FV9'!$C$1:$AM$34,((P$2-5)*2-1),0),"")</f>
        <v>877.45692666666685</v>
      </c>
      <c r="Q12" s="457">
        <f>IFERROR(VLOOKUP($F$1,'FV9'!$C$1:$AM$34,((Q$2-5)*2-1),0),"")</f>
        <v>900.20911933333343</v>
      </c>
      <c r="R12" s="457">
        <f>IFERROR(VLOOKUP($F$1,'FV9'!$C$1:$AM$34,((R$2-5)*2-1),0),"")</f>
        <v>1019.7127156666669</v>
      </c>
      <c r="S12" s="457">
        <f>IFERROR(VLOOKUP($F$1,'FV9'!$C$1:$AM$34,((S$2-5)*2-1),0),"")</f>
        <v>969.04411933333347</v>
      </c>
      <c r="T12" s="457">
        <f>IFERROR(VLOOKUP($F$1,'FV9'!$C$1:$AM$34,((T$2-5)*2-1),0),"")</f>
        <v>1060.6313120000002</v>
      </c>
      <c r="U12" s="457">
        <f>IFERROR(VLOOKUP($F$1,'FV9'!$C$1:$AM$34,((U$2-5)*2-1),0),"")</f>
        <v>1101.5499083333336</v>
      </c>
      <c r="V12" s="457">
        <f>IFERROR(VLOOKUP($F$1,'FV9'!$C$1:$AM$34,((V$2-5)*2-1),0),"")</f>
        <v>1142.4685046666668</v>
      </c>
      <c r="W12" s="457">
        <f>IFERROR(VLOOKUP($F$1,'FV9'!$C$1:$AM$34,((W$2-5)*2-1),0),"")</f>
        <v>1224.3056973333335</v>
      </c>
    </row>
    <row r="13" spans="1:23" ht="15" customHeight="1" x14ac:dyDescent="0.2">
      <c r="A13" s="305" t="s">
        <v>561</v>
      </c>
      <c r="B13" s="1670" t="s">
        <v>399</v>
      </c>
      <c r="C13" s="1661" t="s">
        <v>545</v>
      </c>
      <c r="D13" s="483" t="s">
        <v>546</v>
      </c>
      <c r="E13" s="301" t="s">
        <v>223</v>
      </c>
      <c r="F13" s="301"/>
      <c r="G13" s="457">
        <f>IFERROR(VLOOKUP($F$1,'FH1'!$C$1:$AN$72,((G$2-5)*2-1),0),"")</f>
        <v>0</v>
      </c>
      <c r="H13" s="457">
        <f>IFERROR(VLOOKUP($F$1,'FH1'!$C$1:$AN$72,((H$2-5)*2-1),0),"")</f>
        <v>0</v>
      </c>
      <c r="I13" s="457">
        <f>IFERROR(VLOOKUP($F$1,'FH1'!$C$1:$AN$72,((I$2-5)*2-1),0),"")</f>
        <v>0</v>
      </c>
      <c r="J13" s="457">
        <f>IFERROR(VLOOKUP($F$1,'FH1'!$C$1:$AN$72,((J$2-5)*2-1),0),"")</f>
        <v>0</v>
      </c>
      <c r="K13" s="457">
        <f>IFERROR(VLOOKUP($F$1,'FH1'!$C$1:$AN$72,((K$2-5)*2-1),0),"")</f>
        <v>0</v>
      </c>
      <c r="L13" s="457">
        <f>IFERROR(VLOOKUP($F$1,'FH1'!$C$1:$AN$72,((L$2-5)*2-1),0),"")</f>
        <v>0</v>
      </c>
      <c r="M13" s="457">
        <f>IFERROR(VLOOKUP($F$1,'FH1'!$C$1:$AN$72,((M$2-5)*2-1),0),"")</f>
        <v>0</v>
      </c>
      <c r="N13" s="457">
        <f>IFERROR(VLOOKUP($F$1,'FH1'!$C$1:$AN$72,((N$2-5)*2-1),0),"")</f>
        <v>0</v>
      </c>
      <c r="O13" s="457">
        <f>IFERROR(VLOOKUP($F$1,'FH1'!$C$1:$AN$72,((O$2-5)*2-1),0),"")</f>
        <v>0</v>
      </c>
      <c r="P13" s="457">
        <f>IFERROR(VLOOKUP($F$1,'FH1'!$C$1:$AN$72,((P$2-5)*2-1),0),"")</f>
        <v>0</v>
      </c>
      <c r="Q13" s="457">
        <f>IFERROR(VLOOKUP($F$1,'FH1'!$C$1:$AN$72,((Q$2-5)*2-1),0),"")</f>
        <v>0</v>
      </c>
      <c r="R13" s="457">
        <f>IFERROR(VLOOKUP($F$1,'FH1'!$C$1:$AN$72,((R$2-5)*2-1),0),"")</f>
        <v>0</v>
      </c>
      <c r="S13" s="457">
        <f>IFERROR(VLOOKUP($F$1,'FH1'!$C$1:$AN$72,((S$2-5)*2-1),0),"")</f>
        <v>0</v>
      </c>
      <c r="T13" s="457">
        <f>IFERROR(VLOOKUP($F$1,'FH1'!$C$1:$AN$72,((T$2-5)*2-1),0),"")</f>
        <v>0</v>
      </c>
      <c r="U13" s="457">
        <f>IFERROR(VLOOKUP($F$1,'FH1'!$C$1:$AN$72,((U$2-5)*2-1),0),"")</f>
        <v>0</v>
      </c>
      <c r="V13" s="457">
        <f>IFERROR(VLOOKUP($F$1,'FH1'!$C$1:$AN$72,((V$2-5)*2-1),0),"")</f>
        <v>0</v>
      </c>
      <c r="W13" s="457">
        <f>IFERROR(VLOOKUP($F$1,'FH1'!$C$1:$AN$72,((W$2-5)*2-1),0),"")</f>
        <v>0</v>
      </c>
    </row>
    <row r="14" spans="1:23" ht="15" customHeight="1" x14ac:dyDescent="0.2">
      <c r="A14" s="305" t="s">
        <v>563</v>
      </c>
      <c r="B14" s="1670"/>
      <c r="C14" s="1661"/>
      <c r="D14" s="472" t="s">
        <v>548</v>
      </c>
      <c r="E14" s="302" t="s">
        <v>223</v>
      </c>
      <c r="F14" s="302"/>
      <c r="G14" s="457">
        <f>IFERROR(VLOOKUP($F$1,'FH2'!$C$1:$AN$73,((G$2-5)*2-1),0),"")</f>
        <v>0</v>
      </c>
      <c r="H14" s="457">
        <f>IFERROR(VLOOKUP($F$1,'FH2'!$C$1:$AN$73,((H$2-5)*2-1),0),"")</f>
        <v>0</v>
      </c>
      <c r="I14" s="457">
        <f>IFERROR(VLOOKUP($F$1,'FH2'!$C$1:$AN$73,((I$2-5)*2-1),0),"")</f>
        <v>0</v>
      </c>
      <c r="J14" s="457">
        <f>IFERROR(VLOOKUP($F$1,'FH2'!$C$1:$AN$73,((J$2-5)*2-1),0),"")</f>
        <v>0</v>
      </c>
      <c r="K14" s="457">
        <f>IFERROR(VLOOKUP($F$1,'FH2'!$C$1:$AN$73,((K$2-5)*2-1),0),"")</f>
        <v>0</v>
      </c>
      <c r="L14" s="457">
        <f>IFERROR(VLOOKUP($F$1,'FH2'!$C$1:$AN$73,((L$2-5)*2-1),0),"")</f>
        <v>0</v>
      </c>
      <c r="M14" s="457">
        <f>IFERROR(VLOOKUP($F$1,'FH2'!$C$1:$AN$73,((M$2-5)*2-1),0),"")</f>
        <v>0</v>
      </c>
      <c r="N14" s="457">
        <f>IFERROR(VLOOKUP($F$1,'FH2'!$C$1:$AN$73,((N$2-5)*2-1),0),"")</f>
        <v>0</v>
      </c>
      <c r="O14" s="457">
        <f>IFERROR(VLOOKUP($F$1,'FH2'!$C$1:$AN$73,((O$2-5)*2-1),0),"")</f>
        <v>0</v>
      </c>
      <c r="P14" s="457">
        <f>IFERROR(VLOOKUP($F$1,'FH2'!$C$1:$AN$73,((P$2-5)*2-1),0),"")</f>
        <v>0</v>
      </c>
      <c r="Q14" s="457">
        <f>IFERROR(VLOOKUP($F$1,'FH2'!$C$1:$AN$73,((Q$2-5)*2-1),0),"")</f>
        <v>0</v>
      </c>
      <c r="R14" s="457">
        <f>IFERROR(VLOOKUP($F$1,'FH2'!$C$1:$AN$73,((R$2-5)*2-1),0),"")</f>
        <v>0</v>
      </c>
      <c r="S14" s="457">
        <f>IFERROR(VLOOKUP($F$1,'FH2'!$C$1:$AN$73,((S$2-5)*2-1),0),"")</f>
        <v>0</v>
      </c>
      <c r="T14" s="457">
        <f>IFERROR(VLOOKUP($F$1,'FH2'!$C$1:$AN$73,((T$2-5)*2-1),0),"")</f>
        <v>0</v>
      </c>
      <c r="U14" s="457">
        <f>IFERROR(VLOOKUP($F$1,'FH2'!$C$1:$AN$73,((U$2-5)*2-1),0),"")</f>
        <v>0</v>
      </c>
      <c r="V14" s="457">
        <f>IFERROR(VLOOKUP($F$1,'FH2'!$C$1:$AN$73,((V$2-5)*2-1),0),"")</f>
        <v>0</v>
      </c>
      <c r="W14" s="457">
        <f>IFERROR(VLOOKUP($F$1,'FH2'!$C$1:$AN$73,((W$2-5)*2-1),0),"")</f>
        <v>0</v>
      </c>
    </row>
    <row r="15" spans="1:23" ht="15" customHeight="1" x14ac:dyDescent="0.2">
      <c r="A15" s="305" t="s">
        <v>658</v>
      </c>
      <c r="B15" s="1670"/>
      <c r="C15" s="1661"/>
      <c r="D15" s="472" t="s">
        <v>653</v>
      </c>
      <c r="E15" s="301" t="s">
        <v>223</v>
      </c>
      <c r="F15" s="301"/>
      <c r="G15" s="457">
        <f>IFERROR(VLOOKUP($F$1,'FH3'!$C$1:$AN$72,((G$2-5)*2-1),0),"")</f>
        <v>0</v>
      </c>
      <c r="H15" s="457">
        <f>IFERROR(VLOOKUP($F$1,'FH3'!$C$1:$AN$72,((H$2-5)*2-1),0),"")</f>
        <v>0</v>
      </c>
      <c r="I15" s="457">
        <f>IFERROR(VLOOKUP($F$1,'FH3'!$C$1:$AN$72,((I$2-5)*2-1),0),"")</f>
        <v>0</v>
      </c>
      <c r="J15" s="457">
        <f>IFERROR(VLOOKUP($F$1,'FH3'!$C$1:$AN$72,((J$2-5)*2-1),0),"")</f>
        <v>0</v>
      </c>
      <c r="K15" s="457">
        <f>IFERROR(VLOOKUP($F$1,'FH3'!$C$1:$AN$72,((K$2-5)*2-1),0),"")</f>
        <v>0</v>
      </c>
      <c r="L15" s="457">
        <f>IFERROR(VLOOKUP($F$1,'FH3'!$C$1:$AN$72,((L$2-5)*2-1),0),"")</f>
        <v>0</v>
      </c>
      <c r="M15" s="457">
        <f>IFERROR(VLOOKUP($F$1,'FH3'!$C$1:$AN$72,((M$2-5)*2-1),0),"")</f>
        <v>0</v>
      </c>
      <c r="N15" s="457">
        <f>IFERROR(VLOOKUP($F$1,'FH3'!$C$1:$AN$72,((N$2-5)*2-1),0),"")</f>
        <v>0</v>
      </c>
      <c r="O15" s="457">
        <f>IFERROR(VLOOKUP($F$1,'FH3'!$C$1:$AN$72,((O$2-5)*2-1),0),"")</f>
        <v>0</v>
      </c>
      <c r="P15" s="457">
        <f>IFERROR(VLOOKUP($F$1,'FH3'!$C$1:$AN$72,((P$2-5)*2-1),0),"")</f>
        <v>0</v>
      </c>
      <c r="Q15" s="457">
        <f>IFERROR(VLOOKUP($F$1,'FH3'!$C$1:$AN$72,((Q$2-5)*2-1),0),"")</f>
        <v>0</v>
      </c>
      <c r="R15" s="457">
        <f>IFERROR(VLOOKUP($F$1,'FH3'!$C$1:$AN$72,((R$2-5)*2-1),0),"")</f>
        <v>0</v>
      </c>
      <c r="S15" s="457">
        <f>IFERROR(VLOOKUP($F$1,'FH3'!$C$1:$AN$72,((S$2-5)*2-1),0),"")</f>
        <v>0</v>
      </c>
      <c r="T15" s="457">
        <f>IFERROR(VLOOKUP($F$1,'FH3'!$C$1:$AN$72,((T$2-5)*2-1),0),"")</f>
        <v>0</v>
      </c>
      <c r="U15" s="457">
        <f>IFERROR(VLOOKUP($F$1,'FH3'!$C$1:$AN$72,((U$2-5)*2-1),0),"")</f>
        <v>0</v>
      </c>
      <c r="V15" s="457">
        <f>IFERROR(VLOOKUP($F$1,'FH3'!$C$1:$AN$72,((V$2-5)*2-1),0),"")</f>
        <v>0</v>
      </c>
      <c r="W15" s="457">
        <f>IFERROR(VLOOKUP($F$1,'FH3'!$C$1:$AN$72,((W$2-5)*2-1),0),"")</f>
        <v>0</v>
      </c>
    </row>
    <row r="16" spans="1:23" ht="15" customHeight="1" x14ac:dyDescent="0.2">
      <c r="A16" s="305" t="s">
        <v>659</v>
      </c>
      <c r="B16" s="1670"/>
      <c r="C16" s="1661"/>
      <c r="D16" s="472" t="s">
        <v>551</v>
      </c>
      <c r="E16" s="302" t="s">
        <v>223</v>
      </c>
      <c r="F16" s="302"/>
      <c r="G16" s="457">
        <f>IFERROR(VLOOKUP($F$1,'FH4'!$C$1:$AN$72,((G$2-5)*2-1),0),"")</f>
        <v>0</v>
      </c>
      <c r="H16" s="457">
        <f>IFERROR(VLOOKUP($F$1,'FH4'!$C$1:$AN$72,((H$2-5)*2-1),0),"")</f>
        <v>0</v>
      </c>
      <c r="I16" s="457">
        <f>IFERROR(VLOOKUP($F$1,'FH4'!$C$1:$AN$72,((I$2-5)*2-1),0),"")</f>
        <v>0</v>
      </c>
      <c r="J16" s="457">
        <f>IFERROR(VLOOKUP($F$1,'FH4'!$C$1:$AN$72,((J$2-5)*2-1),0),"")</f>
        <v>0</v>
      </c>
      <c r="K16" s="457">
        <f>IFERROR(VLOOKUP($F$1,'FH4'!$C$1:$AN$72,((K$2-5)*2-1),0),"")</f>
        <v>0</v>
      </c>
      <c r="L16" s="457">
        <f>IFERROR(VLOOKUP($F$1,'FH4'!$C$1:$AN$72,((L$2-5)*2-1),0),"")</f>
        <v>0</v>
      </c>
      <c r="M16" s="457">
        <f>IFERROR(VLOOKUP($F$1,'FH4'!$C$1:$AN$72,((M$2-5)*2-1),0),"")</f>
        <v>0</v>
      </c>
      <c r="N16" s="457">
        <f>IFERROR(VLOOKUP($F$1,'FH4'!$C$1:$AN$72,((N$2-5)*2-1),0),"")</f>
        <v>0</v>
      </c>
      <c r="O16" s="457">
        <f>IFERROR(VLOOKUP($F$1,'FH4'!$C$1:$AN$72,((O$2-5)*2-1),0),"")</f>
        <v>0</v>
      </c>
      <c r="P16" s="457">
        <f>IFERROR(VLOOKUP($F$1,'FH4'!$C$1:$AN$72,((P$2-5)*2-1),0),"")</f>
        <v>0</v>
      </c>
      <c r="Q16" s="457">
        <f>IFERROR(VLOOKUP($F$1,'FH4'!$C$1:$AN$72,((Q$2-5)*2-1),0),"")</f>
        <v>0</v>
      </c>
      <c r="R16" s="457">
        <f>IFERROR(VLOOKUP($F$1,'FH4'!$C$1:$AN$72,((R$2-5)*2-1),0),"")</f>
        <v>0</v>
      </c>
      <c r="S16" s="457">
        <f>IFERROR(VLOOKUP($F$1,'FH4'!$C$1:$AN$72,((S$2-5)*2-1),0),"")</f>
        <v>0</v>
      </c>
      <c r="T16" s="457">
        <f>IFERROR(VLOOKUP($F$1,'FH4'!$C$1:$AN$72,((T$2-5)*2-1),0),"")</f>
        <v>0</v>
      </c>
      <c r="U16" s="457">
        <f>IFERROR(VLOOKUP($F$1,'FH4'!$C$1:$AN$72,((U$2-5)*2-1),0),"")</f>
        <v>0</v>
      </c>
      <c r="V16" s="457">
        <f>IFERROR(VLOOKUP($F$1,'FH4'!$C$1:$AN$72,((V$2-5)*2-1),0),"")</f>
        <v>0</v>
      </c>
      <c r="W16" s="457">
        <f>IFERROR(VLOOKUP($F$1,'FH4'!$C$1:$AN$72,((W$2-5)*2-1),0),"")</f>
        <v>0</v>
      </c>
    </row>
    <row r="17" spans="1:23" ht="15" customHeight="1" x14ac:dyDescent="0.2">
      <c r="A17" s="305" t="s">
        <v>660</v>
      </c>
      <c r="B17" s="1670"/>
      <c r="C17" s="1661" t="s">
        <v>555</v>
      </c>
      <c r="D17" s="472" t="s">
        <v>655</v>
      </c>
      <c r="E17" s="301" t="s">
        <v>223</v>
      </c>
      <c r="F17" s="301"/>
      <c r="G17" s="457">
        <f>IFERROR(VLOOKUP($F$1,'FH5'!$C$1:$AN$72,((G$2-5)*2-1),0),"")</f>
        <v>0</v>
      </c>
      <c r="H17" s="457">
        <f>IFERROR(VLOOKUP($F$1,'FH5'!$C$1:$AN$72,((H$2-5)*2-1),0),"")</f>
        <v>0</v>
      </c>
      <c r="I17" s="457">
        <f>IFERROR(VLOOKUP($F$1,'FH5'!$C$1:$AN$72,((I$2-5)*2-1),0),"")</f>
        <v>0</v>
      </c>
      <c r="J17" s="457">
        <f>IFERROR(VLOOKUP($F$1,'FH5'!$C$1:$AN$72,((J$2-5)*2-1),0),"")</f>
        <v>0</v>
      </c>
      <c r="K17" s="457">
        <f>IFERROR(VLOOKUP($F$1,'FH5'!$C$1:$AN$72,((K$2-5)*2-1),0),"")</f>
        <v>0</v>
      </c>
      <c r="L17" s="457">
        <f>IFERROR(VLOOKUP($F$1,'FH5'!$C$1:$AN$72,((L$2-5)*2-1),0),"")</f>
        <v>0</v>
      </c>
      <c r="M17" s="457">
        <f>IFERROR(VLOOKUP($F$1,'FH5'!$C$1:$AN$72,((M$2-5)*2-1),0),"")</f>
        <v>0</v>
      </c>
      <c r="N17" s="457">
        <f>IFERROR(VLOOKUP($F$1,'FH5'!$C$1:$AN$72,((N$2-5)*2-1),0),"")</f>
        <v>0</v>
      </c>
      <c r="O17" s="457">
        <f>IFERROR(VLOOKUP($F$1,'FH5'!$C$1:$AN$72,((O$2-5)*2-1),0),"")</f>
        <v>0</v>
      </c>
      <c r="P17" s="457">
        <f>IFERROR(VLOOKUP($F$1,'FH5'!$C$1:$AN$72,((P$2-5)*2-1),0),"")</f>
        <v>0</v>
      </c>
      <c r="Q17" s="457">
        <f>IFERROR(VLOOKUP($F$1,'FH5'!$C$1:$AN$72,((Q$2-5)*2-1),0),"")</f>
        <v>0</v>
      </c>
      <c r="R17" s="457">
        <f>IFERROR(VLOOKUP($F$1,'FH5'!$C$1:$AN$72,((R$2-5)*2-1),0),"")</f>
        <v>0</v>
      </c>
      <c r="S17" s="457">
        <f>IFERROR(VLOOKUP($F$1,'FH5'!$C$1:$AN$72,((S$2-5)*2-1),0),"")</f>
        <v>0</v>
      </c>
      <c r="T17" s="457">
        <f>IFERROR(VLOOKUP($F$1,'FH5'!$C$1:$AN$72,((T$2-5)*2-1),0),"")</f>
        <v>0</v>
      </c>
      <c r="U17" s="457">
        <f>IFERROR(VLOOKUP($F$1,'FH5'!$C$1:$AN$72,((U$2-5)*2-1),0),"")</f>
        <v>0</v>
      </c>
      <c r="V17" s="457">
        <f>IFERROR(VLOOKUP($F$1,'FH5'!$C$1:$AN$72,((V$2-5)*2-1),0),"")</f>
        <v>0</v>
      </c>
      <c r="W17" s="457">
        <f>IFERROR(VLOOKUP($F$1,'FH5'!$C$1:$AN$72,((W$2-5)*2-1),0),"")</f>
        <v>0</v>
      </c>
    </row>
    <row r="18" spans="1:23" ht="15" customHeight="1" x14ac:dyDescent="0.2">
      <c r="A18" s="305" t="s">
        <v>661</v>
      </c>
      <c r="B18" s="1670"/>
      <c r="C18" s="1661"/>
      <c r="D18" s="483" t="s">
        <v>546</v>
      </c>
      <c r="E18" s="301"/>
      <c r="F18" s="301"/>
      <c r="G18" s="457">
        <f>IFERROR(VLOOKUP($F$1,'FH6'!$C$1:$AN$72,((G$2-5)*2-1),0),"")</f>
        <v>0</v>
      </c>
      <c r="H18" s="457">
        <f>IFERROR(VLOOKUP($F$1,'FH6'!$C$1:$AN$72,((H$2-5)*2-1),0),"")</f>
        <v>0</v>
      </c>
      <c r="I18" s="457">
        <f>IFERROR(VLOOKUP($F$1,'FH6'!$C$1:$AN$72,((I$2-5)*2-1),0),"")</f>
        <v>0</v>
      </c>
      <c r="J18" s="457">
        <f>IFERROR(VLOOKUP($F$1,'FH6'!$C$1:$AN$72,((J$2-5)*2-1),0),"")</f>
        <v>0</v>
      </c>
      <c r="K18" s="457">
        <f>IFERROR(VLOOKUP($F$1,'FH6'!$C$1:$AN$72,((K$2-5)*2-1),0),"")</f>
        <v>0</v>
      </c>
      <c r="L18" s="457">
        <f>IFERROR(VLOOKUP($F$1,'FH6'!$C$1:$AN$72,((L$2-5)*2-1),0),"")</f>
        <v>0</v>
      </c>
      <c r="M18" s="457">
        <f>IFERROR(VLOOKUP($F$1,'FH6'!$C$1:$AN$72,((M$2-5)*2-1),0),"")</f>
        <v>0</v>
      </c>
      <c r="N18" s="457">
        <f>IFERROR(VLOOKUP($F$1,'FH6'!$C$1:$AN$72,((N$2-5)*2-1),0),"")</f>
        <v>0</v>
      </c>
      <c r="O18" s="457">
        <f>IFERROR(VLOOKUP($F$1,'FH6'!$C$1:$AN$72,((O$2-5)*2-1),0),"")</f>
        <v>0</v>
      </c>
      <c r="P18" s="457">
        <f>IFERROR(VLOOKUP($F$1,'FH6'!$C$1:$AN$72,((P$2-5)*2-1),0),"")</f>
        <v>0</v>
      </c>
      <c r="Q18" s="457">
        <f>IFERROR(VLOOKUP($F$1,'FH6'!$C$1:$AN$72,((Q$2-5)*2-1),0),"")</f>
        <v>0</v>
      </c>
      <c r="R18" s="457">
        <f>IFERROR(VLOOKUP($F$1,'FH6'!$C$1:$AN$72,((R$2-5)*2-1),0),"")</f>
        <v>0</v>
      </c>
      <c r="S18" s="457">
        <f>IFERROR(VLOOKUP($F$1,'FH6'!$C$1:$AN$72,((S$2-5)*2-1),0),"")</f>
        <v>0</v>
      </c>
      <c r="T18" s="457">
        <f>IFERROR(VLOOKUP($F$1,'FH6'!$C$1:$AN$72,((T$2-5)*2-1),0),"")</f>
        <v>0</v>
      </c>
      <c r="U18" s="457">
        <f>IFERROR(VLOOKUP($F$1,'FH6'!$C$1:$AN$72,((U$2-5)*2-1),0),"")</f>
        <v>0</v>
      </c>
      <c r="V18" s="457">
        <f>IFERROR(VLOOKUP($F$1,'FH6'!$C$1:$AN$72,((V$2-5)*2-1),0),"")</f>
        <v>0</v>
      </c>
      <c r="W18" s="457">
        <f>IFERROR(VLOOKUP($F$1,'FH6'!$C$1:$AN$72,((W$2-5)*2-1),0),"")</f>
        <v>0</v>
      </c>
    </row>
    <row r="19" spans="1:23" ht="15.6" customHeight="1" x14ac:dyDescent="0.2">
      <c r="A19" s="305" t="s">
        <v>662</v>
      </c>
      <c r="B19" s="1670"/>
      <c r="C19" s="1661"/>
      <c r="D19" s="472" t="s">
        <v>653</v>
      </c>
      <c r="E19" s="302" t="s">
        <v>223</v>
      </c>
      <c r="F19" s="302"/>
      <c r="G19" s="457">
        <f>IFERROR(VLOOKUP($F$1,'FH7'!$C$1:$AN$71,((G$2-5)*2-1),0),"")</f>
        <v>0</v>
      </c>
      <c r="H19" s="457">
        <f>IFERROR(VLOOKUP($F$1,'FH7'!$C$1:$AN$71,((H$2-5)*2-1),0),"")</f>
        <v>0</v>
      </c>
      <c r="I19" s="457">
        <f>IFERROR(VLOOKUP($F$1,'FH7'!$C$1:$AN$71,((I$2-5)*2-1),0),"")</f>
        <v>0</v>
      </c>
      <c r="J19" s="457">
        <f>IFERROR(VLOOKUP($F$1,'FH7'!$C$1:$AN$71,((J$2-5)*2-1),0),"")</f>
        <v>0</v>
      </c>
      <c r="K19" s="457">
        <f>IFERROR(VLOOKUP($F$1,'FH7'!$C$1:$AN$71,((K$2-5)*2-1),0),"")</f>
        <v>0</v>
      </c>
      <c r="L19" s="457">
        <f>IFERROR(VLOOKUP($F$1,'FH7'!$C$1:$AN$71,((L$2-5)*2-1),0),"")</f>
        <v>0</v>
      </c>
      <c r="M19" s="457">
        <f>IFERROR(VLOOKUP($F$1,'FH7'!$C$1:$AN$71,((M$2-5)*2-1),0),"")</f>
        <v>0</v>
      </c>
      <c r="N19" s="457">
        <f>IFERROR(VLOOKUP($F$1,'FH7'!$C$1:$AN$71,((N$2-5)*2-1),0),"")</f>
        <v>0</v>
      </c>
      <c r="O19" s="457">
        <f>IFERROR(VLOOKUP($F$1,'FH7'!$C$1:$AN$71,((O$2-5)*2-1),0),"")</f>
        <v>0</v>
      </c>
      <c r="P19" s="457">
        <f>IFERROR(VLOOKUP($F$1,'FH7'!$C$1:$AN$71,((P$2-5)*2-1),0),"")</f>
        <v>0</v>
      </c>
      <c r="Q19" s="457">
        <f>IFERROR(VLOOKUP($F$1,'FH7'!$C$1:$AN$71,((Q$2-5)*2-1),0),"")</f>
        <v>0</v>
      </c>
      <c r="R19" s="457">
        <f>IFERROR(VLOOKUP($F$1,'FH7'!$C$1:$AN$71,((R$2-5)*2-1),0),"")</f>
        <v>0</v>
      </c>
      <c r="S19" s="457">
        <f>IFERROR(VLOOKUP($F$1,'FH7'!$C$1:$AN$71,((S$2-5)*2-1),0),"")</f>
        <v>0</v>
      </c>
      <c r="T19" s="457">
        <f>IFERROR(VLOOKUP($F$1,'FH7'!$C$1:$AN$71,((T$2-5)*2-1),0),"")</f>
        <v>0</v>
      </c>
      <c r="U19" s="457">
        <f>IFERROR(VLOOKUP($F$1,'FH7'!$C$1:$AN$71,((U$2-5)*2-1),0),"")</f>
        <v>0</v>
      </c>
      <c r="V19" s="457">
        <f>IFERROR(VLOOKUP($F$1,'FH7'!$C$1:$AN$71,((V$2-5)*2-1),0),"")</f>
        <v>0</v>
      </c>
      <c r="W19" s="457">
        <f>IFERROR(VLOOKUP($F$1,'FH7'!$C$1:$AN$71,((W$2-5)*2-1),0),"")</f>
        <v>0</v>
      </c>
    </row>
    <row r="20" spans="1:23" ht="15" customHeight="1" x14ac:dyDescent="0.2">
      <c r="A20" s="305" t="s">
        <v>663</v>
      </c>
      <c r="B20" s="1670"/>
      <c r="C20" s="1672" t="s">
        <v>523</v>
      </c>
      <c r="D20" s="471" t="s">
        <v>656</v>
      </c>
      <c r="E20" s="301" t="s">
        <v>223</v>
      </c>
      <c r="F20" s="301"/>
      <c r="G20" s="457">
        <f>IFERROR(VLOOKUP($F$1,'FH8'!$C$1:$AN$72,((G$2-5)*2-1),0),"")</f>
        <v>0</v>
      </c>
      <c r="H20" s="457">
        <f>IFERROR(VLOOKUP($F$1,'FH8'!$C$1:$AN$72,((H$2-5)*2-1),0),"")</f>
        <v>0</v>
      </c>
      <c r="I20" s="457">
        <f>IFERROR(VLOOKUP($F$1,'FH8'!$C$1:$AN$72,((I$2-5)*2-1),0),"")</f>
        <v>0</v>
      </c>
      <c r="J20" s="457">
        <f>IFERROR(VLOOKUP($F$1,'FH8'!$C$1:$AN$72,((J$2-5)*2-1),0),"")</f>
        <v>0</v>
      </c>
      <c r="K20" s="457">
        <f>IFERROR(VLOOKUP($F$1,'FH8'!$C$1:$AN$72,((K$2-5)*2-1),0),"")</f>
        <v>0</v>
      </c>
      <c r="L20" s="457">
        <f>IFERROR(VLOOKUP($F$1,'FH8'!$C$1:$AN$72,((L$2-5)*2-1),0),"")</f>
        <v>0</v>
      </c>
      <c r="M20" s="457">
        <f>IFERROR(VLOOKUP($F$1,'FH8'!$C$1:$AN$72,((M$2-5)*2-1),0),"")</f>
        <v>0</v>
      </c>
      <c r="N20" s="457">
        <f>IFERROR(VLOOKUP($F$1,'FH8'!$C$1:$AN$72,((N$2-5)*2-1),0),"")</f>
        <v>0</v>
      </c>
      <c r="O20" s="457">
        <f>IFERROR(VLOOKUP($F$1,'FH8'!$C$1:$AN$72,((O$2-5)*2-1),0),"")</f>
        <v>0</v>
      </c>
      <c r="P20" s="457">
        <f>IFERROR(VLOOKUP($F$1,'FH8'!$C$1:$AN$72,((P$2-5)*2-1),0),"")</f>
        <v>0</v>
      </c>
      <c r="Q20" s="457">
        <f>IFERROR(VLOOKUP($F$1,'FH8'!$C$1:$AN$72,((Q$2-5)*2-1),0),"")</f>
        <v>0</v>
      </c>
      <c r="R20" s="457">
        <f>IFERROR(VLOOKUP($F$1,'FH8'!$C$1:$AN$72,((R$2-5)*2-1),0),"")</f>
        <v>0</v>
      </c>
      <c r="S20" s="457">
        <f>IFERROR(VLOOKUP($F$1,'FH8'!$C$1:$AN$72,((S$2-5)*2-1),0),"")</f>
        <v>0</v>
      </c>
      <c r="T20" s="457">
        <f>IFERROR(VLOOKUP($F$1,'FH8'!$C$1:$AN$72,((T$2-5)*2-1),0),"")</f>
        <v>0</v>
      </c>
      <c r="U20" s="457">
        <f>IFERROR(VLOOKUP($F$1,'FH8'!$C$1:$AN$72,((U$2-5)*2-1),0),"")</f>
        <v>0</v>
      </c>
      <c r="V20" s="457">
        <f>IFERROR(VLOOKUP($F$1,'FH8'!$C$1:$AN$72,((V$2-5)*2-1),0),"")</f>
        <v>0</v>
      </c>
      <c r="W20" s="457">
        <f>IFERROR(VLOOKUP($F$1,'FH8'!$C$1:$AN$72,((W$2-5)*2-1),0),"")</f>
        <v>0</v>
      </c>
    </row>
    <row r="21" spans="1:23" ht="15" customHeight="1" x14ac:dyDescent="0.2">
      <c r="A21" s="305" t="s">
        <v>1288</v>
      </c>
      <c r="B21" s="1670"/>
      <c r="C21" s="1663"/>
      <c r="D21" s="235" t="s">
        <v>657</v>
      </c>
      <c r="E21" s="301"/>
      <c r="F21" s="301"/>
      <c r="G21" s="457">
        <f>IFERROR(VLOOKUP($F$1,'FH9'!$C$1:$AM$31,((G$2-5)*2-1),0),"")</f>
        <v>84.655783333333332</v>
      </c>
      <c r="H21" s="457">
        <f>IFERROR(VLOOKUP($F$1,'FH9'!$C$1:$AM$31,((H$2-5)*2-1),0),"")</f>
        <v>112.78453333333336</v>
      </c>
      <c r="I21" s="457">
        <f>IFERROR(VLOOKUP($F$1,'FH9'!$C$1:$AM$31,((I$2-5)*2-1),0),"")</f>
        <v>123.18453333333333</v>
      </c>
      <c r="J21" s="457">
        <f>IFERROR(VLOOKUP($F$1,'FH9'!$C$1:$AM$31,((J$2-5)*2-1),0),"")</f>
        <v>141.52753333333334</v>
      </c>
      <c r="K21" s="457">
        <f>IFERROR(VLOOKUP($F$1,'FH9'!$C$1:$AM$31,((K$2-5)*2-1),0),"")</f>
        <v>159.87053333333333</v>
      </c>
      <c r="L21" s="457">
        <f>IFERROR(VLOOKUP($F$1,'FH9'!$C$1:$AM$31,((L$2-5)*2-1),0),"")</f>
        <v>178.21353333333334</v>
      </c>
      <c r="M21" s="457">
        <f>IFERROR(VLOOKUP($F$1,'FH9'!$C$1:$AM$31,((M$2-5)*2-1),0),"")</f>
        <v>196.55653333333333</v>
      </c>
      <c r="N21" s="457">
        <f>IFERROR(VLOOKUP($F$1,'FH9'!$C$1:$AM$31,((N$2-5)*2-1),0),"")</f>
        <v>192.28213333333332</v>
      </c>
      <c r="O21" s="457">
        <f>IFERROR(VLOOKUP($F$1,'FH9'!$C$1:$AM$31,((O$2-5)*2-1),0),"")</f>
        <v>206.95653333333331</v>
      </c>
      <c r="P21" s="457">
        <f>IFERROR(VLOOKUP($F$1,'FH9'!$C$1:$AM$31,((P$2-5)*2-1),0),"")</f>
        <v>236.30533333333332</v>
      </c>
      <c r="Q21" s="457">
        <f>IFERROR(VLOOKUP($F$1,'FH9'!$C$1:$AM$31,((Q$2-5)*2-1),0),"")</f>
        <v>236.30533333333332</v>
      </c>
      <c r="R21" s="457">
        <f>IFERROR(VLOOKUP($F$1,'FH9'!$C$1:$AM$31,((R$2-5)*2-1),0),"")</f>
        <v>249.88253333333333</v>
      </c>
      <c r="S21" s="457">
        <f>IFERROR(VLOOKUP($F$1,'FH9'!$C$1:$AM$31,((S$2-5)*2-1),0),"")</f>
        <v>249.88253333333333</v>
      </c>
      <c r="T21" s="457">
        <f>IFERROR(VLOOKUP($F$1,'FH9'!$C$1:$AM$31,((T$2-5)*2-1),0),"")</f>
        <v>266.88263333333327</v>
      </c>
      <c r="U21" s="457">
        <f>IFERROR(VLOOKUP($F$1,'FH9'!$C$1:$AM$31,((U$2-5)*2-1),0),"")</f>
        <v>290.7285333333333</v>
      </c>
      <c r="V21" s="457">
        <f>IFERROR(VLOOKUP($F$1,'FH9'!$C$1:$AM$31,((V$2-5)*2-1),0),"")</f>
        <v>290.7285333333333</v>
      </c>
      <c r="W21" s="457">
        <f>IFERROR(VLOOKUP($F$1,'FH9'!$C$1:$AM$31,((W$2-5)*2-1),0),"")</f>
        <v>304.06003333333331</v>
      </c>
    </row>
    <row r="22" spans="1:23" ht="15" customHeight="1" x14ac:dyDescent="0.2">
      <c r="A22" s="305" t="s">
        <v>558</v>
      </c>
      <c r="B22" s="1668" t="s">
        <v>408</v>
      </c>
      <c r="C22" s="499" t="s">
        <v>562</v>
      </c>
      <c r="D22" s="235"/>
      <c r="E22" s="301"/>
      <c r="F22" s="301"/>
      <c r="G22" s="457">
        <f>IFERROR(VLOOKUP($F$1,'FVB3'!$C$1:$AK$24,((G$2-5)*2-1),0),"")</f>
        <v>0</v>
      </c>
      <c r="H22" s="457">
        <f>IFERROR(VLOOKUP($F$1,'FVB3'!$C$1:$AK$24,((H$2-5)*2-1),0),"")</f>
        <v>28.08</v>
      </c>
      <c r="I22" s="457">
        <f>IFERROR(VLOOKUP($F$1,'FVB3'!$C$1:$AK$24,((I$2-5)*2-1),0),"")</f>
        <v>0</v>
      </c>
      <c r="J22" s="457">
        <f>IFERROR(VLOOKUP($F$1,'FVB3'!$C$1:$AK$24,((J$2-5)*2-1),0),"")</f>
        <v>46.800000000000011</v>
      </c>
      <c r="K22" s="457">
        <f>IFERROR(VLOOKUP($F$1,'FVB3'!$C$1:$AK$24,((K$2-5)*2-1),0),"")</f>
        <v>56.16</v>
      </c>
      <c r="L22" s="457">
        <f>IFERROR(VLOOKUP($F$1,'FVB3'!$C$1:$AK$24,((L$2-5)*2-1),0),"")</f>
        <v>0</v>
      </c>
      <c r="M22" s="457">
        <f>IFERROR(VLOOKUP($F$1,'FVB3'!$C$1:$AK$24,((M$2-5)*2-1),0),"")</f>
        <v>0</v>
      </c>
      <c r="N22" s="457">
        <f>IFERROR(VLOOKUP($F$1,'FVB3'!$C$1:$AK$24,((N$2-5)*2-1),0),"")</f>
        <v>0</v>
      </c>
      <c r="O22" s="457">
        <f>IFERROR(VLOOKUP($F$1,'FVB3'!$C$1:$AK$24,((O$2-5)*2-1),0),"")</f>
        <v>93.600000000000023</v>
      </c>
      <c r="P22" s="457">
        <f>IFERROR(VLOOKUP($F$1,'FVB3'!$C$1:$AK$24,((P$2-5)*2-1),0),"")</f>
        <v>112.32</v>
      </c>
      <c r="Q22" s="457">
        <f>IFERROR(VLOOKUP($F$1,'FVB3'!$C$1:$AK$24,((Q$2-5)*2-1),0),"")</f>
        <v>0</v>
      </c>
      <c r="R22" s="457">
        <f>IFERROR(VLOOKUP($F$1,'FVB3'!$C$1:$AK$24,((R$2-5)*2-1),0),"")</f>
        <v>0</v>
      </c>
      <c r="S22" s="457">
        <f>IFERROR(VLOOKUP($F$1,'FVB3'!$C$1:$AK$24,((S$2-5)*2-1),0),"")</f>
        <v>0</v>
      </c>
      <c r="T22" s="457">
        <f>IFERROR(VLOOKUP($F$1,'FVB3'!$C$1:$AK$24,((T$2-5)*2-1),0),"")</f>
        <v>0</v>
      </c>
      <c r="U22" s="457">
        <f>IFERROR(VLOOKUP($F$1,'FVB3'!$C$1:$AK$24,((U$2-5)*2-1),0),"")</f>
        <v>0</v>
      </c>
      <c r="V22" s="457">
        <f>IFERROR(VLOOKUP($F$1,'FVB3'!$C$1:$AK$24,((V$2-5)*2-1),0),"")</f>
        <v>0</v>
      </c>
      <c r="W22" s="457">
        <f>IFERROR(VLOOKUP($F$1,'FVB3'!$C$1:$AK$24,((W$2-5)*2-1),0),"")</f>
        <v>187.20000000000005</v>
      </c>
    </row>
    <row r="23" spans="1:23" ht="15" customHeight="1" x14ac:dyDescent="0.2">
      <c r="A23" s="305" t="s">
        <v>559</v>
      </c>
      <c r="B23" s="1668"/>
      <c r="C23" s="499" t="s">
        <v>654</v>
      </c>
      <c r="D23" s="235"/>
      <c r="E23" s="301"/>
      <c r="F23" s="301"/>
      <c r="G23" s="457">
        <f>IFERROR(VLOOKUP($F$1,'FVB2'!$C$1:$AK$25,((G$2-5)*2-1),0),"")</f>
        <v>0</v>
      </c>
      <c r="H23" s="457">
        <f>IFERROR(VLOOKUP($F$1,'FVB2'!$C$1:$AK$25,((H$2-5)*2-1),0),"")</f>
        <v>60.840000000000018</v>
      </c>
      <c r="I23" s="457">
        <f>IFERROR(VLOOKUP($F$1,'FVB2'!$C$1:$AK$25,((I$2-5)*2-1),0),"")</f>
        <v>0</v>
      </c>
      <c r="J23" s="457">
        <f>IFERROR(VLOOKUP($F$1,'FVB2'!$C$1:$AK$25,((J$2-5)*2-1),0),"")</f>
        <v>101.4</v>
      </c>
      <c r="K23" s="457">
        <f>IFERROR(VLOOKUP($F$1,'FVB2'!$C$1:$AK$25,((K$2-5)*2-1),0),"")</f>
        <v>121.68000000000004</v>
      </c>
      <c r="L23" s="457">
        <f>IFERROR(VLOOKUP($F$1,'FVB2'!$C$1:$AK$25,((L$2-5)*2-1),0),"")</f>
        <v>0</v>
      </c>
      <c r="M23" s="457">
        <f>IFERROR(VLOOKUP($F$1,'FVB2'!$C$1:$AK$25,((M$2-5)*2-1),0),"")</f>
        <v>0</v>
      </c>
      <c r="N23" s="457">
        <f>IFERROR(VLOOKUP($F$1,'FVB2'!$C$1:$AK$25,((N$2-5)*2-1),0),"")</f>
        <v>0</v>
      </c>
      <c r="O23" s="457">
        <f>IFERROR(VLOOKUP($F$1,'FVB2'!$C$1:$AK$25,((O$2-5)*2-1),0),"")</f>
        <v>202.8</v>
      </c>
      <c r="P23" s="457">
        <f>IFERROR(VLOOKUP($F$1,'FVB2'!$C$1:$AK$25,((P$2-5)*2-1),0),"")</f>
        <v>243.36000000000007</v>
      </c>
      <c r="Q23" s="457">
        <f>IFERROR(VLOOKUP($F$1,'FVB2'!$C$1:$AK$25,((Q$2-5)*2-1),0),"")</f>
        <v>0</v>
      </c>
      <c r="R23" s="457">
        <f>IFERROR(VLOOKUP($F$1,'FVB2'!$C$1:$AK$25,((R$2-5)*2-1),0),"")</f>
        <v>0</v>
      </c>
      <c r="S23" s="457">
        <f>IFERROR(VLOOKUP($F$1,'FVB2'!$C$1:$AK$25,((S$2-5)*2-1),0),"")</f>
        <v>0</v>
      </c>
      <c r="T23" s="457">
        <f>IFERROR(VLOOKUP($F$1,'FVB2'!$C$1:$AK$25,((T$2-5)*2-1),0),"")</f>
        <v>0</v>
      </c>
      <c r="U23" s="457">
        <f>IFERROR(VLOOKUP($F$1,'FVB2'!$C$1:$AK$25,((U$2-5)*2-1),0),"")</f>
        <v>0</v>
      </c>
      <c r="V23" s="457">
        <f>IFERROR(VLOOKUP($F$1,'FVB2'!$C$1:$AK$25,((V$2-5)*2-1),0),"")</f>
        <v>0</v>
      </c>
      <c r="W23" s="457">
        <f>IFERROR(VLOOKUP($F$1,'FVB2'!$C$1:$AK$25,((W$2-5)*2-1),0),"")</f>
        <v>405.6</v>
      </c>
    </row>
    <row r="24" spans="1:23" ht="15" customHeight="1" x14ac:dyDescent="0.2">
      <c r="A24" s="305" t="s">
        <v>560</v>
      </c>
      <c r="B24" s="1668"/>
      <c r="C24" s="498" t="s">
        <v>523</v>
      </c>
      <c r="D24" s="235"/>
      <c r="E24" s="301" t="s">
        <v>223</v>
      </c>
      <c r="F24" s="301"/>
      <c r="G24" s="457">
        <f>IFERROR(VLOOKUP($F$1,'FVB1'!$C$1:$AK$25,((G$2-5)*2-1),0),"")</f>
        <v>0</v>
      </c>
      <c r="H24" s="457">
        <f>IFERROR(VLOOKUP($F$1,'FVB1'!$C$1:$AK$25,((H$2-5)*2-1),0),"")</f>
        <v>121.68000000000004</v>
      </c>
      <c r="I24" s="457">
        <f>IFERROR(VLOOKUP($F$1,'FVB1'!$C$1:$AK$25,((I$2-5)*2-1),0),"")</f>
        <v>0</v>
      </c>
      <c r="J24" s="457">
        <f>IFERROR(VLOOKUP($F$1,'FVB1'!$C$1:$AK$25,((J$2-5)*2-1),0),"")</f>
        <v>202.8</v>
      </c>
      <c r="K24" s="457">
        <f>IFERROR(VLOOKUP($F$1,'FVB1'!$C$1:$AK$25,((K$2-5)*2-1),0),"")</f>
        <v>243.36000000000007</v>
      </c>
      <c r="L24" s="457">
        <f>IFERROR(VLOOKUP($F$1,'FVB1'!$C$1:$AK$25,((L$2-5)*2-1),0),"")</f>
        <v>0</v>
      </c>
      <c r="M24" s="457">
        <f>IFERROR(VLOOKUP($F$1,'FVB1'!$C$1:$AK$25,((M$2-5)*2-1),0),"")</f>
        <v>0</v>
      </c>
      <c r="N24" s="457">
        <f>IFERROR(VLOOKUP($F$1,'FVB1'!$C$1:$AK$25,((N$2-5)*2-1),0),"")</f>
        <v>0</v>
      </c>
      <c r="O24" s="457">
        <f>IFERROR(VLOOKUP($F$1,'FVB1'!$C$1:$AK$25,((O$2-5)*2-1),0),"")</f>
        <v>405.6</v>
      </c>
      <c r="P24" s="457">
        <f>IFERROR(VLOOKUP($F$1,'FVB1'!$C$1:$AK$25,((P$2-5)*2-1),0),"")</f>
        <v>486.72000000000014</v>
      </c>
      <c r="Q24" s="457">
        <f>IFERROR(VLOOKUP($F$1,'FVB1'!$C$1:$AK$25,((Q$2-5)*2-1),0),"")</f>
        <v>0</v>
      </c>
      <c r="R24" s="457">
        <f>IFERROR(VLOOKUP($F$1,'FVB1'!$C$1:$AK$25,((R$2-5)*2-1),0),"")</f>
        <v>0</v>
      </c>
      <c r="S24" s="457">
        <f>IFERROR(VLOOKUP($F$1,'FVB1'!$C$1:$AK$25,((S$2-5)*2-1),0),"")</f>
        <v>0</v>
      </c>
      <c r="T24" s="457">
        <f>IFERROR(VLOOKUP($F$1,'FVB1'!$C$1:$AK$25,((T$2-5)*2-1),0),"")</f>
        <v>0</v>
      </c>
      <c r="U24" s="457">
        <f>IFERROR(VLOOKUP($F$1,'FVB1'!$C$1:$AK$25,((U$2-5)*2-1),0),"")</f>
        <v>0</v>
      </c>
      <c r="V24" s="457">
        <f>IFERROR(VLOOKUP($F$1,'FVB1'!$C$1:$AK$25,((V$2-5)*2-1),0),"")</f>
        <v>0</v>
      </c>
      <c r="W24" s="457">
        <f>IFERROR(VLOOKUP($F$1,'FVB1'!$C$1:$AK$25,((W$2-5)*2-1),0),"")</f>
        <v>811.2</v>
      </c>
    </row>
    <row r="25" spans="1:23" ht="15" customHeight="1" x14ac:dyDescent="0.2">
      <c r="A25" s="305" t="s">
        <v>564</v>
      </c>
      <c r="B25" s="1671" t="s">
        <v>565</v>
      </c>
      <c r="C25" s="498" t="s">
        <v>566</v>
      </c>
      <c r="D25" s="235"/>
      <c r="E25" s="301">
        <f>'Zones d''infiltration'!I47</f>
        <v>297.34900000000005</v>
      </c>
      <c r="F25" s="301"/>
      <c r="G25" s="457"/>
      <c r="H25" s="457"/>
      <c r="I25" s="457"/>
      <c r="J25" s="457"/>
      <c r="K25" s="457"/>
      <c r="L25" s="457"/>
      <c r="M25" s="457"/>
      <c r="N25" s="457"/>
      <c r="O25" s="457"/>
      <c r="P25" s="457"/>
      <c r="Q25" s="457"/>
      <c r="R25" s="457"/>
      <c r="S25" s="457"/>
      <c r="T25" s="457"/>
      <c r="U25" s="457"/>
      <c r="V25" s="457"/>
      <c r="W25" s="457"/>
    </row>
    <row r="26" spans="1:23" x14ac:dyDescent="0.2">
      <c r="A26" s="308" t="s">
        <v>567</v>
      </c>
      <c r="B26" s="1671"/>
      <c r="C26" s="498" t="s">
        <v>568</v>
      </c>
      <c r="D26" s="235"/>
      <c r="E26" s="301">
        <f>'Zones d''infiltration'!K47</f>
        <v>31.355999999999998</v>
      </c>
      <c r="F26" s="301"/>
      <c r="G26" s="457"/>
      <c r="H26" s="457"/>
      <c r="I26" s="457"/>
      <c r="J26" s="457"/>
      <c r="K26" s="457"/>
      <c r="L26" s="457"/>
      <c r="M26" s="457"/>
      <c r="N26" s="457"/>
      <c r="O26" s="457"/>
      <c r="P26" s="457"/>
      <c r="Q26" s="457"/>
      <c r="R26" s="457"/>
      <c r="S26" s="457"/>
      <c r="T26" s="457"/>
      <c r="U26" s="457"/>
      <c r="V26" s="457"/>
      <c r="W26" s="457"/>
    </row>
    <row r="27" spans="1:23" x14ac:dyDescent="0.2">
      <c r="A27" s="305" t="s">
        <v>1191</v>
      </c>
      <c r="B27" s="1673" t="s">
        <v>569</v>
      </c>
      <c r="C27" s="498" t="s">
        <v>1194</v>
      </c>
      <c r="D27" s="235"/>
      <c r="E27" s="301">
        <f>'Zones d''infiltration'!E47</f>
        <v>31.355999999999998</v>
      </c>
      <c r="F27" s="301"/>
      <c r="G27" s="457"/>
      <c r="H27" s="457"/>
      <c r="I27" s="457"/>
      <c r="J27" s="457"/>
      <c r="K27" s="457"/>
      <c r="L27" s="457"/>
      <c r="M27" s="457"/>
      <c r="N27" s="457"/>
      <c r="O27" s="457"/>
      <c r="P27" s="457"/>
      <c r="Q27" s="457"/>
      <c r="R27" s="457"/>
      <c r="S27" s="457"/>
      <c r="T27" s="457"/>
      <c r="U27" s="457"/>
      <c r="V27" s="457"/>
      <c r="W27" s="457"/>
    </row>
    <row r="28" spans="1:23" ht="15" customHeight="1" x14ac:dyDescent="0.2">
      <c r="A28" s="305" t="s">
        <v>1192</v>
      </c>
      <c r="B28" s="1674"/>
      <c r="C28" s="498" t="s">
        <v>1193</v>
      </c>
      <c r="D28" s="235"/>
      <c r="E28" s="301">
        <f>'Zones d''infiltration'!G47</f>
        <v>54.573999999999998</v>
      </c>
      <c r="F28" s="301"/>
      <c r="G28" s="457"/>
      <c r="H28" s="457"/>
      <c r="I28" s="457"/>
      <c r="J28" s="457"/>
      <c r="K28" s="457"/>
      <c r="L28" s="457"/>
      <c r="M28" s="457"/>
      <c r="N28" s="457"/>
      <c r="O28" s="457"/>
      <c r="P28" s="457"/>
      <c r="Q28" s="457"/>
      <c r="R28" s="457"/>
      <c r="S28" s="457"/>
      <c r="T28" s="457"/>
      <c r="U28" s="457"/>
      <c r="V28" s="457"/>
      <c r="W28" s="457"/>
    </row>
    <row r="29" spans="1:23" ht="15" customHeight="1" x14ac:dyDescent="0.2">
      <c r="A29" s="473"/>
      <c r="B29" s="474"/>
      <c r="C29" s="475"/>
      <c r="D29" s="392"/>
      <c r="E29" s="476"/>
      <c r="F29" s="476"/>
      <c r="G29" s="477"/>
      <c r="H29" s="477"/>
      <c r="I29" s="477"/>
      <c r="J29" s="477"/>
      <c r="K29" s="477"/>
      <c r="L29" s="477"/>
      <c r="M29" s="477"/>
      <c r="N29" s="477"/>
      <c r="O29" s="477"/>
      <c r="P29" s="477"/>
      <c r="Q29" s="477"/>
      <c r="R29" s="477"/>
      <c r="S29" s="477"/>
      <c r="T29" s="477"/>
      <c r="U29" s="477"/>
      <c r="V29" s="477"/>
      <c r="W29" s="477"/>
    </row>
    <row r="30" spans="1:23" ht="15" customHeight="1" x14ac:dyDescent="0.2">
      <c r="A30" s="473"/>
      <c r="B30" s="474"/>
      <c r="C30" s="475"/>
      <c r="D30" s="392"/>
      <c r="E30" s="476"/>
      <c r="F30" s="476"/>
      <c r="G30" s="477"/>
      <c r="H30" s="477"/>
      <c r="I30" s="477"/>
      <c r="J30" s="477"/>
      <c r="K30" s="477"/>
      <c r="L30" s="477"/>
      <c r="M30" s="477"/>
      <c r="N30" s="477"/>
      <c r="O30" s="477"/>
      <c r="P30" s="477"/>
      <c r="Q30" s="477"/>
      <c r="R30" s="477"/>
      <c r="S30" s="477"/>
      <c r="T30" s="477"/>
      <c r="U30" s="477"/>
      <c r="V30" s="477"/>
      <c r="W30" s="477"/>
    </row>
    <row r="31" spans="1:23" ht="15" customHeight="1" x14ac:dyDescent="0.2">
      <c r="A31" s="473"/>
      <c r="B31" s="474"/>
      <c r="C31" s="475"/>
      <c r="D31" s="392"/>
      <c r="E31" s="476"/>
      <c r="F31" s="476"/>
      <c r="G31" s="477"/>
      <c r="H31" s="477"/>
      <c r="I31" s="477"/>
      <c r="J31" s="477"/>
      <c r="K31" s="477"/>
      <c r="L31" s="477"/>
      <c r="M31" s="477"/>
      <c r="N31" s="477"/>
      <c r="O31" s="477"/>
      <c r="P31" s="477"/>
      <c r="Q31" s="477"/>
      <c r="R31" s="477"/>
      <c r="S31" s="477"/>
      <c r="T31" s="477"/>
      <c r="U31" s="477"/>
      <c r="V31" s="477"/>
      <c r="W31" s="477"/>
    </row>
    <row r="32" spans="1:23" ht="15" customHeight="1" x14ac:dyDescent="0.2">
      <c r="A32" s="308" t="s">
        <v>571</v>
      </c>
      <c r="B32" s="1669" t="s">
        <v>572</v>
      </c>
      <c r="C32" s="498" t="s">
        <v>665</v>
      </c>
      <c r="D32" s="235" t="s">
        <v>577</v>
      </c>
      <c r="E32" s="301">
        <f>Habillage!E37</f>
        <v>0</v>
      </c>
      <c r="F32" s="301"/>
      <c r="G32" s="457"/>
      <c r="H32" s="457"/>
      <c r="I32" s="457"/>
      <c r="J32" s="457"/>
      <c r="K32" s="457"/>
      <c r="L32" s="457"/>
      <c r="M32" s="457"/>
      <c r="N32" s="457"/>
      <c r="O32" s="457"/>
      <c r="P32" s="457"/>
      <c r="Q32" s="457"/>
      <c r="R32" s="457"/>
      <c r="S32" s="457"/>
      <c r="T32" s="457"/>
      <c r="U32" s="457"/>
      <c r="V32" s="457"/>
      <c r="W32" s="457"/>
    </row>
    <row r="33" spans="1:23" ht="15" customHeight="1" x14ac:dyDescent="0.2">
      <c r="A33" s="308" t="s">
        <v>574</v>
      </c>
      <c r="B33" s="1669"/>
      <c r="C33" s="498" t="s">
        <v>408</v>
      </c>
      <c r="D33" s="235" t="s">
        <v>575</v>
      </c>
      <c r="E33" s="301" t="e">
        <f>Habillage!G37</f>
        <v>#VALUE!</v>
      </c>
      <c r="F33" s="301"/>
      <c r="G33" s="457"/>
      <c r="H33" s="457"/>
      <c r="I33" s="457"/>
      <c r="J33" s="457"/>
      <c r="K33" s="457"/>
      <c r="L33" s="457"/>
      <c r="M33" s="457"/>
      <c r="N33" s="457"/>
      <c r="O33" s="457"/>
      <c r="P33" s="457"/>
      <c r="Q33" s="457"/>
      <c r="R33" s="457"/>
      <c r="S33" s="457"/>
      <c r="T33" s="457"/>
      <c r="U33" s="457"/>
      <c r="V33" s="457"/>
      <c r="W33" s="457"/>
    </row>
    <row r="34" spans="1:23" ht="15" customHeight="1" x14ac:dyDescent="0.2">
      <c r="A34" s="308" t="s">
        <v>576</v>
      </c>
      <c r="B34" s="1669"/>
      <c r="C34" s="498" t="s">
        <v>664</v>
      </c>
      <c r="D34" s="235" t="s">
        <v>573</v>
      </c>
      <c r="E34" s="301" t="e">
        <f>Habillage!I37</f>
        <v>#VALUE!</v>
      </c>
      <c r="F34" s="301"/>
      <c r="G34" s="457"/>
      <c r="H34" s="457"/>
      <c r="I34" s="457"/>
      <c r="J34" s="457"/>
      <c r="K34" s="457"/>
      <c r="L34" s="457"/>
      <c r="M34" s="457"/>
      <c r="N34" s="457"/>
      <c r="O34" s="457"/>
      <c r="P34" s="457"/>
      <c r="Q34" s="457"/>
      <c r="R34" s="457"/>
      <c r="S34" s="457"/>
      <c r="T34" s="457"/>
      <c r="U34" s="457"/>
      <c r="V34" s="457"/>
      <c r="W34" s="457"/>
    </row>
    <row r="35" spans="1:23" ht="15" customHeight="1" x14ac:dyDescent="0.2">
      <c r="A35" s="308" t="s">
        <v>578</v>
      </c>
      <c r="B35" s="1669"/>
      <c r="C35" s="498" t="s">
        <v>579</v>
      </c>
      <c r="D35" s="472" t="s">
        <v>580</v>
      </c>
      <c r="E35" s="301" t="e">
        <f>Habillage!L37</f>
        <v>#DIV/0!</v>
      </c>
      <c r="F35" s="301"/>
      <c r="G35" s="457"/>
      <c r="H35" s="457"/>
      <c r="I35" s="457"/>
      <c r="J35" s="457"/>
      <c r="K35" s="457"/>
      <c r="L35" s="457"/>
      <c r="M35" s="457"/>
      <c r="N35" s="457"/>
      <c r="O35" s="457"/>
      <c r="P35" s="457"/>
      <c r="Q35" s="457"/>
      <c r="R35" s="457"/>
      <c r="S35" s="457"/>
      <c r="T35" s="457"/>
      <c r="U35" s="457"/>
      <c r="V35" s="457"/>
      <c r="W35" s="457"/>
    </row>
    <row r="36" spans="1:23" ht="15" customHeight="1" x14ac:dyDescent="0.2">
      <c r="A36" s="308" t="s">
        <v>581</v>
      </c>
      <c r="B36" s="1669"/>
      <c r="C36" s="498" t="s">
        <v>666</v>
      </c>
      <c r="D36" s="472" t="s">
        <v>582</v>
      </c>
      <c r="E36" s="301" t="e">
        <f>Habillage!#REF!</f>
        <v>#REF!</v>
      </c>
      <c r="F36" s="301"/>
      <c r="G36" s="457"/>
      <c r="H36" s="457"/>
      <c r="I36" s="457"/>
      <c r="J36" s="457"/>
      <c r="K36" s="457"/>
      <c r="L36" s="457"/>
      <c r="M36" s="457"/>
      <c r="N36" s="457"/>
      <c r="O36" s="457"/>
      <c r="P36" s="457"/>
      <c r="Q36" s="457"/>
      <c r="R36" s="457"/>
      <c r="S36" s="457"/>
      <c r="T36" s="457"/>
      <c r="U36" s="457"/>
      <c r="V36" s="457"/>
      <c r="W36" s="457"/>
    </row>
    <row r="37" spans="1:23" ht="15" customHeight="1" x14ac:dyDescent="0.2">
      <c r="A37" s="473"/>
      <c r="B37" s="474"/>
      <c r="C37" s="475"/>
      <c r="D37" s="392"/>
      <c r="E37" s="476"/>
      <c r="F37" s="476"/>
      <c r="G37" s="477"/>
      <c r="H37" s="477"/>
      <c r="I37" s="477"/>
      <c r="J37" s="477"/>
      <c r="K37" s="477"/>
      <c r="L37" s="477"/>
      <c r="M37" s="477"/>
      <c r="N37" s="477"/>
      <c r="O37" s="477"/>
      <c r="P37" s="477"/>
      <c r="Q37" s="477"/>
      <c r="R37" s="477"/>
      <c r="S37" s="477"/>
      <c r="T37" s="477"/>
      <c r="U37" s="477"/>
      <c r="V37" s="477"/>
      <c r="W37" s="477"/>
    </row>
    <row r="38" spans="1:23" ht="15" customHeight="1" x14ac:dyDescent="0.2">
      <c r="A38" s="308" t="s">
        <v>583</v>
      </c>
      <c r="B38" s="1658" t="s">
        <v>487</v>
      </c>
      <c r="C38" s="573" t="s">
        <v>584</v>
      </c>
      <c r="D38" s="235" t="s">
        <v>1410</v>
      </c>
      <c r="E38" s="301">
        <f>Finitions!E51</f>
        <v>107.64856960000003</v>
      </c>
      <c r="F38" s="301"/>
      <c r="G38" s="457"/>
      <c r="H38" s="457"/>
      <c r="I38" s="457"/>
      <c r="J38" s="457"/>
      <c r="K38" s="457"/>
      <c r="L38" s="457"/>
      <c r="M38" s="457"/>
      <c r="N38" s="457"/>
      <c r="O38" s="457"/>
      <c r="P38" s="457"/>
      <c r="Q38" s="457"/>
      <c r="R38" s="457"/>
      <c r="S38" s="457"/>
      <c r="T38" s="457"/>
      <c r="U38" s="457"/>
      <c r="V38" s="457"/>
      <c r="W38" s="457"/>
    </row>
    <row r="39" spans="1:23" ht="15" customHeight="1" x14ac:dyDescent="0.2">
      <c r="A39" s="308" t="s">
        <v>585</v>
      </c>
      <c r="B39" s="1659"/>
      <c r="C39" s="573" t="s">
        <v>1521</v>
      </c>
      <c r="D39" s="235" t="s">
        <v>1520</v>
      </c>
      <c r="E39" s="301">
        <f>Finitions!G51</f>
        <v>211.40753920000003</v>
      </c>
      <c r="F39" s="301"/>
      <c r="G39" s="457"/>
      <c r="H39" s="457"/>
      <c r="I39" s="457"/>
      <c r="J39" s="457"/>
      <c r="K39" s="457"/>
      <c r="L39" s="457"/>
      <c r="M39" s="457"/>
      <c r="N39" s="457"/>
      <c r="O39" s="457"/>
      <c r="P39" s="457"/>
      <c r="Q39" s="457"/>
      <c r="R39" s="457"/>
      <c r="S39" s="457"/>
      <c r="T39" s="457"/>
      <c r="U39" s="457"/>
      <c r="V39" s="457"/>
      <c r="W39" s="457"/>
    </row>
    <row r="40" spans="1:23" ht="15" customHeight="1" x14ac:dyDescent="0.2">
      <c r="A40" s="308" t="s">
        <v>586</v>
      </c>
      <c r="B40" s="1659"/>
      <c r="C40" s="573" t="s">
        <v>667</v>
      </c>
      <c r="D40" s="235" t="s">
        <v>668</v>
      </c>
      <c r="E40" s="301">
        <f>Finitions!I51</f>
        <v>140.76795200000004</v>
      </c>
      <c r="F40" s="301"/>
      <c r="G40" s="457"/>
      <c r="H40" s="457"/>
      <c r="I40" s="457"/>
      <c r="J40" s="457"/>
      <c r="K40" s="457"/>
      <c r="L40" s="457"/>
      <c r="M40" s="457"/>
      <c r="N40" s="457"/>
      <c r="O40" s="457"/>
      <c r="P40" s="457"/>
      <c r="Q40" s="457"/>
      <c r="R40" s="457"/>
      <c r="S40" s="457"/>
      <c r="T40" s="457"/>
      <c r="U40" s="457"/>
      <c r="V40" s="457"/>
      <c r="W40" s="457"/>
    </row>
    <row r="41" spans="1:23" ht="15" customHeight="1" x14ac:dyDescent="0.2">
      <c r="A41" s="308" t="s">
        <v>587</v>
      </c>
      <c r="B41" s="1659"/>
      <c r="C41" s="573" t="s">
        <v>667</v>
      </c>
      <c r="D41" s="235" t="s">
        <v>1522</v>
      </c>
      <c r="E41" s="301">
        <f>Finitions!K51</f>
        <v>109.95504</v>
      </c>
      <c r="F41" s="301"/>
      <c r="G41" s="457"/>
      <c r="H41" s="457"/>
      <c r="I41" s="457"/>
      <c r="J41" s="457"/>
      <c r="K41" s="457"/>
      <c r="L41" s="457"/>
      <c r="M41" s="457"/>
      <c r="N41" s="457"/>
      <c r="O41" s="457"/>
      <c r="P41" s="457"/>
      <c r="Q41" s="457"/>
      <c r="R41" s="457"/>
      <c r="S41" s="457"/>
      <c r="T41" s="457"/>
      <c r="U41" s="457"/>
      <c r="V41" s="457"/>
      <c r="W41" s="457"/>
    </row>
    <row r="42" spans="1:23" ht="15" customHeight="1" x14ac:dyDescent="0.2">
      <c r="A42" s="308" t="s">
        <v>588</v>
      </c>
      <c r="B42" s="1659"/>
      <c r="C42" s="573" t="s">
        <v>1523</v>
      </c>
      <c r="D42" s="235" t="s">
        <v>1407</v>
      </c>
      <c r="E42" s="301">
        <f>Finitions!M51</f>
        <v>134.01960000000003</v>
      </c>
      <c r="F42" s="301"/>
      <c r="G42" s="457"/>
      <c r="H42" s="457"/>
      <c r="I42" s="457"/>
      <c r="J42" s="457"/>
      <c r="K42" s="457"/>
      <c r="L42" s="457"/>
      <c r="M42" s="457"/>
      <c r="N42" s="457"/>
      <c r="O42" s="457"/>
      <c r="P42" s="457"/>
      <c r="Q42" s="457"/>
      <c r="R42" s="457"/>
      <c r="S42" s="457"/>
      <c r="T42" s="457"/>
      <c r="U42" s="457"/>
      <c r="V42" s="457"/>
      <c r="W42" s="457"/>
    </row>
    <row r="43" spans="1:23" ht="15" customHeight="1" x14ac:dyDescent="0.2">
      <c r="A43" s="308" t="s">
        <v>1402</v>
      </c>
      <c r="B43" s="1659"/>
      <c r="C43" s="573" t="s">
        <v>1524</v>
      </c>
      <c r="D43" s="235" t="s">
        <v>1325</v>
      </c>
      <c r="E43" s="301">
        <f>Finitions!O51</f>
        <v>0</v>
      </c>
      <c r="F43" s="301"/>
      <c r="G43" s="457"/>
      <c r="H43" s="457"/>
      <c r="I43" s="457"/>
      <c r="J43" s="457"/>
      <c r="K43" s="457"/>
      <c r="L43" s="457"/>
      <c r="M43" s="457"/>
      <c r="N43" s="457"/>
      <c r="O43" s="457"/>
      <c r="P43" s="457"/>
      <c r="Q43" s="457"/>
      <c r="R43" s="457"/>
      <c r="S43" s="457"/>
      <c r="T43" s="457"/>
      <c r="U43" s="457"/>
      <c r="V43" s="457"/>
      <c r="W43" s="457"/>
    </row>
    <row r="44" spans="1:23" ht="15" customHeight="1" x14ac:dyDescent="0.2">
      <c r="A44" s="308" t="s">
        <v>1405</v>
      </c>
      <c r="B44" s="1659"/>
      <c r="C44" s="573"/>
      <c r="D44" s="235"/>
      <c r="E44" s="301" t="e">
        <f>Finitions!#REF!</f>
        <v>#REF!</v>
      </c>
      <c r="F44" s="301"/>
      <c r="G44" s="457"/>
      <c r="H44" s="457"/>
      <c r="I44" s="457"/>
      <c r="J44" s="457"/>
      <c r="K44" s="457"/>
      <c r="L44" s="457"/>
      <c r="M44" s="457"/>
      <c r="N44" s="457"/>
      <c r="O44" s="457"/>
      <c r="P44" s="457"/>
      <c r="Q44" s="457"/>
      <c r="R44" s="457"/>
      <c r="S44" s="457"/>
      <c r="T44" s="457"/>
      <c r="U44" s="457"/>
      <c r="V44" s="457"/>
      <c r="W44" s="457"/>
    </row>
    <row r="45" spans="1:23" ht="15" customHeight="1" x14ac:dyDescent="0.2">
      <c r="A45" s="308" t="s">
        <v>1409</v>
      </c>
      <c r="B45" s="1659"/>
      <c r="C45" s="573" t="s">
        <v>399</v>
      </c>
      <c r="D45" s="235" t="s">
        <v>1406</v>
      </c>
      <c r="E45" s="301" t="e">
        <f>Finitions!S51</f>
        <v>#VALUE!</v>
      </c>
      <c r="F45" s="301"/>
      <c r="G45" s="457"/>
      <c r="H45" s="457"/>
      <c r="I45" s="457"/>
      <c r="J45" s="457"/>
      <c r="K45" s="457"/>
      <c r="L45" s="457"/>
      <c r="M45" s="457"/>
      <c r="N45" s="457"/>
      <c r="O45" s="457"/>
      <c r="P45" s="457"/>
      <c r="Q45" s="457"/>
      <c r="R45" s="457"/>
      <c r="S45" s="457"/>
      <c r="T45" s="457"/>
      <c r="U45" s="457"/>
      <c r="V45" s="457"/>
      <c r="W45" s="457"/>
    </row>
    <row r="46" spans="1:23" ht="15" customHeight="1" x14ac:dyDescent="0.2">
      <c r="A46" s="308" t="s">
        <v>1411</v>
      </c>
      <c r="B46" s="1660"/>
      <c r="C46" s="573" t="s">
        <v>399</v>
      </c>
      <c r="D46" s="235" t="s">
        <v>1525</v>
      </c>
      <c r="E46" s="301" t="e">
        <f>Finitions!U51</f>
        <v>#REF!</v>
      </c>
      <c r="F46" s="301"/>
      <c r="G46" s="457"/>
      <c r="H46" s="457"/>
      <c r="I46" s="457"/>
      <c r="J46" s="457"/>
      <c r="K46" s="457"/>
      <c r="L46" s="457"/>
      <c r="M46" s="457"/>
      <c r="N46" s="457"/>
      <c r="O46" s="457"/>
      <c r="P46" s="457"/>
      <c r="Q46" s="457"/>
      <c r="R46" s="457"/>
      <c r="S46" s="457"/>
      <c r="T46" s="457"/>
      <c r="U46" s="457"/>
      <c r="V46" s="457"/>
      <c r="W46" s="457"/>
    </row>
    <row r="47" spans="1:23" ht="15" customHeight="1" x14ac:dyDescent="0.2">
      <c r="A47" s="473"/>
      <c r="B47" s="474"/>
      <c r="C47" s="475"/>
      <c r="D47" s="392"/>
      <c r="E47" s="476"/>
      <c r="F47" s="476"/>
      <c r="G47" s="477"/>
      <c r="H47" s="477"/>
      <c r="I47" s="477"/>
      <c r="J47" s="477"/>
      <c r="K47" s="477"/>
      <c r="L47" s="477"/>
      <c r="M47" s="477"/>
      <c r="N47" s="477"/>
      <c r="O47" s="477"/>
      <c r="P47" s="477"/>
      <c r="Q47" s="477"/>
      <c r="R47" s="477"/>
      <c r="S47" s="477"/>
      <c r="T47" s="477"/>
      <c r="U47" s="477"/>
      <c r="V47" s="477"/>
      <c r="W47" s="477"/>
    </row>
    <row r="48" spans="1:23" ht="15" customHeight="1" x14ac:dyDescent="0.2">
      <c r="A48" s="308" t="s">
        <v>589</v>
      </c>
      <c r="B48" s="1602" t="s">
        <v>590</v>
      </c>
      <c r="C48" s="498"/>
      <c r="D48" s="472" t="s">
        <v>591</v>
      </c>
      <c r="E48" s="301"/>
      <c r="F48" s="301"/>
      <c r="G48" s="457"/>
      <c r="H48" s="457"/>
      <c r="I48" s="457"/>
      <c r="J48" s="457"/>
      <c r="K48" s="457"/>
      <c r="L48" s="457"/>
      <c r="M48" s="457"/>
      <c r="N48" s="457"/>
      <c r="O48" s="457"/>
      <c r="P48" s="457"/>
      <c r="Q48" s="457"/>
      <c r="R48" s="457"/>
      <c r="S48" s="457"/>
      <c r="T48" s="457"/>
      <c r="U48" s="457"/>
      <c r="V48" s="457"/>
      <c r="W48" s="457"/>
    </row>
    <row r="49" spans="1:23" ht="15" customHeight="1" x14ac:dyDescent="0.2">
      <c r="A49" s="308" t="s">
        <v>592</v>
      </c>
      <c r="B49" s="1602"/>
      <c r="C49" s="498"/>
      <c r="D49" s="472" t="s">
        <v>593</v>
      </c>
      <c r="E49" s="301"/>
      <c r="F49" s="301"/>
      <c r="G49" s="457"/>
      <c r="H49" s="457"/>
      <c r="I49" s="457"/>
      <c r="J49" s="457"/>
      <c r="K49" s="457"/>
      <c r="L49" s="457"/>
      <c r="M49" s="457"/>
      <c r="N49" s="457"/>
      <c r="O49" s="457"/>
      <c r="P49" s="457"/>
      <c r="Q49" s="457"/>
      <c r="R49" s="457"/>
      <c r="S49" s="457"/>
      <c r="T49" s="457"/>
      <c r="U49" s="457"/>
      <c r="V49" s="457"/>
      <c r="W49" s="457"/>
    </row>
    <row r="50" spans="1:23" ht="15" customHeight="1" x14ac:dyDescent="0.2">
      <c r="A50" s="308" t="s">
        <v>594</v>
      </c>
      <c r="B50" s="1602"/>
      <c r="C50" s="498"/>
      <c r="D50" s="472" t="s">
        <v>595</v>
      </c>
      <c r="E50" s="301"/>
      <c r="F50" s="301"/>
      <c r="G50" s="457"/>
      <c r="H50" s="457"/>
      <c r="I50" s="457"/>
      <c r="J50" s="457"/>
      <c r="K50" s="457"/>
      <c r="L50" s="457"/>
      <c r="M50" s="457"/>
      <c r="N50" s="457"/>
      <c r="O50" s="457"/>
      <c r="P50" s="457"/>
      <c r="Q50" s="457"/>
      <c r="R50" s="457"/>
      <c r="S50" s="457"/>
      <c r="T50" s="457"/>
      <c r="U50" s="457"/>
      <c r="V50" s="457"/>
      <c r="W50" s="457"/>
    </row>
    <row r="51" spans="1:23" ht="15" customHeight="1" x14ac:dyDescent="0.2">
      <c r="A51" s="308" t="s">
        <v>596</v>
      </c>
      <c r="B51" s="1602"/>
      <c r="C51" s="498"/>
      <c r="D51" s="472" t="s">
        <v>597</v>
      </c>
      <c r="E51" s="301">
        <f>VLOOKUP("Prix HT",'Bandes de propreté'!C1:L64,9,0)</f>
        <v>11.476980000000001</v>
      </c>
      <c r="F51" s="301">
        <f>VLOOKUP("RECAP MATIERES",'Bandes de propreté'!B1:M64,10,0)</f>
        <v>3.9969800000000006</v>
      </c>
      <c r="G51" s="457"/>
      <c r="H51" s="457"/>
      <c r="I51" s="457"/>
      <c r="J51" s="457"/>
      <c r="K51" s="457"/>
      <c r="L51" s="457"/>
      <c r="M51" s="457"/>
      <c r="N51" s="457"/>
      <c r="O51" s="457"/>
      <c r="P51" s="457"/>
      <c r="Q51" s="457"/>
      <c r="R51" s="457"/>
      <c r="S51" s="457"/>
      <c r="T51" s="457"/>
      <c r="U51" s="457"/>
      <c r="V51" s="457"/>
      <c r="W51" s="457"/>
    </row>
    <row r="52" spans="1:23" ht="15" customHeight="1" x14ac:dyDescent="0.2">
      <c r="A52" s="473"/>
      <c r="B52" s="474"/>
      <c r="C52" s="475"/>
      <c r="D52" s="392"/>
      <c r="E52" s="476"/>
      <c r="F52" s="476"/>
      <c r="G52" s="477"/>
      <c r="H52" s="477"/>
      <c r="I52" s="477"/>
      <c r="J52" s="477"/>
      <c r="K52" s="477"/>
      <c r="L52" s="477"/>
      <c r="M52" s="477"/>
      <c r="N52" s="477"/>
      <c r="O52" s="477"/>
      <c r="P52" s="477"/>
      <c r="Q52" s="477"/>
      <c r="R52" s="477"/>
      <c r="S52" s="477"/>
      <c r="T52" s="477"/>
      <c r="U52" s="477"/>
      <c r="V52" s="477"/>
      <c r="W52" s="477"/>
    </row>
    <row r="53" spans="1:23" ht="15" customHeight="1" x14ac:dyDescent="0.2">
      <c r="A53" s="308" t="s">
        <v>598</v>
      </c>
      <c r="B53" s="1665" t="s">
        <v>599</v>
      </c>
      <c r="C53" s="1661" t="s">
        <v>600</v>
      </c>
      <c r="D53" s="472" t="s">
        <v>601</v>
      </c>
      <c r="E53" s="301"/>
      <c r="F53" s="301"/>
      <c r="G53" s="457"/>
      <c r="H53" s="457"/>
      <c r="I53" s="457"/>
      <c r="J53" s="457"/>
      <c r="K53" s="457"/>
      <c r="L53" s="457"/>
      <c r="M53" s="457"/>
      <c r="N53" s="457"/>
      <c r="O53" s="457"/>
      <c r="P53" s="457"/>
      <c r="Q53" s="457"/>
      <c r="R53" s="457"/>
      <c r="S53" s="457"/>
      <c r="T53" s="457"/>
      <c r="U53" s="457"/>
      <c r="V53" s="457"/>
      <c r="W53" s="457"/>
    </row>
    <row r="54" spans="1:23" ht="15" customHeight="1" x14ac:dyDescent="0.2">
      <c r="A54" s="308" t="s">
        <v>514</v>
      </c>
      <c r="B54" s="1665"/>
      <c r="C54" s="1661"/>
      <c r="D54" s="472" t="s">
        <v>669</v>
      </c>
      <c r="E54" s="301">
        <f>VLOOKUP("Prix HT",Bordures!C4:L67,5,0)</f>
        <v>10.050000000000001</v>
      </c>
      <c r="F54" s="301">
        <f>VLOOKUP("RECAP MATIERES",Bordures!B4:M90,6,0)</f>
        <v>7.8000000000000007</v>
      </c>
      <c r="G54" s="457"/>
      <c r="H54" s="457"/>
      <c r="I54" s="457"/>
      <c r="J54" s="457"/>
      <c r="K54" s="457"/>
      <c r="L54" s="457"/>
      <c r="M54" s="457"/>
      <c r="N54" s="457"/>
      <c r="O54" s="457"/>
      <c r="P54" s="457"/>
      <c r="Q54" s="457"/>
      <c r="R54" s="457"/>
      <c r="S54" s="457"/>
      <c r="T54" s="457"/>
      <c r="U54" s="457"/>
      <c r="V54" s="457"/>
      <c r="W54" s="457"/>
    </row>
    <row r="55" spans="1:23" ht="15" customHeight="1" x14ac:dyDescent="0.2">
      <c r="A55" s="308" t="s">
        <v>602</v>
      </c>
      <c r="B55" s="1665"/>
      <c r="C55" s="1661"/>
      <c r="D55" s="472" t="s">
        <v>603</v>
      </c>
      <c r="E55" s="301"/>
      <c r="F55" s="301"/>
      <c r="G55" s="457"/>
      <c r="H55" s="457"/>
      <c r="I55" s="457"/>
      <c r="J55" s="457"/>
      <c r="K55" s="457"/>
      <c r="L55" s="457"/>
      <c r="M55" s="457"/>
      <c r="N55" s="457"/>
      <c r="O55" s="457"/>
      <c r="P55" s="457"/>
      <c r="Q55" s="457"/>
      <c r="R55" s="457"/>
      <c r="S55" s="457"/>
      <c r="T55" s="457"/>
      <c r="U55" s="457"/>
      <c r="V55" s="457"/>
      <c r="W55" s="457"/>
    </row>
    <row r="56" spans="1:23" ht="15" customHeight="1" x14ac:dyDescent="0.2">
      <c r="A56" s="308" t="s">
        <v>604</v>
      </c>
      <c r="B56" s="1665"/>
      <c r="C56" s="1661"/>
      <c r="D56" s="472" t="s">
        <v>605</v>
      </c>
      <c r="E56" s="301"/>
      <c r="F56" s="301"/>
      <c r="G56" s="457"/>
      <c r="H56" s="457"/>
      <c r="I56" s="457"/>
      <c r="J56" s="457"/>
      <c r="K56" s="457"/>
      <c r="L56" s="457"/>
      <c r="M56" s="457"/>
      <c r="N56" s="457"/>
      <c r="O56" s="457"/>
      <c r="P56" s="457"/>
      <c r="Q56" s="457"/>
      <c r="R56" s="457"/>
      <c r="S56" s="457"/>
      <c r="T56" s="457"/>
      <c r="U56" s="457"/>
      <c r="V56" s="457"/>
      <c r="W56" s="457"/>
    </row>
    <row r="57" spans="1:23" ht="15" customHeight="1" x14ac:dyDescent="0.2">
      <c r="A57" s="308" t="s">
        <v>606</v>
      </c>
      <c r="B57" s="1665"/>
      <c r="C57" s="1661"/>
      <c r="D57" s="472" t="s">
        <v>607</v>
      </c>
      <c r="E57" s="301"/>
      <c r="F57" s="301"/>
      <c r="G57" s="457"/>
      <c r="H57" s="457"/>
      <c r="I57" s="457"/>
      <c r="J57" s="457"/>
      <c r="K57" s="457"/>
      <c r="L57" s="457"/>
      <c r="M57" s="457"/>
      <c r="N57" s="457"/>
      <c r="O57" s="457"/>
      <c r="P57" s="457"/>
      <c r="Q57" s="457"/>
      <c r="R57" s="457"/>
      <c r="S57" s="457"/>
      <c r="T57" s="457"/>
      <c r="U57" s="457"/>
      <c r="V57" s="457"/>
      <c r="W57" s="457"/>
    </row>
    <row r="58" spans="1:23" ht="15" customHeight="1" x14ac:dyDescent="0.2">
      <c r="A58" s="473"/>
      <c r="B58" s="474"/>
      <c r="C58" s="475"/>
      <c r="D58" s="392"/>
      <c r="E58" s="476"/>
      <c r="F58" s="476"/>
      <c r="G58" s="477"/>
      <c r="H58" s="477"/>
      <c r="I58" s="477"/>
      <c r="J58" s="477"/>
      <c r="K58" s="477"/>
      <c r="L58" s="477"/>
      <c r="M58" s="477"/>
      <c r="N58" s="477"/>
      <c r="O58" s="477"/>
      <c r="P58" s="477"/>
      <c r="Q58" s="477"/>
      <c r="R58" s="477"/>
      <c r="S58" s="477"/>
      <c r="T58" s="477"/>
      <c r="U58" s="477"/>
      <c r="V58" s="477"/>
      <c r="W58" s="477"/>
    </row>
    <row r="59" spans="1:23" ht="15" customHeight="1" x14ac:dyDescent="0.2">
      <c r="A59" s="308" t="s">
        <v>1348</v>
      </c>
      <c r="B59" s="1666" t="s">
        <v>1347</v>
      </c>
      <c r="C59" s="1667"/>
      <c r="D59" s="235" t="s">
        <v>1346</v>
      </c>
      <c r="E59" s="301"/>
      <c r="F59" s="301"/>
      <c r="G59" s="457">
        <f>IFERROR(VLOOKUP($F$1,'ALIM BAC Gravitaire'!$C$1:$K$33,((G$2-5)*2-1),0),"")</f>
        <v>0</v>
      </c>
      <c r="H59" s="457">
        <f>IFERROR(VLOOKUP($F$1,'ALIM BAC Gravitaire'!$C$1:$K$33,((H$2-5)*2-1),0),"")</f>
        <v>158.78200000000001</v>
      </c>
      <c r="I59" s="457">
        <f>IFERROR(VLOOKUP($F$1,'ALIM BAC Gravitaire'!$C$1:$K$33,((I$2-5)*2-1),0),"")</f>
        <v>168.60999999999999</v>
      </c>
      <c r="J59" s="457">
        <f>IFERROR(VLOOKUP($F$1,'ALIM BAC Gravitaire'!$C$1:$K$33,((J$2-5)*2-1),0),"")</f>
        <v>168.60999999999999</v>
      </c>
      <c r="K59" s="457" t="str">
        <f>IFERROR(VLOOKUP($F$1,'ALIM BAC Gravitaire'!$C$1:$K$33,((K$2-5)*2-1),0),"")</f>
        <v/>
      </c>
      <c r="L59" s="457" t="str">
        <f>IFERROR(VLOOKUP($F$1,'ALIM BAC Gravitaire'!$C$1:$K$33,((L$2-5)*2-1),0),"")</f>
        <v/>
      </c>
      <c r="M59" s="457" t="str">
        <f>IFERROR(VLOOKUP($F$1,'ALIM BAC Gravitaire'!$C$1:$K$33,((M$2-5)*2-1),0),"")</f>
        <v/>
      </c>
      <c r="N59" s="457" t="str">
        <f>IFERROR(VLOOKUP($F$1,'ALIM BAC Gravitaire'!$C$1:$K$33,((N$2-5)*2-1),0),"")</f>
        <v/>
      </c>
      <c r="O59" s="457" t="str">
        <f>IFERROR(VLOOKUP($F$1,'ALIM BAC Gravitaire'!$C$1:$K$33,((O$2-5)*2-1),0),"")</f>
        <v/>
      </c>
      <c r="P59" s="457" t="str">
        <f>IFERROR(VLOOKUP($F$1,'ALIM BAC Gravitaire'!$C$1:$K$33,((P$2-5)*2-1),0),"")</f>
        <v/>
      </c>
      <c r="Q59" s="457" t="str">
        <f>IFERROR(VLOOKUP($F$1,'ALIM BAC Gravitaire'!$C$1:$K$33,((Q$2-5)*2-1),0),"")</f>
        <v/>
      </c>
      <c r="R59" s="457" t="str">
        <f>IFERROR(VLOOKUP($F$1,'ALIM BAC Gravitaire'!$C$1:$K$33,((R$2-5)*2-1),0),"")</f>
        <v/>
      </c>
      <c r="S59" s="457" t="str">
        <f>IFERROR(VLOOKUP($F$1,'ALIM BAC Gravitaire'!$C$1:$K$33,((S$2-5)*2-1),0),"")</f>
        <v/>
      </c>
      <c r="T59" s="457" t="str">
        <f>IFERROR(VLOOKUP($F$1,'ALIM BAC Gravitaire'!$C$1:$K$33,((T$2-5)*2-1),0),"")</f>
        <v/>
      </c>
      <c r="U59" s="457" t="str">
        <f>IFERROR(VLOOKUP($F$1,'ALIM BAC Gravitaire'!$C$1:$K$33,((U$2-5)*2-1),0),"")</f>
        <v/>
      </c>
      <c r="V59" s="457" t="str">
        <f>IFERROR(VLOOKUP($F$1,'ALIM BAC Gravitaire'!$C$1:$K$33,((V$2-5)*2-1),0),"")</f>
        <v/>
      </c>
      <c r="W59" s="457" t="str">
        <f>IFERROR(VLOOKUP($F$1,'ALIM BAC Gravitaire'!$C$1:$K$33,((W$2-5)*2-1),0),"")</f>
        <v/>
      </c>
    </row>
    <row r="60" spans="1:23" ht="15" customHeight="1" x14ac:dyDescent="0.2">
      <c r="A60" s="308" t="s">
        <v>1349</v>
      </c>
      <c r="B60" s="1666"/>
      <c r="C60" s="1667"/>
      <c r="D60" s="235" t="s">
        <v>1352</v>
      </c>
      <c r="E60" s="301"/>
      <c r="F60" s="301"/>
      <c r="G60" s="457">
        <f>IFERROR(VLOOKUP($F$1,'ALIM BAC relevage'!$C$1:$AK$34,((G$2-5)*2-1),0),"")</f>
        <v>0</v>
      </c>
      <c r="H60" s="457">
        <f>IFERROR(VLOOKUP($F$1,'ALIM BAC relevage'!$C$1:$AK$34,((H$2-5)*2-1),0),"")</f>
        <v>169.32500000000002</v>
      </c>
      <c r="I60" s="457">
        <f>IFERROR(VLOOKUP($F$1,'ALIM BAC relevage'!$C$1:$AK$34,((I$2-5)*2-1),0),"")</f>
        <v>0</v>
      </c>
      <c r="J60" s="457">
        <f>IFERROR(VLOOKUP($F$1,'ALIM BAC relevage'!$C$1:$AK$34,((J$2-5)*2-1),0),"")</f>
        <v>162.006</v>
      </c>
      <c r="K60" s="457">
        <f>IFERROR(VLOOKUP($F$1,'ALIM BAC relevage'!$C$1:$AK$34,((K$2-5)*2-1),0),"")</f>
        <v>162.006</v>
      </c>
      <c r="L60" s="457">
        <f>IFERROR(VLOOKUP($F$1,'ALIM BAC relevage'!$C$1:$AK$34,((L$2-5)*2-1),0),"")</f>
        <v>0</v>
      </c>
      <c r="M60" s="457">
        <f>IFERROR(VLOOKUP($F$1,'ALIM BAC relevage'!$C$1:$AK$34,((M$2-5)*2-1),0),"")</f>
        <v>0</v>
      </c>
      <c r="N60" s="457">
        <f>IFERROR(VLOOKUP($F$1,'ALIM BAC relevage'!$C$1:$AK$34,((N$2-5)*2-1),0),"")</f>
        <v>0</v>
      </c>
      <c r="O60" s="457">
        <f>IFERROR(VLOOKUP($F$1,'ALIM BAC relevage'!$C$1:$AK$34,((O$2-5)*2-1),0),"")</f>
        <v>332.16300000000001</v>
      </c>
      <c r="P60" s="457">
        <f>IFERROR(VLOOKUP($F$1,'ALIM BAC relevage'!$C$1:$AK$34,((P$2-5)*2-1),0),"")</f>
        <v>332.16300000000001</v>
      </c>
      <c r="Q60" s="457">
        <f>IFERROR(VLOOKUP($F$1,'ALIM BAC relevage'!$C$1:$AK$34,((Q$2-5)*2-1),0),"")</f>
        <v>0</v>
      </c>
      <c r="R60" s="457">
        <f>IFERROR(VLOOKUP($F$1,'ALIM BAC relevage'!$C$1:$AK$34,((R$2-5)*2-1),0),"")</f>
        <v>0</v>
      </c>
      <c r="S60" s="457">
        <f>IFERROR(VLOOKUP($F$1,'ALIM BAC relevage'!$C$1:$AK$34,((S$2-5)*2-1),0),"")</f>
        <v>0</v>
      </c>
      <c r="T60" s="457">
        <f>IFERROR(VLOOKUP($F$1,'ALIM BAC relevage'!$C$1:$AK$34,((T$2-5)*2-1),0),"")</f>
        <v>0</v>
      </c>
      <c r="U60" s="457">
        <f>IFERROR(VLOOKUP($F$1,'ALIM BAC relevage'!$C$1:$AK$34,((U$2-5)*2-1),0),"")</f>
        <v>0</v>
      </c>
      <c r="V60" s="457">
        <f>IFERROR(VLOOKUP($F$1,'ALIM BAC relevage'!$C$1:$AK$34,((V$2-5)*2-1),0),"")</f>
        <v>0</v>
      </c>
      <c r="W60" s="457">
        <f>IFERROR(VLOOKUP($F$1,'ALIM BAC relevage'!$C$1:$AK$34,((W$2-5)*2-1),0),"")</f>
        <v>674.54400000000021</v>
      </c>
    </row>
    <row r="61" spans="1:23" ht="15" customHeight="1" x14ac:dyDescent="0.2">
      <c r="A61" s="308" t="s">
        <v>1350</v>
      </c>
      <c r="B61" s="1666"/>
      <c r="C61" s="1667"/>
      <c r="D61" s="235" t="s">
        <v>1353</v>
      </c>
      <c r="E61" s="301"/>
      <c r="F61" s="301"/>
      <c r="G61" s="457">
        <f>IFERROR(VLOOKUP($F$1,'ALIM FV-FH grav'!$C$1:$U$35,((G$2-5)*2-1),0),"")</f>
        <v>158.07999999999998</v>
      </c>
      <c r="H61" s="457">
        <f>IFERROR(VLOOKUP($F$1,'ALIM FV-FH grav'!$C$1:$U$35,((H$2-5)*2-1),0),"")</f>
        <v>160.53700000000001</v>
      </c>
      <c r="I61" s="457">
        <f>IFERROR(VLOOKUP($F$1,'ALIM FV-FH grav'!$C$1:$U$35,((I$2-5)*2-1),0),"")</f>
        <v>162.994</v>
      </c>
      <c r="J61" s="457">
        <f>IFERROR(VLOOKUP($F$1,'ALIM FV-FH grav'!$C$1:$U$35,((J$2-5)*2-1),0),"")</f>
        <v>160.53700000000001</v>
      </c>
      <c r="K61" s="457">
        <f>IFERROR(VLOOKUP($F$1,'ALIM FV-FH grav'!$C$1:$U$35,((K$2-5)*2-1),0),"")</f>
        <v>160.53700000000001</v>
      </c>
      <c r="L61" s="457">
        <f>IFERROR(VLOOKUP($F$1,'ALIM FV-FH grav'!$C$1:$U$35,((L$2-5)*2-1),0),"")</f>
        <v>160.53700000000001</v>
      </c>
      <c r="M61" s="457">
        <f>IFERROR(VLOOKUP($F$1,'ALIM FV-FH grav'!$C$1:$U$35,((M$2-5)*2-1),0),"")</f>
        <v>160.53700000000001</v>
      </c>
      <c r="N61" s="457">
        <f>IFERROR(VLOOKUP($F$1,'ALIM FV-FH grav'!$C$1:$U$35,((N$2-5)*2-1),0),"")</f>
        <v>162.994</v>
      </c>
      <c r="O61" s="457">
        <f>IFERROR(VLOOKUP($F$1,'ALIM FV-FH grav'!$C$1:$U$35,((O$2-5)*2-1),0),"")</f>
        <v>165.45100000000002</v>
      </c>
      <c r="P61" s="457" t="str">
        <f>IFERROR(VLOOKUP($F$1,'ALIM FV-FH grav'!$C$1:$U$35,((P$2-5)*2-1),0),"")</f>
        <v/>
      </c>
      <c r="Q61" s="457" t="str">
        <f>IFERROR(VLOOKUP($F$1,'ALIM FV-FH grav'!$C$1:$U$35,((Q$2-5)*2-1),0),"")</f>
        <v/>
      </c>
      <c r="R61" s="457" t="str">
        <f>IFERROR(VLOOKUP($F$1,'ALIM FV-FH grav'!$C$1:$U$35,((R$2-5)*2-1),0),"")</f>
        <v/>
      </c>
      <c r="S61" s="457" t="str">
        <f>IFERROR(VLOOKUP($F$1,'ALIM FV-FH grav'!$C$1:$U$35,((S$2-5)*2-1),0),"")</f>
        <v/>
      </c>
      <c r="T61" s="457" t="str">
        <f>IFERROR(VLOOKUP($F$1,'ALIM FV-FH grav'!$C$1:$U$35,((T$2-5)*2-1),0),"")</f>
        <v/>
      </c>
      <c r="U61" s="457" t="str">
        <f>IFERROR(VLOOKUP($F$1,'ALIM FV-FH grav'!$C$1:$U$35,((U$2-5)*2-1),0),"")</f>
        <v/>
      </c>
      <c r="V61" s="457" t="str">
        <f>IFERROR(VLOOKUP($F$1,'ALIM FV-FH grav'!$C$1:$U$35,((V$2-5)*2-1),0),"")</f>
        <v/>
      </c>
      <c r="W61" s="457" t="str">
        <f>IFERROR(VLOOKUP($F$1,'ALIM FV-FH grav'!$C$1:$U$35,((W$2-5)*2-1),0),"")</f>
        <v/>
      </c>
    </row>
    <row r="62" spans="1:23" ht="15" customHeight="1" x14ac:dyDescent="0.2">
      <c r="A62" s="308" t="s">
        <v>1351</v>
      </c>
      <c r="B62" s="1666"/>
      <c r="C62" s="1667"/>
      <c r="D62" s="235" t="s">
        <v>1354</v>
      </c>
      <c r="E62" s="301"/>
      <c r="F62" s="301"/>
      <c r="G62" s="457">
        <f>IFERROR(VLOOKUP($F$1,'ALIM FV-FH relevage'!$C$1:$AM$37,((G$2-5)*2-1),0),"")</f>
        <v>163.05900000000003</v>
      </c>
      <c r="H62" s="457">
        <f>IFERROR(VLOOKUP($F$1,'ALIM FV-FH relevage'!$C$1:$AM$37,((H$2-5)*2-1),0),"")</f>
        <v>163.05900000000003</v>
      </c>
      <c r="I62" s="457">
        <f>IFERROR(VLOOKUP($F$1,'ALIM FV-FH relevage'!$C$1:$AM$37,((I$2-5)*2-1),0),"")</f>
        <v>163.05900000000003</v>
      </c>
      <c r="J62" s="457">
        <f>IFERROR(VLOOKUP($F$1,'ALIM FV-FH relevage'!$C$1:$AM$37,((J$2-5)*2-1),0),"")</f>
        <v>163.05900000000003</v>
      </c>
      <c r="K62" s="457">
        <f>IFERROR(VLOOKUP($F$1,'ALIM FV-FH relevage'!$C$1:$AM$37,((K$2-5)*2-1),0),"")</f>
        <v>163.05900000000003</v>
      </c>
      <c r="L62" s="457">
        <f>IFERROR(VLOOKUP($F$1,'ALIM FV-FH relevage'!$C$1:$AM$37,((L$2-5)*2-1),0),"")</f>
        <v>163.75450000000004</v>
      </c>
      <c r="M62" s="457">
        <f>IFERROR(VLOOKUP($F$1,'ALIM FV-FH relevage'!$C$1:$AM$37,((M$2-5)*2-1),0),"")</f>
        <v>164.45000000000002</v>
      </c>
      <c r="N62" s="457">
        <f>IFERROR(VLOOKUP($F$1,'ALIM FV-FH relevage'!$C$1:$AM$37,((N$2-5)*2-1),0),"")</f>
        <v>177.203</v>
      </c>
      <c r="O62" s="457">
        <f>IFERROR(VLOOKUP($F$1,'ALIM FV-FH relevage'!$C$1:$AM$37,((O$2-5)*2-1),0),"")</f>
        <v>176.29300000000003</v>
      </c>
      <c r="P62" s="457">
        <f>IFERROR(VLOOKUP($F$1,'ALIM FV-FH relevage'!$C$1:$AM$37,((P$2-5)*2-1),0),"")</f>
        <v>322.08800000000002</v>
      </c>
      <c r="Q62" s="457">
        <f>IFERROR(VLOOKUP($F$1,'ALIM FV-FH relevage'!$C$1:$AM$37,((Q$2-5)*2-1),0),"")</f>
        <v>324.38900000000001</v>
      </c>
      <c r="R62" s="457">
        <f>IFERROR(VLOOKUP($F$1,'ALIM FV-FH relevage'!$C$1:$AM$37,((R$2-5)*2-1),0),"")</f>
        <v>325.78000000000003</v>
      </c>
      <c r="S62" s="457">
        <f>IFERROR(VLOOKUP($F$1,'ALIM FV-FH relevage'!$C$1:$AM$37,((S$2-5)*2-1),0),"")</f>
        <v>325.78000000000003</v>
      </c>
      <c r="T62" s="457">
        <f>IFERROR(VLOOKUP($F$1,'ALIM FV-FH relevage'!$C$1:$AM$37,((T$2-5)*2-1),0),"")</f>
        <v>327.17100000000005</v>
      </c>
      <c r="U62" s="457">
        <f>IFERROR(VLOOKUP($F$1,'ALIM FV-FH relevage'!$C$1:$AM$37,((U$2-5)*2-1),0),"")</f>
        <v>328.56200000000001</v>
      </c>
      <c r="V62" s="457">
        <f>IFERROR(VLOOKUP($F$1,'ALIM FV-FH relevage'!$C$1:$AM$37,((V$2-5)*2-1),0),"")</f>
        <v>322.08800000000002</v>
      </c>
      <c r="W62" s="457">
        <f>IFERROR(VLOOKUP($F$1,'ALIM FV-FH relevage'!$C$1:$AM$37,((W$2-5)*2-1),0),"")</f>
        <v>291.59000000000003</v>
      </c>
    </row>
    <row r="63" spans="1:23" ht="15" customHeight="1" x14ac:dyDescent="0.2">
      <c r="A63" s="473"/>
      <c r="B63" s="474"/>
      <c r="C63" s="475"/>
      <c r="D63" s="392"/>
      <c r="E63" s="476"/>
      <c r="F63" s="476"/>
      <c r="G63" s="477"/>
      <c r="H63" s="477"/>
      <c r="I63" s="477"/>
      <c r="J63" s="477"/>
      <c r="K63" s="477"/>
      <c r="L63" s="477"/>
      <c r="M63" s="477"/>
      <c r="N63" s="477"/>
      <c r="O63" s="477"/>
      <c r="P63" s="477"/>
      <c r="Q63" s="477"/>
      <c r="R63" s="477"/>
      <c r="S63" s="477"/>
      <c r="T63" s="477"/>
      <c r="U63" s="477"/>
      <c r="V63" s="477"/>
      <c r="W63" s="477"/>
    </row>
    <row r="64" spans="1:23" ht="15" customHeight="1" x14ac:dyDescent="0.2">
      <c r="A64" s="308" t="s">
        <v>1332</v>
      </c>
      <c r="B64" s="1679" t="s">
        <v>1374</v>
      </c>
      <c r="C64" s="1667"/>
      <c r="D64" s="235" t="s">
        <v>1375</v>
      </c>
      <c r="E64" s="301">
        <f>IFERROR(VLOOKUP($F$1,Distribution!$D$1:$U$34,2,0),"")</f>
        <v>157.43</v>
      </c>
      <c r="F64" s="301"/>
      <c r="G64" s="457"/>
      <c r="H64" s="457"/>
      <c r="I64" s="457"/>
      <c r="J64" s="457"/>
      <c r="K64" s="457"/>
      <c r="L64" s="457"/>
      <c r="M64" s="457"/>
      <c r="N64" s="457"/>
      <c r="O64" s="457"/>
      <c r="P64" s="457"/>
      <c r="Q64" s="457"/>
      <c r="R64" s="457"/>
      <c r="S64" s="457"/>
      <c r="T64" s="457"/>
      <c r="U64" s="457"/>
      <c r="V64" s="457"/>
      <c r="W64" s="457"/>
    </row>
    <row r="65" spans="1:23" ht="15" customHeight="1" x14ac:dyDescent="0.2">
      <c r="A65" s="308" t="s">
        <v>1333</v>
      </c>
      <c r="B65" s="1680"/>
      <c r="C65" s="1667"/>
      <c r="D65" s="235" t="s">
        <v>1376</v>
      </c>
      <c r="E65" s="301">
        <f>IFERROR(VLOOKUP($F$1,Distribution!$D$1:$U$34,4,0),"")</f>
        <v>217.20400000000004</v>
      </c>
      <c r="F65" s="301"/>
      <c r="G65" s="457"/>
      <c r="H65" s="457"/>
      <c r="I65" s="457"/>
      <c r="J65" s="457"/>
      <c r="K65" s="457"/>
      <c r="L65" s="457"/>
      <c r="M65" s="457"/>
      <c r="N65" s="457"/>
      <c r="O65" s="457"/>
      <c r="P65" s="457"/>
      <c r="Q65" s="457"/>
      <c r="R65" s="457"/>
      <c r="S65" s="457"/>
      <c r="T65" s="457"/>
      <c r="U65" s="457"/>
      <c r="V65" s="457"/>
      <c r="W65" s="457"/>
    </row>
    <row r="66" spans="1:23" ht="15" customHeight="1" x14ac:dyDescent="0.2">
      <c r="A66" s="308" t="s">
        <v>1334</v>
      </c>
      <c r="B66" s="1680"/>
      <c r="C66" s="1667"/>
      <c r="D66" s="235" t="s">
        <v>1377</v>
      </c>
      <c r="E66" s="301">
        <f>IFERROR(VLOOKUP($F$1,Distribution!$D$1:$U$34,6,0),"")</f>
        <v>205.62099999999998</v>
      </c>
      <c r="F66" s="301"/>
      <c r="G66" s="457"/>
      <c r="H66" s="457"/>
      <c r="I66" s="457"/>
      <c r="J66" s="457"/>
      <c r="K66" s="457"/>
      <c r="L66" s="457"/>
      <c r="M66" s="457"/>
      <c r="N66" s="457"/>
      <c r="O66" s="457"/>
      <c r="P66" s="457"/>
      <c r="Q66" s="457"/>
      <c r="R66" s="457"/>
      <c r="S66" s="457"/>
      <c r="T66" s="457"/>
      <c r="U66" s="457"/>
      <c r="V66" s="457"/>
      <c r="W66" s="457"/>
    </row>
    <row r="67" spans="1:23" ht="15" customHeight="1" x14ac:dyDescent="0.2">
      <c r="A67" s="308" t="s">
        <v>1335</v>
      </c>
      <c r="B67" s="1680"/>
      <c r="C67" s="1667"/>
      <c r="D67" s="235" t="s">
        <v>1378</v>
      </c>
      <c r="E67" s="301">
        <f>IFERROR(VLOOKUP($F$1,Distribution!$D$1:$U$34,8,0),"")</f>
        <v>230.399</v>
      </c>
      <c r="F67" s="301"/>
      <c r="G67" s="457"/>
      <c r="H67" s="457"/>
      <c r="I67" s="457"/>
      <c r="J67" s="457"/>
      <c r="K67" s="457"/>
      <c r="L67" s="457"/>
      <c r="M67" s="457"/>
      <c r="N67" s="457"/>
      <c r="O67" s="457"/>
      <c r="P67" s="457"/>
      <c r="Q67" s="457"/>
      <c r="R67" s="457"/>
      <c r="S67" s="457"/>
      <c r="T67" s="457"/>
      <c r="U67" s="457"/>
      <c r="V67" s="457"/>
      <c r="W67" s="457"/>
    </row>
    <row r="68" spans="1:23" ht="15" customHeight="1" x14ac:dyDescent="0.2">
      <c r="A68" s="308" t="s">
        <v>1336</v>
      </c>
      <c r="B68" s="1680"/>
      <c r="C68" s="1667"/>
      <c r="D68" s="235" t="s">
        <v>1379</v>
      </c>
      <c r="E68" s="301">
        <f>IFERROR(VLOOKUP($F$1,Distribution!$D$1:$U$34,10,0),"")</f>
        <v>642.34300000000007</v>
      </c>
      <c r="F68" s="301"/>
      <c r="G68" s="457"/>
      <c r="H68" s="457"/>
      <c r="I68" s="457"/>
      <c r="J68" s="457"/>
      <c r="K68" s="457"/>
      <c r="L68" s="457"/>
      <c r="M68" s="457"/>
      <c r="N68" s="457"/>
      <c r="O68" s="457"/>
      <c r="P68" s="457"/>
      <c r="Q68" s="457"/>
      <c r="R68" s="457"/>
      <c r="S68" s="457"/>
      <c r="T68" s="457"/>
      <c r="U68" s="457"/>
      <c r="V68" s="457"/>
      <c r="W68" s="457"/>
    </row>
    <row r="69" spans="1:23" ht="15" customHeight="1" x14ac:dyDescent="0.2">
      <c r="A69" s="308" t="s">
        <v>1337</v>
      </c>
      <c r="B69" s="1680"/>
      <c r="C69" s="1667"/>
      <c r="D69" s="235" t="s">
        <v>1380</v>
      </c>
      <c r="E69" s="301">
        <f>IFERROR(VLOOKUP($F$1,Distribution!$D$1:$U$34,12,0),"")</f>
        <v>676.07799999999997</v>
      </c>
      <c r="F69" s="301"/>
      <c r="G69" s="457"/>
      <c r="H69" s="457"/>
      <c r="I69" s="457"/>
      <c r="J69" s="457"/>
      <c r="K69" s="457"/>
      <c r="L69" s="457"/>
      <c r="M69" s="457"/>
      <c r="N69" s="457"/>
      <c r="O69" s="457"/>
      <c r="P69" s="457"/>
      <c r="Q69" s="457"/>
      <c r="R69" s="457"/>
      <c r="S69" s="457"/>
      <c r="T69" s="457"/>
      <c r="U69" s="457"/>
      <c r="V69" s="457"/>
      <c r="W69" s="457"/>
    </row>
    <row r="70" spans="1:23" ht="15" customHeight="1" x14ac:dyDescent="0.2">
      <c r="A70" s="308" t="s">
        <v>1338</v>
      </c>
      <c r="B70" s="1680"/>
      <c r="C70" s="1667"/>
      <c r="D70" s="235" t="s">
        <v>1331</v>
      </c>
      <c r="E70" s="301">
        <f>IFERROR(VLOOKUP($F$1,Distribution!$D$1:$U$34,14,0),"")</f>
        <v>218.25699999999998</v>
      </c>
      <c r="F70" s="301"/>
      <c r="G70" s="457"/>
      <c r="H70" s="457"/>
      <c r="I70" s="457"/>
      <c r="J70" s="457"/>
      <c r="K70" s="457"/>
      <c r="L70" s="457"/>
      <c r="M70" s="457"/>
      <c r="N70" s="457"/>
      <c r="O70" s="457"/>
      <c r="P70" s="457"/>
      <c r="Q70" s="457"/>
      <c r="R70" s="457"/>
      <c r="S70" s="457"/>
      <c r="T70" s="457"/>
      <c r="U70" s="457"/>
      <c r="V70" s="457"/>
      <c r="W70" s="457"/>
    </row>
    <row r="71" spans="1:23" ht="15" customHeight="1" x14ac:dyDescent="0.2">
      <c r="A71" s="308" t="s">
        <v>1339</v>
      </c>
      <c r="B71" s="1680"/>
      <c r="C71" s="1667"/>
      <c r="D71" s="235" t="s">
        <v>1381</v>
      </c>
      <c r="E71" s="301">
        <f>IFERROR(VLOOKUP($F$1,Distribution!$D$1:$U$34,16,0),"")</f>
        <v>291.82400000000001</v>
      </c>
      <c r="F71" s="301"/>
      <c r="G71" s="457"/>
      <c r="H71" s="457"/>
      <c r="I71" s="457"/>
      <c r="J71" s="457"/>
      <c r="K71" s="457"/>
      <c r="L71" s="457"/>
      <c r="M71" s="457"/>
      <c r="N71" s="457"/>
      <c r="O71" s="457"/>
      <c r="P71" s="457"/>
      <c r="Q71" s="457"/>
      <c r="R71" s="457"/>
      <c r="S71" s="457"/>
      <c r="T71" s="457"/>
      <c r="U71" s="457"/>
      <c r="V71" s="457"/>
      <c r="W71" s="457"/>
    </row>
    <row r="72" spans="1:23" ht="15" customHeight="1" x14ac:dyDescent="0.2">
      <c r="A72" s="308" t="s">
        <v>1340</v>
      </c>
      <c r="B72" s="1681"/>
      <c r="C72" s="1667"/>
      <c r="D72" s="235" t="s">
        <v>1382</v>
      </c>
      <c r="E72" s="301">
        <f>IFERROR(VLOOKUP($F$1,Distribution!$D$1:$U$34,18,0),"")</f>
        <v>0</v>
      </c>
      <c r="F72" s="301"/>
      <c r="G72" s="457"/>
      <c r="H72" s="457"/>
      <c r="I72" s="457"/>
      <c r="J72" s="457"/>
      <c r="K72" s="457"/>
      <c r="L72" s="457"/>
      <c r="M72" s="457"/>
      <c r="N72" s="457"/>
      <c r="O72" s="457"/>
      <c r="P72" s="457"/>
      <c r="Q72" s="457"/>
      <c r="R72" s="457"/>
      <c r="S72" s="457"/>
      <c r="T72" s="457"/>
      <c r="U72" s="457"/>
      <c r="V72" s="457"/>
      <c r="W72" s="457"/>
    </row>
    <row r="73" spans="1:23" ht="15" customHeight="1" x14ac:dyDescent="0.2">
      <c r="A73" s="473"/>
      <c r="B73" s="474"/>
      <c r="C73" s="475"/>
      <c r="D73" s="392"/>
      <c r="E73" s="476"/>
      <c r="F73" s="476"/>
      <c r="G73" s="477"/>
      <c r="H73" s="477"/>
      <c r="I73" s="477"/>
      <c r="J73" s="477"/>
      <c r="K73" s="477"/>
      <c r="L73" s="477"/>
      <c r="M73" s="477"/>
      <c r="N73" s="477"/>
      <c r="O73" s="477"/>
      <c r="P73" s="477"/>
      <c r="Q73" s="477"/>
      <c r="R73" s="477"/>
      <c r="S73" s="477"/>
      <c r="T73" s="477"/>
      <c r="U73" s="477"/>
      <c r="V73" s="477"/>
      <c r="W73" s="477"/>
    </row>
    <row r="74" spans="1:23" ht="15" customHeight="1" x14ac:dyDescent="0.2">
      <c r="A74" s="308" t="s">
        <v>608</v>
      </c>
      <c r="B74" s="1666" t="s">
        <v>1345</v>
      </c>
      <c r="C74" s="1667"/>
      <c r="D74" s="235" t="s">
        <v>609</v>
      </c>
      <c r="E74" s="301"/>
      <c r="F74" s="301"/>
      <c r="G74" s="457"/>
      <c r="H74" s="457"/>
      <c r="I74" s="457"/>
      <c r="J74" s="457"/>
      <c r="K74" s="457"/>
      <c r="L74" s="457"/>
      <c r="M74" s="457"/>
      <c r="N74" s="457"/>
      <c r="O74" s="457"/>
      <c r="P74" s="457"/>
      <c r="Q74" s="457"/>
      <c r="R74" s="457"/>
      <c r="S74" s="457"/>
      <c r="T74" s="457"/>
      <c r="U74" s="457"/>
      <c r="V74" s="457"/>
      <c r="W74" s="457"/>
    </row>
    <row r="75" spans="1:23" ht="15" customHeight="1" x14ac:dyDescent="0.2">
      <c r="A75" s="308" t="s">
        <v>610</v>
      </c>
      <c r="B75" s="1666"/>
      <c r="C75" s="1667"/>
      <c r="D75" s="235" t="s">
        <v>611</v>
      </c>
      <c r="E75" s="301"/>
      <c r="F75" s="301"/>
      <c r="G75" s="457"/>
      <c r="H75" s="457"/>
      <c r="I75" s="457"/>
      <c r="J75" s="457"/>
      <c r="K75" s="457"/>
      <c r="L75" s="457"/>
      <c r="M75" s="457"/>
      <c r="N75" s="457"/>
      <c r="O75" s="457"/>
      <c r="P75" s="457"/>
      <c r="Q75" s="457"/>
      <c r="R75" s="457"/>
      <c r="S75" s="457"/>
      <c r="T75" s="457"/>
      <c r="U75" s="457"/>
      <c r="V75" s="457"/>
      <c r="W75" s="457"/>
    </row>
    <row r="76" spans="1:23" ht="15" customHeight="1" x14ac:dyDescent="0.2">
      <c r="A76" s="308" t="s">
        <v>612</v>
      </c>
      <c r="B76" s="1666"/>
      <c r="C76" s="1667"/>
      <c r="D76" s="235" t="s">
        <v>613</v>
      </c>
      <c r="E76" s="301"/>
      <c r="F76" s="301"/>
      <c r="G76" s="457"/>
      <c r="H76" s="457"/>
      <c r="I76" s="457"/>
      <c r="J76" s="457"/>
      <c r="K76" s="457"/>
      <c r="L76" s="457"/>
      <c r="M76" s="457"/>
      <c r="N76" s="457"/>
      <c r="O76" s="457"/>
      <c r="P76" s="457"/>
      <c r="Q76" s="457"/>
      <c r="R76" s="457"/>
      <c r="S76" s="457"/>
      <c r="T76" s="457"/>
      <c r="U76" s="457"/>
      <c r="V76" s="457"/>
      <c r="W76" s="457"/>
    </row>
    <row r="77" spans="1:23" ht="15" customHeight="1" x14ac:dyDescent="0.2">
      <c r="A77" s="308" t="s">
        <v>614</v>
      </c>
      <c r="B77" s="1666"/>
      <c r="C77" s="1667"/>
      <c r="D77" s="235" t="s">
        <v>615</v>
      </c>
      <c r="E77" s="301"/>
      <c r="F77" s="301"/>
      <c r="G77" s="457"/>
      <c r="H77" s="457"/>
      <c r="I77" s="457"/>
      <c r="J77" s="457"/>
      <c r="K77" s="457"/>
      <c r="L77" s="457"/>
      <c r="M77" s="457"/>
      <c r="N77" s="457"/>
      <c r="O77" s="457"/>
      <c r="P77" s="457"/>
      <c r="Q77" s="457"/>
      <c r="R77" s="457"/>
      <c r="S77" s="457"/>
      <c r="T77" s="457"/>
      <c r="U77" s="457"/>
      <c r="V77" s="457"/>
      <c r="W77" s="457"/>
    </row>
    <row r="78" spans="1:23" ht="15" customHeight="1" x14ac:dyDescent="0.2">
      <c r="A78" s="503"/>
      <c r="B78" s="474"/>
      <c r="C78" s="475"/>
      <c r="D78" s="392"/>
      <c r="E78" s="476"/>
      <c r="F78" s="476"/>
      <c r="G78" s="477"/>
      <c r="H78" s="477"/>
      <c r="I78" s="477"/>
      <c r="J78" s="477"/>
      <c r="K78" s="477"/>
      <c r="L78" s="477"/>
      <c r="M78" s="477"/>
      <c r="N78" s="477"/>
      <c r="O78" s="477"/>
      <c r="P78" s="477"/>
      <c r="Q78" s="477"/>
      <c r="R78" s="477"/>
      <c r="S78" s="477"/>
      <c r="T78" s="477"/>
      <c r="U78" s="477"/>
      <c r="V78" s="477"/>
      <c r="W78" s="477"/>
    </row>
    <row r="79" spans="1:23" x14ac:dyDescent="0.2">
      <c r="A79" s="294" t="s">
        <v>478</v>
      </c>
      <c r="B79" s="1664" t="s">
        <v>616</v>
      </c>
      <c r="C79" s="498" t="s">
        <v>478</v>
      </c>
      <c r="D79" s="291" t="s">
        <v>617</v>
      </c>
      <c r="E79" s="301">
        <f>IFERROR(VLOOKUP($F$1,'collecte-exutoire'!$C$1:$O$86,3,0),"")</f>
        <v>9.7032000000000007</v>
      </c>
      <c r="F79" s="301"/>
      <c r="G79" s="457"/>
      <c r="H79" s="457"/>
      <c r="I79" s="457"/>
      <c r="J79" s="457"/>
      <c r="K79" s="457"/>
      <c r="L79" s="457"/>
      <c r="M79" s="457"/>
      <c r="N79" s="457"/>
      <c r="O79" s="457"/>
      <c r="P79" s="457"/>
      <c r="Q79" s="457"/>
      <c r="R79" s="457"/>
      <c r="S79" s="457"/>
      <c r="T79" s="457"/>
      <c r="U79" s="457"/>
      <c r="V79" s="457"/>
      <c r="W79" s="457"/>
    </row>
    <row r="80" spans="1:23" x14ac:dyDescent="0.2">
      <c r="A80" s="294" t="s">
        <v>479</v>
      </c>
      <c r="B80" s="1664"/>
      <c r="C80" s="498" t="s">
        <v>479</v>
      </c>
      <c r="D80" s="291" t="s">
        <v>618</v>
      </c>
      <c r="E80" s="301">
        <f>IFERROR(VLOOKUP($F$1,'collecte-exutoire'!$C$1:$O$86,5,0),"")</f>
        <v>9.2339000000000002</v>
      </c>
      <c r="F80" s="301"/>
      <c r="G80" s="457"/>
      <c r="H80" s="457"/>
      <c r="I80" s="457"/>
      <c r="J80" s="457"/>
      <c r="K80" s="457"/>
      <c r="L80" s="457"/>
      <c r="M80" s="457"/>
      <c r="N80" s="457"/>
      <c r="O80" s="457"/>
      <c r="P80" s="457"/>
      <c r="Q80" s="457"/>
      <c r="R80" s="457"/>
      <c r="S80" s="457"/>
      <c r="T80" s="457"/>
      <c r="U80" s="457"/>
      <c r="V80" s="457"/>
      <c r="W80" s="457"/>
    </row>
    <row r="81" spans="1:23" x14ac:dyDescent="0.2">
      <c r="A81" s="294" t="s">
        <v>480</v>
      </c>
      <c r="B81" s="1664"/>
      <c r="C81" s="498" t="s">
        <v>480</v>
      </c>
      <c r="D81" s="291" t="s">
        <v>619</v>
      </c>
      <c r="E81" s="301">
        <f>IFERROR(VLOOKUP($F$1,'collecte-exutoire'!$C$1:$O$86,7,0),"")</f>
        <v>1.1512800000000001</v>
      </c>
      <c r="F81" s="301"/>
      <c r="G81" s="457"/>
      <c r="H81" s="457"/>
      <c r="I81" s="457"/>
      <c r="J81" s="457"/>
      <c r="K81" s="457"/>
      <c r="L81" s="457"/>
      <c r="M81" s="457"/>
      <c r="N81" s="457"/>
      <c r="O81" s="457"/>
      <c r="P81" s="457"/>
      <c r="Q81" s="457"/>
      <c r="R81" s="457"/>
      <c r="S81" s="457"/>
      <c r="T81" s="457"/>
      <c r="U81" s="457"/>
      <c r="V81" s="457"/>
      <c r="W81" s="457"/>
    </row>
    <row r="82" spans="1:23" ht="15" x14ac:dyDescent="0.2">
      <c r="A82" s="541" t="s">
        <v>1472</v>
      </c>
      <c r="B82" s="542"/>
      <c r="C82" s="543" t="s">
        <v>1472</v>
      </c>
      <c r="D82" s="544" t="s">
        <v>1473</v>
      </c>
      <c r="E82" s="301">
        <f>IFERROR(VLOOKUP($F$1,'collecte-exutoire'!$C$1:$O$86,11,0),"")</f>
        <v>17.511000000000003</v>
      </c>
      <c r="F82" s="301"/>
      <c r="G82" s="457"/>
      <c r="H82" s="457"/>
      <c r="I82" s="457"/>
      <c r="J82" s="457"/>
      <c r="K82" s="457"/>
      <c r="L82" s="457"/>
      <c r="M82" s="457"/>
      <c r="N82" s="457"/>
      <c r="O82" s="457"/>
      <c r="P82" s="457"/>
      <c r="Q82" s="457"/>
      <c r="R82" s="457"/>
      <c r="S82" s="457"/>
      <c r="T82" s="457"/>
      <c r="U82" s="457"/>
      <c r="V82" s="457"/>
      <c r="W82" s="457"/>
    </row>
    <row r="83" spans="1:23" x14ac:dyDescent="0.2">
      <c r="A83" s="478"/>
      <c r="B83" s="337"/>
      <c r="C83" s="337"/>
      <c r="D83" s="337"/>
      <c r="E83" s="476"/>
      <c r="F83" s="476"/>
      <c r="G83" s="477"/>
      <c r="H83" s="477"/>
      <c r="I83" s="477"/>
      <c r="J83" s="477"/>
      <c r="K83" s="477"/>
      <c r="L83" s="477"/>
      <c r="M83" s="477"/>
      <c r="N83" s="477"/>
      <c r="O83" s="477"/>
      <c r="P83" s="477"/>
      <c r="Q83" s="477"/>
      <c r="R83" s="477"/>
      <c r="S83" s="477"/>
      <c r="T83" s="477"/>
      <c r="U83" s="477"/>
      <c r="V83" s="477"/>
      <c r="W83" s="477"/>
    </row>
    <row r="84" spans="1:23" x14ac:dyDescent="0.2">
      <c r="A84" s="294" t="s">
        <v>439</v>
      </c>
      <c r="B84" s="1664" t="s">
        <v>620</v>
      </c>
      <c r="C84" s="498" t="s">
        <v>439</v>
      </c>
      <c r="D84" s="291"/>
      <c r="E84" s="301"/>
      <c r="F84" s="301"/>
      <c r="G84" s="457">
        <f>IFERROR(VLOOKUP($F$1,TCFV!$C$1:$AN$95,((G$2-5)*2-1),0),"")</f>
        <v>1189.1126000000002</v>
      </c>
      <c r="H84" s="457">
        <f>IFERROR(VLOOKUP($F$1,TCFV!$C$1:$AN$95,((H$2-5)*2-1),0),"")</f>
        <v>1567.0785000000003</v>
      </c>
      <c r="I84" s="457">
        <f>IFERROR(VLOOKUP($F$1,TCFV!$C$1:$AN$95,((I$2-5)*2-1),0),"")</f>
        <v>1978.4635000000001</v>
      </c>
      <c r="J84" s="457">
        <f>IFERROR(VLOOKUP($F$1,TCFV!$C$1:$AN$95,((J$2-5)*2-1),0),"")</f>
        <v>2356.0120999999999</v>
      </c>
      <c r="K84" s="457">
        <f>IFERROR(VLOOKUP($F$1,TCFV!$C$1:$AN$95,((K$2-5)*2-1),0),"")</f>
        <v>2809.9538999999995</v>
      </c>
      <c r="L84" s="457">
        <f>IFERROR(VLOOKUP($F$1,TCFV!$C$1:$AN$95,((L$2-5)*2-1),0),"")</f>
        <v>3200.7312999999995</v>
      </c>
      <c r="M84" s="457">
        <f>IFERROR(VLOOKUP($F$1,TCFV!$C$1:$AN$95,((M$2-5)*2-1),0),"")</f>
        <v>3591.5243000000005</v>
      </c>
      <c r="N84" s="457">
        <f>IFERROR(VLOOKUP($F$1,TCFV!$C$1:$AN$95,((N$2-5)*2-1),0),"")</f>
        <v>3909.9658000000004</v>
      </c>
      <c r="O84" s="457">
        <f>IFERROR(VLOOKUP($F$1,TCFV!$C$1:$AN$95,((O$2-5)*2-1),0),"")</f>
        <v>4296.5325000000003</v>
      </c>
      <c r="P84" s="457">
        <f>IFERROR(VLOOKUP($F$1,TCFV!$C$1:$AN$95,((P$2-5)*2-1),0),"")</f>
        <v>5103.6115</v>
      </c>
      <c r="Q84" s="457">
        <f>IFERROR(VLOOKUP($F$1,TCFV!$C$1:$AN$95,((Q$2-5)*2-1),0),"")</f>
        <v>5129.5699000000004</v>
      </c>
      <c r="R84" s="457">
        <f>IFERROR(VLOOKUP($F$1,TCFV!$C$1:$AN$95,((R$2-5)*2-1),0),"")</f>
        <v>5859.8344999999999</v>
      </c>
      <c r="S84" s="457">
        <f>IFERROR(VLOOKUP($F$1,TCFV!$C$1:$AN$95,((S$2-5)*2-1),0),"")</f>
        <v>5893.2653</v>
      </c>
      <c r="T84" s="457">
        <f>IFERROR(VLOOKUP($F$1,TCFV!$C$1:$AN$95,((T$2-5)*2-1),0),"")</f>
        <v>6590.0991000000013</v>
      </c>
      <c r="U84" s="457">
        <f>IFERROR(VLOOKUP($F$1,TCFV!$C$1:$AN$95,((U$2-5)*2-1),0),"")</f>
        <v>7536.9853000000012</v>
      </c>
      <c r="V84" s="457">
        <f>IFERROR(VLOOKUP($F$1,TCFV!$C$1:$AN$95,((V$2-5)*2-1),0),"")</f>
        <v>7581.1333000000013</v>
      </c>
      <c r="W84" s="457">
        <f>IFERROR(VLOOKUP($F$1,TCFV!$C$1:$AN$95,((W$2-5)*2-1),0),"")</f>
        <v>8219.5763000000006</v>
      </c>
    </row>
    <row r="85" spans="1:23" x14ac:dyDescent="0.2">
      <c r="A85" s="294" t="s">
        <v>399</v>
      </c>
      <c r="B85" s="1664"/>
      <c r="C85" s="498" t="s">
        <v>399</v>
      </c>
      <c r="D85" s="291"/>
      <c r="E85" s="301"/>
      <c r="F85" s="301"/>
      <c r="G85" s="457">
        <f>IFERROR(VLOOKUP($F$1,TCFH!$C$1:$AN$67,((G$2-5)*2-1),0),"")</f>
        <v>632.83285000000024</v>
      </c>
      <c r="H85" s="457">
        <f>IFERROR(VLOOKUP($F$1,TCFH!$C$1:$AN$67,((H$2-5)*2-1),0),"")</f>
        <v>789.7915999999999</v>
      </c>
      <c r="I85" s="457">
        <f>IFERROR(VLOOKUP($F$1,TCFH!$C$1:$AN$67,((I$2-5)*2-1),0),"")</f>
        <v>896.35910000000013</v>
      </c>
      <c r="J85" s="457">
        <f>IFERROR(VLOOKUP($F$1,TCFH!$C$1:$AN$67,((J$2-5)*2-1),0),"")</f>
        <v>1032.5861</v>
      </c>
      <c r="K85" s="457">
        <f>IFERROR(VLOOKUP($F$1,TCFH!$C$1:$AN$67,((K$2-5)*2-1),0),"")</f>
        <v>1249.8420999999998</v>
      </c>
      <c r="L85" s="457">
        <f>IFERROR(VLOOKUP($F$1,TCFH!$C$1:$AN$67,((L$2-5)*2-1),0),"")</f>
        <v>1368.8181000000002</v>
      </c>
      <c r="M85" s="457">
        <f>IFERROR(VLOOKUP($F$1,TCFH!$C$1:$AN$67,((M$2-5)*2-1),0),"")</f>
        <v>1538.7021</v>
      </c>
      <c r="N85" s="457">
        <f>IFERROR(VLOOKUP($F$1,TCFH!$C$1:$AN$67,((N$2-5)*2-1),0),"")</f>
        <v>1655.5786000000003</v>
      </c>
      <c r="O85" s="457">
        <f>IFERROR(VLOOKUP($F$1,TCFH!$C$1:$AN$67,((O$2-5)*2-1),0),"")</f>
        <v>1808.4976000000001</v>
      </c>
      <c r="P85" s="457">
        <f>IFERROR(VLOOKUP($F$1,TCFH!$C$1:$AN$67,((P$2-5)*2-1),0),"")</f>
        <v>2087.1785999999993</v>
      </c>
      <c r="Q85" s="457">
        <f>IFERROR(VLOOKUP($F$1,TCFH!$C$1:$AN$67,((Q$2-5)*2-1),0),"")</f>
        <v>2087.1785999999993</v>
      </c>
      <c r="R85" s="457">
        <f>IFERROR(VLOOKUP($F$1,TCFH!$C$1:$AN$67,((R$2-5)*2-1),0),"")</f>
        <v>2305.5227000000004</v>
      </c>
      <c r="S85" s="457">
        <f>IFERROR(VLOOKUP($F$1,TCFH!$C$1:$AN$67,((S$2-5)*2-1),0),"")</f>
        <v>2305.5227000000004</v>
      </c>
      <c r="T85" s="457">
        <f>IFERROR(VLOOKUP($F$1,TCFH!$C$1:$AN$67,((T$2-5)*2-1),0),"")</f>
        <v>2615.2190999999998</v>
      </c>
      <c r="U85" s="457">
        <f>IFERROR(VLOOKUP($F$1,TCFH!$C$1:$AN$67,((U$2-5)*2-1),0),"")</f>
        <v>3045.0251000000003</v>
      </c>
      <c r="V85" s="457">
        <f>IFERROR(VLOOKUP($F$1,TCFH!$C$1:$AN$67,((V$2-5)*2-1),0),"")</f>
        <v>3045.0251000000003</v>
      </c>
      <c r="W85" s="457">
        <f>IFERROR(VLOOKUP($F$1,TCFH!$C$1:$AN$67,((W$2-5)*2-1),0),"")</f>
        <v>3219.8204999999998</v>
      </c>
    </row>
    <row r="86" spans="1:23" x14ac:dyDescent="0.2">
      <c r="A86" s="294" t="s">
        <v>1265</v>
      </c>
      <c r="B86" s="1664"/>
      <c r="C86" s="498" t="s">
        <v>270</v>
      </c>
      <c r="D86" s="291"/>
      <c r="E86" s="301"/>
      <c r="F86" s="301"/>
      <c r="G86" s="457">
        <f>IFERROR(VLOOKUP($F$1,TCBACS!$C$1:$AK$87,((G$2-5)*2-1),0),"")</f>
        <v>0</v>
      </c>
      <c r="H86" s="457">
        <f>IFERROR(VLOOKUP($F$1,TCBACS!$C$1:$AK$87,((H$2-5)*2-1),0),"")</f>
        <v>1672.6034000000002</v>
      </c>
      <c r="I86" s="457">
        <f>IFERROR(VLOOKUP($F$1,TCBACS!$C$1:$AK$87,((I$2-5)*2-1),0),"")</f>
        <v>0</v>
      </c>
      <c r="J86" s="457">
        <f>IFERROR(VLOOKUP($F$1,TCBACS!$C$1:$AK$87,((J$2-5)*2-1),0),"")</f>
        <v>2816.9829999999997</v>
      </c>
      <c r="K86" s="457">
        <f>IFERROR(VLOOKUP($F$1,TCBACS!$C$1:$AK$87,((K$2-5)*2-1),0),"")</f>
        <v>3306.654</v>
      </c>
      <c r="L86" s="457">
        <f>IFERROR(VLOOKUP($F$1,TCBACS!$C$1:$AK$87,((L$2-5)*2-1),0),"")</f>
        <v>0</v>
      </c>
      <c r="M86" s="457">
        <f>IFERROR(VLOOKUP($F$1,TCBACS!$C$1:$AK$87,((M$2-5)*2-1),0),"")</f>
        <v>0</v>
      </c>
      <c r="N86" s="457">
        <f>IFERROR(VLOOKUP($F$1,TCBACS!$C$1:$AK$87,((N$2-5)*2-1),0),"")</f>
        <v>0</v>
      </c>
      <c r="O86" s="457">
        <f>IFERROR(VLOOKUP($F$1,TCBACS!$C$1:$AK$87,((O$2-5)*2-1),0),"")</f>
        <v>5633.9659999999994</v>
      </c>
      <c r="P86" s="457">
        <f>IFERROR(VLOOKUP($F$1,TCBACS!$C$1:$AK$87,((P$2-5)*2-1),0),"")</f>
        <v>6613.308</v>
      </c>
      <c r="Q86" s="457">
        <f>IFERROR(VLOOKUP($F$1,TCBACS!$C$1:$AK$87,((Q$2-5)*2-1),0),"")</f>
        <v>0</v>
      </c>
      <c r="R86" s="457">
        <f>IFERROR(VLOOKUP($F$1,TCBACS!$C$1:$AK$87,((R$2-5)*2-1),0),"")</f>
        <v>0</v>
      </c>
      <c r="S86" s="457">
        <f>IFERROR(VLOOKUP($F$1,TCBACS!$C$1:$AK$87,((S$2-5)*2-1),0),"")</f>
        <v>0</v>
      </c>
      <c r="T86" s="457">
        <f>IFERROR(VLOOKUP($F$1,TCBACS!$C$1:$AK$87,((T$2-5)*2-1),0),"")</f>
        <v>0</v>
      </c>
      <c r="U86" s="457">
        <f>IFERROR(VLOOKUP($F$1,TCBACS!$C$1:$AK$87,((U$2-5)*2-1),0),"")</f>
        <v>0</v>
      </c>
      <c r="V86" s="457">
        <f>IFERROR(VLOOKUP($F$1,TCBACS!$C$1:$AK$87,((V$2-5)*2-1),0),"")</f>
        <v>0</v>
      </c>
      <c r="W86" s="457">
        <f>IFERROR(VLOOKUP($F$1,TCBACS!$C$1:$AK$87,((W$2-5)*2-1),0),"")</f>
        <v>11267.931999999999</v>
      </c>
    </row>
    <row r="87" spans="1:23" x14ac:dyDescent="0.2">
      <c r="A87" s="337"/>
      <c r="B87" s="337"/>
      <c r="C87" s="337"/>
      <c r="D87" s="337"/>
      <c r="E87" s="476"/>
      <c r="F87" s="476"/>
      <c r="G87" s="477"/>
      <c r="H87" s="477"/>
      <c r="I87" s="477"/>
      <c r="J87" s="477"/>
      <c r="K87" s="477"/>
      <c r="L87" s="477"/>
      <c r="M87" s="477"/>
      <c r="N87" s="477"/>
      <c r="O87" s="477"/>
      <c r="P87" s="477"/>
      <c r="Q87" s="477"/>
      <c r="R87" s="477"/>
      <c r="S87" s="477"/>
      <c r="T87" s="477"/>
      <c r="U87" s="477"/>
      <c r="V87" s="477"/>
      <c r="W87" s="477"/>
    </row>
    <row r="88" spans="1:23" x14ac:dyDescent="0.2">
      <c r="A88" s="294" t="s">
        <v>1166</v>
      </c>
      <c r="B88" s="1664" t="s">
        <v>670</v>
      </c>
      <c r="C88" s="498" t="s">
        <v>671</v>
      </c>
      <c r="D88" s="291" t="s">
        <v>672</v>
      </c>
      <c r="E88" s="301"/>
      <c r="F88" s="301"/>
      <c r="G88" s="457">
        <f>IFERROR(VLOOKUP($F$1,'PS1'!$C$1:$AM$36,((G$2-5)*2-1),0),"")</f>
        <v>0</v>
      </c>
      <c r="H88" s="457">
        <f>IFERROR(VLOOKUP($F$1,'PS1'!$C$1:$AM$36,((H$2-5)*2-1),0),"")</f>
        <v>288.197</v>
      </c>
      <c r="I88" s="457">
        <f>IFERROR(VLOOKUP($F$1,'PS1'!$C$1:$AM$36,((I$2-5)*2-1),0),"")</f>
        <v>363.89600000000002</v>
      </c>
      <c r="J88" s="457">
        <f>IFERROR(VLOOKUP($F$1,'PS1'!$C$1:$AM$36,((J$2-5)*2-1),0),"")</f>
        <v>432.84800000000001</v>
      </c>
      <c r="K88" s="457">
        <f>IFERROR(VLOOKUP($F$1,'PS1'!$C$1:$AM$36,((K$2-5)*2-1),0),"")</f>
        <v>578.96800000000007</v>
      </c>
      <c r="L88" s="457">
        <f>IFERROR(VLOOKUP($F$1,'PS1'!$C$1:$AM$36,((L$2-5)*2-1),0),"")</f>
        <v>646.62</v>
      </c>
      <c r="M88" s="457">
        <f>IFERROR(VLOOKUP($F$1,'PS1'!$C$1:$AM$36,((M$2-5)*2-1),0),"")</f>
        <v>794.04</v>
      </c>
      <c r="N88" s="457">
        <f>IFERROR(VLOOKUP($F$1,'PS1'!$C$1:$AM$36,((N$2-5)*2-1),0),"")</f>
        <v>861.69200000000012</v>
      </c>
      <c r="O88" s="457">
        <f>IFERROR(VLOOKUP($F$1,'PS1'!$C$1:$AM$36,((O$2-5)*2-1),0),"")</f>
        <v>1009.1120000000001</v>
      </c>
      <c r="P88" s="457">
        <f>IFERROR(VLOOKUP($F$1,'PS1'!$C$1:$AM$36,((P$2-5)*2-1),0),"")</f>
        <v>1302.6779999999999</v>
      </c>
      <c r="Q88" s="457">
        <f>IFERROR(VLOOKUP($F$1,'PS1'!$C$1:$AM$36,((Q$2-5)*2-1),0),"")</f>
        <v>1302.6779999999999</v>
      </c>
      <c r="R88" s="457">
        <f>IFERROR(VLOOKUP($F$1,'PS1'!$C$1:$AM$36,((R$2-5)*2-1),0),"")</f>
        <v>1508.4420000000002</v>
      </c>
      <c r="S88" s="457">
        <f>IFERROR(VLOOKUP($F$1,'PS1'!$C$1:$AM$36,((S$2-5)*2-1),0),"")</f>
        <v>1508.4420000000002</v>
      </c>
      <c r="T88" s="457">
        <f>IFERROR(VLOOKUP($F$1,'PS1'!$C$1:$AM$36,((T$2-5)*2-1),0),"")</f>
        <v>1702.8960000000002</v>
      </c>
      <c r="U88" s="457">
        <f>IFERROR(VLOOKUP($F$1,'PS1'!$C$1:$AM$36,((U$2-5)*2-1),0),"")</f>
        <v>1840.8</v>
      </c>
      <c r="V88" s="457">
        <f>IFERROR(VLOOKUP($F$1,'PS1'!$C$1:$AM$36,((V$2-5)*2-1),0),"")</f>
        <v>1840.8</v>
      </c>
      <c r="W88" s="457">
        <f>IFERROR(VLOOKUP($F$1,'PS1'!$C$1:$AM$36,((W$2-5)*2-1),0),"")</f>
        <v>2171.3119999999999</v>
      </c>
    </row>
    <row r="89" spans="1:23" x14ac:dyDescent="0.2">
      <c r="A89" s="294" t="s">
        <v>1167</v>
      </c>
      <c r="B89" s="1664"/>
      <c r="C89" s="498" t="s">
        <v>671</v>
      </c>
      <c r="D89" s="291" t="s">
        <v>673</v>
      </c>
      <c r="E89" s="301"/>
      <c r="F89" s="301"/>
      <c r="G89" s="457">
        <f>VLOOKUP("MA",'FV1'!$C$1:$AM$51,((G$2-5)*2-1),0)</f>
        <v>644.67746252000006</v>
      </c>
      <c r="H89" s="457"/>
      <c r="I89" s="457"/>
      <c r="J89" s="457"/>
      <c r="K89" s="457"/>
      <c r="L89" s="457"/>
      <c r="M89" s="457"/>
      <c r="N89" s="457"/>
      <c r="O89" s="457"/>
      <c r="P89" s="457"/>
      <c r="Q89" s="457"/>
      <c r="R89" s="457"/>
      <c r="S89" s="457"/>
      <c r="T89" s="457"/>
      <c r="U89" s="457"/>
      <c r="V89" s="457"/>
      <c r="W89" s="457"/>
    </row>
    <row r="90" spans="1:23" x14ac:dyDescent="0.2">
      <c r="A90" s="3"/>
      <c r="B90" s="3"/>
      <c r="C90" s="3"/>
      <c r="D90" s="3"/>
      <c r="E90" s="3"/>
      <c r="F90" s="3"/>
      <c r="G90" s="457"/>
      <c r="H90" s="135"/>
      <c r="I90" s="135"/>
      <c r="J90" s="135"/>
      <c r="K90" s="135"/>
      <c r="L90" s="135"/>
      <c r="M90" s="135"/>
      <c r="N90" s="135"/>
      <c r="O90" s="135"/>
      <c r="P90" s="135"/>
      <c r="Q90" s="135"/>
      <c r="R90" s="135"/>
      <c r="S90" s="135"/>
      <c r="T90" s="135"/>
      <c r="U90" s="135"/>
      <c r="V90" s="135"/>
      <c r="W90" s="135"/>
    </row>
    <row r="91" spans="1:23" ht="15" customHeight="1" x14ac:dyDescent="0.2">
      <c r="A91" s="305" t="s">
        <v>1298</v>
      </c>
      <c r="B91" s="1662" t="s">
        <v>439</v>
      </c>
      <c r="C91" s="1663" t="s">
        <v>652</v>
      </c>
      <c r="D91" s="306" t="s">
        <v>546</v>
      </c>
      <c r="E91" s="301"/>
      <c r="F91" s="301"/>
      <c r="G91" s="457">
        <f t="shared" ref="G91:W91" si="1">IF(G4="","",G$84+G4)</f>
        <v>1833.7900625200002</v>
      </c>
      <c r="H91" s="457">
        <f t="shared" si="1"/>
        <v>2340.9206210000002</v>
      </c>
      <c r="I91" s="457">
        <f t="shared" si="1"/>
        <v>2895.8219082000005</v>
      </c>
      <c r="J91" s="457">
        <f t="shared" si="1"/>
        <v>3345.1286518000002</v>
      </c>
      <c r="K91" s="457">
        <f t="shared" si="1"/>
        <v>3870.8285953999998</v>
      </c>
      <c r="L91" s="457">
        <f t="shared" si="1"/>
        <v>4333.3641389999993</v>
      </c>
      <c r="M91" s="457">
        <f t="shared" si="1"/>
        <v>4795.9152826000009</v>
      </c>
      <c r="N91" s="457">
        <f t="shared" si="1"/>
        <v>5186.1149262000008</v>
      </c>
      <c r="O91" s="457">
        <f t="shared" si="1"/>
        <v>5644.4397698000012</v>
      </c>
      <c r="P91" s="457">
        <f t="shared" si="1"/>
        <v>6611.5970570000009</v>
      </c>
      <c r="Q91" s="457">
        <f t="shared" si="1"/>
        <v>6781.0717442000005</v>
      </c>
      <c r="R91" s="457">
        <f t="shared" si="1"/>
        <v>7583.0944878</v>
      </c>
      <c r="S91" s="457">
        <f t="shared" si="1"/>
        <v>7544.7671442000001</v>
      </c>
      <c r="T91" s="457">
        <f t="shared" si="1"/>
        <v>8385.1172314000014</v>
      </c>
      <c r="U91" s="457">
        <f t="shared" si="1"/>
        <v>9403.7615750000004</v>
      </c>
      <c r="V91" s="457">
        <f t="shared" si="1"/>
        <v>9519.6677186000015</v>
      </c>
      <c r="W91" s="457">
        <f t="shared" si="1"/>
        <v>10301.627005800001</v>
      </c>
    </row>
    <row r="92" spans="1:23" ht="15" customHeight="1" x14ac:dyDescent="0.2">
      <c r="A92" s="305" t="s">
        <v>1299</v>
      </c>
      <c r="B92" s="1662"/>
      <c r="C92" s="1663"/>
      <c r="D92" s="235" t="s">
        <v>548</v>
      </c>
      <c r="E92" s="302"/>
      <c r="F92" s="302"/>
      <c r="G92" s="457">
        <f t="shared" ref="G92:W92" si="2">IF(G5="","",G$84+G5)</f>
        <v>2111.9420686000003</v>
      </c>
      <c r="H92" s="457">
        <f t="shared" si="2"/>
        <v>2692.3752050000003</v>
      </c>
      <c r="I92" s="457">
        <f t="shared" si="2"/>
        <v>3327.893881</v>
      </c>
      <c r="J92" s="457">
        <f t="shared" si="2"/>
        <v>3818.4429790000004</v>
      </c>
      <c r="K92" s="457">
        <f t="shared" si="2"/>
        <v>4385.3852769999994</v>
      </c>
      <c r="L92" s="457">
        <f t="shared" si="2"/>
        <v>4889.1631749999997</v>
      </c>
      <c r="M92" s="457">
        <f t="shared" si="2"/>
        <v>5392.9566730000006</v>
      </c>
      <c r="N92" s="457">
        <f t="shared" si="2"/>
        <v>5823.4650110000002</v>
      </c>
      <c r="O92" s="457">
        <f t="shared" si="2"/>
        <v>6322.0985490000003</v>
      </c>
      <c r="P92" s="457">
        <f t="shared" si="2"/>
        <v>7353.3112249999995</v>
      </c>
      <c r="Q92" s="457">
        <f t="shared" si="2"/>
        <v>7601.5359810000009</v>
      </c>
      <c r="R92" s="457">
        <f t="shared" si="2"/>
        <v>8444.8010790000008</v>
      </c>
      <c r="S92" s="457">
        <f t="shared" si="2"/>
        <v>8367.098700999999</v>
      </c>
      <c r="T92" s="457">
        <f t="shared" si="2"/>
        <v>9288.0661770000024</v>
      </c>
      <c r="U92" s="457">
        <f t="shared" si="2"/>
        <v>10347.952875000003</v>
      </c>
      <c r="V92" s="457">
        <f t="shared" si="2"/>
        <v>10503.234053000002</v>
      </c>
      <c r="W92" s="457">
        <f t="shared" si="2"/>
        <v>11365.810729000003</v>
      </c>
    </row>
    <row r="93" spans="1:23" ht="15" customHeight="1" x14ac:dyDescent="0.2">
      <c r="A93" s="305" t="s">
        <v>1300</v>
      </c>
      <c r="B93" s="1662"/>
      <c r="C93" s="1663"/>
      <c r="D93" s="235" t="s">
        <v>653</v>
      </c>
      <c r="E93" s="301"/>
      <c r="F93" s="301"/>
      <c r="G93" s="457">
        <f t="shared" ref="G93:W93" si="3">IF(G6="","",G$84+G6)</f>
        <v>1387.2545336000001</v>
      </c>
      <c r="H93" s="457">
        <f t="shared" si="3"/>
        <v>1803.7273800000003</v>
      </c>
      <c r="I93" s="457">
        <f t="shared" si="3"/>
        <v>2257.897876</v>
      </c>
      <c r="J93" s="457">
        <f t="shared" si="3"/>
        <v>2656.8392239999998</v>
      </c>
      <c r="K93" s="457">
        <f t="shared" si="3"/>
        <v>3132.1737719999996</v>
      </c>
      <c r="L93" s="457">
        <f t="shared" si="3"/>
        <v>3544.3439199999993</v>
      </c>
      <c r="M93" s="457">
        <f t="shared" si="3"/>
        <v>3956.5296680000006</v>
      </c>
      <c r="N93" s="457">
        <f t="shared" si="3"/>
        <v>4296.3639160000002</v>
      </c>
      <c r="O93" s="457">
        <f t="shared" si="3"/>
        <v>4704.3233639999999</v>
      </c>
      <c r="P93" s="457">
        <f t="shared" si="3"/>
        <v>5554.18786</v>
      </c>
      <c r="Q93" s="457">
        <f t="shared" si="3"/>
        <v>5622.931756</v>
      </c>
      <c r="R93" s="457">
        <f t="shared" si="3"/>
        <v>6374.5891039999997</v>
      </c>
      <c r="S93" s="457">
        <f t="shared" si="3"/>
        <v>6386.6271560000005</v>
      </c>
      <c r="T93" s="457">
        <f t="shared" si="3"/>
        <v>7126.2464520000012</v>
      </c>
      <c r="U93" s="457">
        <f t="shared" si="3"/>
        <v>8094.5254000000014</v>
      </c>
      <c r="V93" s="457">
        <f t="shared" si="3"/>
        <v>8160.0661480000017</v>
      </c>
      <c r="W93" s="457">
        <f t="shared" si="3"/>
        <v>8841.2946440000014</v>
      </c>
    </row>
    <row r="94" spans="1:23" ht="15" customHeight="1" x14ac:dyDescent="0.2">
      <c r="A94" s="305" t="s">
        <v>1301</v>
      </c>
      <c r="B94" s="1662"/>
      <c r="C94" s="1663"/>
      <c r="D94" s="472" t="s">
        <v>551</v>
      </c>
      <c r="E94" s="302"/>
      <c r="F94" s="302"/>
      <c r="G94" s="457">
        <f t="shared" ref="G94:W94" si="4">IF(G7="","",G$84+G7)</f>
        <v>1572.8011000000001</v>
      </c>
      <c r="H94" s="457">
        <f t="shared" si="4"/>
        <v>2001.7205000000004</v>
      </c>
      <c r="I94" s="457">
        <f t="shared" si="4"/>
        <v>2474.8035</v>
      </c>
      <c r="J94" s="457">
        <f t="shared" si="4"/>
        <v>2883.2010999999998</v>
      </c>
      <c r="K94" s="457">
        <f t="shared" si="4"/>
        <v>3367.9918999999995</v>
      </c>
      <c r="L94" s="457">
        <f t="shared" si="4"/>
        <v>3789.6182999999996</v>
      </c>
      <c r="M94" s="457">
        <f t="shared" si="4"/>
        <v>4211.2603000000008</v>
      </c>
      <c r="N94" s="457">
        <f t="shared" si="4"/>
        <v>4560.5508000000009</v>
      </c>
      <c r="O94" s="457">
        <f t="shared" si="4"/>
        <v>4977.9665000000005</v>
      </c>
      <c r="P94" s="457">
        <f t="shared" si="4"/>
        <v>5846.7435000000005</v>
      </c>
      <c r="Q94" s="457">
        <f t="shared" si="4"/>
        <v>5934.3999000000003</v>
      </c>
      <c r="R94" s="457">
        <f t="shared" si="4"/>
        <v>6695.5135</v>
      </c>
      <c r="S94" s="457">
        <f t="shared" si="4"/>
        <v>6698.0953</v>
      </c>
      <c r="T94" s="457">
        <f t="shared" si="4"/>
        <v>7456.6271000000015</v>
      </c>
      <c r="U94" s="457">
        <f t="shared" si="4"/>
        <v>8434.3623000000007</v>
      </c>
      <c r="V94" s="457">
        <f t="shared" si="4"/>
        <v>8509.3593000000019</v>
      </c>
      <c r="W94" s="457">
        <f t="shared" si="4"/>
        <v>9209.5003000000015</v>
      </c>
    </row>
    <row r="95" spans="1:23" ht="15" customHeight="1" x14ac:dyDescent="0.2">
      <c r="A95" s="305" t="s">
        <v>1302</v>
      </c>
      <c r="B95" s="1662"/>
      <c r="C95" s="1661" t="s">
        <v>654</v>
      </c>
      <c r="D95" s="307" t="s">
        <v>657</v>
      </c>
      <c r="E95" s="301"/>
      <c r="F95" s="301"/>
      <c r="G95" s="457">
        <f t="shared" ref="G95:W95" si="5">IF(G8="","",G$84+G8)</f>
        <v>1260.2796700000001</v>
      </c>
      <c r="H95" s="457">
        <f t="shared" si="5"/>
        <v>1653.1486833333336</v>
      </c>
      <c r="I95" s="457">
        <f t="shared" si="5"/>
        <v>2079.9436666666666</v>
      </c>
      <c r="J95" s="457">
        <f t="shared" si="5"/>
        <v>2466.6823999999997</v>
      </c>
      <c r="K95" s="457">
        <f t="shared" si="5"/>
        <v>2929.8143333333328</v>
      </c>
      <c r="L95" s="457">
        <f t="shared" si="5"/>
        <v>3329.7818666666662</v>
      </c>
      <c r="M95" s="457">
        <f t="shared" si="5"/>
        <v>3729.7650000000003</v>
      </c>
      <c r="N95" s="457">
        <f t="shared" si="5"/>
        <v>4056.1681333333336</v>
      </c>
      <c r="O95" s="457">
        <f t="shared" si="5"/>
        <v>4450.6964666666672</v>
      </c>
      <c r="P95" s="457">
        <f t="shared" si="5"/>
        <v>5273.1854499999999</v>
      </c>
      <c r="Q95" s="457">
        <f t="shared" si="5"/>
        <v>5312.096833333334</v>
      </c>
      <c r="R95" s="457">
        <f t="shared" si="5"/>
        <v>6051.551566666667</v>
      </c>
      <c r="S95" s="457">
        <f t="shared" si="5"/>
        <v>6079.2758000000003</v>
      </c>
      <c r="T95" s="457">
        <f t="shared" si="5"/>
        <v>6791.5195833333346</v>
      </c>
      <c r="U95" s="457">
        <f t="shared" si="5"/>
        <v>7747.595916666668</v>
      </c>
      <c r="V95" s="457">
        <f t="shared" si="5"/>
        <v>7798.4770500000013</v>
      </c>
      <c r="W95" s="457">
        <f t="shared" si="5"/>
        <v>8452.3300333333336</v>
      </c>
    </row>
    <row r="96" spans="1:23" ht="15" customHeight="1" x14ac:dyDescent="0.2">
      <c r="A96" s="305" t="s">
        <v>1303</v>
      </c>
      <c r="B96" s="1662"/>
      <c r="C96" s="1661"/>
      <c r="D96" s="306" t="s">
        <v>546</v>
      </c>
      <c r="E96" s="301"/>
      <c r="F96" s="301"/>
      <c r="G96" s="457">
        <f t="shared" ref="G96:W96" si="6">IF(G9="","",G$84+G9)</f>
        <v>1564.9284887600002</v>
      </c>
      <c r="H96" s="457">
        <f t="shared" si="6"/>
        <v>2018.6964330000003</v>
      </c>
      <c r="I96" s="457">
        <f t="shared" si="6"/>
        <v>2515.1358466000001</v>
      </c>
      <c r="J96" s="457">
        <f t="shared" si="6"/>
        <v>2934.2779934</v>
      </c>
      <c r="K96" s="457">
        <f t="shared" si="6"/>
        <v>3429.8133401999994</v>
      </c>
      <c r="L96" s="457">
        <f t="shared" si="6"/>
        <v>3862.1842869999996</v>
      </c>
      <c r="M96" s="457">
        <f t="shared" si="6"/>
        <v>4294.5708338000004</v>
      </c>
      <c r="N96" s="457">
        <f t="shared" si="6"/>
        <v>4655.5395406000007</v>
      </c>
      <c r="O96" s="457">
        <f t="shared" si="6"/>
        <v>5084.6334474000005</v>
      </c>
      <c r="P96" s="457">
        <f t="shared" si="6"/>
        <v>5890.9993610000001</v>
      </c>
      <c r="Q96" s="457">
        <f t="shared" si="6"/>
        <v>5995.4294946000009</v>
      </c>
      <c r="R96" s="457">
        <f t="shared" si="6"/>
        <v>6763.0626413999998</v>
      </c>
      <c r="S96" s="457">
        <f t="shared" si="6"/>
        <v>6757.2575746000002</v>
      </c>
      <c r="T96" s="457">
        <f t="shared" si="6"/>
        <v>7530.6957882000015</v>
      </c>
      <c r="U96" s="457">
        <f t="shared" si="6"/>
        <v>8514.9505350000018</v>
      </c>
      <c r="V96" s="457">
        <f t="shared" si="6"/>
        <v>8598.3344018000007</v>
      </c>
      <c r="W96" s="457">
        <f t="shared" si="6"/>
        <v>9313.3818154000001</v>
      </c>
    </row>
    <row r="97" spans="1:23" ht="15" customHeight="1" x14ac:dyDescent="0.2">
      <c r="A97" s="305" t="s">
        <v>1304</v>
      </c>
      <c r="B97" s="1662"/>
      <c r="C97" s="1661"/>
      <c r="D97" s="235" t="s">
        <v>653</v>
      </c>
      <c r="E97" s="302"/>
      <c r="F97" s="302"/>
      <c r="G97" s="457">
        <f t="shared" ref="G97:W97" si="7">IF(G10="","",G$84+G10)</f>
        <v>1349.7307200000002</v>
      </c>
      <c r="H97" s="457">
        <f t="shared" si="7"/>
        <v>1757.6884000000005</v>
      </c>
      <c r="I97" s="457">
        <f t="shared" si="7"/>
        <v>2202.3976000000002</v>
      </c>
      <c r="J97" s="457">
        <f t="shared" si="7"/>
        <v>2596.6082999999999</v>
      </c>
      <c r="K97" s="457">
        <f t="shared" si="7"/>
        <v>3067.2121999999995</v>
      </c>
      <c r="L97" s="457">
        <f t="shared" si="7"/>
        <v>3474.6516999999994</v>
      </c>
      <c r="M97" s="457">
        <f t="shared" si="7"/>
        <v>3882.1068000000005</v>
      </c>
      <c r="N97" s="457">
        <f t="shared" si="7"/>
        <v>4217.2104000000008</v>
      </c>
      <c r="O97" s="457">
        <f t="shared" si="7"/>
        <v>4620.4392000000007</v>
      </c>
      <c r="P97" s="457">
        <f t="shared" si="7"/>
        <v>5460.8423999999995</v>
      </c>
      <c r="Q97" s="457">
        <f t="shared" si="7"/>
        <v>5520.125</v>
      </c>
      <c r="R97" s="457">
        <f t="shared" si="7"/>
        <v>6267.0517</v>
      </c>
      <c r="S97" s="457">
        <f t="shared" si="7"/>
        <v>6283.8204000000005</v>
      </c>
      <c r="T97" s="457">
        <f t="shared" si="7"/>
        <v>7013.9784000000009</v>
      </c>
      <c r="U97" s="457">
        <f t="shared" si="7"/>
        <v>7977.5267000000013</v>
      </c>
      <c r="V97" s="457">
        <f t="shared" si="7"/>
        <v>8038.3368000000009</v>
      </c>
      <c r="W97" s="457">
        <f t="shared" si="7"/>
        <v>8710.1040000000012</v>
      </c>
    </row>
    <row r="98" spans="1:23" ht="15" customHeight="1" x14ac:dyDescent="0.2">
      <c r="A98" s="305" t="s">
        <v>1305</v>
      </c>
      <c r="B98" s="1662"/>
      <c r="C98" s="1661" t="s">
        <v>523</v>
      </c>
      <c r="D98" s="471" t="s">
        <v>656</v>
      </c>
      <c r="E98" s="301"/>
      <c r="F98" s="301"/>
      <c r="G98" s="457">
        <f t="shared" ref="G98:W98" si="8">IF(G11="","",G$84+G11)</f>
        <v>1358.3793600000001</v>
      </c>
      <c r="H98" s="457">
        <f t="shared" si="8"/>
        <v>1768.4992000000002</v>
      </c>
      <c r="I98" s="457">
        <f t="shared" si="8"/>
        <v>2213.2084</v>
      </c>
      <c r="J98" s="457">
        <f t="shared" si="8"/>
        <v>2610.1217999999999</v>
      </c>
      <c r="K98" s="457">
        <f t="shared" si="8"/>
        <v>3083.4283999999998</v>
      </c>
      <c r="L98" s="457">
        <f t="shared" si="8"/>
        <v>3493.5705999999996</v>
      </c>
      <c r="M98" s="457">
        <f t="shared" si="8"/>
        <v>3903.7284000000004</v>
      </c>
      <c r="N98" s="457">
        <f t="shared" si="8"/>
        <v>4238.8320000000003</v>
      </c>
      <c r="O98" s="457">
        <f t="shared" si="8"/>
        <v>4642.0608000000002</v>
      </c>
      <c r="P98" s="457">
        <f t="shared" si="8"/>
        <v>5482.4639999999999</v>
      </c>
      <c r="Q98" s="457">
        <f t="shared" si="8"/>
        <v>5536.3412000000008</v>
      </c>
      <c r="R98" s="457">
        <f t="shared" si="8"/>
        <v>6285.9705999999996</v>
      </c>
      <c r="S98" s="457">
        <f t="shared" si="8"/>
        <v>6305.442</v>
      </c>
      <c r="T98" s="457">
        <f t="shared" si="8"/>
        <v>7035.6000000000013</v>
      </c>
      <c r="U98" s="457">
        <f t="shared" si="8"/>
        <v>8001.8510000000015</v>
      </c>
      <c r="V98" s="457">
        <f t="shared" si="8"/>
        <v>8059.9584000000013</v>
      </c>
      <c r="W98" s="457">
        <f t="shared" si="8"/>
        <v>8731.7256000000016</v>
      </c>
    </row>
    <row r="99" spans="1:23" ht="15" customHeight="1" x14ac:dyDescent="0.2">
      <c r="A99" s="305" t="s">
        <v>1306</v>
      </c>
      <c r="B99" s="1662"/>
      <c r="C99" s="1661"/>
      <c r="D99" s="307" t="s">
        <v>657</v>
      </c>
      <c r="E99" s="302"/>
      <c r="F99" s="302"/>
      <c r="G99" s="457">
        <f t="shared" ref="G99:W99" si="9">IF(G12="","",G$84+G12)</f>
        <v>1519.1734896000003</v>
      </c>
      <c r="H99" s="457">
        <f t="shared" si="9"/>
        <v>2035.9344633333337</v>
      </c>
      <c r="I99" s="457">
        <f t="shared" si="9"/>
        <v>2548.6566560000001</v>
      </c>
      <c r="J99" s="457">
        <f t="shared" si="9"/>
        <v>2967.1238523333332</v>
      </c>
      <c r="K99" s="457">
        <f t="shared" si="9"/>
        <v>3442.4842486666662</v>
      </c>
      <c r="L99" s="457">
        <f t="shared" si="9"/>
        <v>3893.6802449999996</v>
      </c>
      <c r="M99" s="457">
        <f t="shared" si="9"/>
        <v>4325.391841333334</v>
      </c>
      <c r="N99" s="457">
        <f t="shared" si="9"/>
        <v>4684.7519376666669</v>
      </c>
      <c r="O99" s="457">
        <f t="shared" si="9"/>
        <v>5112.2372340000002</v>
      </c>
      <c r="P99" s="457">
        <f t="shared" si="9"/>
        <v>5981.0684266666667</v>
      </c>
      <c r="Q99" s="457">
        <f t="shared" si="9"/>
        <v>6029.779019333334</v>
      </c>
      <c r="R99" s="457">
        <f t="shared" si="9"/>
        <v>6879.5472156666665</v>
      </c>
      <c r="S99" s="457">
        <f t="shared" si="9"/>
        <v>6862.3094193333336</v>
      </c>
      <c r="T99" s="457">
        <f t="shared" si="9"/>
        <v>7650.7304120000017</v>
      </c>
      <c r="U99" s="457">
        <f t="shared" si="9"/>
        <v>8638.5352083333346</v>
      </c>
      <c r="V99" s="457">
        <f t="shared" si="9"/>
        <v>8723.6018046666686</v>
      </c>
      <c r="W99" s="457">
        <f t="shared" si="9"/>
        <v>9443.8819973333339</v>
      </c>
    </row>
    <row r="100" spans="1:23" ht="15" customHeight="1" x14ac:dyDescent="0.2">
      <c r="A100" s="305" t="s">
        <v>1307</v>
      </c>
      <c r="B100" s="1670" t="s">
        <v>399</v>
      </c>
      <c r="C100" s="1661" t="s">
        <v>545</v>
      </c>
      <c r="D100" s="306" t="s">
        <v>546</v>
      </c>
      <c r="E100" s="301"/>
      <c r="F100" s="301"/>
      <c r="G100" s="457">
        <f t="shared" ref="G100:W100" si="10">IF(G13="","",G$85+G13)</f>
        <v>632.83285000000024</v>
      </c>
      <c r="H100" s="457">
        <f t="shared" si="10"/>
        <v>789.7915999999999</v>
      </c>
      <c r="I100" s="457">
        <f t="shared" si="10"/>
        <v>896.35910000000013</v>
      </c>
      <c r="J100" s="457">
        <f t="shared" si="10"/>
        <v>1032.5861</v>
      </c>
      <c r="K100" s="457">
        <f t="shared" si="10"/>
        <v>1249.8420999999998</v>
      </c>
      <c r="L100" s="457">
        <f t="shared" si="10"/>
        <v>1368.8181000000002</v>
      </c>
      <c r="M100" s="457">
        <f t="shared" si="10"/>
        <v>1538.7021</v>
      </c>
      <c r="N100" s="457">
        <f t="shared" si="10"/>
        <v>1655.5786000000003</v>
      </c>
      <c r="O100" s="457">
        <f t="shared" si="10"/>
        <v>1808.4976000000001</v>
      </c>
      <c r="P100" s="457">
        <f t="shared" si="10"/>
        <v>2087.1785999999993</v>
      </c>
      <c r="Q100" s="457">
        <f t="shared" si="10"/>
        <v>2087.1785999999993</v>
      </c>
      <c r="R100" s="457">
        <f t="shared" si="10"/>
        <v>2305.5227000000004</v>
      </c>
      <c r="S100" s="457">
        <f t="shared" si="10"/>
        <v>2305.5227000000004</v>
      </c>
      <c r="T100" s="457">
        <f t="shared" si="10"/>
        <v>2615.2190999999998</v>
      </c>
      <c r="U100" s="457">
        <f t="shared" si="10"/>
        <v>3045.0251000000003</v>
      </c>
      <c r="V100" s="457">
        <f t="shared" si="10"/>
        <v>3045.0251000000003</v>
      </c>
      <c r="W100" s="457">
        <f t="shared" si="10"/>
        <v>3219.8204999999998</v>
      </c>
    </row>
    <row r="101" spans="1:23" ht="15" customHeight="1" x14ac:dyDescent="0.2">
      <c r="A101" s="305" t="s">
        <v>1308</v>
      </c>
      <c r="B101" s="1670"/>
      <c r="C101" s="1661"/>
      <c r="D101" s="235" t="s">
        <v>548</v>
      </c>
      <c r="E101" s="302"/>
      <c r="F101" s="302"/>
      <c r="G101" s="457">
        <f t="shared" ref="G101:W101" si="11">IF(G14="","",G$85+G14)</f>
        <v>632.83285000000024</v>
      </c>
      <c r="H101" s="457">
        <f t="shared" si="11"/>
        <v>789.7915999999999</v>
      </c>
      <c r="I101" s="457">
        <f t="shared" si="11"/>
        <v>896.35910000000013</v>
      </c>
      <c r="J101" s="457">
        <f t="shared" si="11"/>
        <v>1032.5861</v>
      </c>
      <c r="K101" s="457">
        <f t="shared" si="11"/>
        <v>1249.8420999999998</v>
      </c>
      <c r="L101" s="457">
        <f t="shared" si="11"/>
        <v>1368.8181000000002</v>
      </c>
      <c r="M101" s="457">
        <f t="shared" si="11"/>
        <v>1538.7021</v>
      </c>
      <c r="N101" s="457">
        <f t="shared" si="11"/>
        <v>1655.5786000000003</v>
      </c>
      <c r="O101" s="457">
        <f t="shared" si="11"/>
        <v>1808.4976000000001</v>
      </c>
      <c r="P101" s="457">
        <f t="shared" si="11"/>
        <v>2087.1785999999993</v>
      </c>
      <c r="Q101" s="457">
        <f t="shared" si="11"/>
        <v>2087.1785999999993</v>
      </c>
      <c r="R101" s="457">
        <f t="shared" si="11"/>
        <v>2305.5227000000004</v>
      </c>
      <c r="S101" s="457">
        <f t="shared" si="11"/>
        <v>2305.5227000000004</v>
      </c>
      <c r="T101" s="457">
        <f t="shared" si="11"/>
        <v>2615.2190999999998</v>
      </c>
      <c r="U101" s="457">
        <f t="shared" si="11"/>
        <v>3045.0251000000003</v>
      </c>
      <c r="V101" s="457">
        <f t="shared" si="11"/>
        <v>3045.0251000000003</v>
      </c>
      <c r="W101" s="457">
        <f t="shared" si="11"/>
        <v>3219.8204999999998</v>
      </c>
    </row>
    <row r="102" spans="1:23" ht="15" customHeight="1" x14ac:dyDescent="0.2">
      <c r="A102" s="305" t="s">
        <v>1309</v>
      </c>
      <c r="B102" s="1670"/>
      <c r="C102" s="1661"/>
      <c r="D102" s="235" t="s">
        <v>653</v>
      </c>
      <c r="E102" s="301"/>
      <c r="F102" s="301"/>
      <c r="G102" s="457">
        <f t="shared" ref="G102:W102" si="12">IF(G15="","",G$85+G15)</f>
        <v>632.83285000000024</v>
      </c>
      <c r="H102" s="457">
        <f t="shared" si="12"/>
        <v>789.7915999999999</v>
      </c>
      <c r="I102" s="457">
        <f t="shared" si="12"/>
        <v>896.35910000000013</v>
      </c>
      <c r="J102" s="457">
        <f t="shared" si="12"/>
        <v>1032.5861</v>
      </c>
      <c r="K102" s="457">
        <f t="shared" si="12"/>
        <v>1249.8420999999998</v>
      </c>
      <c r="L102" s="457">
        <f t="shared" si="12"/>
        <v>1368.8181000000002</v>
      </c>
      <c r="M102" s="457">
        <f t="shared" si="12"/>
        <v>1538.7021</v>
      </c>
      <c r="N102" s="457">
        <f t="shared" si="12"/>
        <v>1655.5786000000003</v>
      </c>
      <c r="O102" s="457">
        <f t="shared" si="12"/>
        <v>1808.4976000000001</v>
      </c>
      <c r="P102" s="457">
        <f t="shared" si="12"/>
        <v>2087.1785999999993</v>
      </c>
      <c r="Q102" s="457">
        <f t="shared" si="12"/>
        <v>2087.1785999999993</v>
      </c>
      <c r="R102" s="457">
        <f t="shared" si="12"/>
        <v>2305.5227000000004</v>
      </c>
      <c r="S102" s="457">
        <f t="shared" si="12"/>
        <v>2305.5227000000004</v>
      </c>
      <c r="T102" s="457">
        <f t="shared" si="12"/>
        <v>2615.2190999999998</v>
      </c>
      <c r="U102" s="457">
        <f t="shared" si="12"/>
        <v>3045.0251000000003</v>
      </c>
      <c r="V102" s="457">
        <f t="shared" si="12"/>
        <v>3045.0251000000003</v>
      </c>
      <c r="W102" s="457">
        <f t="shared" si="12"/>
        <v>3219.8204999999998</v>
      </c>
    </row>
    <row r="103" spans="1:23" ht="15" customHeight="1" x14ac:dyDescent="0.2">
      <c r="A103" s="305" t="s">
        <v>1310</v>
      </c>
      <c r="B103" s="1670"/>
      <c r="C103" s="1661"/>
      <c r="D103" s="235" t="s">
        <v>551</v>
      </c>
      <c r="E103" s="302"/>
      <c r="F103" s="302"/>
      <c r="G103" s="457">
        <f t="shared" ref="G103:W103" si="13">IF(G16="","",G$85+G16)</f>
        <v>632.83285000000024</v>
      </c>
      <c r="H103" s="457">
        <f t="shared" si="13"/>
        <v>789.7915999999999</v>
      </c>
      <c r="I103" s="457">
        <f t="shared" si="13"/>
        <v>896.35910000000013</v>
      </c>
      <c r="J103" s="457">
        <f t="shared" si="13"/>
        <v>1032.5861</v>
      </c>
      <c r="K103" s="457">
        <f t="shared" si="13"/>
        <v>1249.8420999999998</v>
      </c>
      <c r="L103" s="457">
        <f t="shared" si="13"/>
        <v>1368.8181000000002</v>
      </c>
      <c r="M103" s="457">
        <f t="shared" si="13"/>
        <v>1538.7021</v>
      </c>
      <c r="N103" s="457">
        <f t="shared" si="13"/>
        <v>1655.5786000000003</v>
      </c>
      <c r="O103" s="457">
        <f t="shared" si="13"/>
        <v>1808.4976000000001</v>
      </c>
      <c r="P103" s="457">
        <f t="shared" si="13"/>
        <v>2087.1785999999993</v>
      </c>
      <c r="Q103" s="457">
        <f t="shared" si="13"/>
        <v>2087.1785999999993</v>
      </c>
      <c r="R103" s="457">
        <f t="shared" si="13"/>
        <v>2305.5227000000004</v>
      </c>
      <c r="S103" s="457">
        <f t="shared" si="13"/>
        <v>2305.5227000000004</v>
      </c>
      <c r="T103" s="457">
        <f t="shared" si="13"/>
        <v>2615.2190999999998</v>
      </c>
      <c r="U103" s="457">
        <f t="shared" si="13"/>
        <v>3045.0251000000003</v>
      </c>
      <c r="V103" s="457">
        <f t="shared" si="13"/>
        <v>3045.0251000000003</v>
      </c>
      <c r="W103" s="457">
        <f t="shared" si="13"/>
        <v>3219.8204999999998</v>
      </c>
    </row>
    <row r="104" spans="1:23" ht="15" customHeight="1" x14ac:dyDescent="0.2">
      <c r="A104" s="305" t="s">
        <v>1311</v>
      </c>
      <c r="B104" s="1670"/>
      <c r="C104" s="1661" t="s">
        <v>555</v>
      </c>
      <c r="D104" s="235" t="s">
        <v>655</v>
      </c>
      <c r="E104" s="301"/>
      <c r="F104" s="301"/>
      <c r="G104" s="457">
        <f t="shared" ref="G104:W104" si="14">IF(G17="","",G$85+G17)</f>
        <v>632.83285000000024</v>
      </c>
      <c r="H104" s="457">
        <f t="shared" si="14"/>
        <v>789.7915999999999</v>
      </c>
      <c r="I104" s="457">
        <f t="shared" si="14"/>
        <v>896.35910000000013</v>
      </c>
      <c r="J104" s="457">
        <f t="shared" si="14"/>
        <v>1032.5861</v>
      </c>
      <c r="K104" s="457">
        <f t="shared" si="14"/>
        <v>1249.8420999999998</v>
      </c>
      <c r="L104" s="457">
        <f t="shared" si="14"/>
        <v>1368.8181000000002</v>
      </c>
      <c r="M104" s="457">
        <f t="shared" si="14"/>
        <v>1538.7021</v>
      </c>
      <c r="N104" s="457">
        <f t="shared" si="14"/>
        <v>1655.5786000000003</v>
      </c>
      <c r="O104" s="457">
        <f t="shared" si="14"/>
        <v>1808.4976000000001</v>
      </c>
      <c r="P104" s="457">
        <f t="shared" si="14"/>
        <v>2087.1785999999993</v>
      </c>
      <c r="Q104" s="457">
        <f t="shared" si="14"/>
        <v>2087.1785999999993</v>
      </c>
      <c r="R104" s="457">
        <f t="shared" si="14"/>
        <v>2305.5227000000004</v>
      </c>
      <c r="S104" s="457">
        <f t="shared" si="14"/>
        <v>2305.5227000000004</v>
      </c>
      <c r="T104" s="457">
        <f t="shared" si="14"/>
        <v>2615.2190999999998</v>
      </c>
      <c r="U104" s="457">
        <f t="shared" si="14"/>
        <v>3045.0251000000003</v>
      </c>
      <c r="V104" s="457">
        <f t="shared" si="14"/>
        <v>3045.0251000000003</v>
      </c>
      <c r="W104" s="457">
        <f t="shared" si="14"/>
        <v>3219.8204999999998</v>
      </c>
    </row>
    <row r="105" spans="1:23" ht="15" customHeight="1" x14ac:dyDescent="0.2">
      <c r="A105" s="305" t="s">
        <v>1312</v>
      </c>
      <c r="B105" s="1670"/>
      <c r="C105" s="1661"/>
      <c r="D105" s="306" t="s">
        <v>546</v>
      </c>
      <c r="E105" s="301"/>
      <c r="F105" s="301"/>
      <c r="G105" s="457">
        <f t="shared" ref="G105:W105" si="15">IF(G18="","",G$85+G18)</f>
        <v>632.83285000000024</v>
      </c>
      <c r="H105" s="457">
        <f t="shared" si="15"/>
        <v>789.7915999999999</v>
      </c>
      <c r="I105" s="457">
        <f t="shared" si="15"/>
        <v>896.35910000000013</v>
      </c>
      <c r="J105" s="457">
        <f t="shared" si="15"/>
        <v>1032.5861</v>
      </c>
      <c r="K105" s="457">
        <f t="shared" si="15"/>
        <v>1249.8420999999998</v>
      </c>
      <c r="L105" s="457">
        <f t="shared" si="15"/>
        <v>1368.8181000000002</v>
      </c>
      <c r="M105" s="457">
        <f t="shared" si="15"/>
        <v>1538.7021</v>
      </c>
      <c r="N105" s="457">
        <f t="shared" si="15"/>
        <v>1655.5786000000003</v>
      </c>
      <c r="O105" s="457">
        <f t="shared" si="15"/>
        <v>1808.4976000000001</v>
      </c>
      <c r="P105" s="457">
        <f t="shared" si="15"/>
        <v>2087.1785999999993</v>
      </c>
      <c r="Q105" s="457">
        <f t="shared" si="15"/>
        <v>2087.1785999999993</v>
      </c>
      <c r="R105" s="457">
        <f t="shared" si="15"/>
        <v>2305.5227000000004</v>
      </c>
      <c r="S105" s="457">
        <f t="shared" si="15"/>
        <v>2305.5227000000004</v>
      </c>
      <c r="T105" s="457">
        <f t="shared" si="15"/>
        <v>2615.2190999999998</v>
      </c>
      <c r="U105" s="457">
        <f t="shared" si="15"/>
        <v>3045.0251000000003</v>
      </c>
      <c r="V105" s="457">
        <f t="shared" si="15"/>
        <v>3045.0251000000003</v>
      </c>
      <c r="W105" s="457">
        <f t="shared" si="15"/>
        <v>3219.8204999999998</v>
      </c>
    </row>
    <row r="106" spans="1:23" ht="15.6" customHeight="1" x14ac:dyDescent="0.2">
      <c r="A106" s="305" t="s">
        <v>1313</v>
      </c>
      <c r="B106" s="1670"/>
      <c r="C106" s="1661"/>
      <c r="D106" s="235" t="s">
        <v>653</v>
      </c>
      <c r="E106" s="302"/>
      <c r="F106" s="302"/>
      <c r="G106" s="457">
        <f t="shared" ref="G106:W106" si="16">IF(G19="","",G$85+G19)</f>
        <v>632.83285000000024</v>
      </c>
      <c r="H106" s="457">
        <f t="shared" si="16"/>
        <v>789.7915999999999</v>
      </c>
      <c r="I106" s="457">
        <f t="shared" si="16"/>
        <v>896.35910000000013</v>
      </c>
      <c r="J106" s="457">
        <f t="shared" si="16"/>
        <v>1032.5861</v>
      </c>
      <c r="K106" s="457">
        <f t="shared" si="16"/>
        <v>1249.8420999999998</v>
      </c>
      <c r="L106" s="457">
        <f t="shared" si="16"/>
        <v>1368.8181000000002</v>
      </c>
      <c r="M106" s="457">
        <f t="shared" si="16"/>
        <v>1538.7021</v>
      </c>
      <c r="N106" s="457">
        <f t="shared" si="16"/>
        <v>1655.5786000000003</v>
      </c>
      <c r="O106" s="457">
        <f t="shared" si="16"/>
        <v>1808.4976000000001</v>
      </c>
      <c r="P106" s="457">
        <f t="shared" si="16"/>
        <v>2087.1785999999993</v>
      </c>
      <c r="Q106" s="457">
        <f t="shared" si="16"/>
        <v>2087.1785999999993</v>
      </c>
      <c r="R106" s="457">
        <f t="shared" si="16"/>
        <v>2305.5227000000004</v>
      </c>
      <c r="S106" s="457">
        <f t="shared" si="16"/>
        <v>2305.5227000000004</v>
      </c>
      <c r="T106" s="457">
        <f t="shared" si="16"/>
        <v>2615.2190999999998</v>
      </c>
      <c r="U106" s="457">
        <f t="shared" si="16"/>
        <v>3045.0251000000003</v>
      </c>
      <c r="V106" s="457">
        <f t="shared" si="16"/>
        <v>3045.0251000000003</v>
      </c>
      <c r="W106" s="457">
        <f t="shared" si="16"/>
        <v>3219.8204999999998</v>
      </c>
    </row>
    <row r="107" spans="1:23" ht="15" customHeight="1" x14ac:dyDescent="0.2">
      <c r="A107" s="305" t="s">
        <v>1314</v>
      </c>
      <c r="B107" s="1670"/>
      <c r="C107" s="1672" t="s">
        <v>523</v>
      </c>
      <c r="D107" s="307" t="s">
        <v>656</v>
      </c>
      <c r="E107" s="301"/>
      <c r="F107" s="301"/>
      <c r="G107" s="457">
        <f t="shared" ref="G107:W107" si="17">IF(G20="","",G$85+G20)</f>
        <v>632.83285000000024</v>
      </c>
      <c r="H107" s="457">
        <f t="shared" si="17"/>
        <v>789.7915999999999</v>
      </c>
      <c r="I107" s="457">
        <f t="shared" si="17"/>
        <v>896.35910000000013</v>
      </c>
      <c r="J107" s="457">
        <f t="shared" si="17"/>
        <v>1032.5861</v>
      </c>
      <c r="K107" s="457">
        <f t="shared" si="17"/>
        <v>1249.8420999999998</v>
      </c>
      <c r="L107" s="457">
        <f t="shared" si="17"/>
        <v>1368.8181000000002</v>
      </c>
      <c r="M107" s="457">
        <f t="shared" si="17"/>
        <v>1538.7021</v>
      </c>
      <c r="N107" s="457">
        <f t="shared" si="17"/>
        <v>1655.5786000000003</v>
      </c>
      <c r="O107" s="457">
        <f t="shared" si="17"/>
        <v>1808.4976000000001</v>
      </c>
      <c r="P107" s="457">
        <f t="shared" si="17"/>
        <v>2087.1785999999993</v>
      </c>
      <c r="Q107" s="457">
        <f t="shared" si="17"/>
        <v>2087.1785999999993</v>
      </c>
      <c r="R107" s="457">
        <f t="shared" si="17"/>
        <v>2305.5227000000004</v>
      </c>
      <c r="S107" s="457">
        <f t="shared" si="17"/>
        <v>2305.5227000000004</v>
      </c>
      <c r="T107" s="457">
        <f t="shared" si="17"/>
        <v>2615.2190999999998</v>
      </c>
      <c r="U107" s="457">
        <f t="shared" si="17"/>
        <v>3045.0251000000003</v>
      </c>
      <c r="V107" s="457">
        <f t="shared" si="17"/>
        <v>3045.0251000000003</v>
      </c>
      <c r="W107" s="457">
        <f t="shared" si="17"/>
        <v>3219.8204999999998</v>
      </c>
    </row>
    <row r="108" spans="1:23" ht="15" customHeight="1" x14ac:dyDescent="0.2">
      <c r="A108" s="305" t="s">
        <v>1315</v>
      </c>
      <c r="B108" s="1670"/>
      <c r="C108" s="1663"/>
      <c r="D108" s="235" t="s">
        <v>657</v>
      </c>
      <c r="E108" s="301"/>
      <c r="F108" s="301"/>
      <c r="G108" s="457">
        <f t="shared" ref="G108:W108" si="18">IF(G21="","",G$85+G21)</f>
        <v>717.48863333333361</v>
      </c>
      <c r="H108" s="457">
        <f t="shared" si="18"/>
        <v>902.57613333333325</v>
      </c>
      <c r="I108" s="457">
        <f t="shared" si="18"/>
        <v>1019.5436333333334</v>
      </c>
      <c r="J108" s="457">
        <f t="shared" si="18"/>
        <v>1174.1136333333334</v>
      </c>
      <c r="K108" s="457">
        <f t="shared" si="18"/>
        <v>1409.7126333333331</v>
      </c>
      <c r="L108" s="457">
        <f t="shared" si="18"/>
        <v>1547.0316333333335</v>
      </c>
      <c r="M108" s="457">
        <f t="shared" si="18"/>
        <v>1735.2586333333334</v>
      </c>
      <c r="N108" s="457">
        <f t="shared" si="18"/>
        <v>1847.8607333333337</v>
      </c>
      <c r="O108" s="457">
        <f t="shared" si="18"/>
        <v>2015.4541333333334</v>
      </c>
      <c r="P108" s="457">
        <f t="shared" si="18"/>
        <v>2323.4839333333325</v>
      </c>
      <c r="Q108" s="457">
        <f t="shared" si="18"/>
        <v>2323.4839333333325</v>
      </c>
      <c r="R108" s="457">
        <f t="shared" si="18"/>
        <v>2555.4052333333339</v>
      </c>
      <c r="S108" s="457">
        <f t="shared" si="18"/>
        <v>2555.4052333333339</v>
      </c>
      <c r="T108" s="457">
        <f t="shared" si="18"/>
        <v>2882.101733333333</v>
      </c>
      <c r="U108" s="457">
        <f t="shared" si="18"/>
        <v>3335.7536333333337</v>
      </c>
      <c r="V108" s="457">
        <f t="shared" si="18"/>
        <v>3335.7536333333337</v>
      </c>
      <c r="W108" s="457">
        <f t="shared" si="18"/>
        <v>3523.880533333333</v>
      </c>
    </row>
    <row r="109" spans="1:23" ht="15" customHeight="1" x14ac:dyDescent="0.2">
      <c r="A109" s="305" t="s">
        <v>1316</v>
      </c>
      <c r="B109" s="468"/>
      <c r="C109" s="469"/>
      <c r="D109" s="306"/>
      <c r="E109" s="301"/>
      <c r="F109" s="301"/>
      <c r="G109" s="457"/>
      <c r="H109" s="457"/>
      <c r="I109" s="457"/>
      <c r="J109" s="457"/>
      <c r="K109" s="457"/>
      <c r="L109" s="457"/>
      <c r="M109" s="457"/>
      <c r="N109" s="457"/>
      <c r="O109" s="457"/>
      <c r="P109" s="457"/>
      <c r="Q109" s="457"/>
      <c r="R109" s="457"/>
      <c r="S109" s="457"/>
      <c r="T109" s="457"/>
      <c r="U109" s="457"/>
      <c r="V109" s="457"/>
      <c r="W109" s="457"/>
    </row>
    <row r="110" spans="1:23" ht="15" customHeight="1" x14ac:dyDescent="0.2">
      <c r="A110" s="305" t="s">
        <v>558</v>
      </c>
      <c r="B110" s="1668" t="s">
        <v>408</v>
      </c>
      <c r="C110" s="499" t="s">
        <v>562</v>
      </c>
      <c r="D110" s="235"/>
      <c r="E110" s="301"/>
      <c r="F110" s="301"/>
      <c r="G110" s="457">
        <f>IF(G22="","",G$86+G22)</f>
        <v>0</v>
      </c>
      <c r="H110" s="457">
        <f t="shared" ref="H110:W110" si="19">IF(H22="","",H$86+H22)</f>
        <v>1700.6834000000001</v>
      </c>
      <c r="I110" s="457">
        <f t="shared" si="19"/>
        <v>0</v>
      </c>
      <c r="J110" s="457">
        <f t="shared" si="19"/>
        <v>2863.7829999999999</v>
      </c>
      <c r="K110" s="457">
        <f t="shared" si="19"/>
        <v>3362.8139999999999</v>
      </c>
      <c r="L110" s="457">
        <f t="shared" si="19"/>
        <v>0</v>
      </c>
      <c r="M110" s="457">
        <f t="shared" si="19"/>
        <v>0</v>
      </c>
      <c r="N110" s="457">
        <f t="shared" si="19"/>
        <v>0</v>
      </c>
      <c r="O110" s="457">
        <f t="shared" si="19"/>
        <v>5727.5659999999998</v>
      </c>
      <c r="P110" s="457">
        <f t="shared" si="19"/>
        <v>6725.6279999999997</v>
      </c>
      <c r="Q110" s="457">
        <f t="shared" si="19"/>
        <v>0</v>
      </c>
      <c r="R110" s="457">
        <f t="shared" si="19"/>
        <v>0</v>
      </c>
      <c r="S110" s="457">
        <f t="shared" si="19"/>
        <v>0</v>
      </c>
      <c r="T110" s="457">
        <f t="shared" si="19"/>
        <v>0</v>
      </c>
      <c r="U110" s="457">
        <f t="shared" si="19"/>
        <v>0</v>
      </c>
      <c r="V110" s="457">
        <f t="shared" si="19"/>
        <v>0</v>
      </c>
      <c r="W110" s="457">
        <f t="shared" si="19"/>
        <v>11455.132</v>
      </c>
    </row>
    <row r="111" spans="1:23" ht="15" customHeight="1" x14ac:dyDescent="0.2">
      <c r="A111" s="305" t="s">
        <v>559</v>
      </c>
      <c r="B111" s="1668"/>
      <c r="C111" s="499" t="s">
        <v>654</v>
      </c>
      <c r="D111" s="235"/>
      <c r="E111" s="301"/>
      <c r="F111" s="301"/>
      <c r="G111" s="457">
        <f>IF(G23="","",G$86+G23)</f>
        <v>0</v>
      </c>
      <c r="H111" s="457">
        <f t="shared" ref="H111:W111" si="20">IF(H23="","",H$86+H23)</f>
        <v>1733.4434000000001</v>
      </c>
      <c r="I111" s="457">
        <f t="shared" si="20"/>
        <v>0</v>
      </c>
      <c r="J111" s="457">
        <f t="shared" si="20"/>
        <v>2918.3829999999998</v>
      </c>
      <c r="K111" s="457">
        <f t="shared" si="20"/>
        <v>3428.3339999999998</v>
      </c>
      <c r="L111" s="457">
        <f t="shared" si="20"/>
        <v>0</v>
      </c>
      <c r="M111" s="457">
        <f t="shared" si="20"/>
        <v>0</v>
      </c>
      <c r="N111" s="457">
        <f t="shared" si="20"/>
        <v>0</v>
      </c>
      <c r="O111" s="457">
        <f t="shared" si="20"/>
        <v>5836.7659999999996</v>
      </c>
      <c r="P111" s="457">
        <f t="shared" si="20"/>
        <v>6856.6679999999997</v>
      </c>
      <c r="Q111" s="457">
        <f t="shared" si="20"/>
        <v>0</v>
      </c>
      <c r="R111" s="457">
        <f t="shared" si="20"/>
        <v>0</v>
      </c>
      <c r="S111" s="457">
        <f t="shared" si="20"/>
        <v>0</v>
      </c>
      <c r="T111" s="457">
        <f t="shared" si="20"/>
        <v>0</v>
      </c>
      <c r="U111" s="457">
        <f t="shared" si="20"/>
        <v>0</v>
      </c>
      <c r="V111" s="457">
        <f t="shared" si="20"/>
        <v>0</v>
      </c>
      <c r="W111" s="457">
        <f t="shared" si="20"/>
        <v>11673.531999999999</v>
      </c>
    </row>
    <row r="112" spans="1:23" ht="15" customHeight="1" x14ac:dyDescent="0.2">
      <c r="A112" s="305" t="s">
        <v>560</v>
      </c>
      <c r="B112" s="1668"/>
      <c r="C112" s="498" t="s">
        <v>523</v>
      </c>
      <c r="D112" s="235"/>
      <c r="E112" s="301"/>
      <c r="F112" s="301"/>
      <c r="G112" s="457">
        <f>IF(G24="","",G$86+G24)</f>
        <v>0</v>
      </c>
      <c r="H112" s="457">
        <f t="shared" ref="H112:W112" si="21">IF(H24="","",H$86+H24)</f>
        <v>1794.2834000000003</v>
      </c>
      <c r="I112" s="457">
        <f t="shared" si="21"/>
        <v>0</v>
      </c>
      <c r="J112" s="457">
        <f t="shared" si="21"/>
        <v>3019.7829999999999</v>
      </c>
      <c r="K112" s="457">
        <f t="shared" si="21"/>
        <v>3550.0140000000001</v>
      </c>
      <c r="L112" s="457">
        <f t="shared" si="21"/>
        <v>0</v>
      </c>
      <c r="M112" s="457">
        <f t="shared" si="21"/>
        <v>0</v>
      </c>
      <c r="N112" s="457">
        <f t="shared" si="21"/>
        <v>0</v>
      </c>
      <c r="O112" s="457">
        <f t="shared" si="21"/>
        <v>6039.5659999999998</v>
      </c>
      <c r="P112" s="457">
        <f t="shared" si="21"/>
        <v>7100.0280000000002</v>
      </c>
      <c r="Q112" s="457">
        <f t="shared" si="21"/>
        <v>0</v>
      </c>
      <c r="R112" s="457">
        <f t="shared" si="21"/>
        <v>0</v>
      </c>
      <c r="S112" s="457">
        <f t="shared" si="21"/>
        <v>0</v>
      </c>
      <c r="T112" s="457">
        <f t="shared" si="21"/>
        <v>0</v>
      </c>
      <c r="U112" s="457">
        <f t="shared" si="21"/>
        <v>0</v>
      </c>
      <c r="V112" s="457">
        <f t="shared" si="21"/>
        <v>0</v>
      </c>
      <c r="W112" s="457">
        <f t="shared" si="21"/>
        <v>12079.132</v>
      </c>
    </row>
  </sheetData>
  <mergeCells count="39">
    <mergeCell ref="B100:B108"/>
    <mergeCell ref="C100:C103"/>
    <mergeCell ref="C104:C106"/>
    <mergeCell ref="C107:C108"/>
    <mergeCell ref="B110:B112"/>
    <mergeCell ref="B79:B81"/>
    <mergeCell ref="B84:B86"/>
    <mergeCell ref="B88:B89"/>
    <mergeCell ref="B91:B99"/>
    <mergeCell ref="C91:C94"/>
    <mergeCell ref="C95:C97"/>
    <mergeCell ref="C98:C99"/>
    <mergeCell ref="B74:B77"/>
    <mergeCell ref="C74:C77"/>
    <mergeCell ref="B22:B24"/>
    <mergeCell ref="B25:B26"/>
    <mergeCell ref="B27:B28"/>
    <mergeCell ref="B32:B36"/>
    <mergeCell ref="B48:B51"/>
    <mergeCell ref="B53:B57"/>
    <mergeCell ref="C53:C57"/>
    <mergeCell ref="B59:B62"/>
    <mergeCell ref="C59:C62"/>
    <mergeCell ref="B64:B72"/>
    <mergeCell ref="C64:C67"/>
    <mergeCell ref="C68:C72"/>
    <mergeCell ref="B38:B46"/>
    <mergeCell ref="A1:A3"/>
    <mergeCell ref="B1:B3"/>
    <mergeCell ref="C1:C3"/>
    <mergeCell ref="C4:C7"/>
    <mergeCell ref="B4:B12"/>
    <mergeCell ref="C8:C10"/>
    <mergeCell ref="C11:C12"/>
    <mergeCell ref="F1:F2"/>
    <mergeCell ref="C13:C16"/>
    <mergeCell ref="C17:C19"/>
    <mergeCell ref="B13:B21"/>
    <mergeCell ref="C20:C21"/>
  </mergeCells>
  <pageMargins left="0.70000000000000007" right="0.70000000000000007" top="1.1437007874015745" bottom="1.1437007874015745" header="0.74999999999999989" footer="0.74999999999999989"/>
  <pageSetup paperSize="9" fitToWidth="0" fitToHeight="0" orientation="portrait" r:id="rId1"/>
  <headerFooter alignWithMargins="0"/>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published="0" codeName="Feuil44"/>
  <dimension ref="A1:W112"/>
  <sheetViews>
    <sheetView workbookViewId="0">
      <pane xSplit="5" ySplit="3" topLeftCell="F40" activePane="bottomRight" state="frozen"/>
      <selection pane="topRight" activeCell="F1" sqref="F1"/>
      <selection pane="bottomLeft" activeCell="A4" sqref="A4"/>
      <selection pane="bottomRight" activeCell="E53" sqref="E53"/>
    </sheetView>
  </sheetViews>
  <sheetFormatPr baseColWidth="10" defaultColWidth="11.125" defaultRowHeight="14.25" x14ac:dyDescent="0.2"/>
  <cols>
    <col min="1" max="1" width="7.625" customWidth="1"/>
    <col min="2" max="2" width="20.125" customWidth="1"/>
    <col min="3" max="3" width="41.125" customWidth="1"/>
    <col min="4" max="4" width="38.5" customWidth="1"/>
    <col min="5" max="6" width="11.5" customWidth="1"/>
    <col min="7" max="792" width="10.625" customWidth="1"/>
  </cols>
  <sheetData>
    <row r="1" spans="1:23" ht="9.6" customHeight="1" x14ac:dyDescent="0.2">
      <c r="A1" s="1669" t="s">
        <v>543</v>
      </c>
      <c r="B1" s="1677" t="s">
        <v>443</v>
      </c>
      <c r="C1" s="1678" t="s">
        <v>635</v>
      </c>
      <c r="D1" s="470" t="s">
        <v>636</v>
      </c>
      <c r="E1" s="497" t="s">
        <v>637</v>
      </c>
      <c r="F1" s="1682" t="s">
        <v>458</v>
      </c>
      <c r="G1" s="3">
        <v>2</v>
      </c>
      <c r="H1" s="3">
        <v>3</v>
      </c>
      <c r="I1" s="3">
        <v>4</v>
      </c>
      <c r="J1" s="3">
        <v>5</v>
      </c>
      <c r="K1" s="3">
        <v>6</v>
      </c>
      <c r="L1" s="3">
        <v>7</v>
      </c>
      <c r="M1" s="3">
        <v>8</v>
      </c>
      <c r="N1" s="3">
        <v>9</v>
      </c>
      <c r="O1" s="3">
        <v>10</v>
      </c>
      <c r="P1" s="3" t="s">
        <v>460</v>
      </c>
      <c r="Q1" s="3" t="s">
        <v>461</v>
      </c>
      <c r="R1" s="3" t="s">
        <v>462</v>
      </c>
      <c r="S1" s="3" t="s">
        <v>463</v>
      </c>
      <c r="T1" s="3">
        <v>16</v>
      </c>
      <c r="U1" s="3" t="s">
        <v>464</v>
      </c>
      <c r="V1" s="3" t="s">
        <v>465</v>
      </c>
      <c r="W1" s="3" t="s">
        <v>466</v>
      </c>
    </row>
    <row r="2" spans="1:23" ht="8.1" customHeight="1" x14ac:dyDescent="0.2">
      <c r="A2" s="1669"/>
      <c r="B2" s="1677"/>
      <c r="C2" s="1678"/>
      <c r="D2" s="470"/>
      <c r="E2" s="497"/>
      <c r="F2" s="1683"/>
      <c r="G2" s="3">
        <f>COLUMN(G1)</f>
        <v>7</v>
      </c>
      <c r="H2" s="3">
        <f t="shared" ref="H2:W2" si="0">COLUMN(H1)</f>
        <v>8</v>
      </c>
      <c r="I2" s="3">
        <f t="shared" si="0"/>
        <v>9</v>
      </c>
      <c r="J2" s="3">
        <f t="shared" si="0"/>
        <v>10</v>
      </c>
      <c r="K2" s="3">
        <f t="shared" si="0"/>
        <v>11</v>
      </c>
      <c r="L2" s="3">
        <f t="shared" si="0"/>
        <v>12</v>
      </c>
      <c r="M2" s="3">
        <f t="shared" si="0"/>
        <v>13</v>
      </c>
      <c r="N2" s="3">
        <f t="shared" si="0"/>
        <v>14</v>
      </c>
      <c r="O2" s="3">
        <f t="shared" si="0"/>
        <v>15</v>
      </c>
      <c r="P2" s="3">
        <f t="shared" si="0"/>
        <v>16</v>
      </c>
      <c r="Q2" s="3">
        <f t="shared" si="0"/>
        <v>17</v>
      </c>
      <c r="R2" s="3">
        <f t="shared" si="0"/>
        <v>18</v>
      </c>
      <c r="S2" s="3">
        <f t="shared" si="0"/>
        <v>19</v>
      </c>
      <c r="T2" s="3">
        <f t="shared" si="0"/>
        <v>20</v>
      </c>
      <c r="U2" s="3">
        <f t="shared" si="0"/>
        <v>21</v>
      </c>
      <c r="V2" s="3">
        <f t="shared" si="0"/>
        <v>22</v>
      </c>
      <c r="W2" s="3">
        <f t="shared" si="0"/>
        <v>23</v>
      </c>
    </row>
    <row r="3" spans="1:23" ht="36.6" customHeight="1" x14ac:dyDescent="0.2">
      <c r="A3" s="1669"/>
      <c r="B3" s="1677"/>
      <c r="C3" s="1678"/>
      <c r="D3" s="470"/>
      <c r="E3" s="304" t="s">
        <v>622</v>
      </c>
      <c r="F3" s="500" t="s">
        <v>1441</v>
      </c>
      <c r="G3" s="300" t="s">
        <v>638</v>
      </c>
      <c r="H3" s="129" t="s">
        <v>639</v>
      </c>
      <c r="I3" s="129" t="s">
        <v>640</v>
      </c>
      <c r="J3" s="129" t="s">
        <v>641</v>
      </c>
      <c r="K3" s="129" t="s">
        <v>642</v>
      </c>
      <c r="L3" s="129" t="s">
        <v>643</v>
      </c>
      <c r="M3" s="129" t="s">
        <v>644</v>
      </c>
      <c r="N3" s="129" t="s">
        <v>645</v>
      </c>
      <c r="O3" s="129" t="s">
        <v>646</v>
      </c>
      <c r="P3" s="129" t="s">
        <v>647</v>
      </c>
      <c r="Q3" s="129" t="s">
        <v>647</v>
      </c>
      <c r="R3" s="129" t="s">
        <v>648</v>
      </c>
      <c r="S3" s="129" t="s">
        <v>648</v>
      </c>
      <c r="T3" s="129" t="s">
        <v>649</v>
      </c>
      <c r="U3" s="129" t="s">
        <v>650</v>
      </c>
      <c r="V3" s="129" t="s">
        <v>650</v>
      </c>
      <c r="W3" s="129" t="s">
        <v>651</v>
      </c>
    </row>
    <row r="4" spans="1:23" ht="15" customHeight="1" x14ac:dyDescent="0.2">
      <c r="A4" s="305" t="s">
        <v>544</v>
      </c>
      <c r="B4" s="1662" t="s">
        <v>439</v>
      </c>
      <c r="C4" s="1663" t="s">
        <v>652</v>
      </c>
      <c r="D4" s="306" t="s">
        <v>546</v>
      </c>
      <c r="E4" s="301" t="s">
        <v>223</v>
      </c>
      <c r="F4" s="301"/>
      <c r="G4" s="457">
        <f>IFERROR(VLOOKUP($F$1,'FV1'!$C$1:$AM$51,((G$2-5)*2-1),0),"")</f>
        <v>260.10000000000002</v>
      </c>
      <c r="H4" s="457">
        <f>IFERROR(VLOOKUP($F$1,'FV1'!$C$1:$AM$51,((H$2-5)*2-1),0),"")</f>
        <v>261.90000000000003</v>
      </c>
      <c r="I4" s="457">
        <f>IFERROR(VLOOKUP($F$1,'FV1'!$C$1:$AM$51,((I$2-5)*2-1),0),"")</f>
        <v>261.90000000000003</v>
      </c>
      <c r="J4" s="457">
        <f>IFERROR(VLOOKUP($F$1,'FV1'!$C$1:$AM$51,((J$2-5)*2-1),0),"")</f>
        <v>261.90000000000003</v>
      </c>
      <c r="K4" s="457">
        <f>IFERROR(VLOOKUP($F$1,'FV1'!$C$1:$AM$51,((K$2-5)*2-1),0),"")</f>
        <v>275.39999999999998</v>
      </c>
      <c r="L4" s="457">
        <f>IFERROR(VLOOKUP($F$1,'FV1'!$C$1:$AM$51,((L$2-5)*2-1),0),"")</f>
        <v>273.15000000000003</v>
      </c>
      <c r="M4" s="457">
        <f>IFERROR(VLOOKUP($F$1,'FV1'!$C$1:$AM$51,((M$2-5)*2-1),0),"")</f>
        <v>279.90000000000003</v>
      </c>
      <c r="N4" s="457">
        <f>IFERROR(VLOOKUP($F$1,'FV1'!$C$1:$AM$51,((N$2-5)*2-1),0),"")</f>
        <v>279.90000000000003</v>
      </c>
      <c r="O4" s="457">
        <f>IFERROR(VLOOKUP($F$1,'FV1'!$C$1:$AM$51,((O$2-5)*2-1),0),"")</f>
        <v>270.90000000000003</v>
      </c>
      <c r="P4" s="457">
        <f>IFERROR(VLOOKUP($F$1,'FV1'!$C$1:$AM$51,((P$2-5)*2-1),0),"")</f>
        <v>285.3</v>
      </c>
      <c r="Q4" s="457">
        <f>IFERROR(VLOOKUP($F$1,'FV1'!$C$1:$AM$51,((Q$2-5)*2-1),0),"")</f>
        <v>280.79999999999995</v>
      </c>
      <c r="R4" s="457">
        <f>IFERROR(VLOOKUP($F$1,'FV1'!$C$1:$AM$51,((R$2-5)*2-1),0),"")</f>
        <v>283.04999999999995</v>
      </c>
      <c r="S4" s="457">
        <f>IFERROR(VLOOKUP($F$1,'FV1'!$C$1:$AM$51,((S$2-5)*2-1),0),"")</f>
        <v>294.3</v>
      </c>
      <c r="T4" s="457">
        <f>IFERROR(VLOOKUP($F$1,'FV1'!$C$1:$AM$51,((T$2-5)*2-1),0),"")</f>
        <v>289.8</v>
      </c>
      <c r="U4" s="457">
        <f>IFERROR(VLOOKUP($F$1,'FV1'!$C$1:$AM$51,((U$2-5)*2-1),0),"")</f>
        <v>296.55</v>
      </c>
      <c r="V4" s="457">
        <f>IFERROR(VLOOKUP($F$1,'FV1'!$C$1:$AM$51,((V$2-5)*2-1),0),"")</f>
        <v>294.3</v>
      </c>
      <c r="W4" s="457">
        <f>IFERROR(VLOOKUP($F$1,'FV1'!$C$1:$AM$51,((W$2-5)*2-1),0),"")</f>
        <v>298.8</v>
      </c>
    </row>
    <row r="5" spans="1:23" ht="15" customHeight="1" x14ac:dyDescent="0.2">
      <c r="A5" s="305" t="s">
        <v>547</v>
      </c>
      <c r="B5" s="1662"/>
      <c r="C5" s="1663"/>
      <c r="D5" s="235" t="s">
        <v>548</v>
      </c>
      <c r="E5" s="302" t="s">
        <v>223</v>
      </c>
      <c r="F5" s="302"/>
      <c r="G5" s="457">
        <f>IFERROR(VLOOKUP($F$1,'FV2'!$C$1:$AM$37,((G$2-5)*2-1),0),"")</f>
        <v>154.15199999999999</v>
      </c>
      <c r="H5" s="457">
        <f>IFERROR(VLOOKUP($F$1,'FV2'!$C$1:$AM$37,((H$2-5)*2-1),0),"")</f>
        <v>187.20000000000002</v>
      </c>
      <c r="I5" s="457">
        <f>IFERROR(VLOOKUP($F$1,'FV2'!$C$1:$AM$37,((I$2-5)*2-1),0),"")</f>
        <v>223.92</v>
      </c>
      <c r="J5" s="457">
        <f>IFERROR(VLOOKUP($F$1,'FV2'!$C$1:$AM$37,((J$2-5)*2-1),0),"")</f>
        <v>242.28000000000003</v>
      </c>
      <c r="K5" s="457">
        <f>IFERROR(VLOOKUP($F$1,'FV2'!$C$1:$AM$37,((K$2-5)*2-1),0),"")</f>
        <v>260.64</v>
      </c>
      <c r="L5" s="457">
        <f>IFERROR(VLOOKUP($F$1,'FV2'!$C$1:$AM$37,((L$2-5)*2-1),0),"")</f>
        <v>279</v>
      </c>
      <c r="M5" s="457">
        <f>IFERROR(VLOOKUP($F$1,'FV2'!$C$1:$AM$37,((M$2-5)*2-1),0),"")</f>
        <v>297.36</v>
      </c>
      <c r="N5" s="457">
        <f>IFERROR(VLOOKUP($F$1,'FV2'!$C$1:$AM$37,((N$2-5)*2-1),0),"")</f>
        <v>315.72000000000003</v>
      </c>
      <c r="O5" s="457">
        <f>IFERROR(VLOOKUP($F$1,'FV2'!$C$1:$AM$37,((O$2-5)*2-1),0),"")</f>
        <v>334.08</v>
      </c>
      <c r="P5" s="457">
        <f>IFERROR(VLOOKUP($F$1,'FV2'!$C$1:$AM$37,((P$2-5)*2-1),0),"")</f>
        <v>370.8</v>
      </c>
      <c r="Q5" s="457">
        <f>IFERROR(VLOOKUP($F$1,'FV2'!$C$1:$AM$37,((Q$2-5)*2-1),0),"")</f>
        <v>407.52</v>
      </c>
      <c r="R5" s="457">
        <f>IFERROR(VLOOKUP($F$1,'FV2'!$C$1:$AM$37,((R$2-5)*2-1),0),"")</f>
        <v>425.88</v>
      </c>
      <c r="S5" s="457">
        <f>IFERROR(VLOOKUP($F$1,'FV2'!$C$1:$AM$37,((S$2-5)*2-1),0),"")</f>
        <v>407.52</v>
      </c>
      <c r="T5" s="457">
        <f>IFERROR(VLOOKUP($F$1,'FV2'!$C$1:$AM$37,((T$2-5)*2-1),0),"")</f>
        <v>444.24</v>
      </c>
      <c r="U5" s="457">
        <f>IFERROR(VLOOKUP($F$1,'FV2'!$C$1:$AM$37,((U$2-5)*2-1),0),"")</f>
        <v>462.59999999999997</v>
      </c>
      <c r="V5" s="457">
        <f>IFERROR(VLOOKUP($F$1,'FV2'!$C$1:$AM$37,((V$2-5)*2-1),0),"")</f>
        <v>480.96000000000004</v>
      </c>
      <c r="W5" s="457">
        <f>IFERROR(VLOOKUP($F$1,'FV2'!$C$1:$AM$37,((W$2-5)*2-1),0),"")</f>
        <v>517.67999999999995</v>
      </c>
    </row>
    <row r="6" spans="1:23" ht="15" customHeight="1" x14ac:dyDescent="0.2">
      <c r="A6" s="305" t="s">
        <v>549</v>
      </c>
      <c r="B6" s="1662"/>
      <c r="C6" s="1663"/>
      <c r="D6" s="235" t="s">
        <v>653</v>
      </c>
      <c r="E6" s="301" t="s">
        <v>223</v>
      </c>
      <c r="F6" s="301"/>
      <c r="G6" s="457">
        <f>IFERROR(VLOOKUP($F$1,'FV3'!$C$1:$AM$34,((G$2-5)*2-1),0),"")</f>
        <v>231.74999999999997</v>
      </c>
      <c r="H6" s="457">
        <f>IFERROR(VLOOKUP($F$1,'FV3'!$C$1:$AM$34,((H$2-5)*2-1),0),"")</f>
        <v>276.3</v>
      </c>
      <c r="I6" s="457">
        <f>IFERROR(VLOOKUP($F$1,'FV3'!$C$1:$AM$34,((I$2-5)*2-1),0),"")</f>
        <v>325.8</v>
      </c>
      <c r="J6" s="457">
        <f>IFERROR(VLOOKUP($F$1,'FV3'!$C$1:$AM$34,((J$2-5)*2-1),0),"")</f>
        <v>350.55000000000007</v>
      </c>
      <c r="K6" s="457">
        <f>IFERROR(VLOOKUP($F$1,'FV3'!$C$1:$AM$34,((K$2-5)*2-1),0),"")</f>
        <v>375.3</v>
      </c>
      <c r="L6" s="457">
        <f>IFERROR(VLOOKUP($F$1,'FV3'!$C$1:$AM$34,((L$2-5)*2-1),0),"")</f>
        <v>400.05</v>
      </c>
      <c r="M6" s="457">
        <f>IFERROR(VLOOKUP($F$1,'FV3'!$C$1:$AM$34,((M$2-5)*2-1),0),"")</f>
        <v>424.80000000000007</v>
      </c>
      <c r="N6" s="457">
        <f>IFERROR(VLOOKUP($F$1,'FV3'!$C$1:$AM$34,((N$2-5)*2-1),0),"")</f>
        <v>449.55</v>
      </c>
      <c r="O6" s="457">
        <f>IFERROR(VLOOKUP($F$1,'FV3'!$C$1:$AM$34,((O$2-5)*2-1),0),"")</f>
        <v>474.30000000000013</v>
      </c>
      <c r="P6" s="457">
        <f>IFERROR(VLOOKUP($F$1,'FV3'!$C$1:$AM$34,((P$2-5)*2-1),0),"")</f>
        <v>523.80000000000007</v>
      </c>
      <c r="Q6" s="457">
        <f>IFERROR(VLOOKUP($F$1,'FV3'!$C$1:$AM$34,((Q$2-5)*2-1),0),"")</f>
        <v>573.29999999999995</v>
      </c>
      <c r="R6" s="457">
        <f>IFERROR(VLOOKUP($F$1,'FV3'!$C$1:$AM$34,((R$2-5)*2-1),0),"")</f>
        <v>598.05000000000007</v>
      </c>
      <c r="S6" s="457">
        <f>IFERROR(VLOOKUP($F$1,'FV3'!$C$1:$AM$34,((S$2-5)*2-1),0),"")</f>
        <v>573.29999999999995</v>
      </c>
      <c r="T6" s="457">
        <f>IFERROR(VLOOKUP($F$1,'FV3'!$C$1:$AM$34,((T$2-5)*2-1),0),"")</f>
        <v>622.79999999999995</v>
      </c>
      <c r="U6" s="457">
        <f>IFERROR(VLOOKUP($F$1,'FV3'!$C$1:$AM$34,((U$2-5)*2-1),0),"")</f>
        <v>647.55000000000007</v>
      </c>
      <c r="V6" s="457">
        <f>IFERROR(VLOOKUP($F$1,'FV3'!$C$1:$AM$34,((V$2-5)*2-1),0),"")</f>
        <v>672.30000000000007</v>
      </c>
      <c r="W6" s="457">
        <f>IFERROR(VLOOKUP($F$1,'FV3'!$C$1:$AM$34,((W$2-5)*2-1),0),"")</f>
        <v>721.8</v>
      </c>
    </row>
    <row r="7" spans="1:23" ht="15" customHeight="1" x14ac:dyDescent="0.2">
      <c r="A7" s="305" t="s">
        <v>550</v>
      </c>
      <c r="B7" s="1662"/>
      <c r="C7" s="1663"/>
      <c r="D7" s="472" t="s">
        <v>551</v>
      </c>
      <c r="E7" s="302" t="s">
        <v>223</v>
      </c>
      <c r="F7" s="302"/>
      <c r="G7" s="457">
        <f>IFERROR(VLOOKUP($F$1,'FV4'!$C$1:$AM$36,((G$2-5)*2-1),0),"")</f>
        <v>360</v>
      </c>
      <c r="H7" s="457">
        <f>IFERROR(VLOOKUP($F$1,'FV4'!$C$1:$AM$36,((H$2-5)*2-1),0),"")</f>
        <v>0</v>
      </c>
      <c r="I7" s="457">
        <f>IFERROR(VLOOKUP($F$1,'FV4'!$C$1:$AM$36,((I$2-5)*2-1),0),"")</f>
        <v>0</v>
      </c>
      <c r="J7" s="457">
        <f>IFERROR(VLOOKUP($F$1,'FV4'!$C$1:$AM$36,((J$2-5)*2-1),0),"")</f>
        <v>0</v>
      </c>
      <c r="K7" s="457">
        <f>IFERROR(VLOOKUP($F$1,'FV4'!$C$1:$AM$36,((K$2-5)*2-1),0),"")</f>
        <v>0</v>
      </c>
      <c r="L7" s="457">
        <f>IFERROR(VLOOKUP($F$1,'FV4'!$C$1:$AM$36,((L$2-5)*2-1),0),"")</f>
        <v>0</v>
      </c>
      <c r="M7" s="457">
        <f>IFERROR(VLOOKUP($F$1,'FV4'!$C$1:$AM$36,((M$2-5)*2-1),0),"")</f>
        <v>0</v>
      </c>
      <c r="N7" s="457">
        <f>IFERROR(VLOOKUP($F$1,'FV4'!$C$1:$AM$36,((N$2-5)*2-1),0),"")</f>
        <v>0</v>
      </c>
      <c r="O7" s="457">
        <f>IFERROR(VLOOKUP($F$1,'FV4'!$C$1:$AM$36,((O$2-5)*2-1),0),"")</f>
        <v>0</v>
      </c>
      <c r="P7" s="457">
        <f>IFERROR(VLOOKUP($F$1,'FV4'!$C$1:$AM$36,((P$2-5)*2-1),0),"")</f>
        <v>0</v>
      </c>
      <c r="Q7" s="457">
        <f>IFERROR(VLOOKUP($F$1,'FV4'!$C$1:$AM$36,((Q$2-5)*2-1),0),"")</f>
        <v>0</v>
      </c>
      <c r="R7" s="457">
        <f>IFERROR(VLOOKUP($F$1,'FV4'!$C$1:$AM$36,((R$2-5)*2-1),0),"")</f>
        <v>0</v>
      </c>
      <c r="S7" s="457">
        <f>IFERROR(VLOOKUP($F$1,'FV4'!$C$1:$AM$36,((S$2-5)*2-1),0),"")</f>
        <v>0</v>
      </c>
      <c r="T7" s="457">
        <f>IFERROR(VLOOKUP($F$1,'FV4'!$C$1:$AM$36,((T$2-5)*2-1),0),"")</f>
        <v>0</v>
      </c>
      <c r="U7" s="457">
        <f>IFERROR(VLOOKUP($F$1,'FV4'!$C$1:$AM$36,((U$2-5)*2-1),0),"")</f>
        <v>0</v>
      </c>
      <c r="V7" s="457">
        <f>IFERROR(VLOOKUP($F$1,'FV4'!$C$1:$AM$36,((V$2-5)*2-1),0),"")</f>
        <v>0</v>
      </c>
      <c r="W7" s="457">
        <f>IFERROR(VLOOKUP($F$1,'FV4'!$C$1:$AM$36,((W$2-5)*2-1),0),"")</f>
        <v>0</v>
      </c>
    </row>
    <row r="8" spans="1:23" ht="15" customHeight="1" x14ac:dyDescent="0.2">
      <c r="A8" s="305" t="s">
        <v>552</v>
      </c>
      <c r="B8" s="1662"/>
      <c r="C8" s="1661" t="s">
        <v>654</v>
      </c>
      <c r="D8" s="307" t="s">
        <v>1786</v>
      </c>
      <c r="E8" s="301" t="s">
        <v>223</v>
      </c>
      <c r="F8" s="301"/>
      <c r="G8" s="457">
        <f>IFERROR(VLOOKUP($F$1,'FV5'!$C$1:$AM$34,((G$2-5)*2-1),0),"")</f>
        <v>86.85</v>
      </c>
      <c r="H8" s="457">
        <f>IFERROR(VLOOKUP($F$1,'FV5'!$C$1:$AM$34,((H$2-5)*2-1),0),"")</f>
        <v>99.000000000000014</v>
      </c>
      <c r="I8" s="457">
        <f>IFERROR(VLOOKUP($F$1,'FV5'!$C$1:$AM$34,((I$2-5)*2-1),0),"")</f>
        <v>112.5</v>
      </c>
      <c r="J8" s="457">
        <f>IFERROR(VLOOKUP($F$1,'FV5'!$C$1:$AM$34,((J$2-5)*2-1),0),"")</f>
        <v>119.25000000000001</v>
      </c>
      <c r="K8" s="457">
        <f>IFERROR(VLOOKUP($F$1,'FV5'!$C$1:$AM$34,((K$2-5)*2-1),0),"")</f>
        <v>125.99999999999999</v>
      </c>
      <c r="L8" s="457">
        <f>IFERROR(VLOOKUP($F$1,'FV5'!$C$1:$AM$34,((L$2-5)*2-1),0),"")</f>
        <v>132.75</v>
      </c>
      <c r="M8" s="457">
        <f>IFERROR(VLOOKUP($F$1,'FV5'!$C$1:$AM$34,((M$2-5)*2-1),0),"")</f>
        <v>139.50000000000003</v>
      </c>
      <c r="N8" s="457">
        <f>IFERROR(VLOOKUP($F$1,'FV5'!$C$1:$AM$34,((N$2-5)*2-1),0),"")</f>
        <v>146.25</v>
      </c>
      <c r="O8" s="457">
        <f>IFERROR(VLOOKUP($F$1,'FV5'!$C$1:$AM$34,((O$2-5)*2-1),0),"")</f>
        <v>153.00000000000003</v>
      </c>
      <c r="P8" s="457">
        <f>IFERROR(VLOOKUP($F$1,'FV5'!$C$1:$AM$34,((P$2-5)*2-1),0),"")</f>
        <v>166.5</v>
      </c>
      <c r="Q8" s="457">
        <f>IFERROR(VLOOKUP($F$1,'FV5'!$C$1:$AM$34,((Q$2-5)*2-1),0),"")</f>
        <v>180</v>
      </c>
      <c r="R8" s="457">
        <f>IFERROR(VLOOKUP($F$1,'FV5'!$C$1:$AM$34,((R$2-5)*2-1),0),"")</f>
        <v>186.75000000000003</v>
      </c>
      <c r="S8" s="457">
        <f>IFERROR(VLOOKUP($F$1,'FV5'!$C$1:$AM$34,((S$2-5)*2-1),0),"")</f>
        <v>180</v>
      </c>
      <c r="T8" s="457">
        <f>IFERROR(VLOOKUP($F$1,'FV5'!$C$1:$AM$34,((T$2-5)*2-1),0),"")</f>
        <v>193.5</v>
      </c>
      <c r="U8" s="457">
        <f>IFERROR(VLOOKUP($F$1,'FV5'!$C$1:$AM$34,((U$2-5)*2-1),0),"")</f>
        <v>200.25</v>
      </c>
      <c r="V8" s="457">
        <f>IFERROR(VLOOKUP($F$1,'FV5'!$C$1:$AM$34,((V$2-5)*2-1),0),"")</f>
        <v>207.00000000000003</v>
      </c>
      <c r="W8" s="457">
        <f>IFERROR(VLOOKUP($F$1,'FV5'!$C$1:$AM$34,((W$2-5)*2-1),0),"")</f>
        <v>220.50000000000003</v>
      </c>
    </row>
    <row r="9" spans="1:23" ht="15" customHeight="1" x14ac:dyDescent="0.2">
      <c r="A9" s="305" t="s">
        <v>553</v>
      </c>
      <c r="B9" s="1662"/>
      <c r="C9" s="1661"/>
      <c r="D9" s="306" t="s">
        <v>546</v>
      </c>
      <c r="E9" s="301"/>
      <c r="F9" s="301"/>
      <c r="G9" s="457">
        <f>IFERROR(VLOOKUP($F$1,'FV6'!$C$1:$AM$39,((G$2-5)*2-1),0),"")</f>
        <v>144.9</v>
      </c>
      <c r="H9" s="457">
        <f>IFERROR(VLOOKUP($F$1,'FV6'!$C$1:$AM$39,((H$2-5)*2-1),0),"")</f>
        <v>146.70000000000002</v>
      </c>
      <c r="I9" s="457">
        <f>IFERROR(VLOOKUP($F$1,'FV6'!$C$1:$AM$39,((I$2-5)*2-1),0),"")</f>
        <v>146.70000000000002</v>
      </c>
      <c r="J9" s="457">
        <f>IFERROR(VLOOKUP($F$1,'FV6'!$C$1:$AM$39,((J$2-5)*2-1),0),"")</f>
        <v>148.94999999999999</v>
      </c>
      <c r="K9" s="457">
        <f>IFERROR(VLOOKUP($F$1,'FV6'!$C$1:$AM$39,((K$2-5)*2-1),0),"")</f>
        <v>160.19999999999999</v>
      </c>
      <c r="L9" s="457">
        <f>IFERROR(VLOOKUP($F$1,'FV6'!$C$1:$AM$39,((L$2-5)*2-1),0),"")</f>
        <v>157.95000000000002</v>
      </c>
      <c r="M9" s="457">
        <f>IFERROR(VLOOKUP($F$1,'FV6'!$C$1:$AM$39,((M$2-5)*2-1),0),"")</f>
        <v>164.70000000000002</v>
      </c>
      <c r="N9" s="457">
        <f>IFERROR(VLOOKUP($F$1,'FV6'!$C$1:$AM$39,((N$2-5)*2-1),0),"")</f>
        <v>164.70000000000002</v>
      </c>
      <c r="O9" s="457">
        <f>IFERROR(VLOOKUP($F$1,'FV6'!$C$1:$AM$39,((O$2-5)*2-1),0),"")</f>
        <v>169.2</v>
      </c>
      <c r="P9" s="457">
        <f>IFERROR(VLOOKUP($F$1,'FV6'!$C$1:$AM$39,((P$2-5)*2-1),0),"")</f>
        <v>178.2</v>
      </c>
      <c r="Q9" s="457">
        <f>IFERROR(VLOOKUP($F$1,'FV6'!$C$1:$AM$39,((Q$2-5)*2-1),0),"")</f>
        <v>178.20000000000002</v>
      </c>
      <c r="R9" s="457">
        <f>IFERROR(VLOOKUP($F$1,'FV6'!$C$1:$AM$39,((R$2-5)*2-1),0),"")</f>
        <v>166.95</v>
      </c>
      <c r="S9" s="457">
        <f>IFERROR(VLOOKUP($F$1,'FV6'!$C$1:$AM$39,((S$2-5)*2-1),0),"")</f>
        <v>178.2</v>
      </c>
      <c r="T9" s="457">
        <f>IFERROR(VLOOKUP($F$1,'FV6'!$C$1:$AM$39,((T$2-5)*2-1),0),"")</f>
        <v>178.2</v>
      </c>
      <c r="U9" s="457">
        <f>IFERROR(VLOOKUP($F$1,'FV6'!$C$1:$AM$39,((U$2-5)*2-1),0),"")</f>
        <v>180.45000000000002</v>
      </c>
      <c r="V9" s="457">
        <f>IFERROR(VLOOKUP($F$1,'FV6'!$C$1:$AM$39,((V$2-5)*2-1),0),"")</f>
        <v>187.20000000000002</v>
      </c>
      <c r="W9" s="457">
        <f>IFERROR(VLOOKUP($F$1,'FV6'!$C$1:$AM$39,((W$2-5)*2-1),0),"")</f>
        <v>191.7</v>
      </c>
    </row>
    <row r="10" spans="1:23" ht="15" customHeight="1" x14ac:dyDescent="0.2">
      <c r="A10" s="305" t="s">
        <v>554</v>
      </c>
      <c r="B10" s="1662"/>
      <c r="C10" s="1661"/>
      <c r="D10" s="235" t="s">
        <v>653</v>
      </c>
      <c r="E10" s="302" t="s">
        <v>223</v>
      </c>
      <c r="F10" s="302"/>
      <c r="G10" s="457">
        <f>IFERROR(VLOOKUP($F$1,'FV7'!$C$1:$AM$38,((G$2-5)*2-1),0),"")</f>
        <v>134.50312499999998</v>
      </c>
      <c r="H10" s="457">
        <f>IFERROR(VLOOKUP($F$1,'FV7'!$C$1:$AM$38,((H$2-5)*2-1),0),"")</f>
        <v>157.70625000000001</v>
      </c>
      <c r="I10" s="457">
        <f>IFERROR(VLOOKUP($F$1,'FV7'!$C$1:$AM$38,((I$2-5)*2-1),0),"")</f>
        <v>183.48750000000001</v>
      </c>
      <c r="J10" s="457">
        <f>IFERROR(VLOOKUP($F$1,'FV7'!$C$1:$AM$38,((J$2-5)*2-1),0),"")</f>
        <v>196.37812500000004</v>
      </c>
      <c r="K10" s="457">
        <f>IFERROR(VLOOKUP($F$1,'FV7'!$C$1:$AM$38,((K$2-5)*2-1),0),"")</f>
        <v>209.26875000000001</v>
      </c>
      <c r="L10" s="457">
        <f>IFERROR(VLOOKUP($F$1,'FV7'!$C$1:$AM$38,((L$2-5)*2-1),0),"")</f>
        <v>222.15937500000001</v>
      </c>
      <c r="M10" s="457">
        <f>IFERROR(VLOOKUP($F$1,'FV7'!$C$1:$AM$38,((M$2-5)*2-1),0),"")</f>
        <v>235.05000000000004</v>
      </c>
      <c r="N10" s="457">
        <f>IFERROR(VLOOKUP($F$1,'FV7'!$C$1:$AM$38,((N$2-5)*2-1),0),"")</f>
        <v>247.94062500000004</v>
      </c>
      <c r="O10" s="457">
        <f>IFERROR(VLOOKUP($F$1,'FV7'!$C$1:$AM$38,((O$2-5)*2-1),0),"")</f>
        <v>260.83125000000001</v>
      </c>
      <c r="P10" s="457">
        <f>IFERROR(VLOOKUP($F$1,'FV7'!$C$1:$AM$38,((P$2-5)*2-1),0),"")</f>
        <v>286.61250000000001</v>
      </c>
      <c r="Q10" s="457">
        <f>IFERROR(VLOOKUP($F$1,'FV7'!$C$1:$AM$38,((Q$2-5)*2-1),0),"")</f>
        <v>312.39375000000007</v>
      </c>
      <c r="R10" s="457">
        <f>IFERROR(VLOOKUP($F$1,'FV7'!$C$1:$AM$38,((R$2-5)*2-1),0),"")</f>
        <v>325.28437500000001</v>
      </c>
      <c r="S10" s="457">
        <f>IFERROR(VLOOKUP($F$1,'FV7'!$C$1:$AM$38,((S$2-5)*2-1),0),"")</f>
        <v>312.39375000000007</v>
      </c>
      <c r="T10" s="457">
        <f>IFERROR(VLOOKUP($F$1,'FV7'!$C$1:$AM$38,((T$2-5)*2-1),0),"")</f>
        <v>338.17500000000001</v>
      </c>
      <c r="U10" s="457">
        <f>IFERROR(VLOOKUP($F$1,'FV7'!$C$1:$AM$38,((U$2-5)*2-1),0),"")</f>
        <v>351.06562500000007</v>
      </c>
      <c r="V10" s="457">
        <f>IFERROR(VLOOKUP($F$1,'FV7'!$C$1:$AM$38,((V$2-5)*2-1),0),"")</f>
        <v>363.95625000000007</v>
      </c>
      <c r="W10" s="457">
        <f>IFERROR(VLOOKUP($F$1,'FV7'!$C$1:$AM$38,((W$2-5)*2-1),0),"")</f>
        <v>389.73750000000007</v>
      </c>
    </row>
    <row r="11" spans="1:23" ht="15" customHeight="1" x14ac:dyDescent="0.2">
      <c r="A11" s="305" t="s">
        <v>556</v>
      </c>
      <c r="B11" s="1662"/>
      <c r="C11" s="1661" t="s">
        <v>523</v>
      </c>
      <c r="D11" s="235" t="s">
        <v>1787</v>
      </c>
      <c r="E11" s="301" t="s">
        <v>223</v>
      </c>
      <c r="F11" s="301"/>
      <c r="G11" s="457">
        <f>IFERROR(VLOOKUP($F$1,'FV8'!$C$1:$AM$33,((G$2-5)*2-1),0),"")</f>
        <v>134.50312499999998</v>
      </c>
      <c r="H11" s="457">
        <f>IFERROR(VLOOKUP($F$1,'FV8'!$C$1:$AM$33,((H$2-5)*2-1),0),"")</f>
        <v>157.70625000000001</v>
      </c>
      <c r="I11" s="457">
        <f>IFERROR(VLOOKUP($F$1,'FV8'!$C$1:$AM$33,((I$2-5)*2-1),0),"")</f>
        <v>183.48750000000001</v>
      </c>
      <c r="J11" s="457">
        <f>IFERROR(VLOOKUP($F$1,'FV8'!$C$1:$AM$33,((J$2-5)*2-1),0),"")</f>
        <v>196.37812500000004</v>
      </c>
      <c r="K11" s="457">
        <f>IFERROR(VLOOKUP($F$1,'FV8'!$C$1:$AM$33,((K$2-5)*2-1),0),"")</f>
        <v>209.26875000000001</v>
      </c>
      <c r="L11" s="457">
        <f>IFERROR(VLOOKUP($F$1,'FV8'!$C$1:$AM$33,((L$2-5)*2-1),0),"")</f>
        <v>222.15937500000001</v>
      </c>
      <c r="M11" s="457">
        <f>IFERROR(VLOOKUP($F$1,'FV8'!$C$1:$AM$33,((M$2-5)*2-1),0),"")</f>
        <v>235.05000000000004</v>
      </c>
      <c r="N11" s="457">
        <f>IFERROR(VLOOKUP($F$1,'FV8'!$C$1:$AM$33,((N$2-5)*2-1),0),"")</f>
        <v>247.94062500000004</v>
      </c>
      <c r="O11" s="457">
        <f>IFERROR(VLOOKUP($F$1,'FV8'!$C$1:$AM$33,((O$2-5)*2-1),0),"")</f>
        <v>260.83125000000001</v>
      </c>
      <c r="P11" s="457">
        <f>IFERROR(VLOOKUP($F$1,'FV8'!$C$1:$AM$33,((P$2-5)*2-1),0),"")</f>
        <v>286.61250000000001</v>
      </c>
      <c r="Q11" s="457">
        <f>IFERROR(VLOOKUP($F$1,'FV8'!$C$1:$AM$33,((Q$2-5)*2-1),0),"")</f>
        <v>312.39375000000007</v>
      </c>
      <c r="R11" s="457">
        <f>IFERROR(VLOOKUP($F$1,'FV8'!$C$1:$AM$33,((R$2-5)*2-1),0),"")</f>
        <v>325.28437500000001</v>
      </c>
      <c r="S11" s="457">
        <f>IFERROR(VLOOKUP($F$1,'FV8'!$C$1:$AM$33,((S$2-5)*2-1),0),"")</f>
        <v>312.39375000000007</v>
      </c>
      <c r="T11" s="457">
        <f>IFERROR(VLOOKUP($F$1,'FV8'!$C$1:$AM$33,((T$2-5)*2-1),0),"")</f>
        <v>338.17500000000001</v>
      </c>
      <c r="U11" s="457">
        <f>IFERROR(VLOOKUP($F$1,'FV8'!$C$1:$AM$33,((U$2-5)*2-1),0),"")</f>
        <v>351.06562500000007</v>
      </c>
      <c r="V11" s="457">
        <f>IFERROR(VLOOKUP($F$1,'FV8'!$C$1:$AM$33,((V$2-5)*2-1),0),"")</f>
        <v>363.95625000000007</v>
      </c>
      <c r="W11" s="457">
        <f>IFERROR(VLOOKUP($F$1,'FV8'!$C$1:$AM$33,((W$2-5)*2-1),0),"")</f>
        <v>389.73750000000007</v>
      </c>
    </row>
    <row r="12" spans="1:23" ht="15" customHeight="1" x14ac:dyDescent="0.2">
      <c r="A12" s="305" t="s">
        <v>557</v>
      </c>
      <c r="B12" s="1662"/>
      <c r="C12" s="1661"/>
      <c r="D12" s="307" t="s">
        <v>1786</v>
      </c>
      <c r="E12" s="302" t="s">
        <v>223</v>
      </c>
      <c r="F12" s="302"/>
      <c r="G12" s="457">
        <f>IFERROR(VLOOKUP($F$1,'FV9'!$C$1:$AM$34,((G$2-5)*2-1),0),"")</f>
        <v>153.26999999999998</v>
      </c>
      <c r="H12" s="457">
        <f>IFERROR(VLOOKUP($F$1,'FV9'!$C$1:$AM$34,((H$2-5)*2-1),0),"")</f>
        <v>180</v>
      </c>
      <c r="I12" s="457">
        <f>IFERROR(VLOOKUP($F$1,'FV9'!$C$1:$AM$34,((I$2-5)*2-1),0),"")</f>
        <v>209.70000000000002</v>
      </c>
      <c r="J12" s="457">
        <f>IFERROR(VLOOKUP($F$1,'FV9'!$C$1:$AM$34,((J$2-5)*2-1),0),"")</f>
        <v>224.55000000000004</v>
      </c>
      <c r="K12" s="457">
        <f>IFERROR(VLOOKUP($F$1,'FV9'!$C$1:$AM$34,((K$2-5)*2-1),0),"")</f>
        <v>239.4</v>
      </c>
      <c r="L12" s="457">
        <f>IFERROR(VLOOKUP($F$1,'FV9'!$C$1:$AM$34,((L$2-5)*2-1),0),"")</f>
        <v>254.25000000000003</v>
      </c>
      <c r="M12" s="457">
        <f>IFERROR(VLOOKUP($F$1,'FV9'!$C$1:$AM$34,((M$2-5)*2-1),0),"")</f>
        <v>269.10000000000008</v>
      </c>
      <c r="N12" s="457">
        <f>IFERROR(VLOOKUP($F$1,'FV9'!$C$1:$AM$34,((N$2-5)*2-1),0),"")</f>
        <v>283.95000000000005</v>
      </c>
      <c r="O12" s="457">
        <f>IFERROR(VLOOKUP($F$1,'FV9'!$C$1:$AM$34,((O$2-5)*2-1),0),"")</f>
        <v>298.80000000000007</v>
      </c>
      <c r="P12" s="457">
        <f>IFERROR(VLOOKUP($F$1,'FV9'!$C$1:$AM$34,((P$2-5)*2-1),0),"")</f>
        <v>328.50000000000006</v>
      </c>
      <c r="Q12" s="457">
        <f>IFERROR(VLOOKUP($F$1,'FV9'!$C$1:$AM$34,((Q$2-5)*2-1),0),"")</f>
        <v>358.2000000000001</v>
      </c>
      <c r="R12" s="457">
        <f>IFERROR(VLOOKUP($F$1,'FV9'!$C$1:$AM$34,((R$2-5)*2-1),0),"")</f>
        <v>373.05000000000007</v>
      </c>
      <c r="S12" s="457">
        <f>IFERROR(VLOOKUP($F$1,'FV9'!$C$1:$AM$34,((S$2-5)*2-1),0),"")</f>
        <v>358.2000000000001</v>
      </c>
      <c r="T12" s="457">
        <f>IFERROR(VLOOKUP($F$1,'FV9'!$C$1:$AM$34,((T$2-5)*2-1),0),"")</f>
        <v>387.90000000000003</v>
      </c>
      <c r="U12" s="457">
        <f>IFERROR(VLOOKUP($F$1,'FV9'!$C$1:$AM$34,((U$2-5)*2-1),0),"")</f>
        <v>402.75000000000006</v>
      </c>
      <c r="V12" s="457">
        <f>IFERROR(VLOOKUP($F$1,'FV9'!$C$1:$AM$34,((V$2-5)*2-1),0),"")</f>
        <v>417.6</v>
      </c>
      <c r="W12" s="457">
        <f>IFERROR(VLOOKUP($F$1,'FV9'!$C$1:$AM$34,((W$2-5)*2-1),0),"")</f>
        <v>447.29999999999995</v>
      </c>
    </row>
    <row r="13" spans="1:23" ht="15" customHeight="1" x14ac:dyDescent="0.2">
      <c r="A13" s="305" t="s">
        <v>561</v>
      </c>
      <c r="B13" s="1670" t="s">
        <v>399</v>
      </c>
      <c r="C13" s="1661" t="s">
        <v>545</v>
      </c>
      <c r="D13" s="483" t="s">
        <v>546</v>
      </c>
      <c r="E13" s="301" t="s">
        <v>223</v>
      </c>
      <c r="F13" s="301"/>
      <c r="G13" s="457" t="str">
        <f>IFERROR(VLOOKUP($F$1,'FH1'!$C$1:$AN$72,((G$2-5)*2-1),0),"")</f>
        <v/>
      </c>
      <c r="H13" s="457" t="str">
        <f>IFERROR(VLOOKUP($F$1,'FH1'!$C$1:$AN$72,((H$2-5)*2-1),0),"")</f>
        <v/>
      </c>
      <c r="I13" s="457" t="str">
        <f>IFERROR(VLOOKUP($F$1,'FH1'!$C$1:$AN$72,((I$2-5)*2-1),0),"")</f>
        <v/>
      </c>
      <c r="J13" s="457" t="str">
        <f>IFERROR(VLOOKUP($F$1,'FH1'!$C$1:$AN$72,((J$2-5)*2-1),0),"")</f>
        <v/>
      </c>
      <c r="K13" s="457" t="str">
        <f>IFERROR(VLOOKUP($F$1,'FH1'!$C$1:$AN$72,((K$2-5)*2-1),0),"")</f>
        <v/>
      </c>
      <c r="L13" s="457" t="str">
        <f>IFERROR(VLOOKUP($F$1,'FH1'!$C$1:$AN$72,((L$2-5)*2-1),0),"")</f>
        <v/>
      </c>
      <c r="M13" s="457" t="str">
        <f>IFERROR(VLOOKUP($F$1,'FH1'!$C$1:$AN$72,((M$2-5)*2-1),0),"")</f>
        <v/>
      </c>
      <c r="N13" s="457" t="str">
        <f>IFERROR(VLOOKUP($F$1,'FH1'!$C$1:$AN$72,((N$2-5)*2-1),0),"")</f>
        <v/>
      </c>
      <c r="O13" s="457" t="str">
        <f>IFERROR(VLOOKUP($F$1,'FH1'!$C$1:$AN$72,((O$2-5)*2-1),0),"")</f>
        <v/>
      </c>
      <c r="P13" s="457" t="str">
        <f>IFERROR(VLOOKUP($F$1,'FH1'!$C$1:$AN$72,((P$2-5)*2-1),0),"")</f>
        <v/>
      </c>
      <c r="Q13" s="457" t="str">
        <f>IFERROR(VLOOKUP($F$1,'FH1'!$C$1:$AN$72,((Q$2-5)*2-1),0),"")</f>
        <v/>
      </c>
      <c r="R13" s="457" t="str">
        <f>IFERROR(VLOOKUP($F$1,'FH1'!$C$1:$AN$72,((R$2-5)*2-1),0),"")</f>
        <v/>
      </c>
      <c r="S13" s="457" t="str">
        <f>IFERROR(VLOOKUP($F$1,'FH1'!$C$1:$AN$72,((S$2-5)*2-1),0),"")</f>
        <v/>
      </c>
      <c r="T13" s="457" t="str">
        <f>IFERROR(VLOOKUP($F$1,'FH1'!$C$1:$AN$72,((T$2-5)*2-1),0),"")</f>
        <v/>
      </c>
      <c r="U13" s="457" t="str">
        <f>IFERROR(VLOOKUP($F$1,'FH1'!$C$1:$AN$72,((U$2-5)*2-1),0),"")</f>
        <v/>
      </c>
      <c r="V13" s="457" t="str">
        <f>IFERROR(VLOOKUP($F$1,'FH1'!$C$1:$AN$72,((V$2-5)*2-1),0),"")</f>
        <v/>
      </c>
      <c r="W13" s="457" t="str">
        <f>IFERROR(VLOOKUP($F$1,'FH1'!$C$1:$AN$72,((W$2-5)*2-1),0),"")</f>
        <v/>
      </c>
    </row>
    <row r="14" spans="1:23" ht="15" customHeight="1" x14ac:dyDescent="0.2">
      <c r="A14" s="305" t="s">
        <v>563</v>
      </c>
      <c r="B14" s="1670"/>
      <c r="C14" s="1661"/>
      <c r="D14" s="472" t="s">
        <v>548</v>
      </c>
      <c r="E14" s="302" t="s">
        <v>223</v>
      </c>
      <c r="F14" s="302"/>
      <c r="G14" s="457" t="str">
        <f>IFERROR(VLOOKUP($F$1,'FH2'!$C$1:$AN$73,((G$2-5)*2-1),0),"")</f>
        <v/>
      </c>
      <c r="H14" s="457" t="str">
        <f>IFERROR(VLOOKUP($F$1,'FH2'!$C$1:$AN$73,((H$2-5)*2-1),0),"")</f>
        <v/>
      </c>
      <c r="I14" s="457" t="str">
        <f>IFERROR(VLOOKUP($F$1,'FH2'!$C$1:$AN$73,((I$2-5)*2-1),0),"")</f>
        <v/>
      </c>
      <c r="J14" s="457" t="str">
        <f>IFERROR(VLOOKUP($F$1,'FH2'!$C$1:$AN$73,((J$2-5)*2-1),0),"")</f>
        <v/>
      </c>
      <c r="K14" s="457" t="str">
        <f>IFERROR(VLOOKUP($F$1,'FH2'!$C$1:$AN$73,((K$2-5)*2-1),0),"")</f>
        <v/>
      </c>
      <c r="L14" s="457" t="str">
        <f>IFERROR(VLOOKUP($F$1,'FH2'!$C$1:$AN$73,((L$2-5)*2-1),0),"")</f>
        <v/>
      </c>
      <c r="M14" s="457" t="str">
        <f>IFERROR(VLOOKUP($F$1,'FH2'!$C$1:$AN$73,((M$2-5)*2-1),0),"")</f>
        <v/>
      </c>
      <c r="N14" s="457" t="str">
        <f>IFERROR(VLOOKUP($F$1,'FH2'!$C$1:$AN$73,((N$2-5)*2-1),0),"")</f>
        <v/>
      </c>
      <c r="O14" s="457" t="str">
        <f>IFERROR(VLOOKUP($F$1,'FH2'!$C$1:$AN$73,((O$2-5)*2-1),0),"")</f>
        <v/>
      </c>
      <c r="P14" s="457" t="str">
        <f>IFERROR(VLOOKUP($F$1,'FH2'!$C$1:$AN$73,((P$2-5)*2-1),0),"")</f>
        <v/>
      </c>
      <c r="Q14" s="457" t="str">
        <f>IFERROR(VLOOKUP($F$1,'FH2'!$C$1:$AN$73,((Q$2-5)*2-1),0),"")</f>
        <v/>
      </c>
      <c r="R14" s="457" t="str">
        <f>IFERROR(VLOOKUP($F$1,'FH2'!$C$1:$AN$73,((R$2-5)*2-1),0),"")</f>
        <v/>
      </c>
      <c r="S14" s="457" t="str">
        <f>IFERROR(VLOOKUP($F$1,'FH2'!$C$1:$AN$73,((S$2-5)*2-1),0),"")</f>
        <v/>
      </c>
      <c r="T14" s="457" t="str">
        <f>IFERROR(VLOOKUP($F$1,'FH2'!$C$1:$AN$73,((T$2-5)*2-1),0),"")</f>
        <v/>
      </c>
      <c r="U14" s="457" t="str">
        <f>IFERROR(VLOOKUP($F$1,'FH2'!$C$1:$AN$73,((U$2-5)*2-1),0),"")</f>
        <v/>
      </c>
      <c r="V14" s="457" t="str">
        <f>IFERROR(VLOOKUP($F$1,'FH2'!$C$1:$AN$73,((V$2-5)*2-1),0),"")</f>
        <v/>
      </c>
      <c r="W14" s="457" t="str">
        <f>IFERROR(VLOOKUP($F$1,'FH2'!$C$1:$AN$73,((W$2-5)*2-1),0),"")</f>
        <v/>
      </c>
    </row>
    <row r="15" spans="1:23" ht="15" customHeight="1" x14ac:dyDescent="0.2">
      <c r="A15" s="305" t="s">
        <v>658</v>
      </c>
      <c r="B15" s="1670"/>
      <c r="C15" s="1661"/>
      <c r="D15" s="472" t="s">
        <v>653</v>
      </c>
      <c r="E15" s="301" t="s">
        <v>223</v>
      </c>
      <c r="F15" s="301"/>
      <c r="G15" s="457" t="str">
        <f>IFERROR(VLOOKUP($F$1,'FH3'!$C$1:$AN$72,((G$2-5)*2-1),0),"")</f>
        <v/>
      </c>
      <c r="H15" s="457" t="str">
        <f>IFERROR(VLOOKUP($F$1,'FH3'!$C$1:$AN$72,((H$2-5)*2-1),0),"")</f>
        <v/>
      </c>
      <c r="I15" s="457" t="str">
        <f>IFERROR(VLOOKUP($F$1,'FH3'!$C$1:$AN$72,((I$2-5)*2-1),0),"")</f>
        <v/>
      </c>
      <c r="J15" s="457" t="str">
        <f>IFERROR(VLOOKUP($F$1,'FH3'!$C$1:$AN$72,((J$2-5)*2-1),0),"")</f>
        <v/>
      </c>
      <c r="K15" s="457" t="str">
        <f>IFERROR(VLOOKUP($F$1,'FH3'!$C$1:$AN$72,((K$2-5)*2-1),0),"")</f>
        <v/>
      </c>
      <c r="L15" s="457" t="str">
        <f>IFERROR(VLOOKUP($F$1,'FH3'!$C$1:$AN$72,((L$2-5)*2-1),0),"")</f>
        <v/>
      </c>
      <c r="M15" s="457" t="str">
        <f>IFERROR(VLOOKUP($F$1,'FH3'!$C$1:$AN$72,((M$2-5)*2-1),0),"")</f>
        <v/>
      </c>
      <c r="N15" s="457" t="str">
        <f>IFERROR(VLOOKUP($F$1,'FH3'!$C$1:$AN$72,((N$2-5)*2-1),0),"")</f>
        <v/>
      </c>
      <c r="O15" s="457" t="str">
        <f>IFERROR(VLOOKUP($F$1,'FH3'!$C$1:$AN$72,((O$2-5)*2-1),0),"")</f>
        <v/>
      </c>
      <c r="P15" s="457" t="str">
        <f>IFERROR(VLOOKUP($F$1,'FH3'!$C$1:$AN$72,((P$2-5)*2-1),0),"")</f>
        <v/>
      </c>
      <c r="Q15" s="457" t="str">
        <f>IFERROR(VLOOKUP($F$1,'FH3'!$C$1:$AN$72,((Q$2-5)*2-1),0),"")</f>
        <v/>
      </c>
      <c r="R15" s="457" t="str">
        <f>IFERROR(VLOOKUP($F$1,'FH3'!$C$1:$AN$72,((R$2-5)*2-1),0),"")</f>
        <v/>
      </c>
      <c r="S15" s="457" t="str">
        <f>IFERROR(VLOOKUP($F$1,'FH3'!$C$1:$AN$72,((S$2-5)*2-1),0),"")</f>
        <v/>
      </c>
      <c r="T15" s="457" t="str">
        <f>IFERROR(VLOOKUP($F$1,'FH3'!$C$1:$AN$72,((T$2-5)*2-1),0),"")</f>
        <v/>
      </c>
      <c r="U15" s="457" t="str">
        <f>IFERROR(VLOOKUP($F$1,'FH3'!$C$1:$AN$72,((U$2-5)*2-1),0),"")</f>
        <v/>
      </c>
      <c r="V15" s="457" t="str">
        <f>IFERROR(VLOOKUP($F$1,'FH3'!$C$1:$AN$72,((V$2-5)*2-1),0),"")</f>
        <v/>
      </c>
      <c r="W15" s="457" t="str">
        <f>IFERROR(VLOOKUP($F$1,'FH3'!$C$1:$AN$72,((W$2-5)*2-1),0),"")</f>
        <v/>
      </c>
    </row>
    <row r="16" spans="1:23" ht="15" customHeight="1" x14ac:dyDescent="0.2">
      <c r="A16" s="305" t="s">
        <v>659</v>
      </c>
      <c r="B16" s="1670"/>
      <c r="C16" s="1661"/>
      <c r="D16" s="472" t="s">
        <v>551</v>
      </c>
      <c r="E16" s="302" t="s">
        <v>223</v>
      </c>
      <c r="F16" s="302"/>
      <c r="G16" s="457" t="str">
        <f>IFERROR(VLOOKUP($F$1,'FH4'!$C$1:$AN$72,((G$2-5)*2-1),0),"")</f>
        <v/>
      </c>
      <c r="H16" s="457" t="str">
        <f>IFERROR(VLOOKUP($F$1,'FH4'!$C$1:$AN$72,((H$2-5)*2-1),0),"")</f>
        <v/>
      </c>
      <c r="I16" s="457" t="str">
        <f>IFERROR(VLOOKUP($F$1,'FH4'!$C$1:$AN$72,((I$2-5)*2-1),0),"")</f>
        <v/>
      </c>
      <c r="J16" s="457" t="str">
        <f>IFERROR(VLOOKUP($F$1,'FH4'!$C$1:$AN$72,((J$2-5)*2-1),0),"")</f>
        <v/>
      </c>
      <c r="K16" s="457" t="str">
        <f>IFERROR(VLOOKUP($F$1,'FH4'!$C$1:$AN$72,((K$2-5)*2-1),0),"")</f>
        <v/>
      </c>
      <c r="L16" s="457" t="str">
        <f>IFERROR(VLOOKUP($F$1,'FH4'!$C$1:$AN$72,((L$2-5)*2-1),0),"")</f>
        <v/>
      </c>
      <c r="M16" s="457" t="str">
        <f>IFERROR(VLOOKUP($F$1,'FH4'!$C$1:$AN$72,((M$2-5)*2-1),0),"")</f>
        <v/>
      </c>
      <c r="N16" s="457" t="str">
        <f>IFERROR(VLOOKUP($F$1,'FH4'!$C$1:$AN$72,((N$2-5)*2-1),0),"")</f>
        <v/>
      </c>
      <c r="O16" s="457" t="str">
        <f>IFERROR(VLOOKUP($F$1,'FH4'!$C$1:$AN$72,((O$2-5)*2-1),0),"")</f>
        <v/>
      </c>
      <c r="P16" s="457" t="str">
        <f>IFERROR(VLOOKUP($F$1,'FH4'!$C$1:$AN$72,((P$2-5)*2-1),0),"")</f>
        <v/>
      </c>
      <c r="Q16" s="457" t="str">
        <f>IFERROR(VLOOKUP($F$1,'FH4'!$C$1:$AN$72,((Q$2-5)*2-1),0),"")</f>
        <v/>
      </c>
      <c r="R16" s="457" t="str">
        <f>IFERROR(VLOOKUP($F$1,'FH4'!$C$1:$AN$72,((R$2-5)*2-1),0),"")</f>
        <v/>
      </c>
      <c r="S16" s="457" t="str">
        <f>IFERROR(VLOOKUP($F$1,'FH4'!$C$1:$AN$72,((S$2-5)*2-1),0),"")</f>
        <v/>
      </c>
      <c r="T16" s="457" t="str">
        <f>IFERROR(VLOOKUP($F$1,'FH4'!$C$1:$AN$72,((T$2-5)*2-1),0),"")</f>
        <v/>
      </c>
      <c r="U16" s="457" t="str">
        <f>IFERROR(VLOOKUP($F$1,'FH4'!$C$1:$AN$72,((U$2-5)*2-1),0),"")</f>
        <v/>
      </c>
      <c r="V16" s="457" t="str">
        <f>IFERROR(VLOOKUP($F$1,'FH4'!$C$1:$AN$72,((V$2-5)*2-1),0),"")</f>
        <v/>
      </c>
      <c r="W16" s="457" t="str">
        <f>IFERROR(VLOOKUP($F$1,'FH4'!$C$1:$AN$72,((W$2-5)*2-1),0),"")</f>
        <v/>
      </c>
    </row>
    <row r="17" spans="1:23" ht="15" customHeight="1" x14ac:dyDescent="0.2">
      <c r="A17" s="305" t="s">
        <v>660</v>
      </c>
      <c r="B17" s="1670"/>
      <c r="C17" s="1661" t="s">
        <v>555</v>
      </c>
      <c r="D17" s="472" t="s">
        <v>655</v>
      </c>
      <c r="E17" s="301" t="s">
        <v>223</v>
      </c>
      <c r="F17" s="301"/>
      <c r="G17" s="457" t="str">
        <f>IFERROR(VLOOKUP($F$1,'FH5'!$C$1:$AN$72,((G$2-5)*2-1),0),"")</f>
        <v/>
      </c>
      <c r="H17" s="457" t="str">
        <f>IFERROR(VLOOKUP($F$1,'FH5'!$C$1:$AN$72,((H$2-5)*2-1),0),"")</f>
        <v/>
      </c>
      <c r="I17" s="457" t="str">
        <f>IFERROR(VLOOKUP($F$1,'FH5'!$C$1:$AN$72,((I$2-5)*2-1),0),"")</f>
        <v/>
      </c>
      <c r="J17" s="457" t="str">
        <f>IFERROR(VLOOKUP($F$1,'FH5'!$C$1:$AN$72,((J$2-5)*2-1),0),"")</f>
        <v/>
      </c>
      <c r="K17" s="457" t="str">
        <f>IFERROR(VLOOKUP($F$1,'FH5'!$C$1:$AN$72,((K$2-5)*2-1),0),"")</f>
        <v/>
      </c>
      <c r="L17" s="457" t="str">
        <f>IFERROR(VLOOKUP($F$1,'FH5'!$C$1:$AN$72,((L$2-5)*2-1),0),"")</f>
        <v/>
      </c>
      <c r="M17" s="457" t="str">
        <f>IFERROR(VLOOKUP($F$1,'FH5'!$C$1:$AN$72,((M$2-5)*2-1),0),"")</f>
        <v/>
      </c>
      <c r="N17" s="457" t="str">
        <f>IFERROR(VLOOKUP($F$1,'FH5'!$C$1:$AN$72,((N$2-5)*2-1),0),"")</f>
        <v/>
      </c>
      <c r="O17" s="457" t="str">
        <f>IFERROR(VLOOKUP($F$1,'FH5'!$C$1:$AN$72,((O$2-5)*2-1),0),"")</f>
        <v/>
      </c>
      <c r="P17" s="457" t="str">
        <f>IFERROR(VLOOKUP($F$1,'FH5'!$C$1:$AN$72,((P$2-5)*2-1),0),"")</f>
        <v/>
      </c>
      <c r="Q17" s="457" t="str">
        <f>IFERROR(VLOOKUP($F$1,'FH5'!$C$1:$AN$72,((Q$2-5)*2-1),0),"")</f>
        <v/>
      </c>
      <c r="R17" s="457" t="str">
        <f>IFERROR(VLOOKUP($F$1,'FH5'!$C$1:$AN$72,((R$2-5)*2-1),0),"")</f>
        <v/>
      </c>
      <c r="S17" s="457" t="str">
        <f>IFERROR(VLOOKUP($F$1,'FH5'!$C$1:$AN$72,((S$2-5)*2-1),0),"")</f>
        <v/>
      </c>
      <c r="T17" s="457" t="str">
        <f>IFERROR(VLOOKUP($F$1,'FH5'!$C$1:$AN$72,((T$2-5)*2-1),0),"")</f>
        <v/>
      </c>
      <c r="U17" s="457" t="str">
        <f>IFERROR(VLOOKUP($F$1,'FH5'!$C$1:$AN$72,((U$2-5)*2-1),0),"")</f>
        <v/>
      </c>
      <c r="V17" s="457" t="str">
        <f>IFERROR(VLOOKUP($F$1,'FH5'!$C$1:$AN$72,((V$2-5)*2-1),0),"")</f>
        <v/>
      </c>
      <c r="W17" s="457" t="str">
        <f>IFERROR(VLOOKUP($F$1,'FH5'!$C$1:$AN$72,((W$2-5)*2-1),0),"")</f>
        <v/>
      </c>
    </row>
    <row r="18" spans="1:23" ht="15" customHeight="1" x14ac:dyDescent="0.2">
      <c r="A18" s="305" t="s">
        <v>661</v>
      </c>
      <c r="B18" s="1670"/>
      <c r="C18" s="1661"/>
      <c r="D18" s="483" t="s">
        <v>546</v>
      </c>
      <c r="E18" s="301"/>
      <c r="F18" s="301"/>
      <c r="G18" s="457" t="str">
        <f>IFERROR(VLOOKUP($F$1,'FH6'!$C$1:$AN$72,((G$2-5)*2-1),0),"")</f>
        <v/>
      </c>
      <c r="H18" s="457" t="str">
        <f>IFERROR(VLOOKUP($F$1,'FH6'!$C$1:$AN$72,((H$2-5)*2-1),0),"")</f>
        <v/>
      </c>
      <c r="I18" s="457" t="str">
        <f>IFERROR(VLOOKUP($F$1,'FH6'!$C$1:$AN$72,((I$2-5)*2-1),0),"")</f>
        <v/>
      </c>
      <c r="J18" s="457" t="str">
        <f>IFERROR(VLOOKUP($F$1,'FH6'!$C$1:$AN$72,((J$2-5)*2-1),0),"")</f>
        <v/>
      </c>
      <c r="K18" s="457" t="str">
        <f>IFERROR(VLOOKUP($F$1,'FH6'!$C$1:$AN$72,((K$2-5)*2-1),0),"")</f>
        <v/>
      </c>
      <c r="L18" s="457" t="str">
        <f>IFERROR(VLOOKUP($F$1,'FH6'!$C$1:$AN$72,((L$2-5)*2-1),0),"")</f>
        <v/>
      </c>
      <c r="M18" s="457" t="str">
        <f>IFERROR(VLOOKUP($F$1,'FH6'!$C$1:$AN$72,((M$2-5)*2-1),0),"")</f>
        <v/>
      </c>
      <c r="N18" s="457" t="str">
        <f>IFERROR(VLOOKUP($F$1,'FH6'!$C$1:$AN$72,((N$2-5)*2-1),0),"")</f>
        <v/>
      </c>
      <c r="O18" s="457" t="str">
        <f>IFERROR(VLOOKUP($F$1,'FH6'!$C$1:$AN$72,((O$2-5)*2-1),0),"")</f>
        <v/>
      </c>
      <c r="P18" s="457" t="str">
        <f>IFERROR(VLOOKUP($F$1,'FH6'!$C$1:$AN$72,((P$2-5)*2-1),0),"")</f>
        <v/>
      </c>
      <c r="Q18" s="457" t="str">
        <f>IFERROR(VLOOKUP($F$1,'FH6'!$C$1:$AN$72,((Q$2-5)*2-1),0),"")</f>
        <v/>
      </c>
      <c r="R18" s="457" t="str">
        <f>IFERROR(VLOOKUP($F$1,'FH6'!$C$1:$AN$72,((R$2-5)*2-1),0),"")</f>
        <v/>
      </c>
      <c r="S18" s="457" t="str">
        <f>IFERROR(VLOOKUP($F$1,'FH6'!$C$1:$AN$72,((S$2-5)*2-1),0),"")</f>
        <v/>
      </c>
      <c r="T18" s="457" t="str">
        <f>IFERROR(VLOOKUP($F$1,'FH6'!$C$1:$AN$72,((T$2-5)*2-1),0),"")</f>
        <v/>
      </c>
      <c r="U18" s="457" t="str">
        <f>IFERROR(VLOOKUP($F$1,'FH6'!$C$1:$AN$72,((U$2-5)*2-1),0),"")</f>
        <v/>
      </c>
      <c r="V18" s="457" t="str">
        <f>IFERROR(VLOOKUP($F$1,'FH6'!$C$1:$AN$72,((V$2-5)*2-1),0),"")</f>
        <v/>
      </c>
      <c r="W18" s="457" t="str">
        <f>IFERROR(VLOOKUP($F$1,'FH6'!$C$1:$AN$72,((W$2-5)*2-1),0),"")</f>
        <v/>
      </c>
    </row>
    <row r="19" spans="1:23" ht="15.6" customHeight="1" x14ac:dyDescent="0.2">
      <c r="A19" s="305" t="s">
        <v>662</v>
      </c>
      <c r="B19" s="1670"/>
      <c r="C19" s="1661"/>
      <c r="D19" s="472" t="s">
        <v>653</v>
      </c>
      <c r="E19" s="302" t="s">
        <v>223</v>
      </c>
      <c r="F19" s="302"/>
      <c r="G19" s="457" t="str">
        <f>IFERROR(VLOOKUP($F$1,'FH7'!$C$1:$AN$71,((G$2-5)*2-1),0),"")</f>
        <v/>
      </c>
      <c r="H19" s="457" t="str">
        <f>IFERROR(VLOOKUP($F$1,'FH7'!$C$1:$AN$71,((H$2-5)*2-1),0),"")</f>
        <v/>
      </c>
      <c r="I19" s="457" t="str">
        <f>IFERROR(VLOOKUP($F$1,'FH7'!$C$1:$AN$71,((I$2-5)*2-1),0),"")</f>
        <v/>
      </c>
      <c r="J19" s="457" t="str">
        <f>IFERROR(VLOOKUP($F$1,'FH7'!$C$1:$AN$71,((J$2-5)*2-1),0),"")</f>
        <v/>
      </c>
      <c r="K19" s="457" t="str">
        <f>IFERROR(VLOOKUP($F$1,'FH7'!$C$1:$AN$71,((K$2-5)*2-1),0),"")</f>
        <v/>
      </c>
      <c r="L19" s="457" t="str">
        <f>IFERROR(VLOOKUP($F$1,'FH7'!$C$1:$AN$71,((L$2-5)*2-1),0),"")</f>
        <v/>
      </c>
      <c r="M19" s="457" t="str">
        <f>IFERROR(VLOOKUP($F$1,'FH7'!$C$1:$AN$71,((M$2-5)*2-1),0),"")</f>
        <v/>
      </c>
      <c r="N19" s="457" t="str">
        <f>IFERROR(VLOOKUP($F$1,'FH7'!$C$1:$AN$71,((N$2-5)*2-1),0),"")</f>
        <v/>
      </c>
      <c r="O19" s="457" t="str">
        <f>IFERROR(VLOOKUP($F$1,'FH7'!$C$1:$AN$71,((O$2-5)*2-1),0),"")</f>
        <v/>
      </c>
      <c r="P19" s="457" t="str">
        <f>IFERROR(VLOOKUP($F$1,'FH7'!$C$1:$AN$71,((P$2-5)*2-1),0),"")</f>
        <v/>
      </c>
      <c r="Q19" s="457" t="str">
        <f>IFERROR(VLOOKUP($F$1,'FH7'!$C$1:$AN$71,((Q$2-5)*2-1),0),"")</f>
        <v/>
      </c>
      <c r="R19" s="457" t="str">
        <f>IFERROR(VLOOKUP($F$1,'FH7'!$C$1:$AN$71,((R$2-5)*2-1),0),"")</f>
        <v/>
      </c>
      <c r="S19" s="457" t="str">
        <f>IFERROR(VLOOKUP($F$1,'FH7'!$C$1:$AN$71,((S$2-5)*2-1),0),"")</f>
        <v/>
      </c>
      <c r="T19" s="457" t="str">
        <f>IFERROR(VLOOKUP($F$1,'FH7'!$C$1:$AN$71,((T$2-5)*2-1),0),"")</f>
        <v/>
      </c>
      <c r="U19" s="457" t="str">
        <f>IFERROR(VLOOKUP($F$1,'FH7'!$C$1:$AN$71,((U$2-5)*2-1),0),"")</f>
        <v/>
      </c>
      <c r="V19" s="457" t="str">
        <f>IFERROR(VLOOKUP($F$1,'FH7'!$C$1:$AN$71,((V$2-5)*2-1),0),"")</f>
        <v/>
      </c>
      <c r="W19" s="457" t="str">
        <f>IFERROR(VLOOKUP($F$1,'FH7'!$C$1:$AN$71,((W$2-5)*2-1),0),"")</f>
        <v/>
      </c>
    </row>
    <row r="20" spans="1:23" ht="15" customHeight="1" x14ac:dyDescent="0.2">
      <c r="A20" s="305" t="s">
        <v>663</v>
      </c>
      <c r="B20" s="1670"/>
      <c r="C20" s="1672" t="s">
        <v>523</v>
      </c>
      <c r="D20" s="471" t="s">
        <v>656</v>
      </c>
      <c r="E20" s="301" t="s">
        <v>223</v>
      </c>
      <c r="F20" s="301"/>
      <c r="G20" s="457" t="str">
        <f>IFERROR(VLOOKUP($F$1,'FH8'!$C$1:$AN$72,((G$2-5)*2-1),0),"")</f>
        <v/>
      </c>
      <c r="H20" s="457" t="str">
        <f>IFERROR(VLOOKUP($F$1,'FH8'!$C$1:$AN$72,((H$2-5)*2-1),0),"")</f>
        <v/>
      </c>
      <c r="I20" s="457" t="str">
        <f>IFERROR(VLOOKUP($F$1,'FH8'!$C$1:$AN$72,((I$2-5)*2-1),0),"")</f>
        <v/>
      </c>
      <c r="J20" s="457" t="str">
        <f>IFERROR(VLOOKUP($F$1,'FH8'!$C$1:$AN$72,((J$2-5)*2-1),0),"")</f>
        <v/>
      </c>
      <c r="K20" s="457" t="str">
        <f>IFERROR(VLOOKUP($F$1,'FH8'!$C$1:$AN$72,((K$2-5)*2-1),0),"")</f>
        <v/>
      </c>
      <c r="L20" s="457" t="str">
        <f>IFERROR(VLOOKUP($F$1,'FH8'!$C$1:$AN$72,((L$2-5)*2-1),0),"")</f>
        <v/>
      </c>
      <c r="M20" s="457" t="str">
        <f>IFERROR(VLOOKUP($F$1,'FH8'!$C$1:$AN$72,((M$2-5)*2-1),0),"")</f>
        <v/>
      </c>
      <c r="N20" s="457" t="str">
        <f>IFERROR(VLOOKUP($F$1,'FH8'!$C$1:$AN$72,((N$2-5)*2-1),0),"")</f>
        <v/>
      </c>
      <c r="O20" s="457" t="str">
        <f>IFERROR(VLOOKUP($F$1,'FH8'!$C$1:$AN$72,((O$2-5)*2-1),0),"")</f>
        <v/>
      </c>
      <c r="P20" s="457" t="str">
        <f>IFERROR(VLOOKUP($F$1,'FH8'!$C$1:$AN$72,((P$2-5)*2-1),0),"")</f>
        <v/>
      </c>
      <c r="Q20" s="457" t="str">
        <f>IFERROR(VLOOKUP($F$1,'FH8'!$C$1:$AN$72,((Q$2-5)*2-1),0),"")</f>
        <v/>
      </c>
      <c r="R20" s="457" t="str">
        <f>IFERROR(VLOOKUP($F$1,'FH8'!$C$1:$AN$72,((R$2-5)*2-1),0),"")</f>
        <v/>
      </c>
      <c r="S20" s="457" t="str">
        <f>IFERROR(VLOOKUP($F$1,'FH8'!$C$1:$AN$72,((S$2-5)*2-1),0),"")</f>
        <v/>
      </c>
      <c r="T20" s="457" t="str">
        <f>IFERROR(VLOOKUP($F$1,'FH8'!$C$1:$AN$72,((T$2-5)*2-1),0),"")</f>
        <v/>
      </c>
      <c r="U20" s="457" t="str">
        <f>IFERROR(VLOOKUP($F$1,'FH8'!$C$1:$AN$72,((U$2-5)*2-1),0),"")</f>
        <v/>
      </c>
      <c r="V20" s="457" t="str">
        <f>IFERROR(VLOOKUP($F$1,'FH8'!$C$1:$AN$72,((V$2-5)*2-1),0),"")</f>
        <v/>
      </c>
      <c r="W20" s="457" t="str">
        <f>IFERROR(VLOOKUP($F$1,'FH8'!$C$1:$AN$72,((W$2-5)*2-1),0),"")</f>
        <v/>
      </c>
    </row>
    <row r="21" spans="1:23" ht="15" customHeight="1" x14ac:dyDescent="0.2">
      <c r="A21" s="305" t="s">
        <v>1288</v>
      </c>
      <c r="B21" s="1670"/>
      <c r="C21" s="1663"/>
      <c r="D21" s="235" t="s">
        <v>657</v>
      </c>
      <c r="E21" s="301"/>
      <c r="F21" s="301"/>
      <c r="G21" s="457">
        <f>IFERROR(VLOOKUP($F$1,'FH9'!$C$1:$AM$31,((G$2-5)*2-1),0),"")</f>
        <v>135.00000000000003</v>
      </c>
      <c r="H21" s="457">
        <f>IFERROR(VLOOKUP($F$1,'FH9'!$C$1:$AM$31,((H$2-5)*2-1),0),"")</f>
        <v>180</v>
      </c>
      <c r="I21" s="457">
        <f>IFERROR(VLOOKUP($F$1,'FH9'!$C$1:$AM$31,((I$2-5)*2-1),0),"")</f>
        <v>198.00000000000003</v>
      </c>
      <c r="J21" s="457">
        <f>IFERROR(VLOOKUP($F$1,'FH9'!$C$1:$AM$31,((J$2-5)*2-1),0),"")</f>
        <v>229.50000000000003</v>
      </c>
      <c r="K21" s="457">
        <f>IFERROR(VLOOKUP($F$1,'FH9'!$C$1:$AM$31,((K$2-5)*2-1),0),"")</f>
        <v>261.00000000000006</v>
      </c>
      <c r="L21" s="457">
        <f>IFERROR(VLOOKUP($F$1,'FH9'!$C$1:$AM$31,((L$2-5)*2-1),0),"")</f>
        <v>292.5</v>
      </c>
      <c r="M21" s="457">
        <f>IFERROR(VLOOKUP($F$1,'FH9'!$C$1:$AM$31,((M$2-5)*2-1),0),"")</f>
        <v>324</v>
      </c>
      <c r="N21" s="457">
        <f>IFERROR(VLOOKUP($F$1,'FH9'!$C$1:$AM$31,((N$2-5)*2-1),0),"")</f>
        <v>320.39999999999998</v>
      </c>
      <c r="O21" s="457">
        <f>IFERROR(VLOOKUP($F$1,'FH9'!$C$1:$AM$31,((O$2-5)*2-1),0),"")</f>
        <v>346.50000000000006</v>
      </c>
      <c r="P21" s="457">
        <f>IFERROR(VLOOKUP($F$1,'FH9'!$C$1:$AM$31,((P$2-5)*2-1),0),"")</f>
        <v>394.2</v>
      </c>
      <c r="Q21" s="457">
        <f>IFERROR(VLOOKUP($F$1,'FH9'!$C$1:$AM$31,((Q$2-5)*2-1),0),"")</f>
        <v>398.7</v>
      </c>
      <c r="R21" s="457">
        <f>IFERROR(VLOOKUP($F$1,'FH9'!$C$1:$AM$31,((R$2-5)*2-1),0),"")</f>
        <v>422.10000000000014</v>
      </c>
      <c r="S21" s="457">
        <f>IFERROR(VLOOKUP($F$1,'FH9'!$C$1:$AM$31,((S$2-5)*2-1),0),"")</f>
        <v>426.60000000000008</v>
      </c>
      <c r="T21" s="457">
        <f>IFERROR(VLOOKUP($F$1,'FH9'!$C$1:$AM$31,((T$2-5)*2-1),0),"")</f>
        <v>455.4</v>
      </c>
      <c r="U21" s="457">
        <f>IFERROR(VLOOKUP($F$1,'FH9'!$C$1:$AM$31,((U$2-5)*2-1),0),"")</f>
        <v>495</v>
      </c>
      <c r="V21" s="457">
        <f>IFERROR(VLOOKUP($F$1,'FH9'!$C$1:$AM$31,((V$2-5)*2-1),0),"")</f>
        <v>499.5</v>
      </c>
      <c r="W21" s="457">
        <f>IFERROR(VLOOKUP($F$1,'FH9'!$C$1:$AM$31,((W$2-5)*2-1),0),"")</f>
        <v>522.90000000000009</v>
      </c>
    </row>
    <row r="22" spans="1:23" ht="15" customHeight="1" x14ac:dyDescent="0.2">
      <c r="A22" s="305" t="s">
        <v>558</v>
      </c>
      <c r="B22" s="1668" t="s">
        <v>408</v>
      </c>
      <c r="C22" s="499" t="s">
        <v>562</v>
      </c>
      <c r="D22" s="235"/>
      <c r="E22" s="301"/>
      <c r="F22" s="301"/>
      <c r="G22" s="457">
        <f>IFERROR(VLOOKUP($F$1,'FVB3'!$C$1:$AK$24,((G$2-5)*2-1),0),"")</f>
        <v>0</v>
      </c>
      <c r="H22" s="457">
        <f>IFERROR(VLOOKUP($F$1,'FVB3'!$C$1:$AK$24,((H$2-5)*2-1),0),"")</f>
        <v>0</v>
      </c>
      <c r="I22" s="457">
        <f>IFERROR(VLOOKUP($F$1,'FVB3'!$C$1:$AK$24,((I$2-5)*2-1),0),"")</f>
        <v>0</v>
      </c>
      <c r="J22" s="457">
        <f>IFERROR(VLOOKUP($F$1,'FVB3'!$C$1:$AK$24,((J$2-5)*2-1),0),"")</f>
        <v>0</v>
      </c>
      <c r="K22" s="457">
        <f>IFERROR(VLOOKUP($F$1,'FVB3'!$C$1:$AK$24,((K$2-5)*2-1),0),"")</f>
        <v>0</v>
      </c>
      <c r="L22" s="457">
        <f>IFERROR(VLOOKUP($F$1,'FVB3'!$C$1:$AK$24,((L$2-5)*2-1),0),"")</f>
        <v>0</v>
      </c>
      <c r="M22" s="457">
        <f>IFERROR(VLOOKUP($F$1,'FVB3'!$C$1:$AK$24,((M$2-5)*2-1),0),"")</f>
        <v>0</v>
      </c>
      <c r="N22" s="457">
        <f>IFERROR(VLOOKUP($F$1,'FVB3'!$C$1:$AK$24,((N$2-5)*2-1),0),"")</f>
        <v>0</v>
      </c>
      <c r="O22" s="457">
        <f>IFERROR(VLOOKUP($F$1,'FVB3'!$C$1:$AK$24,((O$2-5)*2-1),0),"")</f>
        <v>0</v>
      </c>
      <c r="P22" s="457">
        <f>IFERROR(VLOOKUP($F$1,'FVB3'!$C$1:$AK$24,((P$2-5)*2-1),0),"")</f>
        <v>0</v>
      </c>
      <c r="Q22" s="457">
        <f>IFERROR(VLOOKUP($F$1,'FVB3'!$C$1:$AK$24,((Q$2-5)*2-1),0),"")</f>
        <v>0</v>
      </c>
      <c r="R22" s="457">
        <f>IFERROR(VLOOKUP($F$1,'FVB3'!$C$1:$AK$24,((R$2-5)*2-1),0),"")</f>
        <v>0</v>
      </c>
      <c r="S22" s="457">
        <f>IFERROR(VLOOKUP($F$1,'FVB3'!$C$1:$AK$24,((S$2-5)*2-1),0),"")</f>
        <v>0</v>
      </c>
      <c r="T22" s="457">
        <f>IFERROR(VLOOKUP($F$1,'FVB3'!$C$1:$AK$24,((T$2-5)*2-1),0),"")</f>
        <v>0</v>
      </c>
      <c r="U22" s="457">
        <f>IFERROR(VLOOKUP($F$1,'FVB3'!$C$1:$AK$24,((U$2-5)*2-1),0),"")</f>
        <v>0</v>
      </c>
      <c r="V22" s="457">
        <f>IFERROR(VLOOKUP($F$1,'FVB3'!$C$1:$AK$24,((V$2-5)*2-1),0),"")</f>
        <v>0</v>
      </c>
      <c r="W22" s="457">
        <f>IFERROR(VLOOKUP($F$1,'FVB3'!$C$1:$AK$24,((W$2-5)*2-1),0),"")</f>
        <v>0</v>
      </c>
    </row>
    <row r="23" spans="1:23" ht="15" customHeight="1" x14ac:dyDescent="0.2">
      <c r="A23" s="305" t="s">
        <v>559</v>
      </c>
      <c r="B23" s="1668"/>
      <c r="C23" s="499" t="s">
        <v>654</v>
      </c>
      <c r="D23" s="235"/>
      <c r="E23" s="301"/>
      <c r="F23" s="301"/>
      <c r="G23" s="457">
        <f>IFERROR(VLOOKUP($F$1,'FVB2'!$C$1:$AK$25,((G$2-5)*2-1),0),"")</f>
        <v>0</v>
      </c>
      <c r="H23" s="457">
        <f>IFERROR(VLOOKUP($F$1,'FVB2'!$C$1:$AK$25,((H$2-5)*2-1),0),"")</f>
        <v>0</v>
      </c>
      <c r="I23" s="457">
        <f>IFERROR(VLOOKUP($F$1,'FVB2'!$C$1:$AK$25,((I$2-5)*2-1),0),"")</f>
        <v>0</v>
      </c>
      <c r="J23" s="457">
        <f>IFERROR(VLOOKUP($F$1,'FVB2'!$C$1:$AK$25,((J$2-5)*2-1),0),"")</f>
        <v>0</v>
      </c>
      <c r="K23" s="457">
        <f>IFERROR(VLOOKUP($F$1,'FVB2'!$C$1:$AK$25,((K$2-5)*2-1),0),"")</f>
        <v>0</v>
      </c>
      <c r="L23" s="457">
        <f>IFERROR(VLOOKUP($F$1,'FVB2'!$C$1:$AK$25,((L$2-5)*2-1),0),"")</f>
        <v>0</v>
      </c>
      <c r="M23" s="457">
        <f>IFERROR(VLOOKUP($F$1,'FVB2'!$C$1:$AK$25,((M$2-5)*2-1),0),"")</f>
        <v>0</v>
      </c>
      <c r="N23" s="457">
        <f>IFERROR(VLOOKUP($F$1,'FVB2'!$C$1:$AK$25,((N$2-5)*2-1),0),"")</f>
        <v>0</v>
      </c>
      <c r="O23" s="457">
        <f>IFERROR(VLOOKUP($F$1,'FVB2'!$C$1:$AK$25,((O$2-5)*2-1),0),"")</f>
        <v>0</v>
      </c>
      <c r="P23" s="457">
        <f>IFERROR(VLOOKUP($F$1,'FVB2'!$C$1:$AK$25,((P$2-5)*2-1),0),"")</f>
        <v>0</v>
      </c>
      <c r="Q23" s="457">
        <f>IFERROR(VLOOKUP($F$1,'FVB2'!$C$1:$AK$25,((Q$2-5)*2-1),0),"")</f>
        <v>0</v>
      </c>
      <c r="R23" s="457">
        <f>IFERROR(VLOOKUP($F$1,'FVB2'!$C$1:$AK$25,((R$2-5)*2-1),0),"")</f>
        <v>0</v>
      </c>
      <c r="S23" s="457">
        <f>IFERROR(VLOOKUP($F$1,'FVB2'!$C$1:$AK$25,((S$2-5)*2-1),0),"")</f>
        <v>0</v>
      </c>
      <c r="T23" s="457">
        <f>IFERROR(VLOOKUP($F$1,'FVB2'!$C$1:$AK$25,((T$2-5)*2-1),0),"")</f>
        <v>0</v>
      </c>
      <c r="U23" s="457">
        <f>IFERROR(VLOOKUP($F$1,'FVB2'!$C$1:$AK$25,((U$2-5)*2-1),0),"")</f>
        <v>0</v>
      </c>
      <c r="V23" s="457">
        <f>IFERROR(VLOOKUP($F$1,'FVB2'!$C$1:$AK$25,((V$2-5)*2-1),0),"")</f>
        <v>0</v>
      </c>
      <c r="W23" s="457">
        <f>IFERROR(VLOOKUP($F$1,'FVB2'!$C$1:$AK$25,((W$2-5)*2-1),0),"")</f>
        <v>0</v>
      </c>
    </row>
    <row r="24" spans="1:23" ht="15" customHeight="1" x14ac:dyDescent="0.2">
      <c r="A24" s="305" t="s">
        <v>560</v>
      </c>
      <c r="B24" s="1668"/>
      <c r="C24" s="498" t="s">
        <v>523</v>
      </c>
      <c r="D24" s="235"/>
      <c r="E24" s="301" t="s">
        <v>223</v>
      </c>
      <c r="F24" s="301"/>
      <c r="G24" s="457">
        <f>IFERROR(VLOOKUP($F$1,'FVB1'!$C$1:$AK$25,((G$2-5)*2-1),0),"")</f>
        <v>0</v>
      </c>
      <c r="H24" s="457">
        <f>IFERROR(VLOOKUP($F$1,'FVB1'!$C$1:$AK$25,((H$2-5)*2-1),0),"")</f>
        <v>0</v>
      </c>
      <c r="I24" s="457">
        <f>IFERROR(VLOOKUP($F$1,'FVB1'!$C$1:$AK$25,((I$2-5)*2-1),0),"")</f>
        <v>0</v>
      </c>
      <c r="J24" s="457">
        <f>IFERROR(VLOOKUP($F$1,'FVB1'!$C$1:$AK$25,((J$2-5)*2-1),0),"")</f>
        <v>0</v>
      </c>
      <c r="K24" s="457">
        <f>IFERROR(VLOOKUP($F$1,'FVB1'!$C$1:$AK$25,((K$2-5)*2-1),0),"")</f>
        <v>0</v>
      </c>
      <c r="L24" s="457">
        <f>IFERROR(VLOOKUP($F$1,'FVB1'!$C$1:$AK$25,((L$2-5)*2-1),0),"")</f>
        <v>0</v>
      </c>
      <c r="M24" s="457">
        <f>IFERROR(VLOOKUP($F$1,'FVB1'!$C$1:$AK$25,((M$2-5)*2-1),0),"")</f>
        <v>0</v>
      </c>
      <c r="N24" s="457">
        <f>IFERROR(VLOOKUP($F$1,'FVB1'!$C$1:$AK$25,((N$2-5)*2-1),0),"")</f>
        <v>0</v>
      </c>
      <c r="O24" s="457">
        <f>IFERROR(VLOOKUP($F$1,'FVB1'!$C$1:$AK$25,((O$2-5)*2-1),0),"")</f>
        <v>0</v>
      </c>
      <c r="P24" s="457">
        <f>IFERROR(VLOOKUP($F$1,'FVB1'!$C$1:$AK$25,((P$2-5)*2-1),0),"")</f>
        <v>0</v>
      </c>
      <c r="Q24" s="457">
        <f>IFERROR(VLOOKUP($F$1,'FVB1'!$C$1:$AK$25,((Q$2-5)*2-1),0),"")</f>
        <v>0</v>
      </c>
      <c r="R24" s="457">
        <f>IFERROR(VLOOKUP($F$1,'FVB1'!$C$1:$AK$25,((R$2-5)*2-1),0),"")</f>
        <v>0</v>
      </c>
      <c r="S24" s="457">
        <f>IFERROR(VLOOKUP($F$1,'FVB1'!$C$1:$AK$25,((S$2-5)*2-1),0),"")</f>
        <v>0</v>
      </c>
      <c r="T24" s="457">
        <f>IFERROR(VLOOKUP($F$1,'FVB1'!$C$1:$AK$25,((T$2-5)*2-1),0),"")</f>
        <v>0</v>
      </c>
      <c r="U24" s="457">
        <f>IFERROR(VLOOKUP($F$1,'FVB1'!$C$1:$AK$25,((U$2-5)*2-1),0),"")</f>
        <v>0</v>
      </c>
      <c r="V24" s="457">
        <f>IFERROR(VLOOKUP($F$1,'FVB1'!$C$1:$AK$25,((V$2-5)*2-1),0),"")</f>
        <v>0</v>
      </c>
      <c r="W24" s="457">
        <f>IFERROR(VLOOKUP($F$1,'FVB1'!$C$1:$AK$25,((W$2-5)*2-1),0),"")</f>
        <v>0</v>
      </c>
    </row>
    <row r="25" spans="1:23" ht="15" customHeight="1" x14ac:dyDescent="0.2">
      <c r="A25" s="305" t="s">
        <v>564</v>
      </c>
      <c r="B25" s="1671" t="s">
        <v>565</v>
      </c>
      <c r="C25" s="498" t="s">
        <v>566</v>
      </c>
      <c r="D25" s="235"/>
      <c r="E25" s="301">
        <f>'Zones d''infiltration'!I48</f>
        <v>3.6</v>
      </c>
      <c r="F25" s="301"/>
      <c r="G25" s="457"/>
      <c r="H25" s="457"/>
      <c r="I25" s="457"/>
      <c r="J25" s="457"/>
      <c r="K25" s="457"/>
      <c r="L25" s="457"/>
      <c r="M25" s="457"/>
      <c r="N25" s="457"/>
      <c r="O25" s="457"/>
      <c r="P25" s="457"/>
      <c r="Q25" s="457"/>
      <c r="R25" s="457"/>
      <c r="S25" s="457"/>
      <c r="T25" s="457"/>
      <c r="U25" s="457"/>
      <c r="V25" s="457"/>
      <c r="W25" s="457"/>
    </row>
    <row r="26" spans="1:23" x14ac:dyDescent="0.2">
      <c r="A26" s="308" t="s">
        <v>567</v>
      </c>
      <c r="B26" s="1671"/>
      <c r="C26" s="498" t="s">
        <v>568</v>
      </c>
      <c r="D26" s="235"/>
      <c r="E26" s="301">
        <f>'Zones d''infiltration'!K48</f>
        <v>3.6</v>
      </c>
      <c r="F26" s="301"/>
      <c r="G26" s="457"/>
      <c r="H26" s="457"/>
      <c r="I26" s="457"/>
      <c r="J26" s="457"/>
      <c r="K26" s="457"/>
      <c r="L26" s="457"/>
      <c r="M26" s="457"/>
      <c r="N26" s="457"/>
      <c r="O26" s="457"/>
      <c r="P26" s="457"/>
      <c r="Q26" s="457"/>
      <c r="R26" s="457"/>
      <c r="S26" s="457"/>
      <c r="T26" s="457"/>
      <c r="U26" s="457"/>
      <c r="V26" s="457"/>
      <c r="W26" s="457"/>
    </row>
    <row r="27" spans="1:23" x14ac:dyDescent="0.2">
      <c r="A27" s="305" t="s">
        <v>1191</v>
      </c>
      <c r="B27" s="1673" t="s">
        <v>569</v>
      </c>
      <c r="C27" s="498" t="s">
        <v>1194</v>
      </c>
      <c r="D27" s="235"/>
      <c r="E27" s="301">
        <f>'Zones d''infiltration'!E48</f>
        <v>13.5</v>
      </c>
      <c r="F27" s="301"/>
      <c r="G27" s="457"/>
      <c r="H27" s="457"/>
      <c r="I27" s="457"/>
      <c r="J27" s="457"/>
      <c r="K27" s="457"/>
      <c r="L27" s="457"/>
      <c r="M27" s="457"/>
      <c r="N27" s="457"/>
      <c r="O27" s="457"/>
      <c r="P27" s="457"/>
      <c r="Q27" s="457"/>
      <c r="R27" s="457"/>
      <c r="S27" s="457"/>
      <c r="T27" s="457"/>
      <c r="U27" s="457"/>
      <c r="V27" s="457"/>
      <c r="W27" s="457"/>
    </row>
    <row r="28" spans="1:23" ht="15" customHeight="1" x14ac:dyDescent="0.2">
      <c r="A28" s="305" t="s">
        <v>1192</v>
      </c>
      <c r="B28" s="1674"/>
      <c r="C28" s="498" t="s">
        <v>1193</v>
      </c>
      <c r="D28" s="235"/>
      <c r="E28" s="301">
        <f>'Zones d''infiltration'!G48</f>
        <v>30.599999999999998</v>
      </c>
      <c r="F28" s="301"/>
      <c r="G28" s="457"/>
      <c r="H28" s="457"/>
      <c r="I28" s="457"/>
      <c r="J28" s="457"/>
      <c r="K28" s="457"/>
      <c r="L28" s="457"/>
      <c r="M28" s="457"/>
      <c r="N28" s="457"/>
      <c r="O28" s="457"/>
      <c r="P28" s="457"/>
      <c r="Q28" s="457"/>
      <c r="R28" s="457"/>
      <c r="S28" s="457"/>
      <c r="T28" s="457"/>
      <c r="U28" s="457"/>
      <c r="V28" s="457"/>
      <c r="W28" s="457"/>
    </row>
    <row r="29" spans="1:23" ht="15" customHeight="1" x14ac:dyDescent="0.2">
      <c r="A29" s="308"/>
      <c r="B29" s="295"/>
      <c r="C29" s="498"/>
      <c r="D29" s="235"/>
      <c r="E29" s="301"/>
      <c r="F29" s="301"/>
      <c r="G29" s="457"/>
      <c r="H29" s="457"/>
      <c r="I29" s="457"/>
      <c r="J29" s="457"/>
      <c r="K29" s="457"/>
      <c r="L29" s="457"/>
      <c r="M29" s="457"/>
      <c r="N29" s="457"/>
      <c r="O29" s="457"/>
      <c r="P29" s="457"/>
      <c r="Q29" s="457"/>
      <c r="R29" s="457"/>
      <c r="S29" s="457"/>
      <c r="T29" s="457"/>
      <c r="U29" s="457"/>
      <c r="V29" s="457"/>
      <c r="W29" s="457"/>
    </row>
    <row r="30" spans="1:23" ht="15" customHeight="1" x14ac:dyDescent="0.2">
      <c r="A30" s="473"/>
      <c r="B30" s="474"/>
      <c r="C30" s="475"/>
      <c r="D30" s="392"/>
      <c r="E30" s="476"/>
      <c r="F30" s="476"/>
      <c r="G30" s="477"/>
      <c r="H30" s="477"/>
      <c r="I30" s="477"/>
      <c r="J30" s="477"/>
      <c r="K30" s="477"/>
      <c r="L30" s="477"/>
      <c r="M30" s="477"/>
      <c r="N30" s="477"/>
      <c r="O30" s="477"/>
      <c r="P30" s="477"/>
      <c r="Q30" s="477"/>
      <c r="R30" s="477"/>
      <c r="S30" s="477"/>
      <c r="T30" s="477"/>
      <c r="U30" s="477"/>
      <c r="V30" s="477"/>
      <c r="W30" s="477"/>
    </row>
    <row r="31" spans="1:23" ht="15" customHeight="1" x14ac:dyDescent="0.2">
      <c r="A31" s="478"/>
      <c r="B31" s="337"/>
      <c r="C31" s="337"/>
      <c r="D31" s="337"/>
      <c r="E31" s="476"/>
      <c r="F31" s="476"/>
      <c r="G31" s="477"/>
      <c r="H31" s="477"/>
      <c r="I31" s="477"/>
      <c r="J31" s="477"/>
      <c r="K31" s="477"/>
      <c r="L31" s="477"/>
      <c r="M31" s="477"/>
      <c r="N31" s="477"/>
      <c r="O31" s="477"/>
      <c r="P31" s="477"/>
      <c r="Q31" s="477"/>
      <c r="R31" s="477"/>
      <c r="S31" s="477"/>
      <c r="T31" s="477"/>
      <c r="U31" s="477"/>
      <c r="V31" s="477"/>
      <c r="W31" s="477"/>
    </row>
    <row r="32" spans="1:23" ht="15" customHeight="1" x14ac:dyDescent="0.2">
      <c r="A32" s="308" t="s">
        <v>571</v>
      </c>
      <c r="B32" s="1669" t="s">
        <v>572</v>
      </c>
      <c r="C32" s="498" t="s">
        <v>665</v>
      </c>
      <c r="D32" s="235" t="s">
        <v>577</v>
      </c>
      <c r="E32" s="301">
        <f>Habillage!E34</f>
        <v>0</v>
      </c>
      <c r="F32" s="301"/>
      <c r="G32" s="457"/>
      <c r="H32" s="457"/>
      <c r="I32" s="457"/>
      <c r="J32" s="457"/>
      <c r="K32" s="457"/>
      <c r="L32" s="457"/>
      <c r="M32" s="457"/>
      <c r="N32" s="457"/>
      <c r="O32" s="457"/>
      <c r="P32" s="457"/>
      <c r="Q32" s="457"/>
      <c r="R32" s="457"/>
      <c r="S32" s="457"/>
      <c r="T32" s="457"/>
      <c r="U32" s="457"/>
      <c r="V32" s="457"/>
      <c r="W32" s="457"/>
    </row>
    <row r="33" spans="1:23" ht="15" customHeight="1" x14ac:dyDescent="0.2">
      <c r="A33" s="308" t="s">
        <v>574</v>
      </c>
      <c r="B33" s="1669"/>
      <c r="C33" s="498" t="s">
        <v>408</v>
      </c>
      <c r="D33" s="235" t="s">
        <v>575</v>
      </c>
      <c r="E33" s="301">
        <f>Habillage!G34</f>
        <v>0</v>
      </c>
      <c r="F33" s="301"/>
      <c r="G33" s="457"/>
      <c r="H33" s="457"/>
      <c r="I33" s="457"/>
      <c r="J33" s="457"/>
      <c r="K33" s="457"/>
      <c r="L33" s="457"/>
      <c r="M33" s="457"/>
      <c r="N33" s="457"/>
      <c r="O33" s="457"/>
      <c r="P33" s="457"/>
      <c r="Q33" s="457"/>
      <c r="R33" s="457"/>
      <c r="S33" s="457"/>
      <c r="T33" s="457"/>
      <c r="U33" s="457"/>
      <c r="V33" s="457"/>
      <c r="W33" s="457"/>
    </row>
    <row r="34" spans="1:23" ht="15" customHeight="1" x14ac:dyDescent="0.2">
      <c r="A34" s="308" t="s">
        <v>576</v>
      </c>
      <c r="B34" s="1669"/>
      <c r="C34" s="498" t="s">
        <v>664</v>
      </c>
      <c r="D34" s="235" t="s">
        <v>573</v>
      </c>
      <c r="E34" s="301">
        <f>Habillage!I34</f>
        <v>0</v>
      </c>
      <c r="F34" s="301"/>
      <c r="G34" s="457"/>
      <c r="H34" s="457"/>
      <c r="I34" s="457"/>
      <c r="J34" s="457"/>
      <c r="K34" s="457"/>
      <c r="L34" s="457"/>
      <c r="M34" s="457"/>
      <c r="N34" s="457"/>
      <c r="O34" s="457"/>
      <c r="P34" s="457"/>
      <c r="Q34" s="457"/>
      <c r="R34" s="457"/>
      <c r="S34" s="457"/>
      <c r="T34" s="457"/>
      <c r="U34" s="457"/>
      <c r="V34" s="457"/>
      <c r="W34" s="457"/>
    </row>
    <row r="35" spans="1:23" ht="15" customHeight="1" x14ac:dyDescent="0.2">
      <c r="A35" s="308" t="s">
        <v>578</v>
      </c>
      <c r="B35" s="1669"/>
      <c r="C35" s="498" t="s">
        <v>579</v>
      </c>
      <c r="D35" s="472" t="s">
        <v>580</v>
      </c>
      <c r="E35" s="301">
        <f>Habillage!L34</f>
        <v>0</v>
      </c>
      <c r="F35" s="301"/>
      <c r="G35" s="457"/>
      <c r="H35" s="457"/>
      <c r="I35" s="457"/>
      <c r="J35" s="457"/>
      <c r="K35" s="457"/>
      <c r="L35" s="457"/>
      <c r="M35" s="457"/>
      <c r="N35" s="457"/>
      <c r="O35" s="457"/>
      <c r="P35" s="457"/>
      <c r="Q35" s="457"/>
      <c r="R35" s="457"/>
      <c r="S35" s="457"/>
      <c r="T35" s="457"/>
      <c r="U35" s="457"/>
      <c r="V35" s="457"/>
      <c r="W35" s="457"/>
    </row>
    <row r="36" spans="1:23" ht="15" customHeight="1" x14ac:dyDescent="0.2">
      <c r="A36" s="308" t="s">
        <v>581</v>
      </c>
      <c r="B36" s="1669"/>
      <c r="C36" s="498" t="s">
        <v>666</v>
      </c>
      <c r="D36" s="472" t="s">
        <v>582</v>
      </c>
      <c r="E36" s="301" t="e">
        <f>Habillage!#REF!</f>
        <v>#REF!</v>
      </c>
      <c r="F36" s="301"/>
      <c r="G36" s="457"/>
      <c r="H36" s="457"/>
      <c r="I36" s="457"/>
      <c r="J36" s="457"/>
      <c r="K36" s="457"/>
      <c r="L36" s="457"/>
      <c r="M36" s="457"/>
      <c r="N36" s="457"/>
      <c r="O36" s="457"/>
      <c r="P36" s="457"/>
      <c r="Q36" s="457"/>
      <c r="R36" s="457"/>
      <c r="S36" s="457"/>
      <c r="T36" s="457"/>
      <c r="U36" s="457"/>
      <c r="V36" s="457"/>
      <c r="W36" s="457"/>
    </row>
    <row r="37" spans="1:23" ht="15" customHeight="1" x14ac:dyDescent="0.2">
      <c r="A37" s="473"/>
      <c r="B37" s="520"/>
      <c r="C37" s="475"/>
      <c r="D37" s="392"/>
      <c r="E37" s="476"/>
      <c r="F37" s="476"/>
      <c r="G37" s="477"/>
      <c r="H37" s="477"/>
      <c r="I37" s="477"/>
      <c r="J37" s="477"/>
      <c r="K37" s="477"/>
      <c r="L37" s="477"/>
      <c r="M37" s="477"/>
      <c r="N37" s="477"/>
      <c r="O37" s="477"/>
      <c r="P37" s="477"/>
      <c r="Q37" s="477"/>
      <c r="R37" s="477"/>
      <c r="S37" s="477"/>
      <c r="T37" s="477"/>
      <c r="U37" s="477"/>
      <c r="V37" s="477"/>
      <c r="W37" s="477"/>
    </row>
    <row r="38" spans="1:23" ht="15" customHeight="1" x14ac:dyDescent="0.2">
      <c r="A38" s="308" t="s">
        <v>583</v>
      </c>
      <c r="B38" s="1658" t="s">
        <v>487</v>
      </c>
      <c r="C38" s="573" t="s">
        <v>584</v>
      </c>
      <c r="D38" s="235" t="s">
        <v>1410</v>
      </c>
      <c r="E38" s="301">
        <f>Finitions!E52</f>
        <v>33.299999999999997</v>
      </c>
      <c r="F38" s="301"/>
      <c r="G38" s="457"/>
      <c r="H38" s="457"/>
      <c r="I38" s="457"/>
      <c r="J38" s="457"/>
      <c r="K38" s="457"/>
      <c r="L38" s="457"/>
      <c r="M38" s="457"/>
      <c r="N38" s="457"/>
      <c r="O38" s="457"/>
      <c r="P38" s="457"/>
      <c r="Q38" s="457"/>
      <c r="R38" s="457"/>
      <c r="S38" s="457"/>
      <c r="T38" s="457"/>
      <c r="U38" s="457"/>
      <c r="V38" s="457"/>
      <c r="W38" s="457"/>
    </row>
    <row r="39" spans="1:23" ht="15" customHeight="1" x14ac:dyDescent="0.2">
      <c r="A39" s="308" t="s">
        <v>585</v>
      </c>
      <c r="B39" s="1659"/>
      <c r="C39" s="573" t="s">
        <v>1521</v>
      </c>
      <c r="D39" s="235" t="s">
        <v>1520</v>
      </c>
      <c r="E39" s="301">
        <f>Finitions!G52</f>
        <v>28.8</v>
      </c>
      <c r="F39" s="301"/>
      <c r="G39" s="457"/>
      <c r="H39" s="457"/>
      <c r="I39" s="457"/>
      <c r="J39" s="457"/>
      <c r="K39" s="457"/>
      <c r="L39" s="457"/>
      <c r="M39" s="457"/>
      <c r="N39" s="457"/>
      <c r="O39" s="457"/>
      <c r="P39" s="457"/>
      <c r="Q39" s="457"/>
      <c r="R39" s="457"/>
      <c r="S39" s="457"/>
      <c r="T39" s="457"/>
      <c r="U39" s="457"/>
      <c r="V39" s="457"/>
      <c r="W39" s="457"/>
    </row>
    <row r="40" spans="1:23" ht="15" customHeight="1" x14ac:dyDescent="0.2">
      <c r="A40" s="308" t="s">
        <v>586</v>
      </c>
      <c r="B40" s="1659"/>
      <c r="C40" s="573" t="s">
        <v>667</v>
      </c>
      <c r="D40" s="235" t="s">
        <v>668</v>
      </c>
      <c r="E40" s="301">
        <f>Finitions!I52</f>
        <v>14.4</v>
      </c>
      <c r="F40" s="301"/>
      <c r="G40" s="457"/>
      <c r="H40" s="457"/>
      <c r="I40" s="457"/>
      <c r="J40" s="457"/>
      <c r="K40" s="457"/>
      <c r="L40" s="457"/>
      <c r="M40" s="457"/>
      <c r="N40" s="457"/>
      <c r="O40" s="457"/>
      <c r="P40" s="457"/>
      <c r="Q40" s="457"/>
      <c r="R40" s="457"/>
      <c r="S40" s="457"/>
      <c r="T40" s="457"/>
      <c r="U40" s="457"/>
      <c r="V40" s="457"/>
      <c r="W40" s="457"/>
    </row>
    <row r="41" spans="1:23" ht="15" customHeight="1" x14ac:dyDescent="0.2">
      <c r="A41" s="308" t="s">
        <v>587</v>
      </c>
      <c r="B41" s="1659"/>
      <c r="C41" s="573" t="s">
        <v>667</v>
      </c>
      <c r="D41" s="235" t="s">
        <v>1522</v>
      </c>
      <c r="E41" s="301">
        <f>Finitions!K52</f>
        <v>52.650000000000006</v>
      </c>
      <c r="F41" s="301"/>
      <c r="G41" s="457"/>
      <c r="H41" s="457"/>
      <c r="I41" s="457"/>
      <c r="J41" s="457"/>
      <c r="K41" s="457"/>
      <c r="L41" s="457"/>
      <c r="M41" s="457"/>
      <c r="N41" s="457"/>
      <c r="O41" s="457"/>
      <c r="P41" s="457"/>
      <c r="Q41" s="457"/>
      <c r="R41" s="457"/>
      <c r="S41" s="457"/>
      <c r="T41" s="457"/>
      <c r="U41" s="457"/>
      <c r="V41" s="457"/>
      <c r="W41" s="457"/>
    </row>
    <row r="42" spans="1:23" ht="15" customHeight="1" x14ac:dyDescent="0.2">
      <c r="A42" s="308" t="s">
        <v>588</v>
      </c>
      <c r="B42" s="1659"/>
      <c r="C42" s="573" t="s">
        <v>1523</v>
      </c>
      <c r="D42" s="235" t="s">
        <v>1407</v>
      </c>
      <c r="E42" s="301">
        <f>Finitions!M52</f>
        <v>0</v>
      </c>
      <c r="F42" s="301"/>
      <c r="G42" s="457"/>
      <c r="H42" s="457"/>
      <c r="I42" s="457"/>
      <c r="J42" s="457"/>
      <c r="K42" s="457"/>
      <c r="L42" s="457"/>
      <c r="M42" s="457"/>
      <c r="N42" s="457"/>
      <c r="O42" s="457"/>
      <c r="P42" s="457"/>
      <c r="Q42" s="457"/>
      <c r="R42" s="457"/>
      <c r="S42" s="457"/>
      <c r="T42" s="457"/>
      <c r="U42" s="457"/>
      <c r="V42" s="457"/>
      <c r="W42" s="457"/>
    </row>
    <row r="43" spans="1:23" ht="15" customHeight="1" x14ac:dyDescent="0.2">
      <c r="A43" s="308" t="s">
        <v>1402</v>
      </c>
      <c r="B43" s="1659"/>
      <c r="C43" s="573" t="s">
        <v>1524</v>
      </c>
      <c r="D43" s="235" t="s">
        <v>1325</v>
      </c>
      <c r="E43" s="301">
        <f>Finitions!O52</f>
        <v>42.75</v>
      </c>
      <c r="F43" s="301"/>
      <c r="G43" s="457"/>
      <c r="H43" s="457"/>
      <c r="I43" s="457"/>
      <c r="J43" s="457"/>
      <c r="K43" s="457"/>
      <c r="L43" s="457"/>
      <c r="M43" s="457"/>
      <c r="N43" s="457"/>
      <c r="O43" s="457"/>
      <c r="P43" s="457"/>
      <c r="Q43" s="457"/>
      <c r="R43" s="457"/>
      <c r="S43" s="457"/>
      <c r="T43" s="457"/>
      <c r="U43" s="457"/>
      <c r="V43" s="457"/>
      <c r="W43" s="457"/>
    </row>
    <row r="44" spans="1:23" ht="15" customHeight="1" x14ac:dyDescent="0.2">
      <c r="A44" s="308" t="s">
        <v>1405</v>
      </c>
      <c r="B44" s="1659"/>
      <c r="C44" s="573"/>
      <c r="D44" s="235"/>
      <c r="E44" s="301" t="e">
        <f>Finitions!#REF!</f>
        <v>#REF!</v>
      </c>
      <c r="F44" s="301"/>
      <c r="G44" s="457"/>
      <c r="H44" s="457"/>
      <c r="I44" s="457"/>
      <c r="J44" s="457"/>
      <c r="K44" s="457"/>
      <c r="L44" s="457"/>
      <c r="M44" s="457"/>
      <c r="N44" s="457"/>
      <c r="O44" s="457"/>
      <c r="P44" s="457"/>
      <c r="Q44" s="457"/>
      <c r="R44" s="457"/>
      <c r="S44" s="457"/>
      <c r="T44" s="457"/>
      <c r="U44" s="457"/>
      <c r="V44" s="457"/>
      <c r="W44" s="457"/>
    </row>
    <row r="45" spans="1:23" ht="15" customHeight="1" x14ac:dyDescent="0.2">
      <c r="A45" s="308" t="s">
        <v>1409</v>
      </c>
      <c r="B45" s="1659"/>
      <c r="C45" s="573" t="s">
        <v>399</v>
      </c>
      <c r="D45" s="235" t="s">
        <v>1406</v>
      </c>
      <c r="E45" s="301">
        <f>Finitions!S52</f>
        <v>0</v>
      </c>
      <c r="F45" s="301"/>
      <c r="G45" s="457"/>
      <c r="H45" s="457"/>
      <c r="I45" s="457"/>
      <c r="J45" s="457"/>
      <c r="K45" s="457"/>
      <c r="L45" s="457"/>
      <c r="M45" s="457"/>
      <c r="N45" s="457"/>
      <c r="O45" s="457"/>
      <c r="P45" s="457"/>
      <c r="Q45" s="457"/>
      <c r="R45" s="457"/>
      <c r="S45" s="457"/>
      <c r="T45" s="457"/>
      <c r="U45" s="457"/>
      <c r="V45" s="457"/>
      <c r="W45" s="457"/>
    </row>
    <row r="46" spans="1:23" ht="15" customHeight="1" x14ac:dyDescent="0.2">
      <c r="A46" s="308" t="s">
        <v>1411</v>
      </c>
      <c r="B46" s="1660"/>
      <c r="C46" s="573" t="s">
        <v>399</v>
      </c>
      <c r="D46" s="235" t="s">
        <v>1525</v>
      </c>
      <c r="E46" s="301" t="e">
        <f>Finitions!U52</f>
        <v>#REF!</v>
      </c>
      <c r="F46" s="301"/>
      <c r="G46" s="457"/>
      <c r="H46" s="457"/>
      <c r="I46" s="457"/>
      <c r="J46" s="457"/>
      <c r="K46" s="457"/>
      <c r="L46" s="457"/>
      <c r="M46" s="457"/>
      <c r="N46" s="457"/>
      <c r="O46" s="457"/>
      <c r="P46" s="457"/>
      <c r="Q46" s="457"/>
      <c r="R46" s="457"/>
      <c r="S46" s="457"/>
      <c r="T46" s="457"/>
      <c r="U46" s="457"/>
      <c r="V46" s="457"/>
      <c r="W46" s="457"/>
    </row>
    <row r="47" spans="1:23" ht="15" customHeight="1" x14ac:dyDescent="0.2">
      <c r="A47" s="473"/>
      <c r="B47" s="519"/>
      <c r="C47" s="475"/>
      <c r="D47" s="392"/>
      <c r="E47" s="476"/>
      <c r="F47" s="476"/>
      <c r="G47" s="477"/>
      <c r="H47" s="477"/>
      <c r="I47" s="477"/>
      <c r="J47" s="477"/>
      <c r="K47" s="477"/>
      <c r="L47" s="477"/>
      <c r="M47" s="477"/>
      <c r="N47" s="477"/>
      <c r="O47" s="477"/>
      <c r="P47" s="477"/>
      <c r="Q47" s="477"/>
      <c r="R47" s="477"/>
      <c r="S47" s="477"/>
      <c r="T47" s="477"/>
      <c r="U47" s="477"/>
      <c r="V47" s="477"/>
      <c r="W47" s="477"/>
    </row>
    <row r="48" spans="1:23" ht="15" customHeight="1" x14ac:dyDescent="0.2">
      <c r="A48" s="308" t="s">
        <v>589</v>
      </c>
      <c r="B48" s="1602" t="s">
        <v>590</v>
      </c>
      <c r="C48" s="498"/>
      <c r="D48" s="472" t="s">
        <v>591</v>
      </c>
      <c r="E48" s="301"/>
      <c r="F48" s="301"/>
      <c r="G48" s="457"/>
      <c r="H48" s="457"/>
      <c r="I48" s="457"/>
      <c r="J48" s="457"/>
      <c r="K48" s="457"/>
      <c r="L48" s="457"/>
      <c r="M48" s="457"/>
      <c r="N48" s="457"/>
      <c r="O48" s="457"/>
      <c r="P48" s="457"/>
      <c r="Q48" s="457"/>
      <c r="R48" s="457"/>
      <c r="S48" s="457"/>
      <c r="T48" s="457"/>
      <c r="U48" s="457"/>
      <c r="V48" s="457"/>
      <c r="W48" s="457"/>
    </row>
    <row r="49" spans="1:23" ht="15" customHeight="1" x14ac:dyDescent="0.2">
      <c r="A49" s="308" t="s">
        <v>592</v>
      </c>
      <c r="B49" s="1602"/>
      <c r="C49" s="498"/>
      <c r="D49" s="472" t="s">
        <v>593</v>
      </c>
      <c r="E49" s="301"/>
      <c r="F49" s="301"/>
      <c r="G49" s="457"/>
      <c r="H49" s="457"/>
      <c r="I49" s="457"/>
      <c r="J49" s="457"/>
      <c r="K49" s="457"/>
      <c r="L49" s="457"/>
      <c r="M49" s="457"/>
      <c r="N49" s="457"/>
      <c r="O49" s="457"/>
      <c r="P49" s="457"/>
      <c r="Q49" s="457"/>
      <c r="R49" s="457"/>
      <c r="S49" s="457"/>
      <c r="T49" s="457"/>
      <c r="U49" s="457"/>
      <c r="V49" s="457"/>
      <c r="W49" s="457"/>
    </row>
    <row r="50" spans="1:23" ht="15" customHeight="1" x14ac:dyDescent="0.2">
      <c r="A50" s="308" t="s">
        <v>594</v>
      </c>
      <c r="B50" s="1602"/>
      <c r="C50" s="498"/>
      <c r="D50" s="472" t="s">
        <v>595</v>
      </c>
      <c r="E50" s="301"/>
      <c r="F50" s="301"/>
      <c r="G50" s="457"/>
      <c r="H50" s="457"/>
      <c r="I50" s="457"/>
      <c r="J50" s="457"/>
      <c r="K50" s="457"/>
      <c r="L50" s="457"/>
      <c r="M50" s="457"/>
      <c r="N50" s="457"/>
      <c r="O50" s="457"/>
      <c r="P50" s="457"/>
      <c r="Q50" s="457"/>
      <c r="R50" s="457"/>
      <c r="S50" s="457"/>
      <c r="T50" s="457"/>
      <c r="U50" s="457"/>
      <c r="V50" s="457"/>
      <c r="W50" s="457"/>
    </row>
    <row r="51" spans="1:23" ht="15" customHeight="1" x14ac:dyDescent="0.2">
      <c r="A51" s="308" t="s">
        <v>596</v>
      </c>
      <c r="B51" s="1602"/>
      <c r="C51" s="498"/>
      <c r="D51" s="472" t="s">
        <v>597</v>
      </c>
      <c r="E51" s="301">
        <f>VLOOKUP("Prix HT",'Bandes de propreté'!C1:L64,9,0)</f>
        <v>11.476980000000001</v>
      </c>
      <c r="F51" s="301">
        <f>VLOOKUP("RECAP ATELIER",'Bandes de propreté'!B1:M64,10,0)</f>
        <v>0</v>
      </c>
      <c r="G51" s="457"/>
      <c r="H51" s="457"/>
      <c r="I51" s="457"/>
      <c r="J51" s="457"/>
      <c r="K51" s="457"/>
      <c r="L51" s="457"/>
      <c r="M51" s="457"/>
      <c r="N51" s="457"/>
      <c r="O51" s="457"/>
      <c r="P51" s="457"/>
      <c r="Q51" s="457"/>
      <c r="R51" s="457"/>
      <c r="S51" s="457"/>
      <c r="T51" s="457"/>
      <c r="U51" s="457"/>
      <c r="V51" s="457"/>
      <c r="W51" s="457"/>
    </row>
    <row r="52" spans="1:23" ht="15" customHeight="1" x14ac:dyDescent="0.2">
      <c r="A52" s="308"/>
      <c r="B52" s="298"/>
      <c r="C52" s="297"/>
      <c r="D52" s="158"/>
      <c r="E52" s="301"/>
      <c r="F52" s="301"/>
      <c r="G52" s="457"/>
      <c r="H52" s="457"/>
      <c r="I52" s="457"/>
      <c r="J52" s="457"/>
      <c r="K52" s="457"/>
      <c r="L52" s="457"/>
      <c r="M52" s="457"/>
      <c r="N52" s="457"/>
      <c r="O52" s="457"/>
      <c r="P52" s="457"/>
      <c r="Q52" s="457"/>
      <c r="R52" s="457"/>
      <c r="S52" s="457"/>
      <c r="T52" s="457"/>
      <c r="U52" s="457"/>
      <c r="V52" s="457"/>
      <c r="W52" s="457"/>
    </row>
    <row r="53" spans="1:23" ht="15" customHeight="1" x14ac:dyDescent="0.2">
      <c r="A53" s="308" t="s">
        <v>598</v>
      </c>
      <c r="B53" s="1665" t="s">
        <v>599</v>
      </c>
      <c r="C53" s="1661" t="s">
        <v>600</v>
      </c>
      <c r="D53" s="472" t="s">
        <v>601</v>
      </c>
      <c r="E53" s="301"/>
      <c r="F53" s="301"/>
      <c r="G53" s="457"/>
      <c r="H53" s="457"/>
      <c r="I53" s="457"/>
      <c r="J53" s="457"/>
      <c r="K53" s="457"/>
      <c r="L53" s="457"/>
      <c r="M53" s="457"/>
      <c r="N53" s="457"/>
      <c r="O53" s="457"/>
      <c r="P53" s="457"/>
      <c r="Q53" s="457"/>
      <c r="R53" s="457"/>
      <c r="S53" s="457"/>
      <c r="T53" s="457"/>
      <c r="U53" s="457"/>
      <c r="V53" s="457"/>
      <c r="W53" s="457"/>
    </row>
    <row r="54" spans="1:23" ht="15" customHeight="1" x14ac:dyDescent="0.2">
      <c r="A54" s="308" t="s">
        <v>514</v>
      </c>
      <c r="B54" s="1665"/>
      <c r="C54" s="1661"/>
      <c r="D54" s="472" t="s">
        <v>669</v>
      </c>
      <c r="E54" s="301">
        <f>VLOOKUP("Prix HT",Bordures!C4:L67,5,0)</f>
        <v>10.050000000000001</v>
      </c>
      <c r="F54" s="301">
        <f>VLOOKUP("RECAP ATELIER",Bordures!B4:M67,6,0)</f>
        <v>0</v>
      </c>
      <c r="G54" s="457"/>
      <c r="H54" s="457"/>
      <c r="I54" s="457"/>
      <c r="J54" s="457"/>
      <c r="K54" s="457"/>
      <c r="L54" s="457"/>
      <c r="M54" s="457"/>
      <c r="N54" s="457"/>
      <c r="O54" s="457"/>
      <c r="P54" s="457"/>
      <c r="Q54" s="457"/>
      <c r="R54" s="457"/>
      <c r="S54" s="457"/>
      <c r="T54" s="457"/>
      <c r="U54" s="457"/>
      <c r="V54" s="457"/>
      <c r="W54" s="457"/>
    </row>
    <row r="55" spans="1:23" ht="15" customHeight="1" x14ac:dyDescent="0.2">
      <c r="A55" s="308" t="s">
        <v>602</v>
      </c>
      <c r="B55" s="1665"/>
      <c r="C55" s="1661"/>
      <c r="D55" s="472" t="s">
        <v>603</v>
      </c>
      <c r="E55" s="301"/>
      <c r="F55" s="301"/>
      <c r="G55" s="457"/>
      <c r="H55" s="457"/>
      <c r="I55" s="457"/>
      <c r="J55" s="457"/>
      <c r="K55" s="457"/>
      <c r="L55" s="457"/>
      <c r="M55" s="457"/>
      <c r="N55" s="457"/>
      <c r="O55" s="457"/>
      <c r="P55" s="457"/>
      <c r="Q55" s="457"/>
      <c r="R55" s="457"/>
      <c r="S55" s="457"/>
      <c r="T55" s="457"/>
      <c r="U55" s="457"/>
      <c r="V55" s="457"/>
      <c r="W55" s="457"/>
    </row>
    <row r="56" spans="1:23" ht="15" customHeight="1" x14ac:dyDescent="0.2">
      <c r="A56" s="308" t="s">
        <v>604</v>
      </c>
      <c r="B56" s="1665"/>
      <c r="C56" s="1661"/>
      <c r="D56" s="472" t="s">
        <v>605</v>
      </c>
      <c r="E56" s="301"/>
      <c r="F56" s="301"/>
      <c r="G56" s="457"/>
      <c r="H56" s="457"/>
      <c r="I56" s="457"/>
      <c r="J56" s="457"/>
      <c r="K56" s="457"/>
      <c r="L56" s="457"/>
      <c r="M56" s="457"/>
      <c r="N56" s="457"/>
      <c r="O56" s="457"/>
      <c r="P56" s="457"/>
      <c r="Q56" s="457"/>
      <c r="R56" s="457"/>
      <c r="S56" s="457"/>
      <c r="T56" s="457"/>
      <c r="U56" s="457"/>
      <c r="V56" s="457"/>
      <c r="W56" s="457"/>
    </row>
    <row r="57" spans="1:23" ht="15" customHeight="1" x14ac:dyDescent="0.2">
      <c r="A57" s="308" t="s">
        <v>606</v>
      </c>
      <c r="B57" s="1665"/>
      <c r="C57" s="1661"/>
      <c r="D57" s="472" t="s">
        <v>607</v>
      </c>
      <c r="E57" s="301"/>
      <c r="F57" s="301"/>
      <c r="G57" s="457"/>
      <c r="H57" s="457"/>
      <c r="I57" s="457"/>
      <c r="J57" s="457"/>
      <c r="K57" s="457"/>
      <c r="L57" s="457"/>
      <c r="M57" s="457"/>
      <c r="N57" s="457"/>
      <c r="O57" s="457"/>
      <c r="P57" s="457"/>
      <c r="Q57" s="457"/>
      <c r="R57" s="457"/>
      <c r="S57" s="457"/>
      <c r="T57" s="457"/>
      <c r="U57" s="457"/>
      <c r="V57" s="457"/>
      <c r="W57" s="457"/>
    </row>
    <row r="58" spans="1:23" ht="15" customHeight="1" x14ac:dyDescent="0.2">
      <c r="A58" s="308"/>
      <c r="B58" s="296"/>
      <c r="C58" s="297"/>
      <c r="D58" s="158"/>
      <c r="E58" s="301"/>
      <c r="F58" s="301"/>
      <c r="G58" s="457"/>
      <c r="H58" s="457"/>
      <c r="I58" s="457"/>
      <c r="J58" s="457"/>
      <c r="K58" s="457"/>
      <c r="L58" s="457"/>
      <c r="M58" s="457"/>
      <c r="N58" s="457"/>
      <c r="O58" s="457"/>
      <c r="P58" s="457"/>
      <c r="Q58" s="457"/>
      <c r="R58" s="457"/>
      <c r="S58" s="457"/>
      <c r="T58" s="457"/>
      <c r="U58" s="457"/>
      <c r="V58" s="457"/>
      <c r="W58" s="457"/>
    </row>
    <row r="59" spans="1:23" ht="15" customHeight="1" x14ac:dyDescent="0.2">
      <c r="A59" s="308" t="s">
        <v>1348</v>
      </c>
      <c r="B59" s="1666" t="s">
        <v>1347</v>
      </c>
      <c r="C59" s="1667"/>
      <c r="D59" s="235" t="s">
        <v>1346</v>
      </c>
      <c r="E59" s="301"/>
      <c r="F59" s="301"/>
      <c r="G59" s="457">
        <f>IFERROR(VLOOKUP($F$1,'ALIM BAC Gravitaire'!$C$1:$K$33,((G$2-5)*2-1),0),"")</f>
        <v>0</v>
      </c>
      <c r="H59" s="457">
        <f>IFERROR(VLOOKUP($F$1,'ALIM BAC Gravitaire'!$C$1:$K$33,((H$2-5)*2-1),0),"")</f>
        <v>48.150000000000006</v>
      </c>
      <c r="I59" s="457">
        <f>IFERROR(VLOOKUP($F$1,'ALIM BAC Gravitaire'!$C$1:$K$33,((I$2-5)*2-1),0),"")</f>
        <v>59.400000000000006</v>
      </c>
      <c r="J59" s="457">
        <f>IFERROR(VLOOKUP($F$1,'ALIM BAC Gravitaire'!$C$1:$K$33,((J$2-5)*2-1),0),"")</f>
        <v>59.400000000000006</v>
      </c>
      <c r="K59" s="457" t="str">
        <f>IFERROR(VLOOKUP($F$1,'ALIM BAC Gravitaire'!$C$1:$K$33,((K$2-5)*2-1),0),"")</f>
        <v/>
      </c>
      <c r="L59" s="457" t="str">
        <f>IFERROR(VLOOKUP($F$1,'ALIM BAC Gravitaire'!$C$1:$K$33,((L$2-5)*2-1),0),"")</f>
        <v/>
      </c>
      <c r="M59" s="457" t="str">
        <f>IFERROR(VLOOKUP($F$1,'ALIM BAC Gravitaire'!$C$1:$K$33,((M$2-5)*2-1),0),"")</f>
        <v/>
      </c>
      <c r="N59" s="457" t="str">
        <f>IFERROR(VLOOKUP($F$1,'ALIM BAC Gravitaire'!$C$1:$K$33,((N$2-5)*2-1),0),"")</f>
        <v/>
      </c>
      <c r="O59" s="457" t="str">
        <f>IFERROR(VLOOKUP($F$1,'ALIM BAC Gravitaire'!$C$1:$K$33,((O$2-5)*2-1),0),"")</f>
        <v/>
      </c>
      <c r="P59" s="457" t="str">
        <f>IFERROR(VLOOKUP($F$1,'ALIM BAC Gravitaire'!$C$1:$K$33,((P$2-5)*2-1),0),"")</f>
        <v/>
      </c>
      <c r="Q59" s="457" t="str">
        <f>IFERROR(VLOOKUP($F$1,'ALIM BAC Gravitaire'!$C$1:$K$33,((Q$2-5)*2-1),0),"")</f>
        <v/>
      </c>
      <c r="R59" s="457" t="str">
        <f>IFERROR(VLOOKUP($F$1,'ALIM BAC Gravitaire'!$C$1:$K$33,((R$2-5)*2-1),0),"")</f>
        <v/>
      </c>
      <c r="S59" s="457" t="str">
        <f>IFERROR(VLOOKUP($F$1,'ALIM BAC Gravitaire'!$C$1:$K$33,((S$2-5)*2-1),0),"")</f>
        <v/>
      </c>
      <c r="T59" s="457" t="str">
        <f>IFERROR(VLOOKUP($F$1,'ALIM BAC Gravitaire'!$C$1:$K$33,((T$2-5)*2-1),0),"")</f>
        <v/>
      </c>
      <c r="U59" s="457" t="str">
        <f>IFERROR(VLOOKUP($F$1,'ALIM BAC Gravitaire'!$C$1:$K$33,((U$2-5)*2-1),0),"")</f>
        <v/>
      </c>
      <c r="V59" s="457" t="str">
        <f>IFERROR(VLOOKUP($F$1,'ALIM BAC Gravitaire'!$C$1:$K$33,((V$2-5)*2-1),0),"")</f>
        <v/>
      </c>
      <c r="W59" s="457" t="str">
        <f>IFERROR(VLOOKUP($F$1,'ALIM BAC Gravitaire'!$C$1:$K$33,((W$2-5)*2-1),0),"")</f>
        <v/>
      </c>
    </row>
    <row r="60" spans="1:23" ht="15" customHeight="1" x14ac:dyDescent="0.2">
      <c r="A60" s="308" t="s">
        <v>1349</v>
      </c>
      <c r="B60" s="1666"/>
      <c r="C60" s="1667"/>
      <c r="D60" s="235" t="s">
        <v>1352</v>
      </c>
      <c r="E60" s="301"/>
      <c r="F60" s="301"/>
      <c r="G60" s="457">
        <f>IFERROR(VLOOKUP($F$1,'ALIM BAC relevage'!$C$1:$AK$34,((G$2-5)*2-1),0),"")</f>
        <v>0</v>
      </c>
      <c r="H60" s="457">
        <f>IFERROR(VLOOKUP($F$1,'ALIM BAC relevage'!$C$1:$AK$34,((H$2-5)*2-1),0),"")</f>
        <v>40.5</v>
      </c>
      <c r="I60" s="457">
        <f>IFERROR(VLOOKUP($F$1,'ALIM BAC relevage'!$C$1:$AK$34,((I$2-5)*2-1),0),"")</f>
        <v>0</v>
      </c>
      <c r="J60" s="457">
        <f>IFERROR(VLOOKUP($F$1,'ALIM BAC relevage'!$C$1:$AK$34,((J$2-5)*2-1),0),"")</f>
        <v>29.700000000000003</v>
      </c>
      <c r="K60" s="457">
        <f>IFERROR(VLOOKUP($F$1,'ALIM BAC relevage'!$C$1:$AK$34,((K$2-5)*2-1),0),"")</f>
        <v>29.700000000000003</v>
      </c>
      <c r="L60" s="457">
        <f>IFERROR(VLOOKUP($F$1,'ALIM BAC relevage'!$C$1:$AK$34,((L$2-5)*2-1),0),"")</f>
        <v>0</v>
      </c>
      <c r="M60" s="457">
        <f>IFERROR(VLOOKUP($F$1,'ALIM BAC relevage'!$C$1:$AK$34,((M$2-5)*2-1),0),"")</f>
        <v>0</v>
      </c>
      <c r="N60" s="457">
        <f>IFERROR(VLOOKUP($F$1,'ALIM BAC relevage'!$C$1:$AK$34,((N$2-5)*2-1),0),"")</f>
        <v>0</v>
      </c>
      <c r="O60" s="457">
        <f>IFERROR(VLOOKUP($F$1,'ALIM BAC relevage'!$C$1:$AK$34,((O$2-5)*2-1),0),"")</f>
        <v>59.400000000000006</v>
      </c>
      <c r="P60" s="457">
        <f>IFERROR(VLOOKUP($F$1,'ALIM BAC relevage'!$C$1:$AK$34,((P$2-5)*2-1),0),"")</f>
        <v>59.400000000000006</v>
      </c>
      <c r="Q60" s="457">
        <f>IFERROR(VLOOKUP($F$1,'ALIM BAC relevage'!$C$1:$AK$34,((Q$2-5)*2-1),0),"")</f>
        <v>0</v>
      </c>
      <c r="R60" s="457">
        <f>IFERROR(VLOOKUP($F$1,'ALIM BAC relevage'!$C$1:$AK$34,((R$2-5)*2-1),0),"")</f>
        <v>0</v>
      </c>
      <c r="S60" s="457">
        <f>IFERROR(VLOOKUP($F$1,'ALIM BAC relevage'!$C$1:$AK$34,((S$2-5)*2-1),0),"")</f>
        <v>0</v>
      </c>
      <c r="T60" s="457">
        <f>IFERROR(VLOOKUP($F$1,'ALIM BAC relevage'!$C$1:$AK$34,((T$2-5)*2-1),0),"")</f>
        <v>0</v>
      </c>
      <c r="U60" s="457">
        <f>IFERROR(VLOOKUP($F$1,'ALIM BAC relevage'!$C$1:$AK$34,((U$2-5)*2-1),0),"")</f>
        <v>0</v>
      </c>
      <c r="V60" s="457">
        <f>IFERROR(VLOOKUP($F$1,'ALIM BAC relevage'!$C$1:$AK$34,((V$2-5)*2-1),0),"")</f>
        <v>0</v>
      </c>
      <c r="W60" s="457">
        <f>IFERROR(VLOOKUP($F$1,'ALIM BAC relevage'!$C$1:$AK$34,((W$2-5)*2-1),0),"")</f>
        <v>118.80000000000001</v>
      </c>
    </row>
    <row r="61" spans="1:23" ht="15" customHeight="1" x14ac:dyDescent="0.2">
      <c r="A61" s="308" t="s">
        <v>1350</v>
      </c>
      <c r="B61" s="1666"/>
      <c r="C61" s="1667"/>
      <c r="D61" s="235" t="s">
        <v>1353</v>
      </c>
      <c r="E61" s="301"/>
      <c r="F61" s="301"/>
      <c r="G61" s="457">
        <f>IFERROR(VLOOKUP($F$1,'ALIM FV-FH grav'!$C$1:$U$35,((G$2-5)*2-1),0),"")</f>
        <v>7.2</v>
      </c>
      <c r="H61" s="457">
        <f>IFERROR(VLOOKUP($F$1,'ALIM FV-FH grav'!$C$1:$U$35,((H$2-5)*2-1),0),"")</f>
        <v>7.2</v>
      </c>
      <c r="I61" s="457">
        <f>IFERROR(VLOOKUP($F$1,'ALIM FV-FH grav'!$C$1:$U$35,((I$2-5)*2-1),0),"")</f>
        <v>7.2</v>
      </c>
      <c r="J61" s="457">
        <f>IFERROR(VLOOKUP($F$1,'ALIM FV-FH grav'!$C$1:$U$35,((J$2-5)*2-1),0),"")</f>
        <v>7.2</v>
      </c>
      <c r="K61" s="457">
        <f>IFERROR(VLOOKUP($F$1,'ALIM FV-FH grav'!$C$1:$U$35,((K$2-5)*2-1),0),"")</f>
        <v>7.2</v>
      </c>
      <c r="L61" s="457">
        <f>IFERROR(VLOOKUP($F$1,'ALIM FV-FH grav'!$C$1:$U$35,((L$2-5)*2-1),0),"")</f>
        <v>7.2</v>
      </c>
      <c r="M61" s="457">
        <f>IFERROR(VLOOKUP($F$1,'ALIM FV-FH grav'!$C$1:$U$35,((M$2-5)*2-1),0),"")</f>
        <v>7.2</v>
      </c>
      <c r="N61" s="457">
        <f>IFERROR(VLOOKUP($F$1,'ALIM FV-FH grav'!$C$1:$U$35,((N$2-5)*2-1),0),"")</f>
        <v>7.2</v>
      </c>
      <c r="O61" s="457">
        <f>IFERROR(VLOOKUP($F$1,'ALIM FV-FH grav'!$C$1:$U$35,((O$2-5)*2-1),0),"")</f>
        <v>7.2</v>
      </c>
      <c r="P61" s="457" t="str">
        <f>IFERROR(VLOOKUP($F$1,'ALIM FV-FH grav'!$C$1:$U$35,((P$2-5)*2-1),0),"")</f>
        <v/>
      </c>
      <c r="Q61" s="457" t="str">
        <f>IFERROR(VLOOKUP($F$1,'ALIM FV-FH grav'!$C$1:$U$35,((Q$2-5)*2-1),0),"")</f>
        <v/>
      </c>
      <c r="R61" s="457" t="str">
        <f>IFERROR(VLOOKUP($F$1,'ALIM FV-FH grav'!$C$1:$U$35,((R$2-5)*2-1),0),"")</f>
        <v/>
      </c>
      <c r="S61" s="457" t="str">
        <f>IFERROR(VLOOKUP($F$1,'ALIM FV-FH grav'!$C$1:$U$35,((S$2-5)*2-1),0),"")</f>
        <v/>
      </c>
      <c r="T61" s="457" t="str">
        <f>IFERROR(VLOOKUP($F$1,'ALIM FV-FH grav'!$C$1:$U$35,((T$2-5)*2-1),0),"")</f>
        <v/>
      </c>
      <c r="U61" s="457" t="str">
        <f>IFERROR(VLOOKUP($F$1,'ALIM FV-FH grav'!$C$1:$U$35,((U$2-5)*2-1),0),"")</f>
        <v/>
      </c>
      <c r="V61" s="457" t="str">
        <f>IFERROR(VLOOKUP($F$1,'ALIM FV-FH grav'!$C$1:$U$35,((V$2-5)*2-1),0),"")</f>
        <v/>
      </c>
      <c r="W61" s="457" t="str">
        <f>IFERROR(VLOOKUP($F$1,'ALIM FV-FH grav'!$C$1:$U$35,((W$2-5)*2-1),0),"")</f>
        <v/>
      </c>
    </row>
    <row r="62" spans="1:23" ht="15" customHeight="1" x14ac:dyDescent="0.2">
      <c r="A62" s="308" t="s">
        <v>1351</v>
      </c>
      <c r="B62" s="1666"/>
      <c r="C62" s="1667"/>
      <c r="D62" s="235" t="s">
        <v>1354</v>
      </c>
      <c r="E62" s="301"/>
      <c r="F62" s="301"/>
      <c r="G62" s="457">
        <f>IFERROR(VLOOKUP($F$1,'ALIM FV-FH relevage'!$C$1:$AM$37,((G$2-5)*2-1),0),"")</f>
        <v>0</v>
      </c>
      <c r="H62" s="457">
        <f>IFERROR(VLOOKUP($F$1,'ALIM FV-FH relevage'!$C$1:$AM$37,((H$2-5)*2-1),0),"")</f>
        <v>0</v>
      </c>
      <c r="I62" s="457">
        <f>IFERROR(VLOOKUP($F$1,'ALIM FV-FH relevage'!$C$1:$AM$37,((I$2-5)*2-1),0),"")</f>
        <v>0</v>
      </c>
      <c r="J62" s="457">
        <f>IFERROR(VLOOKUP($F$1,'ALIM FV-FH relevage'!$C$1:$AM$37,((J$2-5)*2-1),0),"")</f>
        <v>0</v>
      </c>
      <c r="K62" s="457">
        <f>IFERROR(VLOOKUP($F$1,'ALIM FV-FH relevage'!$C$1:$AM$37,((K$2-5)*2-1),0),"")</f>
        <v>0</v>
      </c>
      <c r="L62" s="457">
        <f>IFERROR(VLOOKUP($F$1,'ALIM FV-FH relevage'!$C$1:$AM$37,((L$2-5)*2-1),0),"")</f>
        <v>0</v>
      </c>
      <c r="M62" s="457">
        <f>IFERROR(VLOOKUP($F$1,'ALIM FV-FH relevage'!$C$1:$AM$37,((M$2-5)*2-1),0),"")</f>
        <v>0</v>
      </c>
      <c r="N62" s="457">
        <f>IFERROR(VLOOKUP($F$1,'ALIM FV-FH relevage'!$C$1:$AM$37,((N$2-5)*2-1),0),"")</f>
        <v>0</v>
      </c>
      <c r="O62" s="457">
        <f>IFERROR(VLOOKUP($F$1,'ALIM FV-FH relevage'!$C$1:$AM$37,((O$2-5)*2-1),0),"")</f>
        <v>0</v>
      </c>
      <c r="P62" s="457">
        <f>IFERROR(VLOOKUP($F$1,'ALIM FV-FH relevage'!$C$1:$AM$37,((P$2-5)*2-1),0),"")</f>
        <v>0</v>
      </c>
      <c r="Q62" s="457">
        <f>IFERROR(VLOOKUP($F$1,'ALIM FV-FH relevage'!$C$1:$AM$37,((Q$2-5)*2-1),0),"")</f>
        <v>0</v>
      </c>
      <c r="R62" s="457">
        <f>IFERROR(VLOOKUP($F$1,'ALIM FV-FH relevage'!$C$1:$AM$37,((R$2-5)*2-1),0),"")</f>
        <v>0</v>
      </c>
      <c r="S62" s="457">
        <f>IFERROR(VLOOKUP($F$1,'ALIM FV-FH relevage'!$C$1:$AM$37,((S$2-5)*2-1),0),"")</f>
        <v>0</v>
      </c>
      <c r="T62" s="457">
        <f>IFERROR(VLOOKUP($F$1,'ALIM FV-FH relevage'!$C$1:$AM$37,((T$2-5)*2-1),0),"")</f>
        <v>0</v>
      </c>
      <c r="U62" s="457">
        <f>IFERROR(VLOOKUP($F$1,'ALIM FV-FH relevage'!$C$1:$AM$37,((U$2-5)*2-1),0),"")</f>
        <v>0</v>
      </c>
      <c r="V62" s="457">
        <f>IFERROR(VLOOKUP($F$1,'ALIM FV-FH relevage'!$C$1:$AM$37,((V$2-5)*2-1),0),"")</f>
        <v>0</v>
      </c>
      <c r="W62" s="457">
        <f>IFERROR(VLOOKUP($F$1,'ALIM FV-FH relevage'!$C$1:$AM$37,((W$2-5)*2-1),0),"")</f>
        <v>0</v>
      </c>
    </row>
    <row r="63" spans="1:23" ht="15" customHeight="1" x14ac:dyDescent="0.2">
      <c r="A63" s="308"/>
      <c r="B63" s="296"/>
      <c r="C63" s="297"/>
      <c r="D63" s="158"/>
      <c r="E63" s="301"/>
      <c r="F63" s="301"/>
      <c r="G63" s="457"/>
      <c r="H63" s="457"/>
      <c r="I63" s="457"/>
      <c r="J63" s="457"/>
      <c r="K63" s="457"/>
      <c r="L63" s="457"/>
      <c r="M63" s="457"/>
      <c r="N63" s="457"/>
      <c r="O63" s="457"/>
      <c r="P63" s="457"/>
      <c r="Q63" s="457"/>
      <c r="R63" s="457"/>
      <c r="S63" s="457"/>
      <c r="T63" s="457"/>
      <c r="U63" s="457"/>
      <c r="V63" s="457"/>
      <c r="W63" s="457"/>
    </row>
    <row r="64" spans="1:23" ht="15" customHeight="1" x14ac:dyDescent="0.2">
      <c r="A64" s="308" t="s">
        <v>1332</v>
      </c>
      <c r="B64" s="1679" t="s">
        <v>1374</v>
      </c>
      <c r="C64" s="1667"/>
      <c r="D64" s="235" t="s">
        <v>1375</v>
      </c>
      <c r="E64" s="301">
        <f>IFERROR(VLOOKUP($F$1,Distribution!$D$1:$U$34,2,0),"")</f>
        <v>74.25</v>
      </c>
      <c r="F64" s="301"/>
      <c r="G64" s="457"/>
      <c r="H64" s="457"/>
      <c r="I64" s="457"/>
      <c r="J64" s="457"/>
      <c r="K64" s="457"/>
      <c r="L64" s="457"/>
      <c r="M64" s="457"/>
      <c r="N64" s="457"/>
      <c r="O64" s="457"/>
      <c r="P64" s="457"/>
      <c r="Q64" s="457"/>
      <c r="R64" s="457"/>
      <c r="S64" s="457"/>
      <c r="T64" s="457"/>
      <c r="U64" s="457"/>
      <c r="V64" s="457"/>
      <c r="W64" s="457"/>
    </row>
    <row r="65" spans="1:23" ht="15" customHeight="1" x14ac:dyDescent="0.2">
      <c r="A65" s="308" t="s">
        <v>1333</v>
      </c>
      <c r="B65" s="1680"/>
      <c r="C65" s="1667"/>
      <c r="D65" s="235" t="s">
        <v>1376</v>
      </c>
      <c r="E65" s="301">
        <f>IFERROR(VLOOKUP($F$1,Distribution!$D$1:$U$34,4,0),"")</f>
        <v>74.25</v>
      </c>
      <c r="F65" s="301"/>
      <c r="G65" s="457"/>
      <c r="H65" s="457"/>
      <c r="I65" s="457"/>
      <c r="J65" s="457"/>
      <c r="K65" s="457"/>
      <c r="L65" s="457"/>
      <c r="M65" s="457"/>
      <c r="N65" s="457"/>
      <c r="O65" s="457"/>
      <c r="P65" s="457"/>
      <c r="Q65" s="457"/>
      <c r="R65" s="457"/>
      <c r="S65" s="457"/>
      <c r="T65" s="457"/>
      <c r="U65" s="457"/>
      <c r="V65" s="457"/>
      <c r="W65" s="457"/>
    </row>
    <row r="66" spans="1:23" ht="15" customHeight="1" x14ac:dyDescent="0.2">
      <c r="A66" s="308" t="s">
        <v>1334</v>
      </c>
      <c r="B66" s="1680"/>
      <c r="C66" s="1667"/>
      <c r="D66" s="235" t="s">
        <v>1377</v>
      </c>
      <c r="E66" s="301">
        <f>IFERROR(VLOOKUP($F$1,Distribution!$D$1:$U$34,6,0),"")</f>
        <v>74.25</v>
      </c>
      <c r="F66" s="301"/>
      <c r="G66" s="457"/>
      <c r="H66" s="457"/>
      <c r="I66" s="457"/>
      <c r="J66" s="457"/>
      <c r="K66" s="457"/>
      <c r="L66" s="457"/>
      <c r="M66" s="457"/>
      <c r="N66" s="457"/>
      <c r="O66" s="457"/>
      <c r="P66" s="457"/>
      <c r="Q66" s="457"/>
      <c r="R66" s="457"/>
      <c r="S66" s="457"/>
      <c r="T66" s="457"/>
      <c r="U66" s="457"/>
      <c r="V66" s="457"/>
      <c r="W66" s="457"/>
    </row>
    <row r="67" spans="1:23" ht="15" customHeight="1" x14ac:dyDescent="0.2">
      <c r="A67" s="308" t="s">
        <v>1335</v>
      </c>
      <c r="B67" s="1680"/>
      <c r="C67" s="1667"/>
      <c r="D67" s="235" t="s">
        <v>1378</v>
      </c>
      <c r="E67" s="301">
        <f>IFERROR(VLOOKUP($F$1,Distribution!$D$1:$U$34,8,0),"")</f>
        <v>74.25</v>
      </c>
      <c r="F67" s="301"/>
      <c r="G67" s="457"/>
      <c r="H67" s="457"/>
      <c r="I67" s="457"/>
      <c r="J67" s="457"/>
      <c r="K67" s="457"/>
      <c r="L67" s="457"/>
      <c r="M67" s="457"/>
      <c r="N67" s="457"/>
      <c r="O67" s="457"/>
      <c r="P67" s="457"/>
      <c r="Q67" s="457"/>
      <c r="R67" s="457"/>
      <c r="S67" s="457"/>
      <c r="T67" s="457"/>
      <c r="U67" s="457"/>
      <c r="V67" s="457"/>
      <c r="W67" s="457"/>
    </row>
    <row r="68" spans="1:23" ht="15" customHeight="1" x14ac:dyDescent="0.2">
      <c r="A68" s="308" t="s">
        <v>1336</v>
      </c>
      <c r="B68" s="1680"/>
      <c r="C68" s="1667"/>
      <c r="D68" s="235" t="s">
        <v>1379</v>
      </c>
      <c r="E68" s="301">
        <f>IFERROR(VLOOKUP($F$1,Distribution!$D$1:$U$34,10,0),"")</f>
        <v>74.25</v>
      </c>
      <c r="F68" s="301"/>
      <c r="G68" s="457"/>
      <c r="H68" s="457"/>
      <c r="I68" s="457"/>
      <c r="J68" s="457"/>
      <c r="K68" s="457"/>
      <c r="L68" s="457"/>
      <c r="M68" s="457"/>
      <c r="N68" s="457"/>
      <c r="O68" s="457"/>
      <c r="P68" s="457"/>
      <c r="Q68" s="457"/>
      <c r="R68" s="457"/>
      <c r="S68" s="457"/>
      <c r="T68" s="457"/>
      <c r="U68" s="457"/>
      <c r="V68" s="457"/>
      <c r="W68" s="457"/>
    </row>
    <row r="69" spans="1:23" ht="15" customHeight="1" x14ac:dyDescent="0.2">
      <c r="A69" s="308" t="s">
        <v>1337</v>
      </c>
      <c r="B69" s="1680"/>
      <c r="C69" s="1667"/>
      <c r="D69" s="235" t="s">
        <v>1380</v>
      </c>
      <c r="E69" s="301">
        <f>IFERROR(VLOOKUP($F$1,Distribution!$D$1:$U$34,12,0),"")</f>
        <v>74.25</v>
      </c>
      <c r="F69" s="301"/>
      <c r="G69" s="457"/>
      <c r="H69" s="457"/>
      <c r="I69" s="457"/>
      <c r="J69" s="457"/>
      <c r="K69" s="457"/>
      <c r="L69" s="457"/>
      <c r="M69" s="457"/>
      <c r="N69" s="457"/>
      <c r="O69" s="457"/>
      <c r="P69" s="457"/>
      <c r="Q69" s="457"/>
      <c r="R69" s="457"/>
      <c r="S69" s="457"/>
      <c r="T69" s="457"/>
      <c r="U69" s="457"/>
      <c r="V69" s="457"/>
      <c r="W69" s="457"/>
    </row>
    <row r="70" spans="1:23" ht="15" customHeight="1" x14ac:dyDescent="0.2">
      <c r="A70" s="308" t="s">
        <v>1338</v>
      </c>
      <c r="B70" s="1680"/>
      <c r="C70" s="1667"/>
      <c r="D70" s="235" t="s">
        <v>1331</v>
      </c>
      <c r="E70" s="301">
        <f>IFERROR(VLOOKUP($F$1,Distribution!$D$1:$U$34,14,0),"")</f>
        <v>0</v>
      </c>
      <c r="F70" s="301"/>
      <c r="G70" s="457"/>
      <c r="H70" s="457"/>
      <c r="I70" s="457"/>
      <c r="J70" s="457"/>
      <c r="K70" s="457"/>
      <c r="L70" s="457"/>
      <c r="M70" s="457"/>
      <c r="N70" s="457"/>
      <c r="O70" s="457"/>
      <c r="P70" s="457"/>
      <c r="Q70" s="457"/>
      <c r="R70" s="457"/>
      <c r="S70" s="457"/>
      <c r="T70" s="457"/>
      <c r="U70" s="457"/>
      <c r="V70" s="457"/>
      <c r="W70" s="457"/>
    </row>
    <row r="71" spans="1:23" ht="15" customHeight="1" x14ac:dyDescent="0.2">
      <c r="A71" s="308" t="s">
        <v>1339</v>
      </c>
      <c r="B71" s="1680"/>
      <c r="C71" s="1667"/>
      <c r="D71" s="235" t="s">
        <v>1381</v>
      </c>
      <c r="E71" s="301">
        <f>IFERROR(VLOOKUP($F$1,Distribution!$D$1:$U$34,16,0),"")</f>
        <v>0</v>
      </c>
      <c r="F71" s="301"/>
      <c r="G71" s="457"/>
      <c r="H71" s="457"/>
      <c r="I71" s="457"/>
      <c r="J71" s="457"/>
      <c r="K71" s="457"/>
      <c r="L71" s="457"/>
      <c r="M71" s="457"/>
      <c r="N71" s="457"/>
      <c r="O71" s="457"/>
      <c r="P71" s="457"/>
      <c r="Q71" s="457"/>
      <c r="R71" s="457"/>
      <c r="S71" s="457"/>
      <c r="T71" s="457"/>
      <c r="U71" s="457"/>
      <c r="V71" s="457"/>
      <c r="W71" s="457"/>
    </row>
    <row r="72" spans="1:23" ht="15" customHeight="1" x14ac:dyDescent="0.2">
      <c r="A72" s="308" t="s">
        <v>1340</v>
      </c>
      <c r="B72" s="1681"/>
      <c r="C72" s="1667"/>
      <c r="D72" s="235" t="s">
        <v>1382</v>
      </c>
      <c r="E72" s="301">
        <f>IFERROR(VLOOKUP($F$1,Distribution!$D$1:$U$34,18,0),"")</f>
        <v>0</v>
      </c>
      <c r="F72" s="301"/>
      <c r="G72" s="457"/>
      <c r="H72" s="457"/>
      <c r="I72" s="457"/>
      <c r="J72" s="457"/>
      <c r="K72" s="457"/>
      <c r="L72" s="457"/>
      <c r="M72" s="457"/>
      <c r="N72" s="457"/>
      <c r="O72" s="457"/>
      <c r="P72" s="457"/>
      <c r="Q72" s="457"/>
      <c r="R72" s="457"/>
      <c r="S72" s="457"/>
      <c r="T72" s="457"/>
      <c r="U72" s="457"/>
      <c r="V72" s="457"/>
      <c r="W72" s="457"/>
    </row>
    <row r="73" spans="1:23" ht="15" customHeight="1" x14ac:dyDescent="0.2">
      <c r="A73" s="308"/>
      <c r="B73" s="296"/>
      <c r="C73" s="297"/>
      <c r="D73" s="158"/>
      <c r="E73" s="301"/>
      <c r="F73" s="301"/>
      <c r="G73" s="457"/>
      <c r="H73" s="457"/>
      <c r="I73" s="457"/>
      <c r="J73" s="457"/>
      <c r="K73" s="457"/>
      <c r="L73" s="457"/>
      <c r="M73" s="457"/>
      <c r="N73" s="457"/>
      <c r="O73" s="457"/>
      <c r="P73" s="457"/>
      <c r="Q73" s="457"/>
      <c r="R73" s="457"/>
      <c r="S73" s="457"/>
      <c r="T73" s="457"/>
      <c r="U73" s="457"/>
      <c r="V73" s="457"/>
      <c r="W73" s="457"/>
    </row>
    <row r="74" spans="1:23" ht="15" customHeight="1" x14ac:dyDescent="0.2">
      <c r="A74" s="308" t="s">
        <v>608</v>
      </c>
      <c r="B74" s="1666" t="s">
        <v>1345</v>
      </c>
      <c r="C74" s="1667"/>
      <c r="D74" s="235" t="s">
        <v>609</v>
      </c>
      <c r="E74" s="301"/>
      <c r="F74" s="301"/>
      <c r="G74" s="457"/>
      <c r="H74" s="457"/>
      <c r="I74" s="457"/>
      <c r="J74" s="457"/>
      <c r="K74" s="457"/>
      <c r="L74" s="457"/>
      <c r="M74" s="457"/>
      <c r="N74" s="457"/>
      <c r="O74" s="457"/>
      <c r="P74" s="457"/>
      <c r="Q74" s="457"/>
      <c r="R74" s="457"/>
      <c r="S74" s="457"/>
      <c r="T74" s="457"/>
      <c r="U74" s="457"/>
      <c r="V74" s="457"/>
      <c r="W74" s="457"/>
    </row>
    <row r="75" spans="1:23" ht="15" customHeight="1" x14ac:dyDescent="0.2">
      <c r="A75" s="308" t="s">
        <v>610</v>
      </c>
      <c r="B75" s="1666"/>
      <c r="C75" s="1667"/>
      <c r="D75" s="235" t="s">
        <v>611</v>
      </c>
      <c r="E75" s="301"/>
      <c r="F75" s="301"/>
      <c r="G75" s="457"/>
      <c r="H75" s="457"/>
      <c r="I75" s="457"/>
      <c r="J75" s="457"/>
      <c r="K75" s="457"/>
      <c r="L75" s="457"/>
      <c r="M75" s="457"/>
      <c r="N75" s="457"/>
      <c r="O75" s="457"/>
      <c r="P75" s="457"/>
      <c r="Q75" s="457"/>
      <c r="R75" s="457"/>
      <c r="S75" s="457"/>
      <c r="T75" s="457"/>
      <c r="U75" s="457"/>
      <c r="V75" s="457"/>
      <c r="W75" s="457"/>
    </row>
    <row r="76" spans="1:23" ht="15" customHeight="1" x14ac:dyDescent="0.2">
      <c r="A76" s="308" t="s">
        <v>612</v>
      </c>
      <c r="B76" s="1666"/>
      <c r="C76" s="1667"/>
      <c r="D76" s="235" t="s">
        <v>613</v>
      </c>
      <c r="E76" s="301"/>
      <c r="F76" s="301"/>
      <c r="G76" s="457"/>
      <c r="H76" s="457"/>
      <c r="I76" s="457"/>
      <c r="J76" s="457"/>
      <c r="K76" s="457"/>
      <c r="L76" s="457"/>
      <c r="M76" s="457"/>
      <c r="N76" s="457"/>
      <c r="O76" s="457"/>
      <c r="P76" s="457"/>
      <c r="Q76" s="457"/>
      <c r="R76" s="457"/>
      <c r="S76" s="457"/>
      <c r="T76" s="457"/>
      <c r="U76" s="457"/>
      <c r="V76" s="457"/>
      <c r="W76" s="457"/>
    </row>
    <row r="77" spans="1:23" ht="15" customHeight="1" x14ac:dyDescent="0.2">
      <c r="A77" s="308" t="s">
        <v>614</v>
      </c>
      <c r="B77" s="1666"/>
      <c r="C77" s="1667"/>
      <c r="D77" s="235" t="s">
        <v>615</v>
      </c>
      <c r="E77" s="301"/>
      <c r="F77" s="301"/>
      <c r="G77" s="457"/>
      <c r="H77" s="457"/>
      <c r="I77" s="457"/>
      <c r="J77" s="457"/>
      <c r="K77" s="457"/>
      <c r="L77" s="457"/>
      <c r="M77" s="457"/>
      <c r="N77" s="457"/>
      <c r="O77" s="457"/>
      <c r="P77" s="457"/>
      <c r="Q77" s="457"/>
      <c r="R77" s="457"/>
      <c r="S77" s="457"/>
      <c r="T77" s="457"/>
      <c r="U77" s="457"/>
      <c r="V77" s="457"/>
      <c r="W77" s="457"/>
    </row>
    <row r="78" spans="1:23" ht="15" customHeight="1" x14ac:dyDescent="0.2">
      <c r="A78" s="294"/>
      <c r="B78" s="296"/>
      <c r="C78" s="297"/>
      <c r="D78" s="158"/>
      <c r="E78" s="301"/>
      <c r="F78" s="301"/>
      <c r="G78" s="457"/>
      <c r="H78" s="457"/>
      <c r="I78" s="457"/>
      <c r="J78" s="457"/>
      <c r="K78" s="457"/>
      <c r="L78" s="457"/>
      <c r="M78" s="457"/>
      <c r="N78" s="457"/>
      <c r="O78" s="457"/>
      <c r="P78" s="457"/>
      <c r="Q78" s="457"/>
      <c r="R78" s="457"/>
      <c r="S78" s="457"/>
      <c r="T78" s="457"/>
      <c r="U78" s="457"/>
      <c r="V78" s="457"/>
      <c r="W78" s="457"/>
    </row>
    <row r="79" spans="1:23" x14ac:dyDescent="0.2">
      <c r="A79" s="294" t="s">
        <v>478</v>
      </c>
      <c r="B79" s="1664" t="s">
        <v>616</v>
      </c>
      <c r="C79" s="498" t="s">
        <v>478</v>
      </c>
      <c r="D79" s="291" t="s">
        <v>617</v>
      </c>
      <c r="E79" s="301">
        <f>IFERROR(VLOOKUP($F$1,'collecte-exutoire'!$C$1:$O$86,3,0),"")</f>
        <v>0</v>
      </c>
      <c r="F79" s="301"/>
      <c r="G79" s="457"/>
      <c r="H79" s="457"/>
      <c r="I79" s="457"/>
      <c r="J79" s="457"/>
      <c r="K79" s="457"/>
      <c r="L79" s="457"/>
      <c r="M79" s="457"/>
      <c r="N79" s="457"/>
      <c r="O79" s="457"/>
      <c r="P79" s="457"/>
      <c r="Q79" s="457"/>
      <c r="R79" s="457"/>
      <c r="S79" s="457"/>
      <c r="T79" s="457"/>
      <c r="U79" s="457"/>
      <c r="V79" s="457"/>
      <c r="W79" s="457"/>
    </row>
    <row r="80" spans="1:23" x14ac:dyDescent="0.2">
      <c r="A80" s="294" t="s">
        <v>479</v>
      </c>
      <c r="B80" s="1664"/>
      <c r="C80" s="498" t="s">
        <v>479</v>
      </c>
      <c r="D80" s="291" t="s">
        <v>618</v>
      </c>
      <c r="E80" s="301">
        <f>IFERROR(VLOOKUP($F$1,'collecte-exutoire'!$C$1:$O$86,5,0),"")</f>
        <v>0</v>
      </c>
      <c r="F80" s="301"/>
      <c r="G80" s="457"/>
      <c r="H80" s="457"/>
      <c r="I80" s="457"/>
      <c r="J80" s="457"/>
      <c r="K80" s="457"/>
      <c r="L80" s="457"/>
      <c r="M80" s="457"/>
      <c r="N80" s="457"/>
      <c r="O80" s="457"/>
      <c r="P80" s="457"/>
      <c r="Q80" s="457"/>
      <c r="R80" s="457"/>
      <c r="S80" s="457"/>
      <c r="T80" s="457"/>
      <c r="U80" s="457"/>
      <c r="V80" s="457"/>
      <c r="W80" s="457"/>
    </row>
    <row r="81" spans="1:23" x14ac:dyDescent="0.2">
      <c r="A81" s="294" t="s">
        <v>480</v>
      </c>
      <c r="B81" s="1664"/>
      <c r="C81" s="498" t="s">
        <v>480</v>
      </c>
      <c r="D81" s="291" t="s">
        <v>619</v>
      </c>
      <c r="E81" s="301">
        <f>IFERROR(VLOOKUP($F$1,'collecte-exutoire'!$C$1:$O$86,7,0),"")</f>
        <v>0</v>
      </c>
      <c r="F81" s="301"/>
      <c r="G81" s="457"/>
      <c r="H81" s="457"/>
      <c r="I81" s="457"/>
      <c r="J81" s="457"/>
      <c r="K81" s="457"/>
      <c r="L81" s="457"/>
      <c r="M81" s="457"/>
      <c r="N81" s="457"/>
      <c r="O81" s="457"/>
      <c r="P81" s="457"/>
      <c r="Q81" s="457"/>
      <c r="R81" s="457"/>
      <c r="S81" s="457"/>
      <c r="T81" s="457"/>
      <c r="U81" s="457"/>
      <c r="V81" s="457"/>
      <c r="W81" s="457"/>
    </row>
    <row r="82" spans="1:23" ht="15" x14ac:dyDescent="0.2">
      <c r="A82" s="541" t="s">
        <v>1472</v>
      </c>
      <c r="B82" s="542"/>
      <c r="C82" s="543" t="s">
        <v>1472</v>
      </c>
      <c r="D82" s="544" t="s">
        <v>1473</v>
      </c>
      <c r="E82" s="301">
        <f>IFERROR(VLOOKUP($F$1,'collecte-exutoire'!$C$1:$O$86,11,0),"")</f>
        <v>0</v>
      </c>
      <c r="F82" s="301"/>
      <c r="G82" s="457"/>
      <c r="H82" s="457"/>
      <c r="I82" s="457"/>
      <c r="J82" s="457"/>
      <c r="K82" s="457"/>
      <c r="L82" s="457"/>
      <c r="M82" s="457"/>
      <c r="N82" s="457"/>
      <c r="O82" s="457"/>
      <c r="P82" s="457"/>
      <c r="Q82" s="457"/>
      <c r="R82" s="457"/>
      <c r="S82" s="457"/>
      <c r="T82" s="457"/>
      <c r="U82" s="457"/>
      <c r="V82" s="457"/>
      <c r="W82" s="457"/>
    </row>
    <row r="83" spans="1:23" x14ac:dyDescent="0.2">
      <c r="A83" s="7"/>
      <c r="B83" s="3"/>
      <c r="C83" s="3"/>
      <c r="D83" s="3"/>
      <c r="E83" s="301"/>
      <c r="F83" s="301"/>
      <c r="G83" s="457"/>
      <c r="H83" s="457"/>
      <c r="I83" s="457"/>
      <c r="J83" s="457"/>
      <c r="K83" s="457"/>
      <c r="L83" s="457"/>
      <c r="M83" s="457"/>
      <c r="N83" s="457"/>
      <c r="O83" s="457"/>
      <c r="P83" s="457"/>
      <c r="Q83" s="457"/>
      <c r="R83" s="457"/>
      <c r="S83" s="457"/>
      <c r="T83" s="457"/>
      <c r="U83" s="457"/>
      <c r="V83" s="457"/>
      <c r="W83" s="457"/>
    </row>
    <row r="84" spans="1:23" x14ac:dyDescent="0.2">
      <c r="A84" s="294" t="s">
        <v>439</v>
      </c>
      <c r="B84" s="1664" t="s">
        <v>620</v>
      </c>
      <c r="C84" s="498" t="s">
        <v>439</v>
      </c>
      <c r="D84" s="291"/>
      <c r="E84" s="301"/>
      <c r="F84" s="301"/>
      <c r="G84" s="457">
        <f>IFERROR(VLOOKUP($F$1,TCFV!$C$1:$AN$95,((G$2-5)*2-1),0),"")</f>
        <v>28.8</v>
      </c>
      <c r="H84" s="457">
        <f>IFERROR(VLOOKUP($F$1,TCFV!$C$1:$AN$95,((H$2-5)*2-1),0),"")</f>
        <v>28.8</v>
      </c>
      <c r="I84" s="457">
        <f>IFERROR(VLOOKUP($F$1,TCFV!$C$1:$AN$95,((I$2-5)*2-1),0),"")</f>
        <v>35.550000000000004</v>
      </c>
      <c r="J84" s="457">
        <f>IFERROR(VLOOKUP($F$1,TCFV!$C$1:$AN$95,((J$2-5)*2-1),0),"")</f>
        <v>35.550000000000004</v>
      </c>
      <c r="K84" s="457">
        <f>IFERROR(VLOOKUP($F$1,TCFV!$C$1:$AN$95,((K$2-5)*2-1),0),"")</f>
        <v>35.550000000000004</v>
      </c>
      <c r="L84" s="457">
        <f>IFERROR(VLOOKUP($F$1,TCFV!$C$1:$AN$95,((L$2-5)*2-1),0),"")</f>
        <v>35.550000000000004</v>
      </c>
      <c r="M84" s="457">
        <f>IFERROR(VLOOKUP($F$1,TCFV!$C$1:$AN$95,((M$2-5)*2-1),0),"")</f>
        <v>35.550000000000004</v>
      </c>
      <c r="N84" s="457">
        <f>IFERROR(VLOOKUP($F$1,TCFV!$C$1:$AN$95,((N$2-5)*2-1),0),"")</f>
        <v>35.550000000000004</v>
      </c>
      <c r="O84" s="457">
        <f>IFERROR(VLOOKUP($F$1,TCFV!$C$1:$AN$95,((O$2-5)*2-1),0),"")</f>
        <v>35.550000000000004</v>
      </c>
      <c r="P84" s="457">
        <f>IFERROR(VLOOKUP($F$1,TCFV!$C$1:$AN$95,((P$2-5)*2-1),0),"")</f>
        <v>35.550000000000004</v>
      </c>
      <c r="Q84" s="457">
        <f>IFERROR(VLOOKUP($F$1,TCFV!$C$1:$AN$95,((Q$2-5)*2-1),0),"")</f>
        <v>35.550000000000004</v>
      </c>
      <c r="R84" s="457">
        <f>IFERROR(VLOOKUP($F$1,TCFV!$C$1:$AN$95,((R$2-5)*2-1),0),"")</f>
        <v>35.550000000000004</v>
      </c>
      <c r="S84" s="457">
        <f>IFERROR(VLOOKUP($F$1,TCFV!$C$1:$AN$95,((S$2-5)*2-1),0),"")</f>
        <v>35.550000000000004</v>
      </c>
      <c r="T84" s="457">
        <f>IFERROR(VLOOKUP($F$1,TCFV!$C$1:$AN$95,((T$2-5)*2-1),0),"")</f>
        <v>35.550000000000004</v>
      </c>
      <c r="U84" s="457">
        <f>IFERROR(VLOOKUP($F$1,TCFV!$C$1:$AN$95,((U$2-5)*2-1),0),"")</f>
        <v>35.550000000000004</v>
      </c>
      <c r="V84" s="457">
        <f>IFERROR(VLOOKUP($F$1,TCFV!$C$1:$AN$95,((V$2-5)*2-1),0),"")</f>
        <v>35.550000000000004</v>
      </c>
      <c r="W84" s="457">
        <f>IFERROR(VLOOKUP($F$1,TCFV!$C$1:$AN$95,((W$2-5)*2-1),0),"")</f>
        <v>35.550000000000004</v>
      </c>
    </row>
    <row r="85" spans="1:23" x14ac:dyDescent="0.2">
      <c r="A85" s="294" t="s">
        <v>399</v>
      </c>
      <c r="B85" s="1664"/>
      <c r="C85" s="498" t="s">
        <v>399</v>
      </c>
      <c r="D85" s="291"/>
      <c r="E85" s="301"/>
      <c r="F85" s="301"/>
      <c r="G85" s="457">
        <f>IFERROR(VLOOKUP($F$1,TCFH!$C$1:$AN$67,((G$2-5)*2-1),0),"")</f>
        <v>30.150000000000002</v>
      </c>
      <c r="H85" s="457">
        <f>IFERROR(VLOOKUP($F$1,TCFH!$C$1:$AN$67,((H$2-5)*2-1),0),"")</f>
        <v>30.150000000000002</v>
      </c>
      <c r="I85" s="457">
        <f>IFERROR(VLOOKUP($F$1,TCFH!$C$1:$AN$67,((I$2-5)*2-1),0),"")</f>
        <v>30.150000000000002</v>
      </c>
      <c r="J85" s="457">
        <f>IFERROR(VLOOKUP($F$1,TCFH!$C$1:$AN$67,((J$2-5)*2-1),0),"")</f>
        <v>30.150000000000002</v>
      </c>
      <c r="K85" s="457">
        <f>IFERROR(VLOOKUP($F$1,TCFH!$C$1:$AN$67,((K$2-5)*2-1),0),"")</f>
        <v>30.150000000000002</v>
      </c>
      <c r="L85" s="457">
        <f>IFERROR(VLOOKUP($F$1,TCFH!$C$1:$AN$67,((L$2-5)*2-1),0),"")</f>
        <v>30.150000000000002</v>
      </c>
      <c r="M85" s="457">
        <f>IFERROR(VLOOKUP($F$1,TCFH!$C$1:$AN$67,((M$2-5)*2-1),0),"")</f>
        <v>30.150000000000002</v>
      </c>
      <c r="N85" s="457">
        <f>IFERROR(VLOOKUP($F$1,TCFH!$C$1:$AN$67,((N$2-5)*2-1),0),"")</f>
        <v>30.150000000000002</v>
      </c>
      <c r="O85" s="457">
        <f>IFERROR(VLOOKUP($F$1,TCFH!$C$1:$AN$67,((O$2-5)*2-1),0),"")</f>
        <v>30.150000000000002</v>
      </c>
      <c r="P85" s="457">
        <f>IFERROR(VLOOKUP($F$1,TCFH!$C$1:$AN$67,((P$2-5)*2-1),0),"")</f>
        <v>30.150000000000002</v>
      </c>
      <c r="Q85" s="457">
        <f>IFERROR(VLOOKUP($F$1,TCFH!$C$1:$AN$67,((Q$2-5)*2-1),0),"")</f>
        <v>30.150000000000002</v>
      </c>
      <c r="R85" s="457">
        <f>IFERROR(VLOOKUP($F$1,TCFH!$C$1:$AN$67,((R$2-5)*2-1),0),"")</f>
        <v>30.150000000000002</v>
      </c>
      <c r="S85" s="457">
        <f>IFERROR(VLOOKUP($F$1,TCFH!$C$1:$AN$67,((S$2-5)*2-1),0),"")</f>
        <v>30.150000000000002</v>
      </c>
      <c r="T85" s="457">
        <f>IFERROR(VLOOKUP($F$1,TCFH!$C$1:$AN$67,((T$2-5)*2-1),0),"")</f>
        <v>30.150000000000002</v>
      </c>
      <c r="U85" s="457">
        <f>IFERROR(VLOOKUP($F$1,TCFH!$C$1:$AN$67,((U$2-5)*2-1),0),"")</f>
        <v>30.150000000000002</v>
      </c>
      <c r="V85" s="457">
        <f>IFERROR(VLOOKUP($F$1,TCFH!$C$1:$AN$67,((V$2-5)*2-1),0),"")</f>
        <v>30.150000000000002</v>
      </c>
      <c r="W85" s="457">
        <f>IFERROR(VLOOKUP($F$1,TCFH!$C$1:$AN$67,((W$2-5)*2-1),0),"")</f>
        <v>30.150000000000002</v>
      </c>
    </row>
    <row r="86" spans="1:23" x14ac:dyDescent="0.2">
      <c r="A86" s="294" t="s">
        <v>1265</v>
      </c>
      <c r="B86" s="1664"/>
      <c r="C86" s="498" t="s">
        <v>270</v>
      </c>
      <c r="D86" s="291"/>
      <c r="E86" s="301"/>
      <c r="F86" s="301"/>
      <c r="G86" s="457">
        <f>IFERROR(VLOOKUP($F$1,TCBACS!$C$1:$AK$87,((G$2-5)*2-1),0),"")</f>
        <v>0</v>
      </c>
      <c r="H86" s="457">
        <f>IFERROR(VLOOKUP($F$1,TCBACS!$C$1:$AK$87,((H$2-5)*2-1),0),"")</f>
        <v>33.300000000000004</v>
      </c>
      <c r="I86" s="457">
        <f>IFERROR(VLOOKUP($F$1,TCBACS!$C$1:$AK$87,((I$2-5)*2-1),0),"")</f>
        <v>0</v>
      </c>
      <c r="J86" s="457">
        <f>IFERROR(VLOOKUP($F$1,TCBACS!$C$1:$AK$87,((J$2-5)*2-1),0),"")</f>
        <v>53.100000000000009</v>
      </c>
      <c r="K86" s="457">
        <f>IFERROR(VLOOKUP($F$1,TCBACS!$C$1:$AK$87,((K$2-5)*2-1),0),"")</f>
        <v>53.100000000000009</v>
      </c>
      <c r="L86" s="457">
        <f>IFERROR(VLOOKUP($F$1,TCBACS!$C$1:$AK$87,((L$2-5)*2-1),0),"")</f>
        <v>0</v>
      </c>
      <c r="M86" s="457">
        <f>IFERROR(VLOOKUP($F$1,TCBACS!$C$1:$AK$87,((M$2-5)*2-1),0),"")</f>
        <v>0</v>
      </c>
      <c r="N86" s="457">
        <f>IFERROR(VLOOKUP($F$1,TCBACS!$C$1:$AK$87,((N$2-5)*2-1),0),"")</f>
        <v>0</v>
      </c>
      <c r="O86" s="457">
        <f>IFERROR(VLOOKUP($F$1,TCBACS!$C$1:$AK$87,((O$2-5)*2-1),0),"")</f>
        <v>106.20000000000002</v>
      </c>
      <c r="P86" s="457">
        <f>IFERROR(VLOOKUP($F$1,TCBACS!$C$1:$AK$87,((P$2-5)*2-1),0),"")</f>
        <v>106.20000000000002</v>
      </c>
      <c r="Q86" s="457">
        <f>IFERROR(VLOOKUP($F$1,TCBACS!$C$1:$AK$87,((Q$2-5)*2-1),0),"")</f>
        <v>0</v>
      </c>
      <c r="R86" s="457">
        <f>IFERROR(VLOOKUP($F$1,TCBACS!$C$1:$AK$87,((R$2-5)*2-1),0),"")</f>
        <v>0</v>
      </c>
      <c r="S86" s="457">
        <f>IFERROR(VLOOKUP($F$1,TCBACS!$C$1:$AK$87,((S$2-5)*2-1),0),"")</f>
        <v>0</v>
      </c>
      <c r="T86" s="457">
        <f>IFERROR(VLOOKUP($F$1,TCBACS!$C$1:$AK$87,((T$2-5)*2-1),0),"")</f>
        <v>0</v>
      </c>
      <c r="U86" s="457">
        <f>IFERROR(VLOOKUP($F$1,TCBACS!$C$1:$AK$87,((U$2-5)*2-1),0),"")</f>
        <v>0</v>
      </c>
      <c r="V86" s="457">
        <f>IFERROR(VLOOKUP($F$1,TCBACS!$C$1:$AK$87,((V$2-5)*2-1),0),"")</f>
        <v>0</v>
      </c>
      <c r="W86" s="457">
        <f>IFERROR(VLOOKUP($F$1,TCBACS!$C$1:$AK$87,((W$2-5)*2-1),0),"")</f>
        <v>212.40000000000003</v>
      </c>
    </row>
    <row r="87" spans="1:23" x14ac:dyDescent="0.2">
      <c r="A87" s="3"/>
      <c r="B87" s="3"/>
      <c r="C87" s="3"/>
      <c r="D87" s="3"/>
      <c r="E87" s="301"/>
      <c r="F87" s="301"/>
      <c r="G87" s="477"/>
      <c r="H87" s="477"/>
      <c r="I87" s="477"/>
      <c r="J87" s="477"/>
      <c r="K87" s="477"/>
      <c r="L87" s="477"/>
      <c r="M87" s="477"/>
      <c r="N87" s="477"/>
      <c r="O87" s="477"/>
      <c r="P87" s="477"/>
      <c r="Q87" s="477"/>
      <c r="R87" s="477"/>
      <c r="S87" s="477"/>
      <c r="T87" s="477"/>
      <c r="U87" s="477"/>
      <c r="V87" s="477"/>
      <c r="W87" s="477"/>
    </row>
    <row r="88" spans="1:23" x14ac:dyDescent="0.2">
      <c r="A88" s="294" t="s">
        <v>1166</v>
      </c>
      <c r="B88" s="1664" t="s">
        <v>670</v>
      </c>
      <c r="C88" s="498" t="s">
        <v>671</v>
      </c>
      <c r="D88" s="291" t="s">
        <v>672</v>
      </c>
      <c r="E88" s="301"/>
      <c r="F88" s="301"/>
      <c r="G88" s="457">
        <f>IFERROR(VLOOKUP($F$1,'PS1'!$C$1:$AM$36,((G$2-5)*2-1),0),"")</f>
        <v>0</v>
      </c>
      <c r="H88" s="457">
        <f>IFERROR(VLOOKUP($F$1,'PS1'!$C$1:$AM$36,((H$2-5)*2-1),0),"")</f>
        <v>0</v>
      </c>
      <c r="I88" s="457">
        <f>IFERROR(VLOOKUP($F$1,'PS1'!$C$1:$AM$36,((I$2-5)*2-1),0),"")</f>
        <v>0</v>
      </c>
      <c r="J88" s="457">
        <f>IFERROR(VLOOKUP($F$1,'PS1'!$C$1:$AM$36,((J$2-5)*2-1),0),"")</f>
        <v>7.2</v>
      </c>
      <c r="K88" s="457">
        <f>IFERROR(VLOOKUP($F$1,'PS1'!$C$1:$AM$36,((K$2-5)*2-1),0),"")</f>
        <v>0</v>
      </c>
      <c r="L88" s="457">
        <f>IFERROR(VLOOKUP($F$1,'PS1'!$C$1:$AM$36,((L$2-5)*2-1),0),"")</f>
        <v>0</v>
      </c>
      <c r="M88" s="457">
        <f>IFERROR(VLOOKUP($F$1,'PS1'!$C$1:$AM$36,((M$2-5)*2-1),0),"")</f>
        <v>0</v>
      </c>
      <c r="N88" s="457">
        <f>IFERROR(VLOOKUP($F$1,'PS1'!$C$1:$AM$36,((N$2-5)*2-1),0),"")</f>
        <v>0</v>
      </c>
      <c r="O88" s="457">
        <f>IFERROR(VLOOKUP($F$1,'PS1'!$C$1:$AM$36,((O$2-5)*2-1),0),"")</f>
        <v>0</v>
      </c>
      <c r="P88" s="457">
        <f>IFERROR(VLOOKUP($F$1,'PS1'!$C$1:$AM$36,((P$2-5)*2-1),0),"")</f>
        <v>0</v>
      </c>
      <c r="Q88" s="457">
        <f>IFERROR(VLOOKUP($F$1,'PS1'!$C$1:$AM$36,((Q$2-5)*2-1),0),"")</f>
        <v>0</v>
      </c>
      <c r="R88" s="457">
        <f>IFERROR(VLOOKUP($F$1,'PS1'!$C$1:$AM$36,((R$2-5)*2-1),0),"")</f>
        <v>0</v>
      </c>
      <c r="S88" s="457">
        <f>IFERROR(VLOOKUP($F$1,'PS1'!$C$1:$AM$36,((S$2-5)*2-1),0),"")</f>
        <v>0</v>
      </c>
      <c r="T88" s="457">
        <f>IFERROR(VLOOKUP($F$1,'PS1'!$C$1:$AM$36,((T$2-5)*2-1),0),"")</f>
        <v>0</v>
      </c>
      <c r="U88" s="457">
        <f>IFERROR(VLOOKUP($F$1,'PS1'!$C$1:$AM$36,((U$2-5)*2-1),0),"")</f>
        <v>0</v>
      </c>
      <c r="V88" s="457">
        <f>IFERROR(VLOOKUP($F$1,'PS1'!$C$1:$AM$36,((V$2-5)*2-1),0),"")</f>
        <v>0</v>
      </c>
      <c r="W88" s="457">
        <f>IFERROR(VLOOKUP($F$1,'PS1'!$C$1:$AM$36,((W$2-5)*2-1),0),"")</f>
        <v>0</v>
      </c>
    </row>
    <row r="89" spans="1:23" x14ac:dyDescent="0.2">
      <c r="A89" s="294" t="s">
        <v>1167</v>
      </c>
      <c r="B89" s="1664"/>
      <c r="C89" s="498" t="s">
        <v>671</v>
      </c>
      <c r="D89" s="291" t="s">
        <v>673</v>
      </c>
      <c r="E89" s="301"/>
      <c r="F89" s="301"/>
      <c r="G89" s="457"/>
      <c r="H89" s="457"/>
      <c r="I89" s="457"/>
      <c r="J89" s="457"/>
      <c r="K89" s="457"/>
      <c r="L89" s="457"/>
      <c r="M89" s="457"/>
      <c r="N89" s="457"/>
      <c r="O89" s="457"/>
      <c r="P89" s="457"/>
      <c r="Q89" s="457"/>
      <c r="R89" s="457"/>
      <c r="S89" s="457"/>
      <c r="T89" s="457"/>
      <c r="U89" s="457"/>
      <c r="V89" s="457"/>
      <c r="W89" s="457"/>
    </row>
    <row r="90" spans="1:23" x14ac:dyDescent="0.2">
      <c r="A90" s="3"/>
      <c r="B90" s="3"/>
      <c r="C90" s="3"/>
      <c r="D90" s="3"/>
      <c r="E90" s="3"/>
      <c r="F90" s="3"/>
      <c r="G90" s="135"/>
      <c r="H90" s="135"/>
      <c r="I90" s="135"/>
      <c r="J90" s="135"/>
      <c r="K90" s="135"/>
      <c r="L90" s="135"/>
      <c r="M90" s="135"/>
      <c r="N90" s="135"/>
      <c r="O90" s="135"/>
      <c r="P90" s="135"/>
      <c r="Q90" s="135"/>
      <c r="R90" s="135"/>
      <c r="S90" s="135"/>
      <c r="T90" s="135"/>
      <c r="U90" s="135"/>
      <c r="V90" s="135"/>
      <c r="W90" s="135"/>
    </row>
    <row r="91" spans="1:23" ht="15" customHeight="1" x14ac:dyDescent="0.2">
      <c r="A91" s="305" t="s">
        <v>1298</v>
      </c>
      <c r="B91" s="1662" t="s">
        <v>439</v>
      </c>
      <c r="C91" s="1663" t="s">
        <v>652</v>
      </c>
      <c r="D91" s="306" t="s">
        <v>546</v>
      </c>
      <c r="E91" s="301"/>
      <c r="F91" s="301"/>
      <c r="G91" s="457">
        <f t="shared" ref="G91:W91" si="1">IF(G4="","",G$84+G4)</f>
        <v>288.90000000000003</v>
      </c>
      <c r="H91" s="457">
        <f t="shared" si="1"/>
        <v>290.70000000000005</v>
      </c>
      <c r="I91" s="457">
        <f t="shared" si="1"/>
        <v>297.45000000000005</v>
      </c>
      <c r="J91" s="457">
        <f t="shared" si="1"/>
        <v>297.45000000000005</v>
      </c>
      <c r="K91" s="457">
        <f t="shared" si="1"/>
        <v>310.95</v>
      </c>
      <c r="L91" s="457">
        <f t="shared" si="1"/>
        <v>308.70000000000005</v>
      </c>
      <c r="M91" s="457">
        <f t="shared" si="1"/>
        <v>315.45000000000005</v>
      </c>
      <c r="N91" s="457">
        <f t="shared" si="1"/>
        <v>315.45000000000005</v>
      </c>
      <c r="O91" s="457">
        <f t="shared" si="1"/>
        <v>306.45000000000005</v>
      </c>
      <c r="P91" s="457">
        <f t="shared" si="1"/>
        <v>320.85000000000002</v>
      </c>
      <c r="Q91" s="457">
        <f t="shared" si="1"/>
        <v>316.34999999999997</v>
      </c>
      <c r="R91" s="457">
        <f t="shared" si="1"/>
        <v>318.59999999999997</v>
      </c>
      <c r="S91" s="457">
        <f t="shared" si="1"/>
        <v>329.85</v>
      </c>
      <c r="T91" s="457">
        <f t="shared" si="1"/>
        <v>325.35000000000002</v>
      </c>
      <c r="U91" s="457">
        <f t="shared" si="1"/>
        <v>332.1</v>
      </c>
      <c r="V91" s="457">
        <f t="shared" si="1"/>
        <v>329.85</v>
      </c>
      <c r="W91" s="457">
        <f t="shared" si="1"/>
        <v>334.35</v>
      </c>
    </row>
    <row r="92" spans="1:23" ht="15" customHeight="1" x14ac:dyDescent="0.2">
      <c r="A92" s="305" t="s">
        <v>1299</v>
      </c>
      <c r="B92" s="1662"/>
      <c r="C92" s="1663"/>
      <c r="D92" s="235" t="s">
        <v>548</v>
      </c>
      <c r="E92" s="302"/>
      <c r="F92" s="302"/>
      <c r="G92" s="457">
        <f t="shared" ref="G92:W92" si="2">IF(G5="","",G$84+G5)</f>
        <v>182.952</v>
      </c>
      <c r="H92" s="457">
        <f t="shared" si="2"/>
        <v>216.00000000000003</v>
      </c>
      <c r="I92" s="457">
        <f t="shared" si="2"/>
        <v>259.46999999999997</v>
      </c>
      <c r="J92" s="457">
        <f t="shared" si="2"/>
        <v>277.83000000000004</v>
      </c>
      <c r="K92" s="457">
        <f t="shared" si="2"/>
        <v>296.19</v>
      </c>
      <c r="L92" s="457">
        <f t="shared" si="2"/>
        <v>314.55</v>
      </c>
      <c r="M92" s="457">
        <f t="shared" si="2"/>
        <v>332.91</v>
      </c>
      <c r="N92" s="457">
        <f t="shared" si="2"/>
        <v>351.27000000000004</v>
      </c>
      <c r="O92" s="457">
        <f t="shared" si="2"/>
        <v>369.63</v>
      </c>
      <c r="P92" s="457">
        <f t="shared" si="2"/>
        <v>406.35</v>
      </c>
      <c r="Q92" s="457">
        <f t="shared" si="2"/>
        <v>443.07</v>
      </c>
      <c r="R92" s="457">
        <f t="shared" si="2"/>
        <v>461.43</v>
      </c>
      <c r="S92" s="457">
        <f t="shared" si="2"/>
        <v>443.07</v>
      </c>
      <c r="T92" s="457">
        <f t="shared" si="2"/>
        <v>479.79</v>
      </c>
      <c r="U92" s="457">
        <f t="shared" si="2"/>
        <v>498.15</v>
      </c>
      <c r="V92" s="457">
        <f t="shared" si="2"/>
        <v>516.51</v>
      </c>
      <c r="W92" s="457">
        <f t="shared" si="2"/>
        <v>553.2299999999999</v>
      </c>
    </row>
    <row r="93" spans="1:23" ht="15" customHeight="1" x14ac:dyDescent="0.2">
      <c r="A93" s="305" t="s">
        <v>1300</v>
      </c>
      <c r="B93" s="1662"/>
      <c r="C93" s="1663"/>
      <c r="D93" s="235" t="s">
        <v>653</v>
      </c>
      <c r="E93" s="301"/>
      <c r="F93" s="301"/>
      <c r="G93" s="457">
        <f t="shared" ref="G93:W93" si="3">IF(G6="","",G$84+G6)</f>
        <v>260.54999999999995</v>
      </c>
      <c r="H93" s="457">
        <f t="shared" si="3"/>
        <v>305.10000000000002</v>
      </c>
      <c r="I93" s="457">
        <f t="shared" si="3"/>
        <v>361.35</v>
      </c>
      <c r="J93" s="457">
        <f t="shared" si="3"/>
        <v>386.10000000000008</v>
      </c>
      <c r="K93" s="457">
        <f t="shared" si="3"/>
        <v>410.85</v>
      </c>
      <c r="L93" s="457">
        <f t="shared" si="3"/>
        <v>435.6</v>
      </c>
      <c r="M93" s="457">
        <f t="shared" si="3"/>
        <v>460.35000000000008</v>
      </c>
      <c r="N93" s="457">
        <f t="shared" si="3"/>
        <v>485.1</v>
      </c>
      <c r="O93" s="457">
        <f t="shared" si="3"/>
        <v>509.85000000000014</v>
      </c>
      <c r="P93" s="457">
        <f t="shared" si="3"/>
        <v>559.35</v>
      </c>
      <c r="Q93" s="457">
        <f t="shared" si="3"/>
        <v>608.84999999999991</v>
      </c>
      <c r="R93" s="457">
        <f t="shared" si="3"/>
        <v>633.6</v>
      </c>
      <c r="S93" s="457">
        <f t="shared" si="3"/>
        <v>608.84999999999991</v>
      </c>
      <c r="T93" s="457">
        <f t="shared" si="3"/>
        <v>658.34999999999991</v>
      </c>
      <c r="U93" s="457">
        <f t="shared" si="3"/>
        <v>683.1</v>
      </c>
      <c r="V93" s="457">
        <f t="shared" si="3"/>
        <v>707.85</v>
      </c>
      <c r="W93" s="457">
        <f t="shared" si="3"/>
        <v>757.34999999999991</v>
      </c>
    </row>
    <row r="94" spans="1:23" ht="15" customHeight="1" x14ac:dyDescent="0.2">
      <c r="A94" s="305" t="s">
        <v>1301</v>
      </c>
      <c r="B94" s="1662"/>
      <c r="C94" s="1663"/>
      <c r="D94" s="472" t="s">
        <v>551</v>
      </c>
      <c r="E94" s="302"/>
      <c r="F94" s="302"/>
      <c r="G94" s="457">
        <f t="shared" ref="G94:W94" si="4">IF(G7="","",G$84+G7)</f>
        <v>388.8</v>
      </c>
      <c r="H94" s="457">
        <f t="shared" si="4"/>
        <v>28.8</v>
      </c>
      <c r="I94" s="457">
        <f t="shared" si="4"/>
        <v>35.550000000000004</v>
      </c>
      <c r="J94" s="457">
        <f t="shared" si="4"/>
        <v>35.550000000000004</v>
      </c>
      <c r="K94" s="457">
        <f t="shared" si="4"/>
        <v>35.550000000000004</v>
      </c>
      <c r="L94" s="457">
        <f t="shared" si="4"/>
        <v>35.550000000000004</v>
      </c>
      <c r="M94" s="457">
        <f t="shared" si="4"/>
        <v>35.550000000000004</v>
      </c>
      <c r="N94" s="457">
        <f t="shared" si="4"/>
        <v>35.550000000000004</v>
      </c>
      <c r="O94" s="457">
        <f t="shared" si="4"/>
        <v>35.550000000000004</v>
      </c>
      <c r="P94" s="457">
        <f t="shared" si="4"/>
        <v>35.550000000000004</v>
      </c>
      <c r="Q94" s="457">
        <f t="shared" si="4"/>
        <v>35.550000000000004</v>
      </c>
      <c r="R94" s="457">
        <f t="shared" si="4"/>
        <v>35.550000000000004</v>
      </c>
      <c r="S94" s="457">
        <f t="shared" si="4"/>
        <v>35.550000000000004</v>
      </c>
      <c r="T94" s="457">
        <f t="shared" si="4"/>
        <v>35.550000000000004</v>
      </c>
      <c r="U94" s="457">
        <f t="shared" si="4"/>
        <v>35.550000000000004</v>
      </c>
      <c r="V94" s="457">
        <f t="shared" si="4"/>
        <v>35.550000000000004</v>
      </c>
      <c r="W94" s="457">
        <f t="shared" si="4"/>
        <v>35.550000000000004</v>
      </c>
    </row>
    <row r="95" spans="1:23" ht="15" customHeight="1" x14ac:dyDescent="0.2">
      <c r="A95" s="305" t="s">
        <v>1302</v>
      </c>
      <c r="B95" s="1662"/>
      <c r="C95" s="1661" t="s">
        <v>654</v>
      </c>
      <c r="D95" s="307" t="s">
        <v>657</v>
      </c>
      <c r="E95" s="301"/>
      <c r="F95" s="301"/>
      <c r="G95" s="457">
        <f t="shared" ref="G95:W95" si="5">IF(G8="","",G$84+G8)</f>
        <v>115.64999999999999</v>
      </c>
      <c r="H95" s="457">
        <f t="shared" si="5"/>
        <v>127.80000000000001</v>
      </c>
      <c r="I95" s="457">
        <f t="shared" si="5"/>
        <v>148.05000000000001</v>
      </c>
      <c r="J95" s="457">
        <f t="shared" si="5"/>
        <v>154.80000000000001</v>
      </c>
      <c r="K95" s="457">
        <f t="shared" si="5"/>
        <v>161.54999999999998</v>
      </c>
      <c r="L95" s="457">
        <f t="shared" si="5"/>
        <v>168.3</v>
      </c>
      <c r="M95" s="457">
        <f t="shared" si="5"/>
        <v>175.05000000000004</v>
      </c>
      <c r="N95" s="457">
        <f t="shared" si="5"/>
        <v>181.8</v>
      </c>
      <c r="O95" s="457">
        <f t="shared" si="5"/>
        <v>188.55000000000004</v>
      </c>
      <c r="P95" s="457">
        <f t="shared" si="5"/>
        <v>202.05</v>
      </c>
      <c r="Q95" s="457">
        <f t="shared" si="5"/>
        <v>215.55</v>
      </c>
      <c r="R95" s="457">
        <f t="shared" si="5"/>
        <v>222.30000000000004</v>
      </c>
      <c r="S95" s="457">
        <f t="shared" si="5"/>
        <v>215.55</v>
      </c>
      <c r="T95" s="457">
        <f t="shared" si="5"/>
        <v>229.05</v>
      </c>
      <c r="U95" s="457">
        <f t="shared" si="5"/>
        <v>235.8</v>
      </c>
      <c r="V95" s="457">
        <f t="shared" si="5"/>
        <v>242.55000000000004</v>
      </c>
      <c r="W95" s="457">
        <f t="shared" si="5"/>
        <v>256.05</v>
      </c>
    </row>
    <row r="96" spans="1:23" ht="15" customHeight="1" x14ac:dyDescent="0.2">
      <c r="A96" s="305" t="s">
        <v>1303</v>
      </c>
      <c r="B96" s="1662"/>
      <c r="C96" s="1661"/>
      <c r="D96" s="306" t="s">
        <v>546</v>
      </c>
      <c r="E96" s="301"/>
      <c r="F96" s="301"/>
      <c r="G96" s="457">
        <f t="shared" ref="G96:W96" si="6">IF(G9="","",G$84+G9)</f>
        <v>173.70000000000002</v>
      </c>
      <c r="H96" s="457">
        <f t="shared" si="6"/>
        <v>175.50000000000003</v>
      </c>
      <c r="I96" s="457">
        <f t="shared" si="6"/>
        <v>182.25000000000003</v>
      </c>
      <c r="J96" s="457">
        <f t="shared" si="6"/>
        <v>184.5</v>
      </c>
      <c r="K96" s="457">
        <f t="shared" si="6"/>
        <v>195.75</v>
      </c>
      <c r="L96" s="457">
        <f t="shared" si="6"/>
        <v>193.50000000000003</v>
      </c>
      <c r="M96" s="457">
        <f t="shared" si="6"/>
        <v>200.25000000000003</v>
      </c>
      <c r="N96" s="457">
        <f t="shared" si="6"/>
        <v>200.25000000000003</v>
      </c>
      <c r="O96" s="457">
        <f t="shared" si="6"/>
        <v>204.75</v>
      </c>
      <c r="P96" s="457">
        <f t="shared" si="6"/>
        <v>213.75</v>
      </c>
      <c r="Q96" s="457">
        <f t="shared" si="6"/>
        <v>213.75000000000003</v>
      </c>
      <c r="R96" s="457">
        <f t="shared" si="6"/>
        <v>202.5</v>
      </c>
      <c r="S96" s="457">
        <f t="shared" si="6"/>
        <v>213.75</v>
      </c>
      <c r="T96" s="457">
        <f t="shared" si="6"/>
        <v>213.75</v>
      </c>
      <c r="U96" s="457">
        <f t="shared" si="6"/>
        <v>216.00000000000003</v>
      </c>
      <c r="V96" s="457">
        <f t="shared" si="6"/>
        <v>222.75000000000003</v>
      </c>
      <c r="W96" s="457">
        <f t="shared" si="6"/>
        <v>227.25</v>
      </c>
    </row>
    <row r="97" spans="1:23" ht="15" customHeight="1" x14ac:dyDescent="0.2">
      <c r="A97" s="305" t="s">
        <v>1304</v>
      </c>
      <c r="B97" s="1662"/>
      <c r="C97" s="1661"/>
      <c r="D97" s="235" t="s">
        <v>653</v>
      </c>
      <c r="E97" s="302"/>
      <c r="F97" s="302"/>
      <c r="G97" s="457">
        <f t="shared" ref="G97:W97" si="7">IF(G10="","",G$84+G10)</f>
        <v>163.30312499999999</v>
      </c>
      <c r="H97" s="457">
        <f t="shared" si="7"/>
        <v>186.50625000000002</v>
      </c>
      <c r="I97" s="457">
        <f t="shared" si="7"/>
        <v>219.03750000000002</v>
      </c>
      <c r="J97" s="457">
        <f t="shared" si="7"/>
        <v>231.92812500000005</v>
      </c>
      <c r="K97" s="457">
        <f t="shared" si="7"/>
        <v>244.81875000000002</v>
      </c>
      <c r="L97" s="457">
        <f t="shared" si="7"/>
        <v>257.70937500000002</v>
      </c>
      <c r="M97" s="457">
        <f t="shared" si="7"/>
        <v>270.60000000000002</v>
      </c>
      <c r="N97" s="457">
        <f t="shared" si="7"/>
        <v>283.49062500000002</v>
      </c>
      <c r="O97" s="457">
        <f t="shared" si="7"/>
        <v>296.38125000000002</v>
      </c>
      <c r="P97" s="457">
        <f t="shared" si="7"/>
        <v>322.16250000000002</v>
      </c>
      <c r="Q97" s="457">
        <f t="shared" si="7"/>
        <v>347.94375000000008</v>
      </c>
      <c r="R97" s="457">
        <f t="shared" si="7"/>
        <v>360.83437500000002</v>
      </c>
      <c r="S97" s="457">
        <f t="shared" si="7"/>
        <v>347.94375000000008</v>
      </c>
      <c r="T97" s="457">
        <f t="shared" si="7"/>
        <v>373.72500000000002</v>
      </c>
      <c r="U97" s="457">
        <f t="shared" si="7"/>
        <v>386.61562500000008</v>
      </c>
      <c r="V97" s="457">
        <f t="shared" si="7"/>
        <v>399.50625000000008</v>
      </c>
      <c r="W97" s="457">
        <f t="shared" si="7"/>
        <v>425.28750000000008</v>
      </c>
    </row>
    <row r="98" spans="1:23" ht="15" customHeight="1" x14ac:dyDescent="0.2">
      <c r="A98" s="305" t="s">
        <v>1305</v>
      </c>
      <c r="B98" s="1662"/>
      <c r="C98" s="1661" t="s">
        <v>523</v>
      </c>
      <c r="D98" s="471" t="s">
        <v>656</v>
      </c>
      <c r="E98" s="301"/>
      <c r="F98" s="301"/>
      <c r="G98" s="457">
        <f t="shared" ref="G98:W98" si="8">IF(G11="","",G$84+G11)</f>
        <v>163.30312499999999</v>
      </c>
      <c r="H98" s="457">
        <f t="shared" si="8"/>
        <v>186.50625000000002</v>
      </c>
      <c r="I98" s="457">
        <f t="shared" si="8"/>
        <v>219.03750000000002</v>
      </c>
      <c r="J98" s="457">
        <f t="shared" si="8"/>
        <v>231.92812500000005</v>
      </c>
      <c r="K98" s="457">
        <f t="shared" si="8"/>
        <v>244.81875000000002</v>
      </c>
      <c r="L98" s="457">
        <f t="shared" si="8"/>
        <v>257.70937500000002</v>
      </c>
      <c r="M98" s="457">
        <f t="shared" si="8"/>
        <v>270.60000000000002</v>
      </c>
      <c r="N98" s="457">
        <f t="shared" si="8"/>
        <v>283.49062500000002</v>
      </c>
      <c r="O98" s="457">
        <f t="shared" si="8"/>
        <v>296.38125000000002</v>
      </c>
      <c r="P98" s="457">
        <f t="shared" si="8"/>
        <v>322.16250000000002</v>
      </c>
      <c r="Q98" s="457">
        <f t="shared" si="8"/>
        <v>347.94375000000008</v>
      </c>
      <c r="R98" s="457">
        <f t="shared" si="8"/>
        <v>360.83437500000002</v>
      </c>
      <c r="S98" s="457">
        <f t="shared" si="8"/>
        <v>347.94375000000008</v>
      </c>
      <c r="T98" s="457">
        <f t="shared" si="8"/>
        <v>373.72500000000002</v>
      </c>
      <c r="U98" s="457">
        <f t="shared" si="8"/>
        <v>386.61562500000008</v>
      </c>
      <c r="V98" s="457">
        <f t="shared" si="8"/>
        <v>399.50625000000008</v>
      </c>
      <c r="W98" s="457">
        <f t="shared" si="8"/>
        <v>425.28750000000008</v>
      </c>
    </row>
    <row r="99" spans="1:23" ht="15" customHeight="1" x14ac:dyDescent="0.2">
      <c r="A99" s="305" t="s">
        <v>1306</v>
      </c>
      <c r="B99" s="1662"/>
      <c r="C99" s="1661"/>
      <c r="D99" s="307" t="s">
        <v>657</v>
      </c>
      <c r="E99" s="302"/>
      <c r="F99" s="302"/>
      <c r="G99" s="457">
        <f t="shared" ref="G99:W99" si="9">IF(G12="","",G$84+G12)</f>
        <v>182.07</v>
      </c>
      <c r="H99" s="457">
        <f t="shared" si="9"/>
        <v>208.8</v>
      </c>
      <c r="I99" s="457">
        <f t="shared" si="9"/>
        <v>245.25000000000003</v>
      </c>
      <c r="J99" s="457">
        <f t="shared" si="9"/>
        <v>260.10000000000002</v>
      </c>
      <c r="K99" s="457">
        <f t="shared" si="9"/>
        <v>274.95</v>
      </c>
      <c r="L99" s="457">
        <f t="shared" si="9"/>
        <v>289.8</v>
      </c>
      <c r="M99" s="457">
        <f t="shared" si="9"/>
        <v>304.65000000000009</v>
      </c>
      <c r="N99" s="457">
        <f t="shared" si="9"/>
        <v>319.50000000000006</v>
      </c>
      <c r="O99" s="457">
        <f t="shared" si="9"/>
        <v>334.35000000000008</v>
      </c>
      <c r="P99" s="457">
        <f t="shared" si="9"/>
        <v>364.05000000000007</v>
      </c>
      <c r="Q99" s="457">
        <f t="shared" si="9"/>
        <v>393.75000000000011</v>
      </c>
      <c r="R99" s="457">
        <f t="shared" si="9"/>
        <v>408.60000000000008</v>
      </c>
      <c r="S99" s="457">
        <f t="shared" si="9"/>
        <v>393.75000000000011</v>
      </c>
      <c r="T99" s="457">
        <f t="shared" si="9"/>
        <v>423.45000000000005</v>
      </c>
      <c r="U99" s="457">
        <f t="shared" si="9"/>
        <v>438.30000000000007</v>
      </c>
      <c r="V99" s="457">
        <f t="shared" si="9"/>
        <v>453.15000000000003</v>
      </c>
      <c r="W99" s="457">
        <f t="shared" si="9"/>
        <v>482.84999999999997</v>
      </c>
    </row>
    <row r="100" spans="1:23" ht="15" customHeight="1" x14ac:dyDescent="0.2">
      <c r="A100" s="305" t="s">
        <v>1307</v>
      </c>
      <c r="B100" s="1670" t="s">
        <v>399</v>
      </c>
      <c r="C100" s="1661" t="s">
        <v>545</v>
      </c>
      <c r="D100" s="306" t="s">
        <v>546</v>
      </c>
      <c r="E100" s="301"/>
      <c r="F100" s="301"/>
      <c r="G100" s="457" t="str">
        <f t="shared" ref="G100:W100" si="10">IF(G13="","",G$85+G13)</f>
        <v/>
      </c>
      <c r="H100" s="457" t="str">
        <f t="shared" si="10"/>
        <v/>
      </c>
      <c r="I100" s="457" t="str">
        <f t="shared" si="10"/>
        <v/>
      </c>
      <c r="J100" s="457" t="str">
        <f t="shared" si="10"/>
        <v/>
      </c>
      <c r="K100" s="457" t="str">
        <f t="shared" si="10"/>
        <v/>
      </c>
      <c r="L100" s="457" t="str">
        <f t="shared" si="10"/>
        <v/>
      </c>
      <c r="M100" s="457" t="str">
        <f t="shared" si="10"/>
        <v/>
      </c>
      <c r="N100" s="457" t="str">
        <f t="shared" si="10"/>
        <v/>
      </c>
      <c r="O100" s="457" t="str">
        <f t="shared" si="10"/>
        <v/>
      </c>
      <c r="P100" s="457" t="str">
        <f t="shared" si="10"/>
        <v/>
      </c>
      <c r="Q100" s="457" t="str">
        <f t="shared" si="10"/>
        <v/>
      </c>
      <c r="R100" s="457" t="str">
        <f t="shared" si="10"/>
        <v/>
      </c>
      <c r="S100" s="457" t="str">
        <f t="shared" si="10"/>
        <v/>
      </c>
      <c r="T100" s="457" t="str">
        <f t="shared" si="10"/>
        <v/>
      </c>
      <c r="U100" s="457" t="str">
        <f t="shared" si="10"/>
        <v/>
      </c>
      <c r="V100" s="457" t="str">
        <f t="shared" si="10"/>
        <v/>
      </c>
      <c r="W100" s="457" t="str">
        <f t="shared" si="10"/>
        <v/>
      </c>
    </row>
    <row r="101" spans="1:23" ht="15" customHeight="1" x14ac:dyDescent="0.2">
      <c r="A101" s="305" t="s">
        <v>1308</v>
      </c>
      <c r="B101" s="1670"/>
      <c r="C101" s="1661"/>
      <c r="D101" s="235" t="s">
        <v>548</v>
      </c>
      <c r="E101" s="302"/>
      <c r="F101" s="302"/>
      <c r="G101" s="457" t="str">
        <f t="shared" ref="G101:W101" si="11">IF(G14="","",G$85+G14)</f>
        <v/>
      </c>
      <c r="H101" s="457" t="str">
        <f t="shared" si="11"/>
        <v/>
      </c>
      <c r="I101" s="457" t="str">
        <f t="shared" si="11"/>
        <v/>
      </c>
      <c r="J101" s="457" t="str">
        <f t="shared" si="11"/>
        <v/>
      </c>
      <c r="K101" s="457" t="str">
        <f t="shared" si="11"/>
        <v/>
      </c>
      <c r="L101" s="457" t="str">
        <f t="shared" si="11"/>
        <v/>
      </c>
      <c r="M101" s="457" t="str">
        <f t="shared" si="11"/>
        <v/>
      </c>
      <c r="N101" s="457" t="str">
        <f t="shared" si="11"/>
        <v/>
      </c>
      <c r="O101" s="457" t="str">
        <f t="shared" si="11"/>
        <v/>
      </c>
      <c r="P101" s="457" t="str">
        <f t="shared" si="11"/>
        <v/>
      </c>
      <c r="Q101" s="457" t="str">
        <f t="shared" si="11"/>
        <v/>
      </c>
      <c r="R101" s="457" t="str">
        <f t="shared" si="11"/>
        <v/>
      </c>
      <c r="S101" s="457" t="str">
        <f t="shared" si="11"/>
        <v/>
      </c>
      <c r="T101" s="457" t="str">
        <f t="shared" si="11"/>
        <v/>
      </c>
      <c r="U101" s="457" t="str">
        <f t="shared" si="11"/>
        <v/>
      </c>
      <c r="V101" s="457" t="str">
        <f t="shared" si="11"/>
        <v/>
      </c>
      <c r="W101" s="457" t="str">
        <f t="shared" si="11"/>
        <v/>
      </c>
    </row>
    <row r="102" spans="1:23" ht="15" customHeight="1" x14ac:dyDescent="0.2">
      <c r="A102" s="305" t="s">
        <v>1309</v>
      </c>
      <c r="B102" s="1670"/>
      <c r="C102" s="1661"/>
      <c r="D102" s="235" t="s">
        <v>653</v>
      </c>
      <c r="E102" s="301"/>
      <c r="F102" s="301"/>
      <c r="G102" s="457" t="str">
        <f t="shared" ref="G102:W102" si="12">IF(G15="","",G$85+G15)</f>
        <v/>
      </c>
      <c r="H102" s="457" t="str">
        <f t="shared" si="12"/>
        <v/>
      </c>
      <c r="I102" s="457" t="str">
        <f t="shared" si="12"/>
        <v/>
      </c>
      <c r="J102" s="457" t="str">
        <f t="shared" si="12"/>
        <v/>
      </c>
      <c r="K102" s="457" t="str">
        <f t="shared" si="12"/>
        <v/>
      </c>
      <c r="L102" s="457" t="str">
        <f t="shared" si="12"/>
        <v/>
      </c>
      <c r="M102" s="457" t="str">
        <f t="shared" si="12"/>
        <v/>
      </c>
      <c r="N102" s="457" t="str">
        <f t="shared" si="12"/>
        <v/>
      </c>
      <c r="O102" s="457" t="str">
        <f t="shared" si="12"/>
        <v/>
      </c>
      <c r="P102" s="457" t="str">
        <f t="shared" si="12"/>
        <v/>
      </c>
      <c r="Q102" s="457" t="str">
        <f t="shared" si="12"/>
        <v/>
      </c>
      <c r="R102" s="457" t="str">
        <f t="shared" si="12"/>
        <v/>
      </c>
      <c r="S102" s="457" t="str">
        <f t="shared" si="12"/>
        <v/>
      </c>
      <c r="T102" s="457" t="str">
        <f t="shared" si="12"/>
        <v/>
      </c>
      <c r="U102" s="457" t="str">
        <f t="shared" si="12"/>
        <v/>
      </c>
      <c r="V102" s="457" t="str">
        <f t="shared" si="12"/>
        <v/>
      </c>
      <c r="W102" s="457" t="str">
        <f t="shared" si="12"/>
        <v/>
      </c>
    </row>
    <row r="103" spans="1:23" ht="15" customHeight="1" x14ac:dyDescent="0.2">
      <c r="A103" s="305" t="s">
        <v>1310</v>
      </c>
      <c r="B103" s="1670"/>
      <c r="C103" s="1661"/>
      <c r="D103" s="235" t="s">
        <v>551</v>
      </c>
      <c r="E103" s="302"/>
      <c r="F103" s="302"/>
      <c r="G103" s="457" t="str">
        <f t="shared" ref="G103:W103" si="13">IF(G16="","",G$85+G16)</f>
        <v/>
      </c>
      <c r="H103" s="457" t="str">
        <f t="shared" si="13"/>
        <v/>
      </c>
      <c r="I103" s="457" t="str">
        <f t="shared" si="13"/>
        <v/>
      </c>
      <c r="J103" s="457" t="str">
        <f t="shared" si="13"/>
        <v/>
      </c>
      <c r="K103" s="457" t="str">
        <f t="shared" si="13"/>
        <v/>
      </c>
      <c r="L103" s="457" t="str">
        <f t="shared" si="13"/>
        <v/>
      </c>
      <c r="M103" s="457" t="str">
        <f t="shared" si="13"/>
        <v/>
      </c>
      <c r="N103" s="457" t="str">
        <f t="shared" si="13"/>
        <v/>
      </c>
      <c r="O103" s="457" t="str">
        <f t="shared" si="13"/>
        <v/>
      </c>
      <c r="P103" s="457" t="str">
        <f t="shared" si="13"/>
        <v/>
      </c>
      <c r="Q103" s="457" t="str">
        <f t="shared" si="13"/>
        <v/>
      </c>
      <c r="R103" s="457" t="str">
        <f t="shared" si="13"/>
        <v/>
      </c>
      <c r="S103" s="457" t="str">
        <f t="shared" si="13"/>
        <v/>
      </c>
      <c r="T103" s="457" t="str">
        <f t="shared" si="13"/>
        <v/>
      </c>
      <c r="U103" s="457" t="str">
        <f t="shared" si="13"/>
        <v/>
      </c>
      <c r="V103" s="457" t="str">
        <f t="shared" si="13"/>
        <v/>
      </c>
      <c r="W103" s="457" t="str">
        <f t="shared" si="13"/>
        <v/>
      </c>
    </row>
    <row r="104" spans="1:23" ht="15" customHeight="1" x14ac:dyDescent="0.2">
      <c r="A104" s="305" t="s">
        <v>1311</v>
      </c>
      <c r="B104" s="1670"/>
      <c r="C104" s="1661" t="s">
        <v>555</v>
      </c>
      <c r="D104" s="235" t="s">
        <v>655</v>
      </c>
      <c r="E104" s="301"/>
      <c r="F104" s="301"/>
      <c r="G104" s="457" t="str">
        <f t="shared" ref="G104:W104" si="14">IF(G17="","",G$85+G17)</f>
        <v/>
      </c>
      <c r="H104" s="457" t="str">
        <f t="shared" si="14"/>
        <v/>
      </c>
      <c r="I104" s="457" t="str">
        <f t="shared" si="14"/>
        <v/>
      </c>
      <c r="J104" s="457" t="str">
        <f t="shared" si="14"/>
        <v/>
      </c>
      <c r="K104" s="457" t="str">
        <f t="shared" si="14"/>
        <v/>
      </c>
      <c r="L104" s="457" t="str">
        <f t="shared" si="14"/>
        <v/>
      </c>
      <c r="M104" s="457" t="str">
        <f t="shared" si="14"/>
        <v/>
      </c>
      <c r="N104" s="457" t="str">
        <f t="shared" si="14"/>
        <v/>
      </c>
      <c r="O104" s="457" t="str">
        <f t="shared" si="14"/>
        <v/>
      </c>
      <c r="P104" s="457" t="str">
        <f t="shared" si="14"/>
        <v/>
      </c>
      <c r="Q104" s="457" t="str">
        <f t="shared" si="14"/>
        <v/>
      </c>
      <c r="R104" s="457" t="str">
        <f t="shared" si="14"/>
        <v/>
      </c>
      <c r="S104" s="457" t="str">
        <f t="shared" si="14"/>
        <v/>
      </c>
      <c r="T104" s="457" t="str">
        <f t="shared" si="14"/>
        <v/>
      </c>
      <c r="U104" s="457" t="str">
        <f t="shared" si="14"/>
        <v/>
      </c>
      <c r="V104" s="457" t="str">
        <f t="shared" si="14"/>
        <v/>
      </c>
      <c r="W104" s="457" t="str">
        <f t="shared" si="14"/>
        <v/>
      </c>
    </row>
    <row r="105" spans="1:23" ht="15" customHeight="1" x14ac:dyDescent="0.2">
      <c r="A105" s="305" t="s">
        <v>1312</v>
      </c>
      <c r="B105" s="1670"/>
      <c r="C105" s="1661"/>
      <c r="D105" s="306" t="s">
        <v>546</v>
      </c>
      <c r="E105" s="301"/>
      <c r="F105" s="301"/>
      <c r="G105" s="457" t="str">
        <f t="shared" ref="G105:W105" si="15">IF(G18="","",G$85+G18)</f>
        <v/>
      </c>
      <c r="H105" s="457" t="str">
        <f t="shared" si="15"/>
        <v/>
      </c>
      <c r="I105" s="457" t="str">
        <f t="shared" si="15"/>
        <v/>
      </c>
      <c r="J105" s="457" t="str">
        <f t="shared" si="15"/>
        <v/>
      </c>
      <c r="K105" s="457" t="str">
        <f t="shared" si="15"/>
        <v/>
      </c>
      <c r="L105" s="457" t="str">
        <f t="shared" si="15"/>
        <v/>
      </c>
      <c r="M105" s="457" t="str">
        <f t="shared" si="15"/>
        <v/>
      </c>
      <c r="N105" s="457" t="str">
        <f t="shared" si="15"/>
        <v/>
      </c>
      <c r="O105" s="457" t="str">
        <f t="shared" si="15"/>
        <v/>
      </c>
      <c r="P105" s="457" t="str">
        <f t="shared" si="15"/>
        <v/>
      </c>
      <c r="Q105" s="457" t="str">
        <f t="shared" si="15"/>
        <v/>
      </c>
      <c r="R105" s="457" t="str">
        <f t="shared" si="15"/>
        <v/>
      </c>
      <c r="S105" s="457" t="str">
        <f t="shared" si="15"/>
        <v/>
      </c>
      <c r="T105" s="457" t="str">
        <f t="shared" si="15"/>
        <v/>
      </c>
      <c r="U105" s="457" t="str">
        <f t="shared" si="15"/>
        <v/>
      </c>
      <c r="V105" s="457" t="str">
        <f t="shared" si="15"/>
        <v/>
      </c>
      <c r="W105" s="457" t="str">
        <f t="shared" si="15"/>
        <v/>
      </c>
    </row>
    <row r="106" spans="1:23" ht="15.6" customHeight="1" x14ac:dyDescent="0.2">
      <c r="A106" s="305" t="s">
        <v>1313</v>
      </c>
      <c r="B106" s="1670"/>
      <c r="C106" s="1661"/>
      <c r="D106" s="235" t="s">
        <v>653</v>
      </c>
      <c r="E106" s="302"/>
      <c r="F106" s="302"/>
      <c r="G106" s="457" t="str">
        <f t="shared" ref="G106:W106" si="16">IF(G19="","",G$85+G19)</f>
        <v/>
      </c>
      <c r="H106" s="457" t="str">
        <f t="shared" si="16"/>
        <v/>
      </c>
      <c r="I106" s="457" t="str">
        <f t="shared" si="16"/>
        <v/>
      </c>
      <c r="J106" s="457" t="str">
        <f t="shared" si="16"/>
        <v/>
      </c>
      <c r="K106" s="457" t="str">
        <f t="shared" si="16"/>
        <v/>
      </c>
      <c r="L106" s="457" t="str">
        <f t="shared" si="16"/>
        <v/>
      </c>
      <c r="M106" s="457" t="str">
        <f t="shared" si="16"/>
        <v/>
      </c>
      <c r="N106" s="457" t="str">
        <f t="shared" si="16"/>
        <v/>
      </c>
      <c r="O106" s="457" t="str">
        <f t="shared" si="16"/>
        <v/>
      </c>
      <c r="P106" s="457" t="str">
        <f t="shared" si="16"/>
        <v/>
      </c>
      <c r="Q106" s="457" t="str">
        <f t="shared" si="16"/>
        <v/>
      </c>
      <c r="R106" s="457" t="str">
        <f t="shared" si="16"/>
        <v/>
      </c>
      <c r="S106" s="457" t="str">
        <f t="shared" si="16"/>
        <v/>
      </c>
      <c r="T106" s="457" t="str">
        <f t="shared" si="16"/>
        <v/>
      </c>
      <c r="U106" s="457" t="str">
        <f t="shared" si="16"/>
        <v/>
      </c>
      <c r="V106" s="457" t="str">
        <f t="shared" si="16"/>
        <v/>
      </c>
      <c r="W106" s="457" t="str">
        <f t="shared" si="16"/>
        <v/>
      </c>
    </row>
    <row r="107" spans="1:23" ht="15" customHeight="1" x14ac:dyDescent="0.2">
      <c r="A107" s="305" t="s">
        <v>1314</v>
      </c>
      <c r="B107" s="1670"/>
      <c r="C107" s="1672" t="s">
        <v>523</v>
      </c>
      <c r="D107" s="307" t="s">
        <v>656</v>
      </c>
      <c r="E107" s="301"/>
      <c r="F107" s="301"/>
      <c r="G107" s="457" t="str">
        <f t="shared" ref="G107:W107" si="17">IF(G20="","",G$85+G20)</f>
        <v/>
      </c>
      <c r="H107" s="457" t="str">
        <f t="shared" si="17"/>
        <v/>
      </c>
      <c r="I107" s="457" t="str">
        <f t="shared" si="17"/>
        <v/>
      </c>
      <c r="J107" s="457" t="str">
        <f t="shared" si="17"/>
        <v/>
      </c>
      <c r="K107" s="457" t="str">
        <f t="shared" si="17"/>
        <v/>
      </c>
      <c r="L107" s="457" t="str">
        <f t="shared" si="17"/>
        <v/>
      </c>
      <c r="M107" s="457" t="str">
        <f t="shared" si="17"/>
        <v/>
      </c>
      <c r="N107" s="457" t="str">
        <f t="shared" si="17"/>
        <v/>
      </c>
      <c r="O107" s="457" t="str">
        <f t="shared" si="17"/>
        <v/>
      </c>
      <c r="P107" s="457" t="str">
        <f t="shared" si="17"/>
        <v/>
      </c>
      <c r="Q107" s="457" t="str">
        <f t="shared" si="17"/>
        <v/>
      </c>
      <c r="R107" s="457" t="str">
        <f t="shared" si="17"/>
        <v/>
      </c>
      <c r="S107" s="457" t="str">
        <f t="shared" si="17"/>
        <v/>
      </c>
      <c r="T107" s="457" t="str">
        <f t="shared" si="17"/>
        <v/>
      </c>
      <c r="U107" s="457" t="str">
        <f t="shared" si="17"/>
        <v/>
      </c>
      <c r="V107" s="457" t="str">
        <f t="shared" si="17"/>
        <v/>
      </c>
      <c r="W107" s="457" t="str">
        <f t="shared" si="17"/>
        <v/>
      </c>
    </row>
    <row r="108" spans="1:23" ht="15" customHeight="1" x14ac:dyDescent="0.2">
      <c r="A108" s="305" t="s">
        <v>1315</v>
      </c>
      <c r="B108" s="1670"/>
      <c r="C108" s="1663"/>
      <c r="D108" s="235" t="s">
        <v>657</v>
      </c>
      <c r="E108" s="301"/>
      <c r="F108" s="301"/>
      <c r="G108" s="457">
        <f t="shared" ref="G108:W108" si="18">IF(G21="","",G$85+G21)</f>
        <v>165.15000000000003</v>
      </c>
      <c r="H108" s="457">
        <f t="shared" si="18"/>
        <v>210.15</v>
      </c>
      <c r="I108" s="457">
        <f t="shared" si="18"/>
        <v>228.15000000000003</v>
      </c>
      <c r="J108" s="457">
        <f t="shared" si="18"/>
        <v>259.65000000000003</v>
      </c>
      <c r="K108" s="457">
        <f t="shared" si="18"/>
        <v>291.15000000000003</v>
      </c>
      <c r="L108" s="457">
        <f t="shared" si="18"/>
        <v>322.64999999999998</v>
      </c>
      <c r="M108" s="457">
        <f t="shared" si="18"/>
        <v>354.15</v>
      </c>
      <c r="N108" s="457">
        <f t="shared" si="18"/>
        <v>350.54999999999995</v>
      </c>
      <c r="O108" s="457">
        <f t="shared" si="18"/>
        <v>376.65000000000003</v>
      </c>
      <c r="P108" s="457">
        <f t="shared" si="18"/>
        <v>424.34999999999997</v>
      </c>
      <c r="Q108" s="457">
        <f t="shared" si="18"/>
        <v>428.84999999999997</v>
      </c>
      <c r="R108" s="457">
        <f t="shared" si="18"/>
        <v>452.25000000000011</v>
      </c>
      <c r="S108" s="457">
        <f t="shared" si="18"/>
        <v>456.75000000000006</v>
      </c>
      <c r="T108" s="457">
        <f t="shared" si="18"/>
        <v>485.54999999999995</v>
      </c>
      <c r="U108" s="457">
        <f t="shared" si="18"/>
        <v>525.15</v>
      </c>
      <c r="V108" s="457">
        <f t="shared" si="18"/>
        <v>529.65</v>
      </c>
      <c r="W108" s="457">
        <f t="shared" si="18"/>
        <v>553.05000000000007</v>
      </c>
    </row>
    <row r="109" spans="1:23" ht="15" customHeight="1" x14ac:dyDescent="0.2">
      <c r="A109" s="305" t="s">
        <v>1316</v>
      </c>
      <c r="B109" s="468"/>
      <c r="C109" s="469"/>
      <c r="D109" s="306"/>
      <c r="E109" s="301"/>
      <c r="F109" s="301"/>
      <c r="G109" s="457"/>
      <c r="H109" s="457"/>
      <c r="I109" s="457"/>
      <c r="J109" s="457"/>
      <c r="K109" s="457"/>
      <c r="L109" s="457"/>
      <c r="M109" s="457"/>
      <c r="N109" s="457"/>
      <c r="O109" s="457"/>
      <c r="P109" s="457"/>
      <c r="Q109" s="457"/>
      <c r="R109" s="457"/>
      <c r="S109" s="457"/>
      <c r="T109" s="457"/>
      <c r="U109" s="457"/>
      <c r="V109" s="457"/>
      <c r="W109" s="457"/>
    </row>
    <row r="110" spans="1:23" ht="15" customHeight="1" x14ac:dyDescent="0.2">
      <c r="A110" s="305" t="s">
        <v>558</v>
      </c>
      <c r="B110" s="1668" t="s">
        <v>408</v>
      </c>
      <c r="C110" s="499" t="s">
        <v>562</v>
      </c>
      <c r="D110" s="235"/>
      <c r="E110" s="301"/>
      <c r="F110" s="301"/>
      <c r="G110" s="457">
        <f t="shared" ref="G110:W110" si="19">IF(G22="","",G$86+G22)</f>
        <v>0</v>
      </c>
      <c r="H110" s="457">
        <f t="shared" si="19"/>
        <v>33.300000000000004</v>
      </c>
      <c r="I110" s="457">
        <f t="shared" si="19"/>
        <v>0</v>
      </c>
      <c r="J110" s="457">
        <f t="shared" si="19"/>
        <v>53.100000000000009</v>
      </c>
      <c r="K110" s="457">
        <f t="shared" si="19"/>
        <v>53.100000000000009</v>
      </c>
      <c r="L110" s="457">
        <f t="shared" si="19"/>
        <v>0</v>
      </c>
      <c r="M110" s="457">
        <f t="shared" si="19"/>
        <v>0</v>
      </c>
      <c r="N110" s="457">
        <f t="shared" si="19"/>
        <v>0</v>
      </c>
      <c r="O110" s="457">
        <f t="shared" si="19"/>
        <v>106.20000000000002</v>
      </c>
      <c r="P110" s="457">
        <f t="shared" si="19"/>
        <v>106.20000000000002</v>
      </c>
      <c r="Q110" s="457">
        <f t="shared" si="19"/>
        <v>0</v>
      </c>
      <c r="R110" s="457">
        <f t="shared" si="19"/>
        <v>0</v>
      </c>
      <c r="S110" s="457">
        <f t="shared" si="19"/>
        <v>0</v>
      </c>
      <c r="T110" s="457">
        <f t="shared" si="19"/>
        <v>0</v>
      </c>
      <c r="U110" s="457">
        <f t="shared" si="19"/>
        <v>0</v>
      </c>
      <c r="V110" s="457">
        <f t="shared" si="19"/>
        <v>0</v>
      </c>
      <c r="W110" s="457">
        <f t="shared" si="19"/>
        <v>212.40000000000003</v>
      </c>
    </row>
    <row r="111" spans="1:23" ht="15" customHeight="1" x14ac:dyDescent="0.2">
      <c r="A111" s="305" t="s">
        <v>559</v>
      </c>
      <c r="B111" s="1668"/>
      <c r="C111" s="499" t="s">
        <v>654</v>
      </c>
      <c r="D111" s="235"/>
      <c r="E111" s="301"/>
      <c r="F111" s="301"/>
      <c r="G111" s="457">
        <f t="shared" ref="G111:W111" si="20">IF(G23="","",G$86+G23)</f>
        <v>0</v>
      </c>
      <c r="H111" s="457">
        <f t="shared" si="20"/>
        <v>33.300000000000004</v>
      </c>
      <c r="I111" s="457">
        <f t="shared" si="20"/>
        <v>0</v>
      </c>
      <c r="J111" s="457">
        <f t="shared" si="20"/>
        <v>53.100000000000009</v>
      </c>
      <c r="K111" s="457">
        <f t="shared" si="20"/>
        <v>53.100000000000009</v>
      </c>
      <c r="L111" s="457">
        <f t="shared" si="20"/>
        <v>0</v>
      </c>
      <c r="M111" s="457">
        <f t="shared" si="20"/>
        <v>0</v>
      </c>
      <c r="N111" s="457">
        <f t="shared" si="20"/>
        <v>0</v>
      </c>
      <c r="O111" s="457">
        <f t="shared" si="20"/>
        <v>106.20000000000002</v>
      </c>
      <c r="P111" s="457">
        <f t="shared" si="20"/>
        <v>106.20000000000002</v>
      </c>
      <c r="Q111" s="457">
        <f t="shared" si="20"/>
        <v>0</v>
      </c>
      <c r="R111" s="457">
        <f t="shared" si="20"/>
        <v>0</v>
      </c>
      <c r="S111" s="457">
        <f t="shared" si="20"/>
        <v>0</v>
      </c>
      <c r="T111" s="457">
        <f t="shared" si="20"/>
        <v>0</v>
      </c>
      <c r="U111" s="457">
        <f t="shared" si="20"/>
        <v>0</v>
      </c>
      <c r="V111" s="457">
        <f t="shared" si="20"/>
        <v>0</v>
      </c>
      <c r="W111" s="457">
        <f t="shared" si="20"/>
        <v>212.40000000000003</v>
      </c>
    </row>
    <row r="112" spans="1:23" ht="15" customHeight="1" x14ac:dyDescent="0.2">
      <c r="A112" s="305" t="s">
        <v>560</v>
      </c>
      <c r="B112" s="1668"/>
      <c r="C112" s="498" t="s">
        <v>523</v>
      </c>
      <c r="D112" s="235"/>
      <c r="E112" s="301"/>
      <c r="F112" s="301"/>
      <c r="G112" s="457">
        <f t="shared" ref="G112:W112" si="21">IF(G24="","",G$86+G24)</f>
        <v>0</v>
      </c>
      <c r="H112" s="457">
        <f t="shared" si="21"/>
        <v>33.300000000000004</v>
      </c>
      <c r="I112" s="457">
        <f t="shared" si="21"/>
        <v>0</v>
      </c>
      <c r="J112" s="457">
        <f t="shared" si="21"/>
        <v>53.100000000000009</v>
      </c>
      <c r="K112" s="457">
        <f t="shared" si="21"/>
        <v>53.100000000000009</v>
      </c>
      <c r="L112" s="457">
        <f t="shared" si="21"/>
        <v>0</v>
      </c>
      <c r="M112" s="457">
        <f t="shared" si="21"/>
        <v>0</v>
      </c>
      <c r="N112" s="457">
        <f t="shared" si="21"/>
        <v>0</v>
      </c>
      <c r="O112" s="457">
        <f t="shared" si="21"/>
        <v>106.20000000000002</v>
      </c>
      <c r="P112" s="457">
        <f t="shared" si="21"/>
        <v>106.20000000000002</v>
      </c>
      <c r="Q112" s="457">
        <f t="shared" si="21"/>
        <v>0</v>
      </c>
      <c r="R112" s="457">
        <f t="shared" si="21"/>
        <v>0</v>
      </c>
      <c r="S112" s="457">
        <f t="shared" si="21"/>
        <v>0</v>
      </c>
      <c r="T112" s="457">
        <f t="shared" si="21"/>
        <v>0</v>
      </c>
      <c r="U112" s="457">
        <f t="shared" si="21"/>
        <v>0</v>
      </c>
      <c r="V112" s="457">
        <f t="shared" si="21"/>
        <v>0</v>
      </c>
      <c r="W112" s="457">
        <f t="shared" si="21"/>
        <v>212.40000000000003</v>
      </c>
    </row>
  </sheetData>
  <mergeCells count="39">
    <mergeCell ref="B100:B108"/>
    <mergeCell ref="C100:C103"/>
    <mergeCell ref="C104:C106"/>
    <mergeCell ref="C107:C108"/>
    <mergeCell ref="B110:B112"/>
    <mergeCell ref="B79:B81"/>
    <mergeCell ref="B84:B86"/>
    <mergeCell ref="B88:B89"/>
    <mergeCell ref="B91:B99"/>
    <mergeCell ref="C91:C94"/>
    <mergeCell ref="C95:C97"/>
    <mergeCell ref="C98:C99"/>
    <mergeCell ref="B74:B77"/>
    <mergeCell ref="C74:C77"/>
    <mergeCell ref="B22:B24"/>
    <mergeCell ref="B25:B26"/>
    <mergeCell ref="B27:B28"/>
    <mergeCell ref="B32:B36"/>
    <mergeCell ref="B48:B51"/>
    <mergeCell ref="B53:B57"/>
    <mergeCell ref="C53:C57"/>
    <mergeCell ref="B59:B62"/>
    <mergeCell ref="C59:C62"/>
    <mergeCell ref="B64:B72"/>
    <mergeCell ref="C64:C67"/>
    <mergeCell ref="C68:C72"/>
    <mergeCell ref="B38:B46"/>
    <mergeCell ref="A1:A3"/>
    <mergeCell ref="B1:B3"/>
    <mergeCell ref="C1:C3"/>
    <mergeCell ref="C4:C7"/>
    <mergeCell ref="B4:B12"/>
    <mergeCell ref="C8:C10"/>
    <mergeCell ref="C11:C12"/>
    <mergeCell ref="F1:F2"/>
    <mergeCell ref="C13:C16"/>
    <mergeCell ref="C17:C19"/>
    <mergeCell ref="B13:B21"/>
    <mergeCell ref="C20:C21"/>
  </mergeCells>
  <pageMargins left="0.70000000000000007" right="0.70000000000000007" top="1.1437007874015745" bottom="1.1437007874015745" header="0.74999999999999989" footer="0.74999999999999989"/>
  <pageSetup paperSize="9" fitToWidth="0" fitToHeight="0" orientation="portrait" r:id="rId1"/>
  <headerFooter alignWithMargins="0"/>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published="0" codeName="Feuil43"/>
  <dimension ref="A1:W112"/>
  <sheetViews>
    <sheetView zoomScale="85" zoomScaleNormal="85" workbookViewId="0">
      <pane xSplit="5" ySplit="3" topLeftCell="F35" activePane="bottomRight" state="frozen"/>
      <selection pane="topRight" activeCell="F1" sqref="F1"/>
      <selection pane="bottomLeft" activeCell="A4" sqref="A4"/>
      <selection pane="bottomRight" activeCell="H53" sqref="H53"/>
    </sheetView>
  </sheetViews>
  <sheetFormatPr baseColWidth="10" defaultColWidth="11.125" defaultRowHeight="14.25" x14ac:dyDescent="0.2"/>
  <cols>
    <col min="1" max="1" width="7.625" customWidth="1"/>
    <col min="2" max="2" width="20.125" customWidth="1"/>
    <col min="3" max="3" width="41.125" customWidth="1"/>
    <col min="4" max="4" width="38.5" customWidth="1"/>
    <col min="5" max="6" width="11.5" customWidth="1"/>
    <col min="7" max="792" width="10.625" customWidth="1"/>
  </cols>
  <sheetData>
    <row r="1" spans="1:23" ht="9.6" customHeight="1" x14ac:dyDescent="0.2">
      <c r="A1" s="1669" t="s">
        <v>543</v>
      </c>
      <c r="B1" s="1677" t="s">
        <v>443</v>
      </c>
      <c r="C1" s="1678" t="s">
        <v>635</v>
      </c>
      <c r="D1" s="470" t="s">
        <v>636</v>
      </c>
      <c r="E1" s="497" t="s">
        <v>637</v>
      </c>
      <c r="F1" s="1675" t="s">
        <v>459</v>
      </c>
      <c r="G1" s="3">
        <v>2</v>
      </c>
      <c r="H1" s="3">
        <v>3</v>
      </c>
      <c r="I1" s="3">
        <v>4</v>
      </c>
      <c r="J1" s="3">
        <v>5</v>
      </c>
      <c r="K1" s="3">
        <v>6</v>
      </c>
      <c r="L1" s="3">
        <v>7</v>
      </c>
      <c r="M1" s="3">
        <v>8</v>
      </c>
      <c r="N1" s="3">
        <v>9</v>
      </c>
      <c r="O1" s="3">
        <v>10</v>
      </c>
      <c r="P1" s="3" t="s">
        <v>460</v>
      </c>
      <c r="Q1" s="3" t="s">
        <v>461</v>
      </c>
      <c r="R1" s="3" t="s">
        <v>462</v>
      </c>
      <c r="S1" s="3" t="s">
        <v>463</v>
      </c>
      <c r="T1" s="3">
        <v>16</v>
      </c>
      <c r="U1" s="3" t="s">
        <v>464</v>
      </c>
      <c r="V1" s="3" t="s">
        <v>465</v>
      </c>
      <c r="W1" s="3" t="s">
        <v>466</v>
      </c>
    </row>
    <row r="2" spans="1:23" ht="8.1" customHeight="1" x14ac:dyDescent="0.2">
      <c r="A2" s="1669"/>
      <c r="B2" s="1677"/>
      <c r="C2" s="1678"/>
      <c r="D2" s="470"/>
      <c r="E2" s="497"/>
      <c r="F2" s="1676"/>
      <c r="G2" s="3">
        <f>COLUMN(G1)</f>
        <v>7</v>
      </c>
      <c r="H2" s="3">
        <f t="shared" ref="H2:W2" si="0">COLUMN(H1)</f>
        <v>8</v>
      </c>
      <c r="I2" s="3">
        <f t="shared" si="0"/>
        <v>9</v>
      </c>
      <c r="J2" s="3">
        <f t="shared" si="0"/>
        <v>10</v>
      </c>
      <c r="K2" s="3">
        <f t="shared" si="0"/>
        <v>11</v>
      </c>
      <c r="L2" s="3">
        <f t="shared" si="0"/>
        <v>12</v>
      </c>
      <c r="M2" s="3">
        <f t="shared" si="0"/>
        <v>13</v>
      </c>
      <c r="N2" s="3">
        <f t="shared" si="0"/>
        <v>14</v>
      </c>
      <c r="O2" s="3">
        <f t="shared" si="0"/>
        <v>15</v>
      </c>
      <c r="P2" s="3">
        <f t="shared" si="0"/>
        <v>16</v>
      </c>
      <c r="Q2" s="3">
        <f t="shared" si="0"/>
        <v>17</v>
      </c>
      <c r="R2" s="3">
        <f t="shared" si="0"/>
        <v>18</v>
      </c>
      <c r="S2" s="3">
        <f t="shared" si="0"/>
        <v>19</v>
      </c>
      <c r="T2" s="3">
        <f t="shared" si="0"/>
        <v>20</v>
      </c>
      <c r="U2" s="3">
        <f t="shared" si="0"/>
        <v>21</v>
      </c>
      <c r="V2" s="3">
        <f t="shared" si="0"/>
        <v>22</v>
      </c>
      <c r="W2" s="3">
        <f t="shared" si="0"/>
        <v>23</v>
      </c>
    </row>
    <row r="3" spans="1:23" ht="36.6" customHeight="1" x14ac:dyDescent="0.2">
      <c r="A3" s="1669"/>
      <c r="B3" s="1677"/>
      <c r="C3" s="1678"/>
      <c r="D3" s="470"/>
      <c r="E3" s="304" t="s">
        <v>622</v>
      </c>
      <c r="F3" s="500"/>
      <c r="G3" s="300" t="s">
        <v>638</v>
      </c>
      <c r="H3" s="129" t="s">
        <v>639</v>
      </c>
      <c r="I3" s="129" t="s">
        <v>640</v>
      </c>
      <c r="J3" s="129" t="s">
        <v>641</v>
      </c>
      <c r="K3" s="129" t="s">
        <v>642</v>
      </c>
      <c r="L3" s="129" t="s">
        <v>643</v>
      </c>
      <c r="M3" s="129" t="s">
        <v>644</v>
      </c>
      <c r="N3" s="129" t="s">
        <v>645</v>
      </c>
      <c r="O3" s="129" t="s">
        <v>646</v>
      </c>
      <c r="P3" s="129" t="s">
        <v>647</v>
      </c>
      <c r="Q3" s="129" t="s">
        <v>647</v>
      </c>
      <c r="R3" s="129" t="s">
        <v>648</v>
      </c>
      <c r="S3" s="129" t="s">
        <v>648</v>
      </c>
      <c r="T3" s="129" t="s">
        <v>649</v>
      </c>
      <c r="U3" s="129" t="s">
        <v>650</v>
      </c>
      <c r="V3" s="129" t="s">
        <v>650</v>
      </c>
      <c r="W3" s="129" t="s">
        <v>651</v>
      </c>
    </row>
    <row r="4" spans="1:23" ht="15" customHeight="1" x14ac:dyDescent="0.2">
      <c r="A4" s="305" t="s">
        <v>544</v>
      </c>
      <c r="B4" s="1662" t="s">
        <v>439</v>
      </c>
      <c r="C4" s="1663" t="s">
        <v>652</v>
      </c>
      <c r="D4" s="306" t="s">
        <v>546</v>
      </c>
      <c r="E4" s="301" t="s">
        <v>223</v>
      </c>
      <c r="F4" s="301"/>
      <c r="G4" s="457">
        <f>IFERROR(VLOOKUP($F$1,'FV1'!$C$1:$AM$51,((G$2-5)*2-1),0),"")</f>
        <v>292.07699999999994</v>
      </c>
      <c r="H4" s="457">
        <f>IFERROR(VLOOKUP($F$1,'FV1'!$C$1:$AM$51,((H$2-5)*2-1),0),"")</f>
        <v>350.77499999999998</v>
      </c>
      <c r="I4" s="457">
        <f>IFERROR(VLOOKUP($F$1,'FV1'!$C$1:$AM$51,((I$2-5)*2-1),0),"")</f>
        <v>409.995</v>
      </c>
      <c r="J4" s="457">
        <f>IFERROR(VLOOKUP($F$1,'FV1'!$C$1:$AM$51,((J$2-5)*2-1),0),"")</f>
        <v>439.60500000000002</v>
      </c>
      <c r="K4" s="457">
        <f>IFERROR(VLOOKUP($F$1,'FV1'!$C$1:$AM$51,((K$2-5)*2-1),0),"")</f>
        <v>482.71500000000003</v>
      </c>
      <c r="L4" s="457">
        <f>IFERROR(VLOOKUP($F$1,'FV1'!$C$1:$AM$51,((L$2-5)*2-1),0),"")</f>
        <v>519.07500000000005</v>
      </c>
      <c r="M4" s="457">
        <f>IFERROR(VLOOKUP($F$1,'FV1'!$C$1:$AM$51,((M$2-5)*2-1),0),"")</f>
        <v>555.43499999999995</v>
      </c>
      <c r="N4" s="457">
        <f>IFERROR(VLOOKUP($F$1,'FV1'!$C$1:$AM$51,((N$2-5)*2-1),0),"")</f>
        <v>585.04499999999996</v>
      </c>
      <c r="O4" s="457">
        <f>IFERROR(VLOOKUP($F$1,'FV1'!$C$1:$AM$51,((O$2-5)*2-1),0),"")</f>
        <v>614.65499999999997</v>
      </c>
      <c r="P4" s="457">
        <f>IFERROR(VLOOKUP($F$1,'FV1'!$C$1:$AM$51,((P$2-5)*2-1),0),"")</f>
        <v>700.875</v>
      </c>
      <c r="Q4" s="457">
        <f>IFERROR(VLOOKUP($F$1,'FV1'!$C$1:$AM$51,((Q$2-5)*2-1),0),"")</f>
        <v>746.59500000000003</v>
      </c>
      <c r="R4" s="457">
        <f>IFERROR(VLOOKUP($F$1,'FV1'!$C$1:$AM$51,((R$2-5)*2-1),0),"")</f>
        <v>782.95500000000004</v>
      </c>
      <c r="S4" s="457">
        <f>IFERROR(VLOOKUP($F$1,'FV1'!$C$1:$AM$51,((S$2-5)*2-1),0),"")</f>
        <v>760.09500000000003</v>
      </c>
      <c r="T4" s="457">
        <f>IFERROR(VLOOKUP($F$1,'FV1'!$C$1:$AM$51,((T$2-5)*2-1),0),"")</f>
        <v>819.31500000000005</v>
      </c>
      <c r="U4" s="457">
        <f>IFERROR(VLOOKUP($F$1,'FV1'!$C$1:$AM$51,((U$2-5)*2-1),0),"")</f>
        <v>855.67500000000018</v>
      </c>
      <c r="V4" s="457">
        <f>IFERROR(VLOOKUP($F$1,'FV1'!$C$1:$AM$51,((V$2-5)*2-1),0),"")</f>
        <v>878.53499999999997</v>
      </c>
      <c r="W4" s="457">
        <f>IFERROR(VLOOKUP($F$1,'FV1'!$C$1:$AM$51,((W$2-5)*2-1),0),"")</f>
        <v>937.75499999999988</v>
      </c>
    </row>
    <row r="5" spans="1:23" ht="15" customHeight="1" x14ac:dyDescent="0.2">
      <c r="A5" s="305" t="s">
        <v>547</v>
      </c>
      <c r="B5" s="1662"/>
      <c r="C5" s="1663"/>
      <c r="D5" s="235" t="s">
        <v>548</v>
      </c>
      <c r="E5" s="302" t="s">
        <v>223</v>
      </c>
      <c r="F5" s="302"/>
      <c r="G5" s="457">
        <f>IFERROR(VLOOKUP($F$1,'FV2'!$C$1:$AM$37,((G$2-5)*2-1),0),"")</f>
        <v>408.15000000000003</v>
      </c>
      <c r="H5" s="457">
        <f>IFERROR(VLOOKUP($F$1,'FV2'!$C$1:$AM$37,((H$2-5)*2-1),0),"")</f>
        <v>497.92500000000007</v>
      </c>
      <c r="I5" s="457">
        <f>IFERROR(VLOOKUP($F$1,'FV2'!$C$1:$AM$37,((I$2-5)*2-1),0),"")</f>
        <v>594.67500000000018</v>
      </c>
      <c r="J5" s="457">
        <f>IFERROR(VLOOKUP($F$1,'FV2'!$C$1:$AM$37,((J$2-5)*2-1),0),"")</f>
        <v>646.42499999999995</v>
      </c>
      <c r="K5" s="457">
        <f>IFERROR(VLOOKUP($F$1,'FV2'!$C$1:$AM$37,((K$2-5)*2-1),0),"")</f>
        <v>698.17500000000007</v>
      </c>
      <c r="L5" s="457">
        <f>IFERROR(VLOOKUP($F$1,'FV2'!$C$1:$AM$37,((L$2-5)*2-1),0),"")</f>
        <v>749.92499999999995</v>
      </c>
      <c r="M5" s="457">
        <f>IFERROR(VLOOKUP($F$1,'FV2'!$C$1:$AM$37,((M$2-5)*2-1),0),"")</f>
        <v>801.67500000000018</v>
      </c>
      <c r="N5" s="457">
        <f>IFERROR(VLOOKUP($F$1,'FV2'!$C$1:$AM$37,((N$2-5)*2-1),0),"")</f>
        <v>850.05000000000018</v>
      </c>
      <c r="O5" s="457">
        <f>IFERROR(VLOOKUP($F$1,'FV2'!$C$1:$AM$37,((O$2-5)*2-1),0),"")</f>
        <v>898.42500000000018</v>
      </c>
      <c r="P5" s="457">
        <f>IFERROR(VLOOKUP($F$1,'FV2'!$C$1:$AM$37,((P$2-5)*2-1),0),"")</f>
        <v>995.17500000000007</v>
      </c>
      <c r="Q5" s="457">
        <f>IFERROR(VLOOKUP($F$1,'FV2'!$C$1:$AM$37,((Q$2-5)*2-1),0),"")</f>
        <v>1085.175</v>
      </c>
      <c r="R5" s="457">
        <f>IFERROR(VLOOKUP($F$1,'FV2'!$C$1:$AM$37,((R$2-5)*2-1),0),"")</f>
        <v>1136.925</v>
      </c>
      <c r="S5" s="457">
        <f>IFERROR(VLOOKUP($F$1,'FV2'!$C$1:$AM$37,((S$2-5)*2-1),0),"")</f>
        <v>1091.925</v>
      </c>
      <c r="T5" s="457">
        <f>IFERROR(VLOOKUP($F$1,'FV2'!$C$1:$AM$37,((T$2-5)*2-1),0),"")</f>
        <v>1188.6750000000002</v>
      </c>
      <c r="U5" s="457">
        <f>IFERROR(VLOOKUP($F$1,'FV2'!$C$1:$AM$37,((U$2-5)*2-1),0),"")</f>
        <v>1240.425</v>
      </c>
      <c r="V5" s="457">
        <f>IFERROR(VLOOKUP($F$1,'FV2'!$C$1:$AM$37,((V$2-5)*2-1),0),"")</f>
        <v>1285.4250000000002</v>
      </c>
      <c r="W5" s="457">
        <f>IFERROR(VLOOKUP($F$1,'FV2'!$C$1:$AM$37,((W$2-5)*2-1),0),"")</f>
        <v>1382.1750000000002</v>
      </c>
    </row>
    <row r="6" spans="1:23" ht="15" customHeight="1" x14ac:dyDescent="0.2">
      <c r="A6" s="305" t="s">
        <v>549</v>
      </c>
      <c r="B6" s="1662"/>
      <c r="C6" s="1663"/>
      <c r="D6" s="235" t="s">
        <v>653</v>
      </c>
      <c r="E6" s="301" t="s">
        <v>223</v>
      </c>
      <c r="F6" s="301"/>
      <c r="G6" s="457">
        <f>IFERROR(VLOOKUP($F$1,'FV3'!$C$1:$AM$34,((G$2-5)*2-1),0),"")</f>
        <v>236.33099999999996</v>
      </c>
      <c r="H6" s="457">
        <f>IFERROR(VLOOKUP($F$1,'FV3'!$C$1:$AM$34,((H$2-5)*2-1),0),"")</f>
        <v>280.8</v>
      </c>
      <c r="I6" s="457">
        <f>IFERROR(VLOOKUP($F$1,'FV3'!$C$1:$AM$34,((I$2-5)*2-1),0),"")</f>
        <v>330.21</v>
      </c>
      <c r="J6" s="457">
        <f>IFERROR(VLOOKUP($F$1,'FV3'!$C$1:$AM$34,((J$2-5)*2-1),0),"")</f>
        <v>354.91500000000002</v>
      </c>
      <c r="K6" s="457">
        <f>IFERROR(VLOOKUP($F$1,'FV3'!$C$1:$AM$34,((K$2-5)*2-1),0),"")</f>
        <v>379.62</v>
      </c>
      <c r="L6" s="457">
        <f>IFERROR(VLOOKUP($F$1,'FV3'!$C$1:$AM$34,((L$2-5)*2-1),0),"")</f>
        <v>404.32499999999999</v>
      </c>
      <c r="M6" s="457">
        <f>IFERROR(VLOOKUP($F$1,'FV3'!$C$1:$AM$34,((M$2-5)*2-1),0),"")</f>
        <v>429.03000000000003</v>
      </c>
      <c r="N6" s="457">
        <f>IFERROR(VLOOKUP($F$1,'FV3'!$C$1:$AM$34,((N$2-5)*2-1),0),"")</f>
        <v>453.73500000000001</v>
      </c>
      <c r="O6" s="457">
        <f>IFERROR(VLOOKUP($F$1,'FV3'!$C$1:$AM$34,((O$2-5)*2-1),0),"")</f>
        <v>478.44000000000005</v>
      </c>
      <c r="P6" s="457">
        <f>IFERROR(VLOOKUP($F$1,'FV3'!$C$1:$AM$34,((P$2-5)*2-1),0),"")</f>
        <v>527.85</v>
      </c>
      <c r="Q6" s="457">
        <f>IFERROR(VLOOKUP($F$1,'FV3'!$C$1:$AM$34,((Q$2-5)*2-1),0),"")</f>
        <v>577.26</v>
      </c>
      <c r="R6" s="457">
        <f>IFERROR(VLOOKUP($F$1,'FV3'!$C$1:$AM$34,((R$2-5)*2-1),0),"")</f>
        <v>601.96499999999992</v>
      </c>
      <c r="S6" s="457">
        <f>IFERROR(VLOOKUP($F$1,'FV3'!$C$1:$AM$34,((S$2-5)*2-1),0),"")</f>
        <v>577.26</v>
      </c>
      <c r="T6" s="457">
        <f>IFERROR(VLOOKUP($F$1,'FV3'!$C$1:$AM$34,((T$2-5)*2-1),0),"")</f>
        <v>626.66999999999996</v>
      </c>
      <c r="U6" s="457">
        <f>IFERROR(VLOOKUP($F$1,'FV3'!$C$1:$AM$34,((U$2-5)*2-1),0),"")</f>
        <v>651.37500000000011</v>
      </c>
      <c r="V6" s="457">
        <f>IFERROR(VLOOKUP($F$1,'FV3'!$C$1:$AM$34,((V$2-5)*2-1),0),"")</f>
        <v>676.08</v>
      </c>
      <c r="W6" s="457">
        <f>IFERROR(VLOOKUP($F$1,'FV3'!$C$1:$AM$34,((W$2-5)*2-1),0),"")</f>
        <v>725.49</v>
      </c>
    </row>
    <row r="7" spans="1:23" ht="15" customHeight="1" x14ac:dyDescent="0.2">
      <c r="A7" s="305" t="s">
        <v>550</v>
      </c>
      <c r="B7" s="1662"/>
      <c r="C7" s="1663"/>
      <c r="D7" s="472" t="s">
        <v>551</v>
      </c>
      <c r="E7" s="302" t="s">
        <v>223</v>
      </c>
      <c r="F7" s="302"/>
      <c r="G7" s="457">
        <f>IFERROR(VLOOKUP($F$1,'FV4'!$C$1:$AM$36,((G$2-5)*2-1),0),"")</f>
        <v>450</v>
      </c>
      <c r="H7" s="457">
        <f>IFERROR(VLOOKUP($F$1,'FV4'!$C$1:$AM$36,((H$2-5)*2-1),0),"")</f>
        <v>747.00000000000011</v>
      </c>
      <c r="I7" s="457">
        <f>IFERROR(VLOOKUP($F$1,'FV4'!$C$1:$AM$36,((I$2-5)*2-1),0),"")</f>
        <v>1007.9999999999999</v>
      </c>
      <c r="J7" s="457">
        <f>IFERROR(VLOOKUP($F$1,'FV4'!$C$1:$AM$36,((J$2-5)*2-1),0),"")</f>
        <v>1269</v>
      </c>
      <c r="K7" s="457">
        <f>IFERROR(VLOOKUP($F$1,'FV4'!$C$1:$AM$36,((K$2-5)*2-1),0),"")</f>
        <v>1530</v>
      </c>
      <c r="L7" s="457">
        <f>IFERROR(VLOOKUP($F$1,'FV4'!$C$1:$AM$36,((L$2-5)*2-1),0),"")</f>
        <v>1790.9999999999998</v>
      </c>
      <c r="M7" s="457">
        <f>IFERROR(VLOOKUP($F$1,'FV4'!$C$1:$AM$36,((M$2-5)*2-1),0),"")</f>
        <v>2052</v>
      </c>
      <c r="N7" s="457">
        <f>IFERROR(VLOOKUP($F$1,'FV4'!$C$1:$AM$36,((N$2-5)*2-1),0),"")</f>
        <v>2313</v>
      </c>
      <c r="O7" s="457">
        <f>IFERROR(VLOOKUP($F$1,'FV4'!$C$1:$AM$36,((O$2-5)*2-1),0),"")</f>
        <v>2574</v>
      </c>
      <c r="P7" s="457">
        <f>IFERROR(VLOOKUP($F$1,'FV4'!$C$1:$AM$36,((P$2-5)*2-1),0),"")</f>
        <v>3060</v>
      </c>
      <c r="Q7" s="457">
        <f>IFERROR(VLOOKUP($F$1,'FV4'!$C$1:$AM$36,((Q$2-5)*2-1),0),"")</f>
        <v>3096</v>
      </c>
      <c r="R7" s="457">
        <f>IFERROR(VLOOKUP($F$1,'FV4'!$C$1:$AM$36,((R$2-5)*2-1),0),"")</f>
        <v>3581.9999999999995</v>
      </c>
      <c r="S7" s="457">
        <f>IFERROR(VLOOKUP($F$1,'FV4'!$C$1:$AM$36,((S$2-5)*2-1),0),"")</f>
        <v>3618.0000000000005</v>
      </c>
      <c r="T7" s="457">
        <f>IFERROR(VLOOKUP($F$1,'FV4'!$C$1:$AM$36,((T$2-5)*2-1),0),"")</f>
        <v>4104</v>
      </c>
      <c r="U7" s="457">
        <f>IFERROR(VLOOKUP($F$1,'FV4'!$C$1:$AM$36,((U$2-5)*2-1),0),"")</f>
        <v>4590</v>
      </c>
      <c r="V7" s="457">
        <f>IFERROR(VLOOKUP($F$1,'FV4'!$C$1:$AM$36,((V$2-5)*2-1),0),"")</f>
        <v>4626</v>
      </c>
      <c r="W7" s="457">
        <f>IFERROR(VLOOKUP($F$1,'FV4'!$C$1:$AM$36,((W$2-5)*2-1),0),"")</f>
        <v>5112</v>
      </c>
    </row>
    <row r="8" spans="1:23" ht="15" customHeight="1" x14ac:dyDescent="0.2">
      <c r="A8" s="305" t="s">
        <v>552</v>
      </c>
      <c r="B8" s="1662"/>
      <c r="C8" s="1661" t="s">
        <v>654</v>
      </c>
      <c r="D8" s="307" t="s">
        <v>1786</v>
      </c>
      <c r="E8" s="301" t="s">
        <v>223</v>
      </c>
      <c r="F8" s="301"/>
      <c r="G8" s="457">
        <f>IFERROR(VLOOKUP($F$1,'FV5'!$C$1:$AM$34,((G$2-5)*2-1),0),"")</f>
        <v>98.999999999999986</v>
      </c>
      <c r="H8" s="457">
        <f>IFERROR(VLOOKUP($F$1,'FV5'!$C$1:$AM$34,((H$2-5)*2-1),0),"")</f>
        <v>119.25</v>
      </c>
      <c r="I8" s="457">
        <f>IFERROR(VLOOKUP($F$1,'FV5'!$C$1:$AM$34,((I$2-5)*2-1),0),"")</f>
        <v>141.75</v>
      </c>
      <c r="J8" s="457">
        <f>IFERROR(VLOOKUP($F$1,'FV5'!$C$1:$AM$34,((J$2-5)*2-1),0),"")</f>
        <v>153.00000000000003</v>
      </c>
      <c r="K8" s="457">
        <f>IFERROR(VLOOKUP($F$1,'FV5'!$C$1:$AM$34,((K$2-5)*2-1),0),"")</f>
        <v>164.25000000000003</v>
      </c>
      <c r="L8" s="457">
        <f>IFERROR(VLOOKUP($F$1,'FV5'!$C$1:$AM$34,((L$2-5)*2-1),0),"")</f>
        <v>175.5</v>
      </c>
      <c r="M8" s="457">
        <f>IFERROR(VLOOKUP($F$1,'FV5'!$C$1:$AM$34,((M$2-5)*2-1),0),"")</f>
        <v>186.75000000000003</v>
      </c>
      <c r="N8" s="457">
        <f>IFERROR(VLOOKUP($F$1,'FV5'!$C$1:$AM$34,((N$2-5)*2-1),0),"")</f>
        <v>198.00000000000003</v>
      </c>
      <c r="O8" s="457">
        <f>IFERROR(VLOOKUP($F$1,'FV5'!$C$1:$AM$34,((O$2-5)*2-1),0),"")</f>
        <v>209.24999999999997</v>
      </c>
      <c r="P8" s="457">
        <f>IFERROR(VLOOKUP($F$1,'FV5'!$C$1:$AM$34,((P$2-5)*2-1),0),"")</f>
        <v>231.75000000000003</v>
      </c>
      <c r="Q8" s="457">
        <f>IFERROR(VLOOKUP($F$1,'FV5'!$C$1:$AM$34,((Q$2-5)*2-1),0),"")</f>
        <v>254.25000000000003</v>
      </c>
      <c r="R8" s="457">
        <f>IFERROR(VLOOKUP($F$1,'FV5'!$C$1:$AM$34,((R$2-5)*2-1),0),"")</f>
        <v>265.5</v>
      </c>
      <c r="S8" s="457">
        <f>IFERROR(VLOOKUP($F$1,'FV5'!$C$1:$AM$34,((S$2-5)*2-1),0),"")</f>
        <v>254.25000000000003</v>
      </c>
      <c r="T8" s="457">
        <f>IFERROR(VLOOKUP($F$1,'FV5'!$C$1:$AM$34,((T$2-5)*2-1),0),"")</f>
        <v>276.75</v>
      </c>
      <c r="U8" s="457">
        <f>IFERROR(VLOOKUP($F$1,'FV5'!$C$1:$AM$34,((U$2-5)*2-1),0),"")</f>
        <v>288</v>
      </c>
      <c r="V8" s="457">
        <f>IFERROR(VLOOKUP($F$1,'FV5'!$C$1:$AM$34,((V$2-5)*2-1),0),"")</f>
        <v>299.25</v>
      </c>
      <c r="W8" s="457">
        <f>IFERROR(VLOOKUP($F$1,'FV5'!$C$1:$AM$34,((W$2-5)*2-1),0),"")</f>
        <v>321.75</v>
      </c>
    </row>
    <row r="9" spans="1:23" ht="15" customHeight="1" x14ac:dyDescent="0.2">
      <c r="A9" s="305" t="s">
        <v>553</v>
      </c>
      <c r="B9" s="1662"/>
      <c r="C9" s="1661"/>
      <c r="D9" s="306" t="s">
        <v>546</v>
      </c>
      <c r="E9" s="301"/>
      <c r="F9" s="301"/>
      <c r="G9" s="457">
        <f>IFERROR(VLOOKUP($F$1,'FV6'!$C$1:$AM$39,((G$2-5)*2-1),0),"")</f>
        <v>209.06099999999998</v>
      </c>
      <c r="H9" s="457">
        <f>IFERROR(VLOOKUP($F$1,'FV6'!$C$1:$AM$39,((H$2-5)*2-1),0),"")</f>
        <v>248.39999999999995</v>
      </c>
      <c r="I9" s="457">
        <f>IFERROR(VLOOKUP($F$1,'FV6'!$C$1:$AM$39,((I$2-5)*2-1),0),"")</f>
        <v>295.11</v>
      </c>
      <c r="J9" s="457">
        <f>IFERROR(VLOOKUP($F$1,'FV6'!$C$1:$AM$39,((J$2-5)*2-1),0),"")</f>
        <v>315.08999999999997</v>
      </c>
      <c r="K9" s="457">
        <f>IFERROR(VLOOKUP($F$1,'FV6'!$C$1:$AM$39,((K$2-5)*2-1),0),"")</f>
        <v>335.07</v>
      </c>
      <c r="L9" s="457">
        <f>IFERROR(VLOOKUP($F$1,'FV6'!$C$1:$AM$39,((L$2-5)*2-1),0),"")</f>
        <v>355.05</v>
      </c>
      <c r="M9" s="457">
        <f>IFERROR(VLOOKUP($F$1,'FV6'!$C$1:$AM$39,((M$2-5)*2-1),0),"")</f>
        <v>375.03000000000009</v>
      </c>
      <c r="N9" s="457">
        <f>IFERROR(VLOOKUP($F$1,'FV6'!$C$1:$AM$39,((N$2-5)*2-1),0),"")</f>
        <v>398.38500000000005</v>
      </c>
      <c r="O9" s="457">
        <f>IFERROR(VLOOKUP($F$1,'FV6'!$C$1:$AM$39,((O$2-5)*2-1),0),"")</f>
        <v>421.74</v>
      </c>
      <c r="P9" s="457">
        <f>IFERROR(VLOOKUP($F$1,'FV6'!$C$1:$AM$39,((P$2-5)*2-1),0),"")</f>
        <v>422.77499999999998</v>
      </c>
      <c r="Q9" s="457">
        <f>IFERROR(VLOOKUP($F$1,'FV6'!$C$1:$AM$39,((Q$2-5)*2-1),0),"")</f>
        <v>471.73500000000001</v>
      </c>
      <c r="R9" s="457">
        <f>IFERROR(VLOOKUP($F$1,'FV6'!$C$1:$AM$39,((R$2-5)*2-1),0),"")</f>
        <v>489.46499999999997</v>
      </c>
      <c r="S9" s="457">
        <f>IFERROR(VLOOKUP($F$1,'FV6'!$C$1:$AM$39,((S$2-5)*2-1),0),"")</f>
        <v>464.98500000000007</v>
      </c>
      <c r="T9" s="457">
        <f>IFERROR(VLOOKUP($F$1,'FV6'!$C$1:$AM$39,((T$2-5)*2-1),0),"")</f>
        <v>507.19499999999994</v>
      </c>
      <c r="U9" s="457">
        <f>IFERROR(VLOOKUP($F$1,'FV6'!$C$1:$AM$39,((U$2-5)*2-1),0),"")</f>
        <v>524.92500000000007</v>
      </c>
      <c r="V9" s="457">
        <f>IFERROR(VLOOKUP($F$1,'FV6'!$C$1:$AM$39,((V$2-5)*2-1),0),"")</f>
        <v>549.40499999999997</v>
      </c>
      <c r="W9" s="457">
        <f>IFERROR(VLOOKUP($F$1,'FV6'!$C$1:$AM$39,((W$2-5)*2-1),0),"")</f>
        <v>591.61500000000012</v>
      </c>
    </row>
    <row r="10" spans="1:23" ht="15" customHeight="1" x14ac:dyDescent="0.2">
      <c r="A10" s="305" t="s">
        <v>554</v>
      </c>
      <c r="B10" s="1662"/>
      <c r="C10" s="1661"/>
      <c r="D10" s="235" t="s">
        <v>653</v>
      </c>
      <c r="E10" s="302" t="s">
        <v>223</v>
      </c>
      <c r="F10" s="302"/>
      <c r="G10" s="457">
        <f>IFERROR(VLOOKUP($F$1,'FV7'!$C$1:$AM$38,((G$2-5)*2-1),0),"")</f>
        <v>187.55999999999997</v>
      </c>
      <c r="H10" s="457">
        <f>IFERROR(VLOOKUP($F$1,'FV7'!$C$1:$AM$38,((H$2-5)*2-1),0),"")</f>
        <v>221.17500000000001</v>
      </c>
      <c r="I10" s="457">
        <f>IFERROR(VLOOKUP($F$1,'FV7'!$C$1:$AM$38,((I$2-5)*2-1),0),"")</f>
        <v>258.52500000000003</v>
      </c>
      <c r="J10" s="457">
        <f>IFERROR(VLOOKUP($F$1,'FV7'!$C$1:$AM$38,((J$2-5)*2-1),0),"")</f>
        <v>277.2</v>
      </c>
      <c r="K10" s="457">
        <f>IFERROR(VLOOKUP($F$1,'FV7'!$C$1:$AM$38,((K$2-5)*2-1),0),"")</f>
        <v>295.875</v>
      </c>
      <c r="L10" s="457">
        <f>IFERROR(VLOOKUP($F$1,'FV7'!$C$1:$AM$38,((L$2-5)*2-1),0),"")</f>
        <v>314.55</v>
      </c>
      <c r="M10" s="457">
        <f>IFERROR(VLOOKUP($F$1,'FV7'!$C$1:$AM$38,((M$2-5)*2-1),0),"")</f>
        <v>333.22500000000002</v>
      </c>
      <c r="N10" s="457">
        <f>IFERROR(VLOOKUP($F$1,'FV7'!$C$1:$AM$38,((N$2-5)*2-1),0),"")</f>
        <v>351.90000000000003</v>
      </c>
      <c r="O10" s="457">
        <f>IFERROR(VLOOKUP($F$1,'FV7'!$C$1:$AM$38,((O$2-5)*2-1),0),"")</f>
        <v>370.57499999999999</v>
      </c>
      <c r="P10" s="457">
        <f>IFERROR(VLOOKUP($F$1,'FV7'!$C$1:$AM$38,((P$2-5)*2-1),0),"")</f>
        <v>407.92500000000007</v>
      </c>
      <c r="Q10" s="457">
        <f>IFERROR(VLOOKUP($F$1,'FV7'!$C$1:$AM$38,((Q$2-5)*2-1),0),"")</f>
        <v>445.27500000000003</v>
      </c>
      <c r="R10" s="457">
        <f>IFERROR(VLOOKUP($F$1,'FV7'!$C$1:$AM$38,((R$2-5)*2-1),0),"")</f>
        <v>463.94999999999993</v>
      </c>
      <c r="S10" s="457">
        <f>IFERROR(VLOOKUP($F$1,'FV7'!$C$1:$AM$38,((S$2-5)*2-1),0),"")</f>
        <v>445.27500000000003</v>
      </c>
      <c r="T10" s="457">
        <f>IFERROR(VLOOKUP($F$1,'FV7'!$C$1:$AM$38,((T$2-5)*2-1),0),"")</f>
        <v>482.62500000000006</v>
      </c>
      <c r="U10" s="457">
        <f>IFERROR(VLOOKUP($F$1,'FV7'!$C$1:$AM$38,((U$2-5)*2-1),0),"")</f>
        <v>501.3</v>
      </c>
      <c r="V10" s="457">
        <f>IFERROR(VLOOKUP($F$1,'FV7'!$C$1:$AM$38,((V$2-5)*2-1),0),"")</f>
        <v>519.97500000000002</v>
      </c>
      <c r="W10" s="457">
        <f>IFERROR(VLOOKUP($F$1,'FV7'!$C$1:$AM$38,((W$2-5)*2-1),0),"")</f>
        <v>557.32500000000005</v>
      </c>
    </row>
    <row r="11" spans="1:23" ht="15" customHeight="1" x14ac:dyDescent="0.2">
      <c r="A11" s="305" t="s">
        <v>556</v>
      </c>
      <c r="B11" s="1662"/>
      <c r="C11" s="1661" t="s">
        <v>523</v>
      </c>
      <c r="D11" s="235" t="s">
        <v>1787</v>
      </c>
      <c r="E11" s="301" t="s">
        <v>223</v>
      </c>
      <c r="F11" s="301"/>
      <c r="G11" s="457">
        <f>IFERROR(VLOOKUP($F$1,'FV8'!$C$1:$AM$33,((G$2-5)*2-1),0),"")</f>
        <v>204.56999999999996</v>
      </c>
      <c r="H11" s="457">
        <f>IFERROR(VLOOKUP($F$1,'FV8'!$C$1:$AM$33,((H$2-5)*2-1),0),"")</f>
        <v>244.12500000000003</v>
      </c>
      <c r="I11" s="457">
        <f>IFERROR(VLOOKUP($F$1,'FV8'!$C$1:$AM$33,((I$2-5)*2-1),0),"")</f>
        <v>281.47500000000002</v>
      </c>
      <c r="J11" s="457">
        <f>IFERROR(VLOOKUP($F$1,'FV8'!$C$1:$AM$33,((J$2-5)*2-1),0),"")</f>
        <v>307.57500000000005</v>
      </c>
      <c r="K11" s="457">
        <f>IFERROR(VLOOKUP($F$1,'FV8'!$C$1:$AM$33,((K$2-5)*2-1),0),"")</f>
        <v>333.67500000000007</v>
      </c>
      <c r="L11" s="457">
        <f>IFERROR(VLOOKUP($F$1,'FV8'!$C$1:$AM$33,((L$2-5)*2-1),0),"")</f>
        <v>359.77500000000003</v>
      </c>
      <c r="M11" s="457">
        <f>IFERROR(VLOOKUP($F$1,'FV8'!$C$1:$AM$33,((M$2-5)*2-1),0),"")</f>
        <v>385.87499999999994</v>
      </c>
      <c r="N11" s="457">
        <f>IFERROR(VLOOKUP($F$1,'FV8'!$C$1:$AM$33,((N$2-5)*2-1),0),"")</f>
        <v>404.55</v>
      </c>
      <c r="O11" s="457">
        <f>IFERROR(VLOOKUP($F$1,'FV8'!$C$1:$AM$33,((O$2-5)*2-1),0),"")</f>
        <v>423.22499999999997</v>
      </c>
      <c r="P11" s="457">
        <f>IFERROR(VLOOKUP($F$1,'FV8'!$C$1:$AM$33,((P$2-5)*2-1),0),"")</f>
        <v>460.57499999999999</v>
      </c>
      <c r="Q11" s="457">
        <f>IFERROR(VLOOKUP($F$1,'FV8'!$C$1:$AM$33,((Q$2-5)*2-1),0),"")</f>
        <v>483.07499999999999</v>
      </c>
      <c r="R11" s="457">
        <f>IFERROR(VLOOKUP($F$1,'FV8'!$C$1:$AM$33,((R$2-5)*2-1),0),"")</f>
        <v>509.17500000000007</v>
      </c>
      <c r="S11" s="457">
        <f>IFERROR(VLOOKUP($F$1,'FV8'!$C$1:$AM$33,((S$2-5)*2-1),0),"")</f>
        <v>497.92500000000007</v>
      </c>
      <c r="T11" s="457">
        <f>IFERROR(VLOOKUP($F$1,'FV8'!$C$1:$AM$33,((T$2-5)*2-1),0),"")</f>
        <v>535.27499999999998</v>
      </c>
      <c r="U11" s="457">
        <f>IFERROR(VLOOKUP($F$1,'FV8'!$C$1:$AM$33,((U$2-5)*2-1),0),"")</f>
        <v>561.375</v>
      </c>
      <c r="V11" s="457">
        <f>IFERROR(VLOOKUP($F$1,'FV8'!$C$1:$AM$33,((V$2-5)*2-1),0),"")</f>
        <v>572.62500000000011</v>
      </c>
      <c r="W11" s="457">
        <f>IFERROR(VLOOKUP($F$1,'FV8'!$C$1:$AM$33,((W$2-5)*2-1),0),"")</f>
        <v>609.97500000000002</v>
      </c>
    </row>
    <row r="12" spans="1:23" ht="15" customHeight="1" x14ac:dyDescent="0.2">
      <c r="A12" s="305" t="s">
        <v>557</v>
      </c>
      <c r="B12" s="1662"/>
      <c r="C12" s="1661"/>
      <c r="D12" s="307" t="s">
        <v>1786</v>
      </c>
      <c r="E12" s="302" t="s">
        <v>223</v>
      </c>
      <c r="F12" s="302"/>
      <c r="G12" s="457">
        <f>IFERROR(VLOOKUP($F$1,'FV9'!$C$1:$AM$34,((G$2-5)*2-1),0),"")</f>
        <v>126.27</v>
      </c>
      <c r="H12" s="457">
        <f>IFERROR(VLOOKUP($F$1,'FV9'!$C$1:$AM$34,((H$2-5)*2-1),0),"")</f>
        <v>153.00000000000003</v>
      </c>
      <c r="I12" s="457">
        <f>IFERROR(VLOOKUP($F$1,'FV9'!$C$1:$AM$34,((I$2-5)*2-1),0),"")</f>
        <v>182.70000000000002</v>
      </c>
      <c r="J12" s="457">
        <f>IFERROR(VLOOKUP($F$1,'FV9'!$C$1:$AM$34,((J$2-5)*2-1),0),"")</f>
        <v>197.55</v>
      </c>
      <c r="K12" s="457">
        <f>IFERROR(VLOOKUP($F$1,'FV9'!$C$1:$AM$34,((K$2-5)*2-1),0),"")</f>
        <v>212.40000000000003</v>
      </c>
      <c r="L12" s="457">
        <f>IFERROR(VLOOKUP($F$1,'FV9'!$C$1:$AM$34,((L$2-5)*2-1),0),"")</f>
        <v>227.25000000000003</v>
      </c>
      <c r="M12" s="457">
        <f>IFERROR(VLOOKUP($F$1,'FV9'!$C$1:$AM$34,((M$2-5)*2-1),0),"")</f>
        <v>242.10000000000002</v>
      </c>
      <c r="N12" s="457">
        <f>IFERROR(VLOOKUP($F$1,'FV9'!$C$1:$AM$34,((N$2-5)*2-1),0),"")</f>
        <v>256.95000000000005</v>
      </c>
      <c r="O12" s="457">
        <f>IFERROR(VLOOKUP($F$1,'FV9'!$C$1:$AM$34,((O$2-5)*2-1),0),"")</f>
        <v>271.80000000000007</v>
      </c>
      <c r="P12" s="457">
        <f>IFERROR(VLOOKUP($F$1,'FV9'!$C$1:$AM$34,((P$2-5)*2-1),0),"")</f>
        <v>301.5</v>
      </c>
      <c r="Q12" s="457">
        <f>IFERROR(VLOOKUP($F$1,'FV9'!$C$1:$AM$34,((Q$2-5)*2-1),0),"")</f>
        <v>331.20000000000005</v>
      </c>
      <c r="R12" s="457">
        <f>IFERROR(VLOOKUP($F$1,'FV9'!$C$1:$AM$34,((R$2-5)*2-1),0),"")</f>
        <v>346.05</v>
      </c>
      <c r="S12" s="457">
        <f>IFERROR(VLOOKUP($F$1,'FV9'!$C$1:$AM$34,((S$2-5)*2-1),0),"")</f>
        <v>331.20000000000005</v>
      </c>
      <c r="T12" s="457">
        <f>IFERROR(VLOOKUP($F$1,'FV9'!$C$1:$AM$34,((T$2-5)*2-1),0),"")</f>
        <v>360.90000000000003</v>
      </c>
      <c r="U12" s="457">
        <f>IFERROR(VLOOKUP($F$1,'FV9'!$C$1:$AM$34,((U$2-5)*2-1),0),"")</f>
        <v>375.75000000000006</v>
      </c>
      <c r="V12" s="457">
        <f>IFERROR(VLOOKUP($F$1,'FV9'!$C$1:$AM$34,((V$2-5)*2-1),0),"")</f>
        <v>390.59999999999997</v>
      </c>
      <c r="W12" s="457">
        <f>IFERROR(VLOOKUP($F$1,'FV9'!$C$1:$AM$34,((W$2-5)*2-1),0),"")</f>
        <v>420.30000000000007</v>
      </c>
    </row>
    <row r="13" spans="1:23" ht="15" customHeight="1" x14ac:dyDescent="0.2">
      <c r="A13" s="305" t="s">
        <v>561</v>
      </c>
      <c r="B13" s="1670" t="s">
        <v>399</v>
      </c>
      <c r="C13" s="1661" t="s">
        <v>545</v>
      </c>
      <c r="D13" s="483" t="s">
        <v>546</v>
      </c>
      <c r="E13" s="301" t="s">
        <v>223</v>
      </c>
      <c r="F13" s="301"/>
      <c r="G13" s="457">
        <f>IFERROR(VLOOKUP($F$1,'FH1'!$C$1:$AN$72,((G$2-5)*2-1),0),"")</f>
        <v>11.25</v>
      </c>
      <c r="H13" s="457">
        <f>IFERROR(VLOOKUP($F$1,'FH1'!$C$1:$AN$72,((H$2-5)*2-1),0),"")</f>
        <v>22.5</v>
      </c>
      <c r="I13" s="457">
        <f>IFERROR(VLOOKUP($F$1,'FH1'!$C$1:$AN$72,((I$2-5)*2-1),0),"")</f>
        <v>33.75</v>
      </c>
      <c r="J13" s="457">
        <f>IFERROR(VLOOKUP($F$1,'FH1'!$C$1:$AN$72,((J$2-5)*2-1),0),"")</f>
        <v>45</v>
      </c>
      <c r="K13" s="457">
        <f>IFERROR(VLOOKUP($F$1,'FH1'!$C$1:$AN$72,((K$2-5)*2-1),0),"")</f>
        <v>56.25</v>
      </c>
      <c r="L13" s="457">
        <f>IFERROR(VLOOKUP($F$1,'FH1'!$C$1:$AN$72,((L$2-5)*2-1),0),"")</f>
        <v>67.5</v>
      </c>
      <c r="M13" s="457">
        <f>IFERROR(VLOOKUP($F$1,'FH1'!$C$1:$AN$72,((M$2-5)*2-1),0),"")</f>
        <v>78.75</v>
      </c>
      <c r="N13" s="457">
        <f>IFERROR(VLOOKUP($F$1,'FH1'!$C$1:$AN$72,((N$2-5)*2-1),0),"")</f>
        <v>90</v>
      </c>
      <c r="O13" s="457">
        <f>IFERROR(VLOOKUP($F$1,'FH1'!$C$1:$AN$72,((O$2-5)*2-1),0),"")</f>
        <v>101.25</v>
      </c>
      <c r="P13" s="457">
        <f>IFERROR(VLOOKUP($F$1,'FH1'!$C$1:$AN$72,((P$2-5)*2-1),0),"")</f>
        <v>112.5</v>
      </c>
      <c r="Q13" s="457">
        <f>IFERROR(VLOOKUP($F$1,'FH1'!$C$1:$AN$72,((Q$2-5)*2-1),0),"")</f>
        <v>123.75</v>
      </c>
      <c r="R13" s="457">
        <f>IFERROR(VLOOKUP($F$1,'FH1'!$C$1:$AN$72,((R$2-5)*2-1),0),"")</f>
        <v>135</v>
      </c>
      <c r="S13" s="457">
        <f>IFERROR(VLOOKUP($F$1,'FH1'!$C$1:$AN$72,((S$2-5)*2-1),0),"")</f>
        <v>146.25</v>
      </c>
      <c r="T13" s="457">
        <f>IFERROR(VLOOKUP($F$1,'FH1'!$C$1:$AN$72,((T$2-5)*2-1),0),"")</f>
        <v>157.5</v>
      </c>
      <c r="U13" s="457">
        <f>IFERROR(VLOOKUP($F$1,'FH1'!$C$1:$AN$72,((U$2-5)*2-1),0),"")</f>
        <v>168.75</v>
      </c>
      <c r="V13" s="457">
        <f>IFERROR(VLOOKUP($F$1,'FH1'!$C$1:$AN$72,((V$2-5)*2-1),0),"")</f>
        <v>180</v>
      </c>
      <c r="W13" s="457">
        <f>IFERROR(VLOOKUP($F$1,'FH1'!$C$1:$AN$72,((W$2-5)*2-1),0),"")</f>
        <v>191.25</v>
      </c>
    </row>
    <row r="14" spans="1:23" ht="15" customHeight="1" x14ac:dyDescent="0.2">
      <c r="A14" s="305" t="s">
        <v>563</v>
      </c>
      <c r="B14" s="1670"/>
      <c r="C14" s="1661"/>
      <c r="D14" s="472" t="s">
        <v>548</v>
      </c>
      <c r="E14" s="302" t="s">
        <v>223</v>
      </c>
      <c r="F14" s="302"/>
      <c r="G14" s="457">
        <f>IFERROR(VLOOKUP($F$1,'FH2'!$C$1:$AN$73,((G$2-5)*2-1),0),"")</f>
        <v>11.25</v>
      </c>
      <c r="H14" s="457">
        <f>IFERROR(VLOOKUP($F$1,'FH2'!$C$1:$AN$73,((H$2-5)*2-1),0),"")</f>
        <v>22.5</v>
      </c>
      <c r="I14" s="457">
        <f>IFERROR(VLOOKUP($F$1,'FH2'!$C$1:$AN$73,((I$2-5)*2-1),0),"")</f>
        <v>33.75</v>
      </c>
      <c r="J14" s="457">
        <f>IFERROR(VLOOKUP($F$1,'FH2'!$C$1:$AN$73,((J$2-5)*2-1),0),"")</f>
        <v>45</v>
      </c>
      <c r="K14" s="457">
        <f>IFERROR(VLOOKUP($F$1,'FH2'!$C$1:$AN$73,((K$2-5)*2-1),0),"")</f>
        <v>56.25</v>
      </c>
      <c r="L14" s="457">
        <f>IFERROR(VLOOKUP($F$1,'FH2'!$C$1:$AN$73,((L$2-5)*2-1),0),"")</f>
        <v>67.5</v>
      </c>
      <c r="M14" s="457">
        <f>IFERROR(VLOOKUP($F$1,'FH2'!$C$1:$AN$73,((M$2-5)*2-1),0),"")</f>
        <v>78.75</v>
      </c>
      <c r="N14" s="457">
        <f>IFERROR(VLOOKUP($F$1,'FH2'!$C$1:$AN$73,((N$2-5)*2-1),0),"")</f>
        <v>90</v>
      </c>
      <c r="O14" s="457">
        <f>IFERROR(VLOOKUP($F$1,'FH2'!$C$1:$AN$73,((O$2-5)*2-1),0),"")</f>
        <v>101.25</v>
      </c>
      <c r="P14" s="457">
        <f>IFERROR(VLOOKUP($F$1,'FH2'!$C$1:$AN$73,((P$2-5)*2-1),0),"")</f>
        <v>112.5</v>
      </c>
      <c r="Q14" s="457">
        <f>IFERROR(VLOOKUP($F$1,'FH2'!$C$1:$AN$73,((Q$2-5)*2-1),0),"")</f>
        <v>123.75</v>
      </c>
      <c r="R14" s="457">
        <f>IFERROR(VLOOKUP($F$1,'FH2'!$C$1:$AN$73,((R$2-5)*2-1),0),"")</f>
        <v>135</v>
      </c>
      <c r="S14" s="457">
        <f>IFERROR(VLOOKUP($F$1,'FH2'!$C$1:$AN$73,((S$2-5)*2-1),0),"")</f>
        <v>146.25</v>
      </c>
      <c r="T14" s="457">
        <f>IFERROR(VLOOKUP($F$1,'FH2'!$C$1:$AN$73,((T$2-5)*2-1),0),"")</f>
        <v>157.5</v>
      </c>
      <c r="U14" s="457">
        <f>IFERROR(VLOOKUP($F$1,'FH2'!$C$1:$AN$73,((U$2-5)*2-1),0),"")</f>
        <v>168.75</v>
      </c>
      <c r="V14" s="457">
        <f>IFERROR(VLOOKUP($F$1,'FH2'!$C$1:$AN$73,((V$2-5)*2-1),0),"")</f>
        <v>180</v>
      </c>
      <c r="W14" s="457">
        <f>IFERROR(VLOOKUP($F$1,'FH2'!$C$1:$AN$73,((W$2-5)*2-1),0),"")</f>
        <v>191.25</v>
      </c>
    </row>
    <row r="15" spans="1:23" ht="15" customHeight="1" x14ac:dyDescent="0.2">
      <c r="A15" s="305" t="s">
        <v>658</v>
      </c>
      <c r="B15" s="1670"/>
      <c r="C15" s="1661"/>
      <c r="D15" s="472" t="s">
        <v>653</v>
      </c>
      <c r="E15" s="301" t="s">
        <v>223</v>
      </c>
      <c r="F15" s="301"/>
      <c r="G15" s="457">
        <f>IFERROR(VLOOKUP($F$1,'FH3'!$C$1:$AN$72,((G$2-5)*2-1),0),"")</f>
        <v>11.25</v>
      </c>
      <c r="H15" s="457">
        <f>IFERROR(VLOOKUP($F$1,'FH3'!$C$1:$AN$72,((H$2-5)*2-1),0),"")</f>
        <v>22.5</v>
      </c>
      <c r="I15" s="457">
        <f>IFERROR(VLOOKUP($F$1,'FH3'!$C$1:$AN$72,((I$2-5)*2-1),0),"")</f>
        <v>33.75</v>
      </c>
      <c r="J15" s="457">
        <f>IFERROR(VLOOKUP($F$1,'FH3'!$C$1:$AN$72,((J$2-5)*2-1),0),"")</f>
        <v>45</v>
      </c>
      <c r="K15" s="457">
        <f>IFERROR(VLOOKUP($F$1,'FH3'!$C$1:$AN$72,((K$2-5)*2-1),0),"")</f>
        <v>56.25</v>
      </c>
      <c r="L15" s="457">
        <f>IFERROR(VLOOKUP($F$1,'FH3'!$C$1:$AN$72,((L$2-5)*2-1),0),"")</f>
        <v>67.5</v>
      </c>
      <c r="M15" s="457">
        <f>IFERROR(VLOOKUP($F$1,'FH3'!$C$1:$AN$72,((M$2-5)*2-1),0),"")</f>
        <v>78.75</v>
      </c>
      <c r="N15" s="457">
        <f>IFERROR(VLOOKUP($F$1,'FH3'!$C$1:$AN$72,((N$2-5)*2-1),0),"")</f>
        <v>90</v>
      </c>
      <c r="O15" s="457">
        <f>IFERROR(VLOOKUP($F$1,'FH3'!$C$1:$AN$72,((O$2-5)*2-1),0),"")</f>
        <v>101.25</v>
      </c>
      <c r="P15" s="457">
        <f>IFERROR(VLOOKUP($F$1,'FH3'!$C$1:$AN$72,((P$2-5)*2-1),0),"")</f>
        <v>112.5</v>
      </c>
      <c r="Q15" s="457">
        <f>IFERROR(VLOOKUP($F$1,'FH3'!$C$1:$AN$72,((Q$2-5)*2-1),0),"")</f>
        <v>123.75</v>
      </c>
      <c r="R15" s="457">
        <f>IFERROR(VLOOKUP($F$1,'FH3'!$C$1:$AN$72,((R$2-5)*2-1),0),"")</f>
        <v>135</v>
      </c>
      <c r="S15" s="457">
        <f>IFERROR(VLOOKUP($F$1,'FH3'!$C$1:$AN$72,((S$2-5)*2-1),0),"")</f>
        <v>146.25</v>
      </c>
      <c r="T15" s="457">
        <f>IFERROR(VLOOKUP($F$1,'FH3'!$C$1:$AN$72,((T$2-5)*2-1),0),"")</f>
        <v>157.5</v>
      </c>
      <c r="U15" s="457">
        <f>IFERROR(VLOOKUP($F$1,'FH3'!$C$1:$AN$72,((U$2-5)*2-1),0),"")</f>
        <v>168.75</v>
      </c>
      <c r="V15" s="457">
        <f>IFERROR(VLOOKUP($F$1,'FH3'!$C$1:$AN$72,((V$2-5)*2-1),0),"")</f>
        <v>180</v>
      </c>
      <c r="W15" s="457">
        <f>IFERROR(VLOOKUP($F$1,'FH3'!$C$1:$AN$72,((W$2-5)*2-1),0),"")</f>
        <v>191.25</v>
      </c>
    </row>
    <row r="16" spans="1:23" ht="15" customHeight="1" x14ac:dyDescent="0.2">
      <c r="A16" s="305" t="s">
        <v>659</v>
      </c>
      <c r="B16" s="1670"/>
      <c r="C16" s="1661"/>
      <c r="D16" s="472" t="s">
        <v>551</v>
      </c>
      <c r="E16" s="302" t="s">
        <v>223</v>
      </c>
      <c r="F16" s="302"/>
      <c r="G16" s="457">
        <f>IFERROR(VLOOKUP($F$1,'FH4'!$C$1:$AN$72,((G$2-5)*2-1),0),"")</f>
        <v>11.25</v>
      </c>
      <c r="H16" s="457">
        <f>IFERROR(VLOOKUP($F$1,'FH4'!$C$1:$AN$72,((H$2-5)*2-1),0),"")</f>
        <v>22.5</v>
      </c>
      <c r="I16" s="457">
        <f>IFERROR(VLOOKUP($F$1,'FH4'!$C$1:$AN$72,((I$2-5)*2-1),0),"")</f>
        <v>33.75</v>
      </c>
      <c r="J16" s="457">
        <f>IFERROR(VLOOKUP($F$1,'FH4'!$C$1:$AN$72,((J$2-5)*2-1),0),"")</f>
        <v>45</v>
      </c>
      <c r="K16" s="457">
        <f>IFERROR(VLOOKUP($F$1,'FH4'!$C$1:$AN$72,((K$2-5)*2-1),0),"")</f>
        <v>56.25</v>
      </c>
      <c r="L16" s="457">
        <f>IFERROR(VLOOKUP($F$1,'FH4'!$C$1:$AN$72,((L$2-5)*2-1),0),"")</f>
        <v>67.5</v>
      </c>
      <c r="M16" s="457">
        <f>IFERROR(VLOOKUP($F$1,'FH4'!$C$1:$AN$72,((M$2-5)*2-1),0),"")</f>
        <v>78.75</v>
      </c>
      <c r="N16" s="457">
        <f>IFERROR(VLOOKUP($F$1,'FH4'!$C$1:$AN$72,((N$2-5)*2-1),0),"")</f>
        <v>90</v>
      </c>
      <c r="O16" s="457">
        <f>IFERROR(VLOOKUP($F$1,'FH4'!$C$1:$AN$72,((O$2-5)*2-1),0),"")</f>
        <v>101.25</v>
      </c>
      <c r="P16" s="457">
        <f>IFERROR(VLOOKUP($F$1,'FH4'!$C$1:$AN$72,((P$2-5)*2-1),0),"")</f>
        <v>112.5</v>
      </c>
      <c r="Q16" s="457">
        <f>IFERROR(VLOOKUP($F$1,'FH4'!$C$1:$AN$72,((Q$2-5)*2-1),0),"")</f>
        <v>123.75</v>
      </c>
      <c r="R16" s="457">
        <f>IFERROR(VLOOKUP($F$1,'FH4'!$C$1:$AN$72,((R$2-5)*2-1),0),"")</f>
        <v>135</v>
      </c>
      <c r="S16" s="457">
        <f>IFERROR(VLOOKUP($F$1,'FH4'!$C$1:$AN$72,((S$2-5)*2-1),0),"")</f>
        <v>146.25</v>
      </c>
      <c r="T16" s="457">
        <f>IFERROR(VLOOKUP($F$1,'FH4'!$C$1:$AN$72,((T$2-5)*2-1),0),"")</f>
        <v>157.5</v>
      </c>
      <c r="U16" s="457">
        <f>IFERROR(VLOOKUP($F$1,'FH4'!$C$1:$AN$72,((U$2-5)*2-1),0),"")</f>
        <v>168.75</v>
      </c>
      <c r="V16" s="457">
        <f>IFERROR(VLOOKUP($F$1,'FH4'!$C$1:$AN$72,((V$2-5)*2-1),0),"")</f>
        <v>180</v>
      </c>
      <c r="W16" s="457">
        <f>IFERROR(VLOOKUP($F$1,'FH4'!$C$1:$AN$72,((W$2-5)*2-1),0),"")</f>
        <v>191.25</v>
      </c>
    </row>
    <row r="17" spans="1:23" ht="15" customHeight="1" x14ac:dyDescent="0.2">
      <c r="A17" s="305" t="s">
        <v>660</v>
      </c>
      <c r="B17" s="1670"/>
      <c r="C17" s="1661" t="s">
        <v>555</v>
      </c>
      <c r="D17" s="472" t="s">
        <v>655</v>
      </c>
      <c r="E17" s="301" t="s">
        <v>223</v>
      </c>
      <c r="F17" s="301"/>
      <c r="G17" s="457">
        <f>IFERROR(VLOOKUP($F$1,'FH5'!$C$1:$AN$72,((G$2-5)*2-1),0),"")</f>
        <v>11.25</v>
      </c>
      <c r="H17" s="457">
        <f>IFERROR(VLOOKUP($F$1,'FH5'!$C$1:$AN$72,((H$2-5)*2-1),0),"")</f>
        <v>22.5</v>
      </c>
      <c r="I17" s="457">
        <f>IFERROR(VLOOKUP($F$1,'FH5'!$C$1:$AN$72,((I$2-5)*2-1),0),"")</f>
        <v>33.75</v>
      </c>
      <c r="J17" s="457">
        <f>IFERROR(VLOOKUP($F$1,'FH5'!$C$1:$AN$72,((J$2-5)*2-1),0),"")</f>
        <v>45</v>
      </c>
      <c r="K17" s="457">
        <f>IFERROR(VLOOKUP($F$1,'FH5'!$C$1:$AN$72,((K$2-5)*2-1),0),"")</f>
        <v>56.25</v>
      </c>
      <c r="L17" s="457">
        <f>IFERROR(VLOOKUP($F$1,'FH5'!$C$1:$AN$72,((L$2-5)*2-1),0),"")</f>
        <v>67.5</v>
      </c>
      <c r="M17" s="457">
        <f>IFERROR(VLOOKUP($F$1,'FH5'!$C$1:$AN$72,((M$2-5)*2-1),0),"")</f>
        <v>78.75</v>
      </c>
      <c r="N17" s="457">
        <f>IFERROR(VLOOKUP($F$1,'FH5'!$C$1:$AN$72,((N$2-5)*2-1),0),"")</f>
        <v>90</v>
      </c>
      <c r="O17" s="457">
        <f>IFERROR(VLOOKUP($F$1,'FH5'!$C$1:$AN$72,((O$2-5)*2-1),0),"")</f>
        <v>101.25</v>
      </c>
      <c r="P17" s="457">
        <f>IFERROR(VLOOKUP($F$1,'FH5'!$C$1:$AN$72,((P$2-5)*2-1),0),"")</f>
        <v>112.5</v>
      </c>
      <c r="Q17" s="457">
        <f>IFERROR(VLOOKUP($F$1,'FH5'!$C$1:$AN$72,((Q$2-5)*2-1),0),"")</f>
        <v>123.75</v>
      </c>
      <c r="R17" s="457">
        <f>IFERROR(VLOOKUP($F$1,'FH5'!$C$1:$AN$72,((R$2-5)*2-1),0),"")</f>
        <v>135</v>
      </c>
      <c r="S17" s="457">
        <f>IFERROR(VLOOKUP($F$1,'FH5'!$C$1:$AN$72,((S$2-5)*2-1),0),"")</f>
        <v>146.25</v>
      </c>
      <c r="T17" s="457">
        <f>IFERROR(VLOOKUP($F$1,'FH5'!$C$1:$AN$72,((T$2-5)*2-1),0),"")</f>
        <v>157.5</v>
      </c>
      <c r="U17" s="457">
        <f>IFERROR(VLOOKUP($F$1,'FH5'!$C$1:$AN$72,((U$2-5)*2-1),0),"")</f>
        <v>168.75</v>
      </c>
      <c r="V17" s="457">
        <f>IFERROR(VLOOKUP($F$1,'FH5'!$C$1:$AN$72,((V$2-5)*2-1),0),"")</f>
        <v>180</v>
      </c>
      <c r="W17" s="457">
        <f>IFERROR(VLOOKUP($F$1,'FH5'!$C$1:$AN$72,((W$2-5)*2-1),0),"")</f>
        <v>191.25</v>
      </c>
    </row>
    <row r="18" spans="1:23" ht="15" customHeight="1" x14ac:dyDescent="0.2">
      <c r="A18" s="305" t="s">
        <v>661</v>
      </c>
      <c r="B18" s="1670"/>
      <c r="C18" s="1661"/>
      <c r="D18" s="483" t="s">
        <v>546</v>
      </c>
      <c r="E18" s="301"/>
      <c r="F18" s="301"/>
      <c r="G18" s="457">
        <f>IFERROR(VLOOKUP($F$1,'FH6'!$C$1:$AN$72,((G$2-5)*2-1),0),"")</f>
        <v>11.25</v>
      </c>
      <c r="H18" s="457">
        <f>IFERROR(VLOOKUP($F$1,'FH6'!$C$1:$AN$72,((H$2-5)*2-1),0),"")</f>
        <v>22.5</v>
      </c>
      <c r="I18" s="457">
        <f>IFERROR(VLOOKUP($F$1,'FH6'!$C$1:$AN$72,((I$2-5)*2-1),0),"")</f>
        <v>33.75</v>
      </c>
      <c r="J18" s="457">
        <f>IFERROR(VLOOKUP($F$1,'FH6'!$C$1:$AN$72,((J$2-5)*2-1),0),"")</f>
        <v>45</v>
      </c>
      <c r="K18" s="457">
        <f>IFERROR(VLOOKUP($F$1,'FH6'!$C$1:$AN$72,((K$2-5)*2-1),0),"")</f>
        <v>56.25</v>
      </c>
      <c r="L18" s="457">
        <f>IFERROR(VLOOKUP($F$1,'FH6'!$C$1:$AN$72,((L$2-5)*2-1),0),"")</f>
        <v>67.5</v>
      </c>
      <c r="M18" s="457">
        <f>IFERROR(VLOOKUP($F$1,'FH6'!$C$1:$AN$72,((M$2-5)*2-1),0),"")</f>
        <v>78.75</v>
      </c>
      <c r="N18" s="457">
        <f>IFERROR(VLOOKUP($F$1,'FH6'!$C$1:$AN$72,((N$2-5)*2-1),0),"")</f>
        <v>90</v>
      </c>
      <c r="O18" s="457">
        <f>IFERROR(VLOOKUP($F$1,'FH6'!$C$1:$AN$72,((O$2-5)*2-1),0),"")</f>
        <v>101.25</v>
      </c>
      <c r="P18" s="457">
        <f>IFERROR(VLOOKUP($F$1,'FH6'!$C$1:$AN$72,((P$2-5)*2-1),0),"")</f>
        <v>112.5</v>
      </c>
      <c r="Q18" s="457">
        <f>IFERROR(VLOOKUP($F$1,'FH6'!$C$1:$AN$72,((Q$2-5)*2-1),0),"")</f>
        <v>123.75</v>
      </c>
      <c r="R18" s="457">
        <f>IFERROR(VLOOKUP($F$1,'FH6'!$C$1:$AN$72,((R$2-5)*2-1),0),"")</f>
        <v>135</v>
      </c>
      <c r="S18" s="457">
        <f>IFERROR(VLOOKUP($F$1,'FH6'!$C$1:$AN$72,((S$2-5)*2-1),0),"")</f>
        <v>146.25</v>
      </c>
      <c r="T18" s="457">
        <f>IFERROR(VLOOKUP($F$1,'FH6'!$C$1:$AN$72,((T$2-5)*2-1),0),"")</f>
        <v>157.5</v>
      </c>
      <c r="U18" s="457">
        <f>IFERROR(VLOOKUP($F$1,'FH6'!$C$1:$AN$72,((U$2-5)*2-1),0),"")</f>
        <v>168.75</v>
      </c>
      <c r="V18" s="457">
        <f>IFERROR(VLOOKUP($F$1,'FH6'!$C$1:$AN$72,((V$2-5)*2-1),0),"")</f>
        <v>180</v>
      </c>
      <c r="W18" s="457">
        <f>IFERROR(VLOOKUP($F$1,'FH6'!$C$1:$AN$72,((W$2-5)*2-1),0),"")</f>
        <v>191.25</v>
      </c>
    </row>
    <row r="19" spans="1:23" ht="15.6" customHeight="1" x14ac:dyDescent="0.2">
      <c r="A19" s="305" t="s">
        <v>662</v>
      </c>
      <c r="B19" s="1670"/>
      <c r="C19" s="1661"/>
      <c r="D19" s="472" t="s">
        <v>653</v>
      </c>
      <c r="E19" s="302" t="s">
        <v>223</v>
      </c>
      <c r="F19" s="302"/>
      <c r="G19" s="457">
        <f>IFERROR(VLOOKUP($F$1,'FH7'!$C$1:$AN$71,((G$2-5)*2-1),0),"")</f>
        <v>11.25</v>
      </c>
      <c r="H19" s="457">
        <f>IFERROR(VLOOKUP($F$1,'FH7'!$C$1:$AN$71,((H$2-5)*2-1),0),"")</f>
        <v>22.5</v>
      </c>
      <c r="I19" s="457">
        <f>IFERROR(VLOOKUP($F$1,'FH7'!$C$1:$AN$71,((I$2-5)*2-1),0),"")</f>
        <v>33.75</v>
      </c>
      <c r="J19" s="457">
        <f>IFERROR(VLOOKUP($F$1,'FH7'!$C$1:$AN$71,((J$2-5)*2-1),0),"")</f>
        <v>45</v>
      </c>
      <c r="K19" s="457">
        <f>IFERROR(VLOOKUP($F$1,'FH7'!$C$1:$AN$71,((K$2-5)*2-1),0),"")</f>
        <v>56.25</v>
      </c>
      <c r="L19" s="457">
        <f>IFERROR(VLOOKUP($F$1,'FH7'!$C$1:$AN$71,((L$2-5)*2-1),0),"")</f>
        <v>67.5</v>
      </c>
      <c r="M19" s="457">
        <f>IFERROR(VLOOKUP($F$1,'FH7'!$C$1:$AN$71,((M$2-5)*2-1),0),"")</f>
        <v>78.75</v>
      </c>
      <c r="N19" s="457">
        <f>IFERROR(VLOOKUP($F$1,'FH7'!$C$1:$AN$71,((N$2-5)*2-1),0),"")</f>
        <v>90</v>
      </c>
      <c r="O19" s="457">
        <f>IFERROR(VLOOKUP($F$1,'FH7'!$C$1:$AN$71,((O$2-5)*2-1),0),"")</f>
        <v>101.25</v>
      </c>
      <c r="P19" s="457">
        <f>IFERROR(VLOOKUP($F$1,'FH7'!$C$1:$AN$71,((P$2-5)*2-1),0),"")</f>
        <v>112.5</v>
      </c>
      <c r="Q19" s="457">
        <f>IFERROR(VLOOKUP($F$1,'FH7'!$C$1:$AN$71,((Q$2-5)*2-1),0),"")</f>
        <v>123.75</v>
      </c>
      <c r="R19" s="457">
        <f>IFERROR(VLOOKUP($F$1,'FH7'!$C$1:$AN$71,((R$2-5)*2-1),0),"")</f>
        <v>135</v>
      </c>
      <c r="S19" s="457">
        <f>IFERROR(VLOOKUP($F$1,'FH7'!$C$1:$AN$71,((S$2-5)*2-1),0),"")</f>
        <v>146.25</v>
      </c>
      <c r="T19" s="457">
        <f>IFERROR(VLOOKUP($F$1,'FH7'!$C$1:$AN$71,((T$2-5)*2-1),0),"")</f>
        <v>157.5</v>
      </c>
      <c r="U19" s="457">
        <f>IFERROR(VLOOKUP($F$1,'FH7'!$C$1:$AN$71,((U$2-5)*2-1),0),"")</f>
        <v>168.75</v>
      </c>
      <c r="V19" s="457">
        <f>IFERROR(VLOOKUP($F$1,'FH7'!$C$1:$AN$71,((V$2-5)*2-1),0),"")</f>
        <v>180</v>
      </c>
      <c r="W19" s="457">
        <f>IFERROR(VLOOKUP($F$1,'FH7'!$C$1:$AN$71,((W$2-5)*2-1),0),"")</f>
        <v>191.25</v>
      </c>
    </row>
    <row r="20" spans="1:23" ht="15" customHeight="1" x14ac:dyDescent="0.2">
      <c r="A20" s="305" t="s">
        <v>663</v>
      </c>
      <c r="B20" s="1670"/>
      <c r="C20" s="1672" t="s">
        <v>523</v>
      </c>
      <c r="D20" s="471" t="s">
        <v>656</v>
      </c>
      <c r="E20" s="301" t="s">
        <v>223</v>
      </c>
      <c r="F20" s="301"/>
      <c r="G20" s="457">
        <f>IFERROR(VLOOKUP($F$1,'FH8'!$C$1:$AN$72,((G$2-5)*2-1),0),"")</f>
        <v>11.25</v>
      </c>
      <c r="H20" s="457">
        <f>IFERROR(VLOOKUP($F$1,'FH8'!$C$1:$AN$72,((H$2-5)*2-1),0),"")</f>
        <v>22.5</v>
      </c>
      <c r="I20" s="457">
        <f>IFERROR(VLOOKUP($F$1,'FH8'!$C$1:$AN$72,((I$2-5)*2-1),0),"")</f>
        <v>33.75</v>
      </c>
      <c r="J20" s="457">
        <f>IFERROR(VLOOKUP($F$1,'FH8'!$C$1:$AN$72,((J$2-5)*2-1),0),"")</f>
        <v>45</v>
      </c>
      <c r="K20" s="457">
        <f>IFERROR(VLOOKUP($F$1,'FH8'!$C$1:$AN$72,((K$2-5)*2-1),0),"")</f>
        <v>56.25</v>
      </c>
      <c r="L20" s="457">
        <f>IFERROR(VLOOKUP($F$1,'FH8'!$C$1:$AN$72,((L$2-5)*2-1),0),"")</f>
        <v>67.5</v>
      </c>
      <c r="M20" s="457">
        <f>IFERROR(VLOOKUP($F$1,'FH8'!$C$1:$AN$72,((M$2-5)*2-1),0),"")</f>
        <v>78.75</v>
      </c>
      <c r="N20" s="457">
        <f>IFERROR(VLOOKUP($F$1,'FH8'!$C$1:$AN$72,((N$2-5)*2-1),0),"")</f>
        <v>90</v>
      </c>
      <c r="O20" s="457">
        <f>IFERROR(VLOOKUP($F$1,'FH8'!$C$1:$AN$72,((O$2-5)*2-1),0),"")</f>
        <v>101.25</v>
      </c>
      <c r="P20" s="457">
        <f>IFERROR(VLOOKUP($F$1,'FH8'!$C$1:$AN$72,((P$2-5)*2-1),0),"")</f>
        <v>112.5</v>
      </c>
      <c r="Q20" s="457">
        <f>IFERROR(VLOOKUP($F$1,'FH8'!$C$1:$AN$72,((Q$2-5)*2-1),0),"")</f>
        <v>123.75</v>
      </c>
      <c r="R20" s="457">
        <f>IFERROR(VLOOKUP($F$1,'FH8'!$C$1:$AN$72,((R$2-5)*2-1),0),"")</f>
        <v>135</v>
      </c>
      <c r="S20" s="457">
        <f>IFERROR(VLOOKUP($F$1,'FH8'!$C$1:$AN$72,((S$2-5)*2-1),0),"")</f>
        <v>146.25</v>
      </c>
      <c r="T20" s="457">
        <f>IFERROR(VLOOKUP($F$1,'FH8'!$C$1:$AN$72,((T$2-5)*2-1),0),"")</f>
        <v>157.5</v>
      </c>
      <c r="U20" s="457">
        <f>IFERROR(VLOOKUP($F$1,'FH8'!$C$1:$AN$72,((U$2-5)*2-1),0),"")</f>
        <v>168.75</v>
      </c>
      <c r="V20" s="457">
        <f>IFERROR(VLOOKUP($F$1,'FH8'!$C$1:$AN$72,((V$2-5)*2-1),0),"")</f>
        <v>180</v>
      </c>
      <c r="W20" s="457">
        <f>IFERROR(VLOOKUP($F$1,'FH8'!$C$1:$AN$72,((W$2-5)*2-1),0),"")</f>
        <v>191.25</v>
      </c>
    </row>
    <row r="21" spans="1:23" ht="15" customHeight="1" x14ac:dyDescent="0.2">
      <c r="A21" s="305" t="s">
        <v>1288</v>
      </c>
      <c r="B21" s="1670"/>
      <c r="C21" s="1663"/>
      <c r="D21" s="235" t="s">
        <v>657</v>
      </c>
      <c r="E21" s="301"/>
      <c r="F21" s="301"/>
      <c r="G21" s="457">
        <f>IFERROR(VLOOKUP($F$1,'FH9'!$C$1:$AM$31,((G$2-5)*2-1),0),"")</f>
        <v>114.74999999999999</v>
      </c>
      <c r="H21" s="457">
        <f>IFERROR(VLOOKUP($F$1,'FH9'!$C$1:$AM$31,((H$2-5)*2-1),0),"")</f>
        <v>155.25</v>
      </c>
      <c r="I21" s="457">
        <f>IFERROR(VLOOKUP($F$1,'FH9'!$C$1:$AM$31,((I$2-5)*2-1),0),"")</f>
        <v>168.74999999999997</v>
      </c>
      <c r="J21" s="457">
        <f>IFERROR(VLOOKUP($F$1,'FH9'!$C$1:$AM$31,((J$2-5)*2-1),0),"")</f>
        <v>195.74999999999997</v>
      </c>
      <c r="K21" s="457">
        <f>IFERROR(VLOOKUP($F$1,'FH9'!$C$1:$AM$31,((K$2-5)*2-1),0),"")</f>
        <v>222.74999999999997</v>
      </c>
      <c r="L21" s="457">
        <f>IFERROR(VLOOKUP($F$1,'FH9'!$C$1:$AM$31,((L$2-5)*2-1),0),"")</f>
        <v>249.74999999999994</v>
      </c>
      <c r="M21" s="457">
        <f>IFERROR(VLOOKUP($F$1,'FH9'!$C$1:$AM$31,((M$2-5)*2-1),0),"")</f>
        <v>276.75</v>
      </c>
      <c r="N21" s="457">
        <f>IFERROR(VLOOKUP($F$1,'FH9'!$C$1:$AM$31,((N$2-5)*2-1),0),"")</f>
        <v>268.64999999999998</v>
      </c>
      <c r="O21" s="457">
        <f>IFERROR(VLOOKUP($F$1,'FH9'!$C$1:$AM$31,((O$2-5)*2-1),0),"")</f>
        <v>290.24999999999994</v>
      </c>
      <c r="P21" s="457">
        <f>IFERROR(VLOOKUP($F$1,'FH9'!$C$1:$AM$31,((P$2-5)*2-1),0),"")</f>
        <v>333.45</v>
      </c>
      <c r="Q21" s="457">
        <f>IFERROR(VLOOKUP($F$1,'FH9'!$C$1:$AM$31,((Q$2-5)*2-1),0),"")</f>
        <v>333.45</v>
      </c>
      <c r="R21" s="457">
        <f>IFERROR(VLOOKUP($F$1,'FH9'!$C$1:$AM$31,((R$2-5)*2-1),0),"")</f>
        <v>352.35</v>
      </c>
      <c r="S21" s="457">
        <f>IFERROR(VLOOKUP($F$1,'FH9'!$C$1:$AM$31,((S$2-5)*2-1),0),"")</f>
        <v>352.35</v>
      </c>
      <c r="T21" s="457">
        <f>IFERROR(VLOOKUP($F$1,'FH9'!$C$1:$AM$31,((T$2-5)*2-1),0),"")</f>
        <v>376.65</v>
      </c>
      <c r="U21" s="457">
        <f>IFERROR(VLOOKUP($F$1,'FH9'!$C$1:$AM$31,((U$2-5)*2-1),0),"")</f>
        <v>411.75</v>
      </c>
      <c r="V21" s="457">
        <f>IFERROR(VLOOKUP($F$1,'FH9'!$C$1:$AM$31,((V$2-5)*2-1),0),"")</f>
        <v>411.75</v>
      </c>
      <c r="W21" s="457">
        <f>IFERROR(VLOOKUP($F$1,'FH9'!$C$1:$AM$31,((W$2-5)*2-1),0),"")</f>
        <v>430.65000000000003</v>
      </c>
    </row>
    <row r="22" spans="1:23" ht="15" customHeight="1" x14ac:dyDescent="0.2">
      <c r="A22" s="305" t="s">
        <v>558</v>
      </c>
      <c r="B22" s="1668" t="s">
        <v>408</v>
      </c>
      <c r="C22" s="499" t="s">
        <v>562</v>
      </c>
      <c r="D22" s="235"/>
      <c r="E22" s="301"/>
      <c r="F22" s="301"/>
      <c r="G22" s="457">
        <f>IFERROR(VLOOKUP($F$1,'FVB3'!$C$1:$AK$24,((G$2-5)*2-1),0),"")</f>
        <v>0</v>
      </c>
      <c r="H22" s="457">
        <f>IFERROR(VLOOKUP($F$1,'FVB3'!$C$1:$AK$24,((H$2-5)*2-1),0),"")</f>
        <v>0</v>
      </c>
      <c r="I22" s="457">
        <f>IFERROR(VLOOKUP($F$1,'FVB3'!$C$1:$AK$24,((I$2-5)*2-1),0),"")</f>
        <v>0</v>
      </c>
      <c r="J22" s="457">
        <f>IFERROR(VLOOKUP($F$1,'FVB3'!$C$1:$AK$24,((J$2-5)*2-1),0),"")</f>
        <v>0</v>
      </c>
      <c r="K22" s="457">
        <f>IFERROR(VLOOKUP($F$1,'FVB3'!$C$1:$AK$24,((K$2-5)*2-1),0),"")</f>
        <v>0</v>
      </c>
      <c r="L22" s="457">
        <f>IFERROR(VLOOKUP($F$1,'FVB3'!$C$1:$AK$24,((L$2-5)*2-1),0),"")</f>
        <v>0</v>
      </c>
      <c r="M22" s="457">
        <f>IFERROR(VLOOKUP($F$1,'FVB3'!$C$1:$AK$24,((M$2-5)*2-1),0),"")</f>
        <v>0</v>
      </c>
      <c r="N22" s="457">
        <f>IFERROR(VLOOKUP($F$1,'FVB3'!$C$1:$AK$24,((N$2-5)*2-1),0),"")</f>
        <v>0</v>
      </c>
      <c r="O22" s="457">
        <f>IFERROR(VLOOKUP($F$1,'FVB3'!$C$1:$AK$24,((O$2-5)*2-1),0),"")</f>
        <v>0</v>
      </c>
      <c r="P22" s="457">
        <f>IFERROR(VLOOKUP($F$1,'FVB3'!$C$1:$AK$24,((P$2-5)*2-1),0),"")</f>
        <v>0</v>
      </c>
      <c r="Q22" s="457">
        <f>IFERROR(VLOOKUP($F$1,'FVB3'!$C$1:$AK$24,((Q$2-5)*2-1),0),"")</f>
        <v>0</v>
      </c>
      <c r="R22" s="457">
        <f>IFERROR(VLOOKUP($F$1,'FVB3'!$C$1:$AK$24,((R$2-5)*2-1),0),"")</f>
        <v>0</v>
      </c>
      <c r="S22" s="457">
        <f>IFERROR(VLOOKUP($F$1,'FVB3'!$C$1:$AK$24,((S$2-5)*2-1),0),"")</f>
        <v>0</v>
      </c>
      <c r="T22" s="457">
        <f>IFERROR(VLOOKUP($F$1,'FVB3'!$C$1:$AK$24,((T$2-5)*2-1),0),"")</f>
        <v>0</v>
      </c>
      <c r="U22" s="457">
        <f>IFERROR(VLOOKUP($F$1,'FVB3'!$C$1:$AK$24,((U$2-5)*2-1),0),"")</f>
        <v>0</v>
      </c>
      <c r="V22" s="457">
        <f>IFERROR(VLOOKUP($F$1,'FVB3'!$C$1:$AK$24,((V$2-5)*2-1),0),"")</f>
        <v>0</v>
      </c>
      <c r="W22" s="457">
        <f>IFERROR(VLOOKUP($F$1,'FVB3'!$C$1:$AK$24,((W$2-5)*2-1),0),"")</f>
        <v>0</v>
      </c>
    </row>
    <row r="23" spans="1:23" ht="15" customHeight="1" x14ac:dyDescent="0.2">
      <c r="A23" s="305" t="s">
        <v>559</v>
      </c>
      <c r="B23" s="1668"/>
      <c r="C23" s="499" t="s">
        <v>654</v>
      </c>
      <c r="D23" s="235"/>
      <c r="E23" s="301"/>
      <c r="F23" s="301"/>
      <c r="G23" s="457">
        <f>IFERROR(VLOOKUP($F$1,'FVB2'!$C$1:$AK$25,((G$2-5)*2-1),0),"")</f>
        <v>0</v>
      </c>
      <c r="H23" s="457">
        <f>IFERROR(VLOOKUP($F$1,'FVB2'!$C$1:$AK$25,((H$2-5)*2-1),0),"")</f>
        <v>0</v>
      </c>
      <c r="I23" s="457">
        <f>IFERROR(VLOOKUP($F$1,'FVB2'!$C$1:$AK$25,((I$2-5)*2-1),0),"")</f>
        <v>0</v>
      </c>
      <c r="J23" s="457">
        <f>IFERROR(VLOOKUP($F$1,'FVB2'!$C$1:$AK$25,((J$2-5)*2-1),0),"")</f>
        <v>0</v>
      </c>
      <c r="K23" s="457">
        <f>IFERROR(VLOOKUP($F$1,'FVB2'!$C$1:$AK$25,((K$2-5)*2-1),0),"")</f>
        <v>0</v>
      </c>
      <c r="L23" s="457">
        <f>IFERROR(VLOOKUP($F$1,'FVB2'!$C$1:$AK$25,((L$2-5)*2-1),0),"")</f>
        <v>0</v>
      </c>
      <c r="M23" s="457">
        <f>IFERROR(VLOOKUP($F$1,'FVB2'!$C$1:$AK$25,((M$2-5)*2-1),0),"")</f>
        <v>0</v>
      </c>
      <c r="N23" s="457">
        <f>IFERROR(VLOOKUP($F$1,'FVB2'!$C$1:$AK$25,((N$2-5)*2-1),0),"")</f>
        <v>0</v>
      </c>
      <c r="O23" s="457">
        <f>IFERROR(VLOOKUP($F$1,'FVB2'!$C$1:$AK$25,((O$2-5)*2-1),0),"")</f>
        <v>0</v>
      </c>
      <c r="P23" s="457">
        <f>IFERROR(VLOOKUP($F$1,'FVB2'!$C$1:$AK$25,((P$2-5)*2-1),0),"")</f>
        <v>0</v>
      </c>
      <c r="Q23" s="457">
        <f>IFERROR(VLOOKUP($F$1,'FVB2'!$C$1:$AK$25,((Q$2-5)*2-1),0),"")</f>
        <v>0</v>
      </c>
      <c r="R23" s="457">
        <f>IFERROR(VLOOKUP($F$1,'FVB2'!$C$1:$AK$25,((R$2-5)*2-1),0),"")</f>
        <v>0</v>
      </c>
      <c r="S23" s="457">
        <f>IFERROR(VLOOKUP($F$1,'FVB2'!$C$1:$AK$25,((S$2-5)*2-1),0),"")</f>
        <v>0</v>
      </c>
      <c r="T23" s="457">
        <f>IFERROR(VLOOKUP($F$1,'FVB2'!$C$1:$AK$25,((T$2-5)*2-1),0),"")</f>
        <v>0</v>
      </c>
      <c r="U23" s="457">
        <f>IFERROR(VLOOKUP($F$1,'FVB2'!$C$1:$AK$25,((U$2-5)*2-1),0),"")</f>
        <v>0</v>
      </c>
      <c r="V23" s="457">
        <f>IFERROR(VLOOKUP($F$1,'FVB2'!$C$1:$AK$25,((V$2-5)*2-1),0),"")</f>
        <v>0</v>
      </c>
      <c r="W23" s="457">
        <f>IFERROR(VLOOKUP($F$1,'FVB2'!$C$1:$AK$25,((W$2-5)*2-1),0),"")</f>
        <v>0</v>
      </c>
    </row>
    <row r="24" spans="1:23" ht="15" customHeight="1" x14ac:dyDescent="0.2">
      <c r="A24" s="305" t="s">
        <v>560</v>
      </c>
      <c r="B24" s="1668"/>
      <c r="C24" s="498" t="s">
        <v>523</v>
      </c>
      <c r="D24" s="235"/>
      <c r="E24" s="301" t="s">
        <v>223</v>
      </c>
      <c r="F24" s="301"/>
      <c r="G24" s="457">
        <f>IFERROR(VLOOKUP($F$1,'FVB1'!$C$1:$AK$25,((G$2-5)*2-1),0),"")</f>
        <v>0</v>
      </c>
      <c r="H24" s="457">
        <f>IFERROR(VLOOKUP($F$1,'FVB1'!$C$1:$AK$25,((H$2-5)*2-1),0),"")</f>
        <v>0</v>
      </c>
      <c r="I24" s="457">
        <f>IFERROR(VLOOKUP($F$1,'FVB1'!$C$1:$AK$25,((I$2-5)*2-1),0),"")</f>
        <v>0</v>
      </c>
      <c r="J24" s="457">
        <f>IFERROR(VLOOKUP($F$1,'FVB1'!$C$1:$AK$25,((J$2-5)*2-1),0),"")</f>
        <v>0</v>
      </c>
      <c r="K24" s="457">
        <f>IFERROR(VLOOKUP($F$1,'FVB1'!$C$1:$AK$25,((K$2-5)*2-1),0),"")</f>
        <v>0</v>
      </c>
      <c r="L24" s="457">
        <f>IFERROR(VLOOKUP($F$1,'FVB1'!$C$1:$AK$25,((L$2-5)*2-1),0),"")</f>
        <v>0</v>
      </c>
      <c r="M24" s="457">
        <f>IFERROR(VLOOKUP($F$1,'FVB1'!$C$1:$AK$25,((M$2-5)*2-1),0),"")</f>
        <v>0</v>
      </c>
      <c r="N24" s="457">
        <f>IFERROR(VLOOKUP($F$1,'FVB1'!$C$1:$AK$25,((N$2-5)*2-1),0),"")</f>
        <v>0</v>
      </c>
      <c r="O24" s="457">
        <f>IFERROR(VLOOKUP($F$1,'FVB1'!$C$1:$AK$25,((O$2-5)*2-1),0),"")</f>
        <v>0</v>
      </c>
      <c r="P24" s="457">
        <f>IFERROR(VLOOKUP($F$1,'FVB1'!$C$1:$AK$25,((P$2-5)*2-1),0),"")</f>
        <v>0</v>
      </c>
      <c r="Q24" s="457">
        <f>IFERROR(VLOOKUP($F$1,'FVB1'!$C$1:$AK$25,((Q$2-5)*2-1),0),"")</f>
        <v>0</v>
      </c>
      <c r="R24" s="457">
        <f>IFERROR(VLOOKUP($F$1,'FVB1'!$C$1:$AK$25,((R$2-5)*2-1),0),"")</f>
        <v>0</v>
      </c>
      <c r="S24" s="457">
        <f>IFERROR(VLOOKUP($F$1,'FVB1'!$C$1:$AK$25,((S$2-5)*2-1),0),"")</f>
        <v>0</v>
      </c>
      <c r="T24" s="457">
        <f>IFERROR(VLOOKUP($F$1,'FVB1'!$C$1:$AK$25,((T$2-5)*2-1),0),"")</f>
        <v>0</v>
      </c>
      <c r="U24" s="457">
        <f>IFERROR(VLOOKUP($F$1,'FVB1'!$C$1:$AK$25,((U$2-5)*2-1),0),"")</f>
        <v>0</v>
      </c>
      <c r="V24" s="457">
        <f>IFERROR(VLOOKUP($F$1,'FVB1'!$C$1:$AK$25,((V$2-5)*2-1),0),"")</f>
        <v>0</v>
      </c>
      <c r="W24" s="457">
        <f>IFERROR(VLOOKUP($F$1,'FVB1'!$C$1:$AK$25,((W$2-5)*2-1),0),"")</f>
        <v>0</v>
      </c>
    </row>
    <row r="25" spans="1:23" ht="15" customHeight="1" x14ac:dyDescent="0.2">
      <c r="A25" s="305" t="s">
        <v>564</v>
      </c>
      <c r="B25" s="1671" t="s">
        <v>565</v>
      </c>
      <c r="C25" s="498" t="s">
        <v>566</v>
      </c>
      <c r="D25" s="235"/>
      <c r="E25" s="301">
        <f>'Zones d''infiltration'!I49</f>
        <v>75.9375</v>
      </c>
      <c r="F25" s="301"/>
      <c r="G25" s="457"/>
      <c r="H25" s="457"/>
      <c r="I25" s="457"/>
      <c r="J25" s="457"/>
      <c r="K25" s="457"/>
      <c r="L25" s="457"/>
      <c r="M25" s="457"/>
      <c r="N25" s="457"/>
      <c r="O25" s="457"/>
      <c r="P25" s="457"/>
      <c r="Q25" s="457"/>
      <c r="R25" s="457"/>
      <c r="S25" s="457"/>
      <c r="T25" s="457"/>
      <c r="U25" s="457"/>
      <c r="V25" s="457"/>
      <c r="W25" s="457"/>
    </row>
    <row r="26" spans="1:23" x14ac:dyDescent="0.2">
      <c r="A26" s="308" t="s">
        <v>567</v>
      </c>
      <c r="B26" s="1671"/>
      <c r="C26" s="498" t="s">
        <v>568</v>
      </c>
      <c r="D26" s="235"/>
      <c r="E26" s="301">
        <f>'Zones d''infiltration'!K49</f>
        <v>11.700000000000001</v>
      </c>
      <c r="F26" s="301"/>
      <c r="G26" s="457"/>
      <c r="H26" s="457"/>
      <c r="I26" s="457"/>
      <c r="J26" s="457"/>
      <c r="K26" s="457"/>
      <c r="L26" s="457"/>
      <c r="M26" s="457"/>
      <c r="N26" s="457"/>
      <c r="O26" s="457"/>
      <c r="P26" s="457"/>
      <c r="Q26" s="457"/>
      <c r="R26" s="457"/>
      <c r="S26" s="457"/>
      <c r="T26" s="457"/>
      <c r="U26" s="457"/>
      <c r="V26" s="457"/>
      <c r="W26" s="457"/>
    </row>
    <row r="27" spans="1:23" x14ac:dyDescent="0.2">
      <c r="A27" s="305" t="s">
        <v>1191</v>
      </c>
      <c r="B27" s="1673" t="s">
        <v>569</v>
      </c>
      <c r="C27" s="498" t="s">
        <v>1194</v>
      </c>
      <c r="D27" s="235"/>
      <c r="E27" s="301">
        <f>'Zones d''infiltration'!E49</f>
        <v>11.700000000000001</v>
      </c>
      <c r="F27" s="301"/>
      <c r="G27" s="457"/>
      <c r="H27" s="457"/>
      <c r="I27" s="457"/>
      <c r="J27" s="457"/>
      <c r="K27" s="457"/>
      <c r="L27" s="457"/>
      <c r="M27" s="457"/>
      <c r="N27" s="457"/>
      <c r="O27" s="457"/>
      <c r="P27" s="457"/>
      <c r="Q27" s="457"/>
      <c r="R27" s="457"/>
      <c r="S27" s="457"/>
      <c r="T27" s="457"/>
      <c r="U27" s="457"/>
      <c r="V27" s="457"/>
      <c r="W27" s="457"/>
    </row>
    <row r="28" spans="1:23" ht="15" customHeight="1" x14ac:dyDescent="0.2">
      <c r="A28" s="305" t="s">
        <v>1192</v>
      </c>
      <c r="B28" s="1674"/>
      <c r="C28" s="498" t="s">
        <v>1193</v>
      </c>
      <c r="D28" s="235"/>
      <c r="E28" s="301">
        <f>'Zones d''infiltration'!G49</f>
        <v>11.700000000000001</v>
      </c>
      <c r="F28" s="301"/>
      <c r="G28" s="457"/>
      <c r="H28" s="457"/>
      <c r="I28" s="457"/>
      <c r="J28" s="457"/>
      <c r="K28" s="457"/>
      <c r="L28" s="457"/>
      <c r="M28" s="457"/>
      <c r="N28" s="457"/>
      <c r="O28" s="457"/>
      <c r="P28" s="457"/>
      <c r="Q28" s="457"/>
      <c r="R28" s="457"/>
      <c r="S28" s="457"/>
      <c r="T28" s="457"/>
      <c r="U28" s="457"/>
      <c r="V28" s="457"/>
      <c r="W28" s="457"/>
    </row>
    <row r="29" spans="1:23" ht="15" customHeight="1" x14ac:dyDescent="0.2">
      <c r="A29" s="308"/>
      <c r="B29" s="295"/>
      <c r="C29" s="498"/>
      <c r="D29" s="235"/>
      <c r="E29" s="301"/>
      <c r="F29" s="301"/>
      <c r="G29" s="457"/>
      <c r="H29" s="457"/>
      <c r="I29" s="457"/>
      <c r="J29" s="457"/>
      <c r="K29" s="457"/>
      <c r="L29" s="457"/>
      <c r="M29" s="457"/>
      <c r="N29" s="457"/>
      <c r="O29" s="457"/>
      <c r="P29" s="457"/>
      <c r="Q29" s="457"/>
      <c r="R29" s="457"/>
      <c r="S29" s="457"/>
      <c r="T29" s="457"/>
      <c r="U29" s="457"/>
      <c r="V29" s="457"/>
      <c r="W29" s="457"/>
    </row>
    <row r="30" spans="1:23" ht="15" customHeight="1" x14ac:dyDescent="0.2">
      <c r="A30" s="473"/>
      <c r="B30" s="474"/>
      <c r="C30" s="475"/>
      <c r="D30" s="392"/>
      <c r="E30" s="476"/>
      <c r="F30" s="476"/>
      <c r="G30" s="477"/>
      <c r="H30" s="477"/>
      <c r="I30" s="477"/>
      <c r="J30" s="477"/>
      <c r="K30" s="477"/>
      <c r="L30" s="477"/>
      <c r="M30" s="477"/>
      <c r="N30" s="477"/>
      <c r="O30" s="477"/>
      <c r="P30" s="477"/>
      <c r="Q30" s="477"/>
      <c r="R30" s="477"/>
      <c r="S30" s="477"/>
      <c r="T30" s="477"/>
      <c r="U30" s="477"/>
      <c r="V30" s="477"/>
      <c r="W30" s="477"/>
    </row>
    <row r="31" spans="1:23" ht="15" customHeight="1" x14ac:dyDescent="0.2">
      <c r="A31" s="478"/>
      <c r="B31" s="337"/>
      <c r="C31" s="337"/>
      <c r="D31" s="337"/>
      <c r="E31" s="476"/>
      <c r="F31" s="476"/>
      <c r="G31" s="477"/>
      <c r="H31" s="477"/>
      <c r="I31" s="477"/>
      <c r="J31" s="477"/>
      <c r="K31" s="477"/>
      <c r="L31" s="477"/>
      <c r="M31" s="477"/>
      <c r="N31" s="477"/>
      <c r="O31" s="477"/>
      <c r="P31" s="477"/>
      <c r="Q31" s="477"/>
      <c r="R31" s="477"/>
      <c r="S31" s="477"/>
      <c r="T31" s="477"/>
      <c r="U31" s="477"/>
      <c r="V31" s="477"/>
      <c r="W31" s="477"/>
    </row>
    <row r="32" spans="1:23" ht="15" customHeight="1" x14ac:dyDescent="0.2">
      <c r="A32" s="308" t="s">
        <v>571</v>
      </c>
      <c r="B32" s="1669" t="s">
        <v>572</v>
      </c>
      <c r="C32" s="498" t="s">
        <v>665</v>
      </c>
      <c r="D32" s="235" t="s">
        <v>577</v>
      </c>
      <c r="E32" s="301">
        <f>Habillage!E39</f>
        <v>0</v>
      </c>
      <c r="F32" s="301"/>
      <c r="G32" s="457"/>
      <c r="H32" s="457"/>
      <c r="I32" s="457"/>
      <c r="J32" s="457"/>
      <c r="K32" s="457"/>
      <c r="L32" s="457"/>
      <c r="M32" s="457"/>
      <c r="N32" s="457"/>
      <c r="O32" s="457"/>
      <c r="P32" s="457"/>
      <c r="Q32" s="457"/>
      <c r="R32" s="457"/>
      <c r="S32" s="457"/>
      <c r="T32" s="457"/>
      <c r="U32" s="457"/>
      <c r="V32" s="457"/>
      <c r="W32" s="457"/>
    </row>
    <row r="33" spans="1:23" ht="15" customHeight="1" x14ac:dyDescent="0.2">
      <c r="A33" s="308" t="s">
        <v>574</v>
      </c>
      <c r="B33" s="1669"/>
      <c r="C33" s="498" t="s">
        <v>408</v>
      </c>
      <c r="D33" s="235" t="s">
        <v>575</v>
      </c>
      <c r="E33" s="301">
        <f>Habillage!G39</f>
        <v>219.55499999999998</v>
      </c>
      <c r="F33" s="301"/>
      <c r="G33" s="457"/>
      <c r="H33" s="457"/>
      <c r="I33" s="457"/>
      <c r="J33" s="457"/>
      <c r="K33" s="457"/>
      <c r="L33" s="457"/>
      <c r="M33" s="457"/>
      <c r="N33" s="457"/>
      <c r="O33" s="457"/>
      <c r="P33" s="457"/>
      <c r="Q33" s="457"/>
      <c r="R33" s="457"/>
      <c r="S33" s="457"/>
      <c r="T33" s="457"/>
      <c r="U33" s="457"/>
      <c r="V33" s="457"/>
      <c r="W33" s="457"/>
    </row>
    <row r="34" spans="1:23" ht="15" customHeight="1" x14ac:dyDescent="0.2">
      <c r="A34" s="308" t="s">
        <v>576</v>
      </c>
      <c r="B34" s="1669"/>
      <c r="C34" s="498" t="s">
        <v>664</v>
      </c>
      <c r="D34" s="235" t="s">
        <v>573</v>
      </c>
      <c r="E34" s="301" t="e">
        <f>Habillage!I39</f>
        <v>#VALUE!</v>
      </c>
      <c r="F34" s="301"/>
      <c r="G34" s="457"/>
      <c r="H34" s="457"/>
      <c r="I34" s="457"/>
      <c r="J34" s="457"/>
      <c r="K34" s="457"/>
      <c r="L34" s="457"/>
      <c r="M34" s="457"/>
      <c r="N34" s="457"/>
      <c r="O34" s="457"/>
      <c r="P34" s="457"/>
      <c r="Q34" s="457"/>
      <c r="R34" s="457"/>
      <c r="S34" s="457"/>
      <c r="T34" s="457"/>
      <c r="U34" s="457"/>
      <c r="V34" s="457"/>
      <c r="W34" s="457"/>
    </row>
    <row r="35" spans="1:23" ht="15" customHeight="1" x14ac:dyDescent="0.2">
      <c r="A35" s="308" t="s">
        <v>578</v>
      </c>
      <c r="B35" s="1669"/>
      <c r="C35" s="498" t="s">
        <v>579</v>
      </c>
      <c r="D35" s="472" t="s">
        <v>580</v>
      </c>
      <c r="E35" s="301" t="e">
        <f>Habillage!L39</f>
        <v>#DIV/0!</v>
      </c>
      <c r="F35" s="301"/>
      <c r="G35" s="457"/>
      <c r="H35" s="457"/>
      <c r="I35" s="457"/>
      <c r="J35" s="457"/>
      <c r="K35" s="457"/>
      <c r="L35" s="457"/>
      <c r="M35" s="457"/>
      <c r="N35" s="457"/>
      <c r="O35" s="457"/>
      <c r="P35" s="457"/>
      <c r="Q35" s="457"/>
      <c r="R35" s="457"/>
      <c r="S35" s="457"/>
      <c r="T35" s="457"/>
      <c r="U35" s="457"/>
      <c r="V35" s="457"/>
      <c r="W35" s="457"/>
    </row>
    <row r="36" spans="1:23" ht="15" customHeight="1" x14ac:dyDescent="0.2">
      <c r="A36" s="308" t="s">
        <v>581</v>
      </c>
      <c r="B36" s="1669"/>
      <c r="C36" s="498" t="s">
        <v>666</v>
      </c>
      <c r="D36" s="472" t="s">
        <v>582</v>
      </c>
      <c r="E36" s="301" t="e">
        <f>Habillage!#REF!</f>
        <v>#REF!</v>
      </c>
      <c r="F36" s="301"/>
      <c r="G36" s="457"/>
      <c r="H36" s="457"/>
      <c r="I36" s="457"/>
      <c r="J36" s="457"/>
      <c r="K36" s="457"/>
      <c r="L36" s="457"/>
      <c r="M36" s="457"/>
      <c r="N36" s="457"/>
      <c r="O36" s="457"/>
      <c r="P36" s="457"/>
      <c r="Q36" s="457"/>
      <c r="R36" s="457"/>
      <c r="S36" s="457"/>
      <c r="T36" s="457"/>
      <c r="U36" s="457"/>
      <c r="V36" s="457"/>
      <c r="W36" s="457"/>
    </row>
    <row r="37" spans="1:23" ht="15" customHeight="1" x14ac:dyDescent="0.2">
      <c r="A37" s="308"/>
      <c r="B37" s="298"/>
      <c r="C37" s="297"/>
      <c r="D37" s="158"/>
      <c r="E37" s="301"/>
      <c r="F37" s="301"/>
      <c r="G37" s="457"/>
      <c r="H37" s="457"/>
      <c r="I37" s="457"/>
      <c r="J37" s="457"/>
      <c r="K37" s="457"/>
      <c r="L37" s="457"/>
      <c r="M37" s="457"/>
      <c r="N37" s="457"/>
      <c r="O37" s="457"/>
      <c r="P37" s="457"/>
      <c r="Q37" s="457"/>
      <c r="R37" s="457"/>
      <c r="S37" s="457"/>
      <c r="T37" s="457"/>
      <c r="U37" s="457"/>
      <c r="V37" s="457"/>
      <c r="W37" s="457"/>
    </row>
    <row r="38" spans="1:23" ht="15" customHeight="1" x14ac:dyDescent="0.2">
      <c r="A38" s="308" t="s">
        <v>583</v>
      </c>
      <c r="B38" s="1658" t="s">
        <v>487</v>
      </c>
      <c r="C38" s="573" t="s">
        <v>584</v>
      </c>
      <c r="D38" s="235" t="s">
        <v>1410</v>
      </c>
      <c r="E38" s="301">
        <f>Finitions!E53</f>
        <v>38.61</v>
      </c>
      <c r="F38" s="301"/>
      <c r="G38" s="457"/>
      <c r="H38" s="457"/>
      <c r="I38" s="457"/>
      <c r="J38" s="457"/>
      <c r="K38" s="457"/>
      <c r="L38" s="457"/>
      <c r="M38" s="457"/>
      <c r="N38" s="457"/>
      <c r="O38" s="457"/>
      <c r="P38" s="457"/>
      <c r="Q38" s="457"/>
      <c r="R38" s="457"/>
      <c r="S38" s="457"/>
      <c r="T38" s="457"/>
      <c r="U38" s="457"/>
      <c r="V38" s="457"/>
      <c r="W38" s="457"/>
    </row>
    <row r="39" spans="1:23" ht="15" customHeight="1" x14ac:dyDescent="0.2">
      <c r="A39" s="308" t="s">
        <v>585</v>
      </c>
      <c r="B39" s="1659"/>
      <c r="C39" s="573" t="s">
        <v>1521</v>
      </c>
      <c r="D39" s="235" t="s">
        <v>1520</v>
      </c>
      <c r="E39" s="301">
        <f>Finitions!G53</f>
        <v>18</v>
      </c>
      <c r="F39" s="301"/>
      <c r="G39" s="457"/>
      <c r="H39" s="457"/>
      <c r="I39" s="457"/>
      <c r="J39" s="457"/>
      <c r="K39" s="457"/>
      <c r="L39" s="457"/>
      <c r="M39" s="457"/>
      <c r="N39" s="457"/>
      <c r="O39" s="457"/>
      <c r="P39" s="457"/>
      <c r="Q39" s="457"/>
      <c r="R39" s="457"/>
      <c r="S39" s="457"/>
      <c r="T39" s="457"/>
      <c r="U39" s="457"/>
      <c r="V39" s="457"/>
      <c r="W39" s="457"/>
    </row>
    <row r="40" spans="1:23" ht="15" customHeight="1" x14ac:dyDescent="0.2">
      <c r="A40" s="308" t="s">
        <v>586</v>
      </c>
      <c r="B40" s="1659"/>
      <c r="C40" s="573" t="s">
        <v>667</v>
      </c>
      <c r="D40" s="235" t="s">
        <v>668</v>
      </c>
      <c r="E40" s="301">
        <f>Finitions!I53</f>
        <v>29.699999999999996</v>
      </c>
      <c r="F40" s="301"/>
      <c r="G40" s="457"/>
      <c r="H40" s="457"/>
      <c r="I40" s="457"/>
      <c r="J40" s="457"/>
      <c r="K40" s="457"/>
      <c r="L40" s="457"/>
      <c r="M40" s="457"/>
      <c r="N40" s="457"/>
      <c r="O40" s="457"/>
      <c r="P40" s="457"/>
      <c r="Q40" s="457"/>
      <c r="R40" s="457"/>
      <c r="S40" s="457"/>
      <c r="T40" s="457"/>
      <c r="U40" s="457"/>
      <c r="V40" s="457"/>
      <c r="W40" s="457"/>
    </row>
    <row r="41" spans="1:23" ht="15" customHeight="1" x14ac:dyDescent="0.2">
      <c r="A41" s="308" t="s">
        <v>587</v>
      </c>
      <c r="B41" s="1659"/>
      <c r="C41" s="573" t="s">
        <v>667</v>
      </c>
      <c r="D41" s="235" t="s">
        <v>1522</v>
      </c>
      <c r="E41" s="301">
        <f>Finitions!K53</f>
        <v>49.500000000000007</v>
      </c>
      <c r="F41" s="301"/>
      <c r="G41" s="457"/>
      <c r="H41" s="457"/>
      <c r="I41" s="457"/>
      <c r="J41" s="457"/>
      <c r="K41" s="457"/>
      <c r="L41" s="457"/>
      <c r="M41" s="457"/>
      <c r="N41" s="457"/>
      <c r="O41" s="457"/>
      <c r="P41" s="457"/>
      <c r="Q41" s="457"/>
      <c r="R41" s="457"/>
      <c r="S41" s="457"/>
      <c r="T41" s="457"/>
      <c r="U41" s="457"/>
      <c r="V41" s="457"/>
      <c r="W41" s="457"/>
    </row>
    <row r="42" spans="1:23" ht="15" customHeight="1" x14ac:dyDescent="0.2">
      <c r="A42" s="308" t="s">
        <v>588</v>
      </c>
      <c r="B42" s="1659"/>
      <c r="C42" s="573" t="s">
        <v>1523</v>
      </c>
      <c r="D42" s="235" t="s">
        <v>1407</v>
      </c>
      <c r="E42" s="301">
        <f>Finitions!M53</f>
        <v>64.350000000000009</v>
      </c>
      <c r="F42" s="301"/>
      <c r="G42" s="457"/>
      <c r="H42" s="457"/>
      <c r="I42" s="457"/>
      <c r="J42" s="457"/>
      <c r="K42" s="457"/>
      <c r="L42" s="457"/>
      <c r="M42" s="457"/>
      <c r="N42" s="457"/>
      <c r="O42" s="457"/>
      <c r="P42" s="457"/>
      <c r="Q42" s="457"/>
      <c r="R42" s="457"/>
      <c r="S42" s="457"/>
      <c r="T42" s="457"/>
      <c r="U42" s="457"/>
      <c r="V42" s="457"/>
      <c r="W42" s="457"/>
    </row>
    <row r="43" spans="1:23" ht="15" customHeight="1" x14ac:dyDescent="0.2">
      <c r="A43" s="308" t="s">
        <v>1402</v>
      </c>
      <c r="B43" s="1659"/>
      <c r="C43" s="573" t="s">
        <v>1524</v>
      </c>
      <c r="D43" s="235" t="s">
        <v>1325</v>
      </c>
      <c r="E43" s="301">
        <f>Finitions!O53</f>
        <v>0</v>
      </c>
      <c r="F43" s="301"/>
      <c r="G43" s="457"/>
      <c r="H43" s="457"/>
      <c r="I43" s="457"/>
      <c r="J43" s="457"/>
      <c r="K43" s="457"/>
      <c r="L43" s="457"/>
      <c r="M43" s="457"/>
      <c r="N43" s="457"/>
      <c r="O43" s="457"/>
      <c r="P43" s="457"/>
      <c r="Q43" s="457"/>
      <c r="R43" s="457"/>
      <c r="S43" s="457"/>
      <c r="T43" s="457"/>
      <c r="U43" s="457"/>
      <c r="V43" s="457"/>
      <c r="W43" s="457"/>
    </row>
    <row r="44" spans="1:23" ht="15" customHeight="1" x14ac:dyDescent="0.2">
      <c r="A44" s="308" t="s">
        <v>1405</v>
      </c>
      <c r="B44" s="1659"/>
      <c r="C44" s="573"/>
      <c r="D44" s="235"/>
      <c r="E44" s="301" t="e">
        <f>Finitions!#REF!</f>
        <v>#REF!</v>
      </c>
      <c r="F44" s="301"/>
      <c r="G44" s="457"/>
      <c r="H44" s="457"/>
      <c r="I44" s="457"/>
      <c r="J44" s="457"/>
      <c r="K44" s="457"/>
      <c r="L44" s="457"/>
      <c r="M44" s="457"/>
      <c r="N44" s="457"/>
      <c r="O44" s="457"/>
      <c r="P44" s="457"/>
      <c r="Q44" s="457"/>
      <c r="R44" s="457"/>
      <c r="S44" s="457"/>
      <c r="T44" s="457"/>
      <c r="U44" s="457"/>
      <c r="V44" s="457"/>
      <c r="W44" s="457"/>
    </row>
    <row r="45" spans="1:23" ht="15" customHeight="1" x14ac:dyDescent="0.2">
      <c r="A45" s="308" t="s">
        <v>1409</v>
      </c>
      <c r="B45" s="1659"/>
      <c r="C45" s="573" t="s">
        <v>399</v>
      </c>
      <c r="D45" s="235" t="s">
        <v>1406</v>
      </c>
      <c r="E45" s="301" t="e">
        <f>Finitions!S53</f>
        <v>#VALUE!</v>
      </c>
      <c r="F45" s="301"/>
      <c r="G45" s="457"/>
      <c r="H45" s="457"/>
      <c r="I45" s="457"/>
      <c r="J45" s="457"/>
      <c r="K45" s="457"/>
      <c r="L45" s="457"/>
      <c r="M45" s="457"/>
      <c r="N45" s="457"/>
      <c r="O45" s="457"/>
      <c r="P45" s="457"/>
      <c r="Q45" s="457"/>
      <c r="R45" s="457"/>
      <c r="S45" s="457"/>
      <c r="T45" s="457"/>
      <c r="U45" s="457"/>
      <c r="V45" s="457"/>
      <c r="W45" s="457"/>
    </row>
    <row r="46" spans="1:23" ht="15" customHeight="1" x14ac:dyDescent="0.2">
      <c r="A46" s="308" t="s">
        <v>1411</v>
      </c>
      <c r="B46" s="1660"/>
      <c r="C46" s="573" t="s">
        <v>399</v>
      </c>
      <c r="D46" s="235" t="s">
        <v>1525</v>
      </c>
      <c r="E46" s="301" t="e">
        <f>Finitions!U53</f>
        <v>#REF!</v>
      </c>
      <c r="F46" s="301"/>
      <c r="G46" s="457"/>
      <c r="H46" s="457"/>
      <c r="I46" s="457"/>
      <c r="J46" s="457"/>
      <c r="K46" s="457"/>
      <c r="L46" s="457"/>
      <c r="M46" s="457"/>
      <c r="N46" s="457"/>
      <c r="O46" s="457"/>
      <c r="P46" s="457"/>
      <c r="Q46" s="457"/>
      <c r="R46" s="457"/>
      <c r="S46" s="457"/>
      <c r="T46" s="457"/>
      <c r="U46" s="457"/>
      <c r="V46" s="457"/>
      <c r="W46" s="457"/>
    </row>
    <row r="47" spans="1:23" ht="15" customHeight="1" x14ac:dyDescent="0.2">
      <c r="A47" s="308"/>
      <c r="B47" s="299"/>
      <c r="C47" s="297"/>
      <c r="D47" s="158"/>
      <c r="E47" s="301"/>
      <c r="F47" s="301"/>
      <c r="G47" s="457"/>
      <c r="H47" s="457"/>
      <c r="I47" s="457"/>
      <c r="J47" s="457"/>
      <c r="K47" s="457"/>
      <c r="L47" s="457"/>
      <c r="M47" s="457"/>
      <c r="N47" s="457"/>
      <c r="O47" s="457"/>
      <c r="P47" s="457"/>
      <c r="Q47" s="457"/>
      <c r="R47" s="457"/>
      <c r="S47" s="457"/>
      <c r="T47" s="457"/>
      <c r="U47" s="457"/>
      <c r="V47" s="457"/>
      <c r="W47" s="457"/>
    </row>
    <row r="48" spans="1:23" ht="15" customHeight="1" x14ac:dyDescent="0.2">
      <c r="A48" s="308" t="s">
        <v>589</v>
      </c>
      <c r="B48" s="1602" t="s">
        <v>590</v>
      </c>
      <c r="C48" s="498"/>
      <c r="D48" s="472" t="s">
        <v>591</v>
      </c>
      <c r="E48" s="301"/>
      <c r="F48" s="301"/>
      <c r="G48" s="457"/>
      <c r="H48" s="457"/>
      <c r="I48" s="457"/>
      <c r="J48" s="457"/>
      <c r="K48" s="457"/>
      <c r="L48" s="457"/>
      <c r="M48" s="457"/>
      <c r="N48" s="457"/>
      <c r="O48" s="457"/>
      <c r="P48" s="457"/>
      <c r="Q48" s="457"/>
      <c r="R48" s="457"/>
      <c r="S48" s="457"/>
      <c r="T48" s="457"/>
      <c r="U48" s="457"/>
      <c r="V48" s="457"/>
      <c r="W48" s="457"/>
    </row>
    <row r="49" spans="1:23" ht="15" customHeight="1" x14ac:dyDescent="0.2">
      <c r="A49" s="308" t="s">
        <v>592</v>
      </c>
      <c r="B49" s="1602"/>
      <c r="C49" s="498"/>
      <c r="D49" s="472" t="s">
        <v>593</v>
      </c>
      <c r="E49" s="301"/>
      <c r="F49" s="301"/>
      <c r="G49" s="457"/>
      <c r="H49" s="457"/>
      <c r="I49" s="457"/>
      <c r="J49" s="457"/>
      <c r="K49" s="457"/>
      <c r="L49" s="457"/>
      <c r="M49" s="457"/>
      <c r="N49" s="457"/>
      <c r="O49" s="457"/>
      <c r="P49" s="457"/>
      <c r="Q49" s="457"/>
      <c r="R49" s="457"/>
      <c r="S49" s="457"/>
      <c r="T49" s="457"/>
      <c r="U49" s="457"/>
      <c r="V49" s="457"/>
      <c r="W49" s="457"/>
    </row>
    <row r="50" spans="1:23" ht="15" customHeight="1" x14ac:dyDescent="0.2">
      <c r="A50" s="308" t="s">
        <v>594</v>
      </c>
      <c r="B50" s="1602"/>
      <c r="C50" s="498"/>
      <c r="D50" s="472" t="s">
        <v>595</v>
      </c>
      <c r="E50" s="301"/>
      <c r="F50" s="301"/>
      <c r="G50" s="457"/>
      <c r="H50" s="457"/>
      <c r="I50" s="457"/>
      <c r="J50" s="457"/>
      <c r="K50" s="457"/>
      <c r="L50" s="457"/>
      <c r="M50" s="457"/>
      <c r="N50" s="457"/>
      <c r="O50" s="457"/>
      <c r="P50" s="457"/>
      <c r="Q50" s="457"/>
      <c r="R50" s="457"/>
      <c r="S50" s="457"/>
      <c r="T50" s="457"/>
      <c r="U50" s="457"/>
      <c r="V50" s="457"/>
      <c r="W50" s="457"/>
    </row>
    <row r="51" spans="1:23" ht="15" customHeight="1" x14ac:dyDescent="0.2">
      <c r="A51" s="308" t="s">
        <v>596</v>
      </c>
      <c r="B51" s="1602"/>
      <c r="C51" s="498"/>
      <c r="D51" s="472" t="s">
        <v>597</v>
      </c>
      <c r="E51" s="301">
        <f>VLOOKUP("Prix HT",'Bandes de propreté'!C1:L64,9,0)</f>
        <v>11.476980000000001</v>
      </c>
      <c r="F51" s="301">
        <f>VLOOKUP("RECAP CHANTIER",'Bandes de propreté'!B1:M64,10,0)</f>
        <v>1.08</v>
      </c>
      <c r="G51" s="457"/>
      <c r="H51" s="457"/>
      <c r="I51" s="457"/>
      <c r="J51" s="457"/>
      <c r="K51" s="457"/>
      <c r="L51" s="457"/>
      <c r="M51" s="457"/>
      <c r="N51" s="457"/>
      <c r="O51" s="457"/>
      <c r="P51" s="457"/>
      <c r="Q51" s="457"/>
      <c r="R51" s="457"/>
      <c r="S51" s="457"/>
      <c r="T51" s="457"/>
      <c r="U51" s="457"/>
      <c r="V51" s="457"/>
      <c r="W51" s="457"/>
    </row>
    <row r="52" spans="1:23" ht="15" customHeight="1" x14ac:dyDescent="0.2">
      <c r="A52" s="308"/>
      <c r="B52" s="298"/>
      <c r="C52" s="297"/>
      <c r="D52" s="158"/>
      <c r="E52" s="301"/>
      <c r="F52" s="301"/>
      <c r="G52" s="457"/>
      <c r="H52" s="457"/>
      <c r="I52" s="457"/>
      <c r="J52" s="457"/>
      <c r="K52" s="457"/>
      <c r="L52" s="457"/>
      <c r="M52" s="457"/>
      <c r="N52" s="457"/>
      <c r="O52" s="457"/>
      <c r="P52" s="457"/>
      <c r="Q52" s="457"/>
      <c r="R52" s="457"/>
      <c r="S52" s="457"/>
      <c r="T52" s="457"/>
      <c r="U52" s="457"/>
      <c r="V52" s="457"/>
      <c r="W52" s="457"/>
    </row>
    <row r="53" spans="1:23" ht="15" customHeight="1" x14ac:dyDescent="0.2">
      <c r="A53" s="308" t="s">
        <v>598</v>
      </c>
      <c r="B53" s="1665" t="s">
        <v>599</v>
      </c>
      <c r="C53" s="1661" t="s">
        <v>600</v>
      </c>
      <c r="D53" s="472" t="s">
        <v>601</v>
      </c>
      <c r="E53" s="301"/>
      <c r="F53" s="301"/>
      <c r="G53" s="457"/>
      <c r="H53" s="457"/>
      <c r="I53" s="457"/>
      <c r="J53" s="457"/>
      <c r="K53" s="457"/>
      <c r="L53" s="457"/>
      <c r="M53" s="457"/>
      <c r="N53" s="457"/>
      <c r="O53" s="457"/>
      <c r="P53" s="457"/>
      <c r="Q53" s="457"/>
      <c r="R53" s="457"/>
      <c r="S53" s="457"/>
      <c r="T53" s="457"/>
      <c r="U53" s="457"/>
      <c r="V53" s="457"/>
      <c r="W53" s="457"/>
    </row>
    <row r="54" spans="1:23" ht="15" customHeight="1" x14ac:dyDescent="0.2">
      <c r="A54" s="308" t="s">
        <v>514</v>
      </c>
      <c r="B54" s="1665"/>
      <c r="C54" s="1661"/>
      <c r="D54" s="472" t="s">
        <v>669</v>
      </c>
      <c r="E54" s="301">
        <f>VLOOKUP("Prix HT",Bordures!C4:L67,5,0)</f>
        <v>10.050000000000001</v>
      </c>
      <c r="F54" s="301">
        <f>VLOOKUP("RECAP CHANTIER",Bordures!B4:M67,6,0)</f>
        <v>2.25</v>
      </c>
      <c r="G54" s="457"/>
      <c r="H54" s="457"/>
      <c r="I54" s="457"/>
      <c r="J54" s="457"/>
      <c r="K54" s="457"/>
      <c r="L54" s="457"/>
      <c r="M54" s="457"/>
      <c r="N54" s="457"/>
      <c r="O54" s="457"/>
      <c r="P54" s="457"/>
      <c r="Q54" s="457"/>
      <c r="R54" s="457"/>
      <c r="S54" s="457"/>
      <c r="T54" s="457"/>
      <c r="U54" s="457"/>
      <c r="V54" s="457"/>
      <c r="W54" s="457"/>
    </row>
    <row r="55" spans="1:23" ht="15" customHeight="1" x14ac:dyDescent="0.2">
      <c r="A55" s="308" t="s">
        <v>602</v>
      </c>
      <c r="B55" s="1665"/>
      <c r="C55" s="1661"/>
      <c r="D55" s="472" t="s">
        <v>603</v>
      </c>
      <c r="E55" s="301"/>
      <c r="F55" s="301"/>
      <c r="G55" s="457"/>
      <c r="H55" s="457"/>
      <c r="I55" s="457"/>
      <c r="J55" s="457"/>
      <c r="K55" s="457"/>
      <c r="L55" s="457"/>
      <c r="M55" s="457"/>
      <c r="N55" s="457"/>
      <c r="O55" s="457"/>
      <c r="P55" s="457"/>
      <c r="Q55" s="457"/>
      <c r="R55" s="457"/>
      <c r="S55" s="457"/>
      <c r="T55" s="457"/>
      <c r="U55" s="457"/>
      <c r="V55" s="457"/>
      <c r="W55" s="457"/>
    </row>
    <row r="56" spans="1:23" ht="15" customHeight="1" x14ac:dyDescent="0.2">
      <c r="A56" s="308" t="s">
        <v>604</v>
      </c>
      <c r="B56" s="1665"/>
      <c r="C56" s="1661"/>
      <c r="D56" s="472" t="s">
        <v>605</v>
      </c>
      <c r="E56" s="301"/>
      <c r="F56" s="301"/>
      <c r="G56" s="457"/>
      <c r="H56" s="457"/>
      <c r="I56" s="457"/>
      <c r="J56" s="457"/>
      <c r="K56" s="457"/>
      <c r="L56" s="457"/>
      <c r="M56" s="457"/>
      <c r="N56" s="457"/>
      <c r="O56" s="457"/>
      <c r="P56" s="457"/>
      <c r="Q56" s="457"/>
      <c r="R56" s="457"/>
      <c r="S56" s="457"/>
      <c r="T56" s="457"/>
      <c r="U56" s="457"/>
      <c r="V56" s="457"/>
      <c r="W56" s="457"/>
    </row>
    <row r="57" spans="1:23" ht="15" customHeight="1" x14ac:dyDescent="0.2">
      <c r="A57" s="308" t="s">
        <v>606</v>
      </c>
      <c r="B57" s="1665"/>
      <c r="C57" s="1661"/>
      <c r="D57" s="472" t="s">
        <v>607</v>
      </c>
      <c r="E57" s="301"/>
      <c r="F57" s="301"/>
      <c r="G57" s="457"/>
      <c r="H57" s="457"/>
      <c r="I57" s="457"/>
      <c r="J57" s="457"/>
      <c r="K57" s="457"/>
      <c r="L57" s="457"/>
      <c r="M57" s="457"/>
      <c r="N57" s="457"/>
      <c r="O57" s="457"/>
      <c r="P57" s="457"/>
      <c r="Q57" s="457"/>
      <c r="R57" s="457"/>
      <c r="S57" s="457"/>
      <c r="T57" s="457"/>
      <c r="U57" s="457"/>
      <c r="V57" s="457"/>
      <c r="W57" s="457"/>
    </row>
    <row r="58" spans="1:23" ht="15" customHeight="1" x14ac:dyDescent="0.2">
      <c r="A58" s="308"/>
      <c r="B58" s="296"/>
      <c r="C58" s="297"/>
      <c r="D58" s="158"/>
      <c r="E58" s="301"/>
      <c r="F58" s="301"/>
      <c r="G58" s="457"/>
      <c r="H58" s="457"/>
      <c r="I58" s="457"/>
      <c r="J58" s="457"/>
      <c r="K58" s="457"/>
      <c r="L58" s="457"/>
      <c r="M58" s="457"/>
      <c r="N58" s="457"/>
      <c r="O58" s="457"/>
      <c r="P58" s="457"/>
      <c r="Q58" s="457"/>
      <c r="R58" s="457"/>
      <c r="S58" s="457"/>
      <c r="T58" s="457"/>
      <c r="U58" s="457"/>
      <c r="V58" s="457"/>
      <c r="W58" s="457"/>
    </row>
    <row r="59" spans="1:23" ht="15" customHeight="1" x14ac:dyDescent="0.2">
      <c r="A59" s="308" t="s">
        <v>1348</v>
      </c>
      <c r="B59" s="1666" t="s">
        <v>1347</v>
      </c>
      <c r="C59" s="1667"/>
      <c r="D59" s="235" t="s">
        <v>1346</v>
      </c>
      <c r="E59" s="301"/>
      <c r="F59" s="301"/>
      <c r="G59" s="457">
        <f>IFERROR(VLOOKUP($F$1,'ALIM BAC Gravitaire'!$C$1:$K$33,((G$2-5)*2-1),0),"")</f>
        <v>0</v>
      </c>
      <c r="H59" s="457">
        <f>IFERROR(VLOOKUP($F$1,'ALIM BAC Gravitaire'!$C$1:$K$33,((H$2-5)*2-1),0),"")</f>
        <v>31.499999999999996</v>
      </c>
      <c r="I59" s="457">
        <f>IFERROR(VLOOKUP($F$1,'ALIM BAC Gravitaire'!$C$1:$K$33,((I$2-5)*2-1),0),"")</f>
        <v>31.499999999999996</v>
      </c>
      <c r="J59" s="457">
        <f>IFERROR(VLOOKUP($F$1,'ALIM BAC Gravitaire'!$C$1:$K$33,((J$2-5)*2-1),0),"")</f>
        <v>31.499999999999996</v>
      </c>
      <c r="K59" s="457" t="str">
        <f>IFERROR(VLOOKUP($F$1,'ALIM BAC Gravitaire'!$C$1:$K$33,((K$2-5)*2-1),0),"")</f>
        <v/>
      </c>
      <c r="L59" s="457" t="str">
        <f>IFERROR(VLOOKUP($F$1,'ALIM BAC Gravitaire'!$C$1:$K$33,((L$2-5)*2-1),0),"")</f>
        <v/>
      </c>
      <c r="M59" s="457" t="str">
        <f>IFERROR(VLOOKUP($F$1,'ALIM BAC Gravitaire'!$C$1:$K$33,((M$2-5)*2-1),0),"")</f>
        <v/>
      </c>
      <c r="N59" s="457" t="str">
        <f>IFERROR(VLOOKUP($F$1,'ALIM BAC Gravitaire'!$C$1:$K$33,((N$2-5)*2-1),0),"")</f>
        <v/>
      </c>
      <c r="O59" s="457" t="str">
        <f>IFERROR(VLOOKUP($F$1,'ALIM BAC Gravitaire'!$C$1:$K$33,((O$2-5)*2-1),0),"")</f>
        <v/>
      </c>
      <c r="P59" s="457" t="str">
        <f>IFERROR(VLOOKUP($F$1,'ALIM BAC Gravitaire'!$C$1:$K$33,((P$2-5)*2-1),0),"")</f>
        <v/>
      </c>
      <c r="Q59" s="457" t="str">
        <f>IFERROR(VLOOKUP($F$1,'ALIM BAC Gravitaire'!$C$1:$K$33,((Q$2-5)*2-1),0),"")</f>
        <v/>
      </c>
      <c r="R59" s="457" t="str">
        <f>IFERROR(VLOOKUP($F$1,'ALIM BAC Gravitaire'!$C$1:$K$33,((R$2-5)*2-1),0),"")</f>
        <v/>
      </c>
      <c r="S59" s="457" t="str">
        <f>IFERROR(VLOOKUP($F$1,'ALIM BAC Gravitaire'!$C$1:$K$33,((S$2-5)*2-1),0),"")</f>
        <v/>
      </c>
      <c r="T59" s="457" t="str">
        <f>IFERROR(VLOOKUP($F$1,'ALIM BAC Gravitaire'!$C$1:$K$33,((T$2-5)*2-1),0),"")</f>
        <v/>
      </c>
      <c r="U59" s="457" t="str">
        <f>IFERROR(VLOOKUP($F$1,'ALIM BAC Gravitaire'!$C$1:$K$33,((U$2-5)*2-1),0),"")</f>
        <v/>
      </c>
      <c r="V59" s="457" t="str">
        <f>IFERROR(VLOOKUP($F$1,'ALIM BAC Gravitaire'!$C$1:$K$33,((V$2-5)*2-1),0),"")</f>
        <v/>
      </c>
      <c r="W59" s="457" t="str">
        <f>IFERROR(VLOOKUP($F$1,'ALIM BAC Gravitaire'!$C$1:$K$33,((W$2-5)*2-1),0),"")</f>
        <v/>
      </c>
    </row>
    <row r="60" spans="1:23" ht="15" customHeight="1" x14ac:dyDescent="0.2">
      <c r="A60" s="308" t="s">
        <v>1349</v>
      </c>
      <c r="B60" s="1666"/>
      <c r="C60" s="1667"/>
      <c r="D60" s="235" t="s">
        <v>1352</v>
      </c>
      <c r="E60" s="301"/>
      <c r="F60" s="301"/>
      <c r="G60" s="457">
        <f>IFERROR(VLOOKUP($F$1,'ALIM BAC relevage'!$C$1:$AK$34,((G$2-5)*2-1),0),"")</f>
        <v>0</v>
      </c>
      <c r="H60" s="457">
        <f>IFERROR(VLOOKUP($F$1,'ALIM BAC relevage'!$C$1:$AK$34,((H$2-5)*2-1),0),"")</f>
        <v>31.499999999999996</v>
      </c>
      <c r="I60" s="457">
        <f>IFERROR(VLOOKUP($F$1,'ALIM BAC relevage'!$C$1:$AK$34,((I$2-5)*2-1),0),"")</f>
        <v>0</v>
      </c>
      <c r="J60" s="457">
        <f>IFERROR(VLOOKUP($F$1,'ALIM BAC relevage'!$C$1:$AK$34,((J$2-5)*2-1),0),"")</f>
        <v>31.499999999999996</v>
      </c>
      <c r="K60" s="457">
        <f>IFERROR(VLOOKUP($F$1,'ALIM BAC relevage'!$C$1:$AK$34,((K$2-5)*2-1),0),"")</f>
        <v>31.499999999999996</v>
      </c>
      <c r="L60" s="457">
        <f>IFERROR(VLOOKUP($F$1,'ALIM BAC relevage'!$C$1:$AK$34,((L$2-5)*2-1),0),"")</f>
        <v>0</v>
      </c>
      <c r="M60" s="457">
        <f>IFERROR(VLOOKUP($F$1,'ALIM BAC relevage'!$C$1:$AK$34,((M$2-5)*2-1),0),"")</f>
        <v>0</v>
      </c>
      <c r="N60" s="457">
        <f>IFERROR(VLOOKUP($F$1,'ALIM BAC relevage'!$C$1:$AK$34,((N$2-5)*2-1),0),"")</f>
        <v>0</v>
      </c>
      <c r="O60" s="457">
        <f>IFERROR(VLOOKUP($F$1,'ALIM BAC relevage'!$C$1:$AK$34,((O$2-5)*2-1),0),"")</f>
        <v>31.499999999999996</v>
      </c>
      <c r="P60" s="457">
        <f>IFERROR(VLOOKUP($F$1,'ALIM BAC relevage'!$C$1:$AK$34,((P$2-5)*2-1),0),"")</f>
        <v>62.999999999999993</v>
      </c>
      <c r="Q60" s="457">
        <f>IFERROR(VLOOKUP($F$1,'ALIM BAC relevage'!$C$1:$AK$34,((Q$2-5)*2-1),0),"")</f>
        <v>0</v>
      </c>
      <c r="R60" s="457">
        <f>IFERROR(VLOOKUP($F$1,'ALIM BAC relevage'!$C$1:$AK$34,((R$2-5)*2-1),0),"")</f>
        <v>0</v>
      </c>
      <c r="S60" s="457">
        <f>IFERROR(VLOOKUP($F$1,'ALIM BAC relevage'!$C$1:$AK$34,((S$2-5)*2-1),0),"")</f>
        <v>0</v>
      </c>
      <c r="T60" s="457">
        <f>IFERROR(VLOOKUP($F$1,'ALIM BAC relevage'!$C$1:$AK$34,((T$2-5)*2-1),0),"")</f>
        <v>0</v>
      </c>
      <c r="U60" s="457">
        <f>IFERROR(VLOOKUP($F$1,'ALIM BAC relevage'!$C$1:$AK$34,((U$2-5)*2-1),0),"")</f>
        <v>0</v>
      </c>
      <c r="V60" s="457">
        <f>IFERROR(VLOOKUP($F$1,'ALIM BAC relevage'!$C$1:$AK$34,((V$2-5)*2-1),0),"")</f>
        <v>0</v>
      </c>
      <c r="W60" s="457">
        <f>IFERROR(VLOOKUP($F$1,'ALIM BAC relevage'!$C$1:$AK$34,((W$2-5)*2-1),0),"")</f>
        <v>62.999999999999993</v>
      </c>
    </row>
    <row r="61" spans="1:23" ht="15" customHeight="1" x14ac:dyDescent="0.2">
      <c r="A61" s="308" t="s">
        <v>1350</v>
      </c>
      <c r="B61" s="1666"/>
      <c r="C61" s="1667"/>
      <c r="D61" s="235" t="s">
        <v>1353</v>
      </c>
      <c r="E61" s="301"/>
      <c r="F61" s="301"/>
      <c r="G61" s="457">
        <f>IFERROR(VLOOKUP($F$1,'ALIM FV-FH grav'!$C$1:$U$35,((G$2-5)*2-1),0),"")</f>
        <v>56.7</v>
      </c>
      <c r="H61" s="457">
        <f>IFERROR(VLOOKUP($F$1,'ALIM FV-FH grav'!$C$1:$U$35,((H$2-5)*2-1),0),"")</f>
        <v>61.199999999999996</v>
      </c>
      <c r="I61" s="457">
        <f>IFERROR(VLOOKUP($F$1,'ALIM FV-FH grav'!$C$1:$U$35,((I$2-5)*2-1),0),"")</f>
        <v>65.7</v>
      </c>
      <c r="J61" s="457">
        <f>IFERROR(VLOOKUP($F$1,'ALIM FV-FH grav'!$C$1:$U$35,((J$2-5)*2-1),0),"")</f>
        <v>61.199999999999996</v>
      </c>
      <c r="K61" s="457">
        <f>IFERROR(VLOOKUP($F$1,'ALIM FV-FH grav'!$C$1:$U$35,((K$2-5)*2-1),0),"")</f>
        <v>61.199999999999996</v>
      </c>
      <c r="L61" s="457">
        <f>IFERROR(VLOOKUP($F$1,'ALIM FV-FH grav'!$C$1:$U$35,((L$2-5)*2-1),0),"")</f>
        <v>61.199999999999996</v>
      </c>
      <c r="M61" s="457">
        <f>IFERROR(VLOOKUP($F$1,'ALIM FV-FH grav'!$C$1:$U$35,((M$2-5)*2-1),0),"")</f>
        <v>61.199999999999996</v>
      </c>
      <c r="N61" s="457">
        <f>IFERROR(VLOOKUP($F$1,'ALIM FV-FH grav'!$C$1:$U$35,((N$2-5)*2-1),0),"")</f>
        <v>65.7</v>
      </c>
      <c r="O61" s="457">
        <f>IFERROR(VLOOKUP($F$1,'ALIM FV-FH grav'!$C$1:$U$35,((O$2-5)*2-1),0),"")</f>
        <v>70.2</v>
      </c>
      <c r="P61" s="457" t="str">
        <f>IFERROR(VLOOKUP($F$1,'ALIM FV-FH grav'!$C$1:$U$35,((P$2-5)*2-1),0),"")</f>
        <v/>
      </c>
      <c r="Q61" s="457" t="str">
        <f>IFERROR(VLOOKUP($F$1,'ALIM FV-FH grav'!$C$1:$U$35,((Q$2-5)*2-1),0),"")</f>
        <v/>
      </c>
      <c r="R61" s="457" t="str">
        <f>IFERROR(VLOOKUP($F$1,'ALIM FV-FH grav'!$C$1:$U$35,((R$2-5)*2-1),0),"")</f>
        <v/>
      </c>
      <c r="S61" s="457" t="str">
        <f>IFERROR(VLOOKUP($F$1,'ALIM FV-FH grav'!$C$1:$U$35,((S$2-5)*2-1),0),"")</f>
        <v/>
      </c>
      <c r="T61" s="457" t="str">
        <f>IFERROR(VLOOKUP($F$1,'ALIM FV-FH grav'!$C$1:$U$35,((T$2-5)*2-1),0),"")</f>
        <v/>
      </c>
      <c r="U61" s="457" t="str">
        <f>IFERROR(VLOOKUP($F$1,'ALIM FV-FH grav'!$C$1:$U$35,((U$2-5)*2-1),0),"")</f>
        <v/>
      </c>
      <c r="V61" s="457" t="str">
        <f>IFERROR(VLOOKUP($F$1,'ALIM FV-FH grav'!$C$1:$U$35,((V$2-5)*2-1),0),"")</f>
        <v/>
      </c>
      <c r="W61" s="457" t="str">
        <f>IFERROR(VLOOKUP($F$1,'ALIM FV-FH grav'!$C$1:$U$35,((W$2-5)*2-1),0),"")</f>
        <v/>
      </c>
    </row>
    <row r="62" spans="1:23" ht="15" customHeight="1" x14ac:dyDescent="0.2">
      <c r="A62" s="308" t="s">
        <v>1351</v>
      </c>
      <c r="B62" s="1666"/>
      <c r="C62" s="1667"/>
      <c r="D62" s="235" t="s">
        <v>1354</v>
      </c>
      <c r="E62" s="301"/>
      <c r="F62" s="301"/>
      <c r="G62" s="457">
        <f>IFERROR(VLOOKUP($F$1,'ALIM FV-FH relevage'!$C$1:$AM$37,((G$2-5)*2-1),0),"")</f>
        <v>117</v>
      </c>
      <c r="H62" s="457">
        <f>IFERROR(VLOOKUP($F$1,'ALIM FV-FH relevage'!$C$1:$AM$37,((H$2-5)*2-1),0),"")</f>
        <v>117</v>
      </c>
      <c r="I62" s="457">
        <f>IFERROR(VLOOKUP($F$1,'ALIM FV-FH relevage'!$C$1:$AM$37,((I$2-5)*2-1),0),"")</f>
        <v>117</v>
      </c>
      <c r="J62" s="457">
        <f>IFERROR(VLOOKUP($F$1,'ALIM FV-FH relevage'!$C$1:$AM$37,((J$2-5)*2-1),0),"")</f>
        <v>117</v>
      </c>
      <c r="K62" s="457">
        <f>IFERROR(VLOOKUP($F$1,'ALIM FV-FH relevage'!$C$1:$AM$37,((K$2-5)*2-1),0),"")</f>
        <v>117</v>
      </c>
      <c r="L62" s="457">
        <f>IFERROR(VLOOKUP($F$1,'ALIM FV-FH relevage'!$C$1:$AM$37,((L$2-5)*2-1),0),"")</f>
        <v>117</v>
      </c>
      <c r="M62" s="457">
        <f>IFERROR(VLOOKUP($F$1,'ALIM FV-FH relevage'!$C$1:$AM$37,((M$2-5)*2-1),0),"")</f>
        <v>117</v>
      </c>
      <c r="N62" s="457">
        <f>IFERROR(VLOOKUP($F$1,'ALIM FV-FH relevage'!$C$1:$AM$37,((N$2-5)*2-1),0),"")</f>
        <v>117</v>
      </c>
      <c r="O62" s="457">
        <f>IFERROR(VLOOKUP($F$1,'ALIM FV-FH relevage'!$C$1:$AM$37,((O$2-5)*2-1),0),"")</f>
        <v>117</v>
      </c>
      <c r="P62" s="457">
        <f>IFERROR(VLOOKUP($F$1,'ALIM FV-FH relevage'!$C$1:$AM$37,((P$2-5)*2-1),0),"")</f>
        <v>132.75</v>
      </c>
      <c r="Q62" s="457">
        <f>IFERROR(VLOOKUP($F$1,'ALIM FV-FH relevage'!$C$1:$AM$37,((Q$2-5)*2-1),0),"")</f>
        <v>132.75</v>
      </c>
      <c r="R62" s="457">
        <f>IFERROR(VLOOKUP($F$1,'ALIM FV-FH relevage'!$C$1:$AM$37,((R$2-5)*2-1),0),"")</f>
        <v>132.75</v>
      </c>
      <c r="S62" s="457">
        <f>IFERROR(VLOOKUP($F$1,'ALIM FV-FH relevage'!$C$1:$AM$37,((S$2-5)*2-1),0),"")</f>
        <v>132.75</v>
      </c>
      <c r="T62" s="457">
        <f>IFERROR(VLOOKUP($F$1,'ALIM FV-FH relevage'!$C$1:$AM$37,((T$2-5)*2-1),0),"")</f>
        <v>132.75</v>
      </c>
      <c r="U62" s="457">
        <f>IFERROR(VLOOKUP($F$1,'ALIM FV-FH relevage'!$C$1:$AM$37,((U$2-5)*2-1),0),"")</f>
        <v>132.75</v>
      </c>
      <c r="V62" s="457">
        <f>IFERROR(VLOOKUP($F$1,'ALIM FV-FH relevage'!$C$1:$AM$37,((V$2-5)*2-1),0),"")</f>
        <v>132.75</v>
      </c>
      <c r="W62" s="457">
        <f>IFERROR(VLOOKUP($F$1,'ALIM FV-FH relevage'!$C$1:$AM$37,((W$2-5)*2-1),0),"")</f>
        <v>132.75</v>
      </c>
    </row>
    <row r="63" spans="1:23" ht="15" customHeight="1" x14ac:dyDescent="0.2">
      <c r="A63" s="308"/>
      <c r="B63" s="296"/>
      <c r="C63" s="297"/>
      <c r="D63" s="158"/>
      <c r="E63" s="301"/>
      <c r="F63" s="301"/>
      <c r="G63" s="457"/>
      <c r="H63" s="457"/>
      <c r="I63" s="457"/>
      <c r="J63" s="457"/>
      <c r="K63" s="457"/>
      <c r="L63" s="457"/>
      <c r="M63" s="457"/>
      <c r="N63" s="457"/>
      <c r="O63" s="457"/>
      <c r="P63" s="457"/>
      <c r="Q63" s="457"/>
      <c r="R63" s="457"/>
      <c r="S63" s="457"/>
      <c r="T63" s="457"/>
      <c r="U63" s="457"/>
      <c r="V63" s="457"/>
      <c r="W63" s="457"/>
    </row>
    <row r="64" spans="1:23" ht="15" customHeight="1" x14ac:dyDescent="0.2">
      <c r="A64" s="308" t="s">
        <v>1332</v>
      </c>
      <c r="B64" s="1679" t="s">
        <v>1374</v>
      </c>
      <c r="C64" s="1667"/>
      <c r="D64" s="235" t="s">
        <v>1375</v>
      </c>
      <c r="E64" s="301">
        <f>IFERROR(VLOOKUP($F$1,Distribution!$D$1:$U$34,2,0),"")</f>
        <v>33.75</v>
      </c>
      <c r="F64" s="301"/>
      <c r="G64" s="457"/>
      <c r="H64" s="457"/>
      <c r="I64" s="457"/>
      <c r="J64" s="457"/>
      <c r="K64" s="457"/>
      <c r="L64" s="457"/>
      <c r="M64" s="457"/>
      <c r="N64" s="457"/>
      <c r="O64" s="457"/>
      <c r="P64" s="457"/>
      <c r="Q64" s="457"/>
      <c r="R64" s="457"/>
      <c r="S64" s="457"/>
      <c r="T64" s="457"/>
      <c r="U64" s="457"/>
      <c r="V64" s="457"/>
      <c r="W64" s="457"/>
    </row>
    <row r="65" spans="1:23" ht="15" customHeight="1" x14ac:dyDescent="0.2">
      <c r="A65" s="308" t="s">
        <v>1333</v>
      </c>
      <c r="B65" s="1680"/>
      <c r="C65" s="1667"/>
      <c r="D65" s="235" t="s">
        <v>1376</v>
      </c>
      <c r="E65" s="301">
        <f>IFERROR(VLOOKUP($F$1,Distribution!$D$1:$U$34,4,0),"")</f>
        <v>33.75</v>
      </c>
      <c r="F65" s="301"/>
      <c r="G65" s="457"/>
      <c r="H65" s="457"/>
      <c r="I65" s="457"/>
      <c r="J65" s="457"/>
      <c r="K65" s="457"/>
      <c r="L65" s="457"/>
      <c r="M65" s="457"/>
      <c r="N65" s="457"/>
      <c r="O65" s="457"/>
      <c r="P65" s="457"/>
      <c r="Q65" s="457"/>
      <c r="R65" s="457"/>
      <c r="S65" s="457"/>
      <c r="T65" s="457"/>
      <c r="U65" s="457"/>
      <c r="V65" s="457"/>
      <c r="W65" s="457"/>
    </row>
    <row r="66" spans="1:23" ht="15" customHeight="1" x14ac:dyDescent="0.2">
      <c r="A66" s="308" t="s">
        <v>1334</v>
      </c>
      <c r="B66" s="1680"/>
      <c r="C66" s="1667"/>
      <c r="D66" s="235" t="s">
        <v>1377</v>
      </c>
      <c r="E66" s="301">
        <f>IFERROR(VLOOKUP($F$1,Distribution!$D$1:$U$34,6,0),"")</f>
        <v>33.75</v>
      </c>
      <c r="F66" s="301"/>
      <c r="G66" s="457"/>
      <c r="H66" s="457"/>
      <c r="I66" s="457"/>
      <c r="J66" s="457"/>
      <c r="K66" s="457"/>
      <c r="L66" s="457"/>
      <c r="M66" s="457"/>
      <c r="N66" s="457"/>
      <c r="O66" s="457"/>
      <c r="P66" s="457"/>
      <c r="Q66" s="457"/>
      <c r="R66" s="457"/>
      <c r="S66" s="457"/>
      <c r="T66" s="457"/>
      <c r="U66" s="457"/>
      <c r="V66" s="457"/>
      <c r="W66" s="457"/>
    </row>
    <row r="67" spans="1:23" ht="15" customHeight="1" x14ac:dyDescent="0.2">
      <c r="A67" s="308" t="s">
        <v>1335</v>
      </c>
      <c r="B67" s="1680"/>
      <c r="C67" s="1667"/>
      <c r="D67" s="235" t="s">
        <v>1378</v>
      </c>
      <c r="E67" s="301">
        <f>IFERROR(VLOOKUP($F$1,Distribution!$D$1:$U$34,8,0),"")</f>
        <v>33.75</v>
      </c>
      <c r="F67" s="301"/>
      <c r="G67" s="457"/>
      <c r="H67" s="457"/>
      <c r="I67" s="457"/>
      <c r="J67" s="457"/>
      <c r="K67" s="457"/>
      <c r="L67" s="457"/>
      <c r="M67" s="457"/>
      <c r="N67" s="457"/>
      <c r="O67" s="457"/>
      <c r="P67" s="457"/>
      <c r="Q67" s="457"/>
      <c r="R67" s="457"/>
      <c r="S67" s="457"/>
      <c r="T67" s="457"/>
      <c r="U67" s="457"/>
      <c r="V67" s="457"/>
      <c r="W67" s="457"/>
    </row>
    <row r="68" spans="1:23" ht="15" customHeight="1" x14ac:dyDescent="0.2">
      <c r="A68" s="308" t="s">
        <v>1336</v>
      </c>
      <c r="B68" s="1680"/>
      <c r="C68" s="1667"/>
      <c r="D68" s="235" t="s">
        <v>1379</v>
      </c>
      <c r="E68" s="301">
        <f>IFERROR(VLOOKUP($F$1,Distribution!$D$1:$U$34,10,0),"")</f>
        <v>78.75</v>
      </c>
      <c r="F68" s="301"/>
      <c r="G68" s="457"/>
      <c r="H68" s="457"/>
      <c r="I68" s="457"/>
      <c r="J68" s="457"/>
      <c r="K68" s="457"/>
      <c r="L68" s="457"/>
      <c r="M68" s="457"/>
      <c r="N68" s="457"/>
      <c r="O68" s="457"/>
      <c r="P68" s="457"/>
      <c r="Q68" s="457"/>
      <c r="R68" s="457"/>
      <c r="S68" s="457"/>
      <c r="T68" s="457"/>
      <c r="U68" s="457"/>
      <c r="V68" s="457"/>
      <c r="W68" s="457"/>
    </row>
    <row r="69" spans="1:23" ht="15" customHeight="1" x14ac:dyDescent="0.2">
      <c r="A69" s="308" t="s">
        <v>1337</v>
      </c>
      <c r="B69" s="1680"/>
      <c r="C69" s="1667"/>
      <c r="D69" s="235" t="s">
        <v>1380</v>
      </c>
      <c r="E69" s="301">
        <f>IFERROR(VLOOKUP($F$1,Distribution!$D$1:$U$34,12,0),"")</f>
        <v>78.75</v>
      </c>
      <c r="F69" s="301"/>
      <c r="G69" s="457"/>
      <c r="H69" s="457"/>
      <c r="I69" s="457"/>
      <c r="J69" s="457"/>
      <c r="K69" s="457"/>
      <c r="L69" s="457"/>
      <c r="M69" s="457"/>
      <c r="N69" s="457"/>
      <c r="O69" s="457"/>
      <c r="P69" s="457"/>
      <c r="Q69" s="457"/>
      <c r="R69" s="457"/>
      <c r="S69" s="457"/>
      <c r="T69" s="457"/>
      <c r="U69" s="457"/>
      <c r="V69" s="457"/>
      <c r="W69" s="457"/>
    </row>
    <row r="70" spans="1:23" ht="15" customHeight="1" x14ac:dyDescent="0.2">
      <c r="A70" s="308" t="s">
        <v>1338</v>
      </c>
      <c r="B70" s="1680"/>
      <c r="C70" s="1667"/>
      <c r="D70" s="235" t="s">
        <v>1331</v>
      </c>
      <c r="E70" s="301">
        <f>IFERROR(VLOOKUP($F$1,Distribution!$D$1:$U$34,14,0),"")</f>
        <v>22.5</v>
      </c>
      <c r="F70" s="301"/>
      <c r="G70" s="457"/>
      <c r="H70" s="457"/>
      <c r="I70" s="457"/>
      <c r="J70" s="457"/>
      <c r="K70" s="457"/>
      <c r="L70" s="457"/>
      <c r="M70" s="457"/>
      <c r="N70" s="457"/>
      <c r="O70" s="457"/>
      <c r="P70" s="457"/>
      <c r="Q70" s="457"/>
      <c r="R70" s="457"/>
      <c r="S70" s="457"/>
      <c r="T70" s="457"/>
      <c r="U70" s="457"/>
      <c r="V70" s="457"/>
      <c r="W70" s="457"/>
    </row>
    <row r="71" spans="1:23" ht="15" customHeight="1" x14ac:dyDescent="0.2">
      <c r="A71" s="308" t="s">
        <v>1339</v>
      </c>
      <c r="B71" s="1680"/>
      <c r="C71" s="1667"/>
      <c r="D71" s="235" t="s">
        <v>1381</v>
      </c>
      <c r="E71" s="301">
        <f>IFERROR(VLOOKUP($F$1,Distribution!$D$1:$U$34,16,0),"")</f>
        <v>22.5</v>
      </c>
      <c r="F71" s="301"/>
      <c r="G71" s="457"/>
      <c r="H71" s="457"/>
      <c r="I71" s="457"/>
      <c r="J71" s="457"/>
      <c r="K71" s="457"/>
      <c r="L71" s="457"/>
      <c r="M71" s="457"/>
      <c r="N71" s="457"/>
      <c r="O71" s="457"/>
      <c r="P71" s="457"/>
      <c r="Q71" s="457"/>
      <c r="R71" s="457"/>
      <c r="S71" s="457"/>
      <c r="T71" s="457"/>
      <c r="U71" s="457"/>
      <c r="V71" s="457"/>
      <c r="W71" s="457"/>
    </row>
    <row r="72" spans="1:23" ht="15" customHeight="1" x14ac:dyDescent="0.2">
      <c r="A72" s="308" t="s">
        <v>1340</v>
      </c>
      <c r="B72" s="1681"/>
      <c r="C72" s="1667"/>
      <c r="D72" s="235" t="s">
        <v>1382</v>
      </c>
      <c r="E72" s="301">
        <f>IFERROR(VLOOKUP($F$1,Distribution!$D$1:$U$34,18,0),"")</f>
        <v>0</v>
      </c>
      <c r="F72" s="301"/>
      <c r="G72" s="457"/>
      <c r="H72" s="457"/>
      <c r="I72" s="457"/>
      <c r="J72" s="457"/>
      <c r="K72" s="457"/>
      <c r="L72" s="457"/>
      <c r="M72" s="457"/>
      <c r="N72" s="457"/>
      <c r="O72" s="457"/>
      <c r="P72" s="457"/>
      <c r="Q72" s="457"/>
      <c r="R72" s="457"/>
      <c r="S72" s="457"/>
      <c r="T72" s="457"/>
      <c r="U72" s="457"/>
      <c r="V72" s="457"/>
      <c r="W72" s="457"/>
    </row>
    <row r="73" spans="1:23" ht="15" customHeight="1" x14ac:dyDescent="0.2">
      <c r="A73" s="308"/>
      <c r="B73" s="296"/>
      <c r="C73" s="297"/>
      <c r="D73" s="158"/>
      <c r="E73" s="301"/>
      <c r="F73" s="301"/>
      <c r="G73" s="457"/>
      <c r="H73" s="457"/>
      <c r="I73" s="457"/>
      <c r="J73" s="457"/>
      <c r="K73" s="457"/>
      <c r="L73" s="457"/>
      <c r="M73" s="457"/>
      <c r="N73" s="457"/>
      <c r="O73" s="457"/>
      <c r="P73" s="457"/>
      <c r="Q73" s="457"/>
      <c r="R73" s="457"/>
      <c r="S73" s="457"/>
      <c r="T73" s="457"/>
      <c r="U73" s="457"/>
      <c r="V73" s="457"/>
      <c r="W73" s="457"/>
    </row>
    <row r="74" spans="1:23" ht="15" customHeight="1" x14ac:dyDescent="0.2">
      <c r="A74" s="308" t="s">
        <v>608</v>
      </c>
      <c r="B74" s="1666" t="s">
        <v>1345</v>
      </c>
      <c r="C74" s="1667"/>
      <c r="D74" s="235" t="s">
        <v>609</v>
      </c>
      <c r="E74" s="301"/>
      <c r="F74" s="301"/>
      <c r="G74" s="457"/>
      <c r="H74" s="457"/>
      <c r="I74" s="457"/>
      <c r="J74" s="457"/>
      <c r="K74" s="457"/>
      <c r="L74" s="457"/>
      <c r="M74" s="457"/>
      <c r="N74" s="457"/>
      <c r="O74" s="457"/>
      <c r="P74" s="457"/>
      <c r="Q74" s="457"/>
      <c r="R74" s="457"/>
      <c r="S74" s="457"/>
      <c r="T74" s="457"/>
      <c r="U74" s="457"/>
      <c r="V74" s="457"/>
      <c r="W74" s="457"/>
    </row>
    <row r="75" spans="1:23" ht="15" customHeight="1" x14ac:dyDescent="0.2">
      <c r="A75" s="308" t="s">
        <v>610</v>
      </c>
      <c r="B75" s="1666"/>
      <c r="C75" s="1667"/>
      <c r="D75" s="235" t="s">
        <v>611</v>
      </c>
      <c r="E75" s="301"/>
      <c r="F75" s="301"/>
      <c r="G75" s="457"/>
      <c r="H75" s="457"/>
      <c r="I75" s="457"/>
      <c r="J75" s="457"/>
      <c r="K75" s="457"/>
      <c r="L75" s="457"/>
      <c r="M75" s="457"/>
      <c r="N75" s="457"/>
      <c r="O75" s="457"/>
      <c r="P75" s="457"/>
      <c r="Q75" s="457"/>
      <c r="R75" s="457"/>
      <c r="S75" s="457"/>
      <c r="T75" s="457"/>
      <c r="U75" s="457"/>
      <c r="V75" s="457"/>
      <c r="W75" s="457"/>
    </row>
    <row r="76" spans="1:23" ht="15" customHeight="1" x14ac:dyDescent="0.2">
      <c r="A76" s="308" t="s">
        <v>612</v>
      </c>
      <c r="B76" s="1666"/>
      <c r="C76" s="1667"/>
      <c r="D76" s="235" t="s">
        <v>613</v>
      </c>
      <c r="E76" s="301"/>
      <c r="F76" s="301"/>
      <c r="G76" s="457"/>
      <c r="H76" s="457"/>
      <c r="I76" s="457"/>
      <c r="J76" s="457"/>
      <c r="K76" s="457"/>
      <c r="L76" s="457"/>
      <c r="M76" s="457"/>
      <c r="N76" s="457"/>
      <c r="O76" s="457"/>
      <c r="P76" s="457"/>
      <c r="Q76" s="457"/>
      <c r="R76" s="457"/>
      <c r="S76" s="457"/>
      <c r="T76" s="457"/>
      <c r="U76" s="457"/>
      <c r="V76" s="457"/>
      <c r="W76" s="457"/>
    </row>
    <row r="77" spans="1:23" ht="15" customHeight="1" x14ac:dyDescent="0.2">
      <c r="A77" s="308" t="s">
        <v>614</v>
      </c>
      <c r="B77" s="1666"/>
      <c r="C77" s="1667"/>
      <c r="D77" s="235" t="s">
        <v>615</v>
      </c>
      <c r="E77" s="301"/>
      <c r="F77" s="301"/>
      <c r="G77" s="457"/>
      <c r="H77" s="457"/>
      <c r="I77" s="457"/>
      <c r="J77" s="457"/>
      <c r="K77" s="457"/>
      <c r="L77" s="457"/>
      <c r="M77" s="457"/>
      <c r="N77" s="457"/>
      <c r="O77" s="457"/>
      <c r="P77" s="457"/>
      <c r="Q77" s="457"/>
      <c r="R77" s="457"/>
      <c r="S77" s="457"/>
      <c r="T77" s="457"/>
      <c r="U77" s="457"/>
      <c r="V77" s="457"/>
      <c r="W77" s="457"/>
    </row>
    <row r="78" spans="1:23" ht="15" customHeight="1" x14ac:dyDescent="0.2">
      <c r="A78" s="294"/>
      <c r="B78" s="296"/>
      <c r="C78" s="297"/>
      <c r="D78" s="158"/>
      <c r="E78" s="301"/>
      <c r="F78" s="301"/>
      <c r="G78" s="457"/>
      <c r="H78" s="457"/>
      <c r="I78" s="457"/>
      <c r="J78" s="457"/>
      <c r="K78" s="457"/>
      <c r="L78" s="457"/>
      <c r="M78" s="457"/>
      <c r="N78" s="457"/>
      <c r="O78" s="457"/>
      <c r="P78" s="457"/>
      <c r="Q78" s="457"/>
      <c r="R78" s="457"/>
      <c r="S78" s="457"/>
      <c r="T78" s="457"/>
      <c r="U78" s="457"/>
      <c r="V78" s="457"/>
      <c r="W78" s="457"/>
    </row>
    <row r="79" spans="1:23" x14ac:dyDescent="0.2">
      <c r="A79" s="294" t="s">
        <v>478</v>
      </c>
      <c r="B79" s="1664" t="s">
        <v>616</v>
      </c>
      <c r="C79" s="498" t="s">
        <v>478</v>
      </c>
      <c r="D79" s="291" t="s">
        <v>617</v>
      </c>
      <c r="E79" s="301">
        <f>IFERROR(VLOOKUP($F$1,'collecte-exutoire'!$C$1:$O$86,3,0),"")</f>
        <v>7.4700000000000006</v>
      </c>
      <c r="F79" s="301"/>
      <c r="G79" s="457"/>
      <c r="H79" s="457"/>
      <c r="I79" s="457"/>
      <c r="J79" s="457"/>
      <c r="K79" s="457"/>
      <c r="L79" s="457"/>
      <c r="M79" s="457"/>
      <c r="N79" s="457"/>
      <c r="O79" s="457"/>
      <c r="P79" s="457"/>
      <c r="Q79" s="457"/>
      <c r="R79" s="457"/>
      <c r="S79" s="457"/>
      <c r="T79" s="457"/>
      <c r="U79" s="457"/>
      <c r="V79" s="457"/>
      <c r="W79" s="457"/>
    </row>
    <row r="80" spans="1:23" x14ac:dyDescent="0.2">
      <c r="A80" s="294" t="s">
        <v>479</v>
      </c>
      <c r="B80" s="1664"/>
      <c r="C80" s="498" t="s">
        <v>479</v>
      </c>
      <c r="D80" s="291" t="s">
        <v>618</v>
      </c>
      <c r="E80" s="301">
        <f>IFERROR(VLOOKUP($F$1,'collecte-exutoire'!$C$1:$O$86,5,0),"")</f>
        <v>3.1500000000000004</v>
      </c>
      <c r="F80" s="301"/>
      <c r="G80" s="457"/>
      <c r="H80" s="457"/>
      <c r="I80" s="457"/>
      <c r="J80" s="457"/>
      <c r="K80" s="457"/>
      <c r="L80" s="457"/>
      <c r="M80" s="457"/>
      <c r="N80" s="457"/>
      <c r="O80" s="457"/>
      <c r="P80" s="457"/>
      <c r="Q80" s="457"/>
      <c r="R80" s="457"/>
      <c r="S80" s="457"/>
      <c r="T80" s="457"/>
      <c r="U80" s="457"/>
      <c r="V80" s="457"/>
      <c r="W80" s="457"/>
    </row>
    <row r="81" spans="1:23" x14ac:dyDescent="0.2">
      <c r="A81" s="294" t="s">
        <v>480</v>
      </c>
      <c r="B81" s="1664"/>
      <c r="C81" s="498" t="s">
        <v>480</v>
      </c>
      <c r="D81" s="291" t="s">
        <v>619</v>
      </c>
      <c r="E81" s="301">
        <f>IFERROR(VLOOKUP($F$1,'collecte-exutoire'!$C$1:$O$86,7,0),"")</f>
        <v>2.25</v>
      </c>
      <c r="F81" s="301"/>
      <c r="G81" s="457"/>
      <c r="H81" s="457"/>
      <c r="I81" s="457"/>
      <c r="J81" s="457"/>
      <c r="K81" s="457"/>
      <c r="L81" s="457"/>
      <c r="M81" s="457"/>
      <c r="N81" s="457"/>
      <c r="O81" s="457"/>
      <c r="P81" s="457"/>
      <c r="Q81" s="457"/>
      <c r="R81" s="457"/>
      <c r="S81" s="457"/>
      <c r="T81" s="457"/>
      <c r="U81" s="457"/>
      <c r="V81" s="457"/>
      <c r="W81" s="457"/>
    </row>
    <row r="82" spans="1:23" ht="15" x14ac:dyDescent="0.2">
      <c r="A82" s="541" t="s">
        <v>1472</v>
      </c>
      <c r="B82" s="542"/>
      <c r="C82" s="543" t="s">
        <v>1472</v>
      </c>
      <c r="D82" s="544" t="s">
        <v>1473</v>
      </c>
      <c r="E82" s="301">
        <f>IFERROR(VLOOKUP($F$1,'collecte-exutoire'!$C$1:$O$86,11,0),"")</f>
        <v>19.8</v>
      </c>
      <c r="F82" s="301"/>
      <c r="G82" s="457"/>
      <c r="H82" s="457"/>
      <c r="I82" s="457"/>
      <c r="J82" s="457"/>
      <c r="K82" s="457"/>
      <c r="L82" s="457"/>
      <c r="M82" s="457"/>
      <c r="N82" s="457"/>
      <c r="O82" s="457"/>
      <c r="P82" s="457"/>
      <c r="Q82" s="457"/>
      <c r="R82" s="457"/>
      <c r="S82" s="457"/>
      <c r="T82" s="457"/>
      <c r="U82" s="457"/>
      <c r="V82" s="457"/>
      <c r="W82" s="457"/>
    </row>
    <row r="83" spans="1:23" x14ac:dyDescent="0.2">
      <c r="A83" s="7"/>
      <c r="B83" s="3"/>
      <c r="C83" s="3"/>
      <c r="D83" s="3"/>
      <c r="E83" s="301"/>
      <c r="F83" s="301"/>
      <c r="G83" s="457"/>
      <c r="H83" s="457"/>
      <c r="I83" s="457"/>
      <c r="J83" s="457"/>
      <c r="K83" s="457"/>
      <c r="L83" s="457"/>
      <c r="M83" s="457"/>
      <c r="N83" s="457"/>
      <c r="O83" s="457"/>
      <c r="P83" s="457"/>
      <c r="Q83" s="457"/>
      <c r="R83" s="457"/>
      <c r="S83" s="457"/>
      <c r="T83" s="457"/>
      <c r="U83" s="457"/>
      <c r="V83" s="457"/>
      <c r="W83" s="457"/>
    </row>
    <row r="84" spans="1:23" x14ac:dyDescent="0.2">
      <c r="A84" s="294" t="s">
        <v>439</v>
      </c>
      <c r="B84" s="1664" t="s">
        <v>620</v>
      </c>
      <c r="C84" s="498" t="s">
        <v>439</v>
      </c>
      <c r="D84" s="291"/>
      <c r="E84" s="301"/>
      <c r="F84" s="301"/>
      <c r="G84" s="457">
        <f>IFERROR(VLOOKUP($F$1,TCFV!$C$1:$AN$95,((G$2-5)*2-1),0),"")</f>
        <v>141.63750000000002</v>
      </c>
      <c r="H84" s="457">
        <f>IFERROR(VLOOKUP($F$1,TCFV!$C$1:$AN$95,((H$2-5)*2-1),0),"")</f>
        <v>186.97500000000002</v>
      </c>
      <c r="I84" s="457">
        <f>IFERROR(VLOOKUP($F$1,TCFV!$C$1:$AN$95,((I$2-5)*2-1),0),"")</f>
        <v>229.04999999999998</v>
      </c>
      <c r="J84" s="457">
        <f>IFERROR(VLOOKUP($F$1,TCFV!$C$1:$AN$95,((J$2-5)*2-1),0),"")</f>
        <v>274.95</v>
      </c>
      <c r="K84" s="457">
        <f>IFERROR(VLOOKUP($F$1,TCFV!$C$1:$AN$95,((K$2-5)*2-1),0),"")</f>
        <v>320.84999999999991</v>
      </c>
      <c r="L84" s="457">
        <f>IFERROR(VLOOKUP($F$1,TCFV!$C$1:$AN$95,((L$2-5)*2-1),0),"")</f>
        <v>366.74999999999994</v>
      </c>
      <c r="M84" s="457">
        <f>IFERROR(VLOOKUP($F$1,TCFV!$C$1:$AN$95,((M$2-5)*2-1),0),"")</f>
        <v>412.65000000000009</v>
      </c>
      <c r="N84" s="457">
        <f>IFERROR(VLOOKUP($F$1,TCFV!$C$1:$AN$95,((N$2-5)*2-1),0),"")</f>
        <v>454.38749999999999</v>
      </c>
      <c r="O84" s="457">
        <f>IFERROR(VLOOKUP($F$1,TCFV!$C$1:$AN$95,((O$2-5)*2-1),0),"")</f>
        <v>496.12499999999994</v>
      </c>
      <c r="P84" s="457">
        <f>IFERROR(VLOOKUP($F$1,TCFV!$C$1:$AN$95,((P$2-5)*2-1),0),"")</f>
        <v>579.59999999999991</v>
      </c>
      <c r="Q84" s="457">
        <f>IFERROR(VLOOKUP($F$1,TCFV!$C$1:$AN$95,((Q$2-5)*2-1),0),"")</f>
        <v>571.94999999999993</v>
      </c>
      <c r="R84" s="457">
        <f>IFERROR(VLOOKUP($F$1,TCFV!$C$1:$AN$95,((R$2-5)*2-1),0),"")</f>
        <v>659.25</v>
      </c>
      <c r="S84" s="457">
        <f>IFERROR(VLOOKUP($F$1,TCFV!$C$1:$AN$95,((S$2-5)*2-1),0),"")</f>
        <v>663.07500000000005</v>
      </c>
      <c r="T84" s="457">
        <f>IFERROR(VLOOKUP($F$1,TCFV!$C$1:$AN$95,((T$2-5)*2-1),0),"")</f>
        <v>746.55000000000018</v>
      </c>
      <c r="U84" s="457">
        <f>IFERROR(VLOOKUP($F$1,TCFV!$C$1:$AN$95,((U$2-5)*2-1),0),"")</f>
        <v>833.85</v>
      </c>
      <c r="V84" s="457">
        <f>IFERROR(VLOOKUP($F$1,TCFV!$C$1:$AN$95,((V$2-5)*2-1),0),"")</f>
        <v>830.02499999999998</v>
      </c>
      <c r="W84" s="457">
        <f>IFERROR(VLOOKUP($F$1,TCFV!$C$1:$AN$95,((W$2-5)*2-1),0),"")</f>
        <v>913.49999999999989</v>
      </c>
    </row>
    <row r="85" spans="1:23" x14ac:dyDescent="0.2">
      <c r="A85" s="294" t="s">
        <v>399</v>
      </c>
      <c r="B85" s="1664"/>
      <c r="C85" s="498" t="s">
        <v>399</v>
      </c>
      <c r="D85" s="291"/>
      <c r="E85" s="301"/>
      <c r="F85" s="301"/>
      <c r="G85" s="457">
        <f>IFERROR(VLOOKUP($F$1,TCFH!$C$1:$AN$67,((G$2-5)*2-1),0),"")</f>
        <v>135.39375000000001</v>
      </c>
      <c r="H85" s="457">
        <f>IFERROR(VLOOKUP($F$1,TCFH!$C$1:$AN$67,((H$2-5)*2-1),0),"")</f>
        <v>170.66250000000002</v>
      </c>
      <c r="I85" s="457">
        <f>IFERROR(VLOOKUP($F$1,TCFH!$C$1:$AN$67,((I$2-5)*2-1),0),"")</f>
        <v>206.1</v>
      </c>
      <c r="J85" s="457">
        <f>IFERROR(VLOOKUP($F$1,TCFH!$C$1:$AN$67,((J$2-5)*2-1),0),"")</f>
        <v>241.2</v>
      </c>
      <c r="K85" s="457">
        <f>IFERROR(VLOOKUP($F$1,TCFH!$C$1:$AN$67,((K$2-5)*2-1),0),"")</f>
        <v>276.3</v>
      </c>
      <c r="L85" s="457">
        <f>IFERROR(VLOOKUP($F$1,TCFH!$C$1:$AN$67,((L$2-5)*2-1),0),"")</f>
        <v>311.40000000000003</v>
      </c>
      <c r="M85" s="457">
        <f>IFERROR(VLOOKUP($F$1,TCFH!$C$1:$AN$67,((M$2-5)*2-1),0),"")</f>
        <v>346.50000000000006</v>
      </c>
      <c r="N85" s="457">
        <f>IFERROR(VLOOKUP($F$1,TCFH!$C$1:$AN$67,((N$2-5)*2-1),0),"")</f>
        <v>381.93749999999994</v>
      </c>
      <c r="O85" s="457">
        <f>IFERROR(VLOOKUP($F$1,TCFH!$C$1:$AN$67,((O$2-5)*2-1),0),"")</f>
        <v>417.03750000000002</v>
      </c>
      <c r="P85" s="457">
        <f>IFERROR(VLOOKUP($F$1,TCFH!$C$1:$AN$67,((P$2-5)*2-1),0),"")</f>
        <v>487.23750000000001</v>
      </c>
      <c r="Q85" s="457">
        <f>IFERROR(VLOOKUP($F$1,TCFH!$C$1:$AN$67,((Q$2-5)*2-1),0),"")</f>
        <v>487.23750000000001</v>
      </c>
      <c r="R85" s="457">
        <f>IFERROR(VLOOKUP($F$1,TCFH!$C$1:$AN$67,((R$2-5)*2-1),0),"")</f>
        <v>557.6400000000001</v>
      </c>
      <c r="S85" s="457">
        <f>IFERROR(VLOOKUP($F$1,TCFH!$C$1:$AN$67,((S$2-5)*2-1),0),"")</f>
        <v>557.6400000000001</v>
      </c>
      <c r="T85" s="457">
        <f>IFERROR(VLOOKUP($F$1,TCFH!$C$1:$AN$67,((T$2-5)*2-1),0),"")</f>
        <v>627.97500000000002</v>
      </c>
      <c r="U85" s="457">
        <f>IFERROR(VLOOKUP($F$1,TCFH!$C$1:$AN$67,((U$2-5)*2-1),0),"")</f>
        <v>698.17499999999995</v>
      </c>
      <c r="V85" s="457">
        <f>IFERROR(VLOOKUP($F$1,TCFH!$C$1:$AN$67,((V$2-5)*2-1),0),"")</f>
        <v>698.17499999999995</v>
      </c>
      <c r="W85" s="457">
        <f>IFERROR(VLOOKUP($F$1,TCFH!$C$1:$AN$67,((W$2-5)*2-1),0),"")</f>
        <v>768.50999999999976</v>
      </c>
    </row>
    <row r="86" spans="1:23" x14ac:dyDescent="0.2">
      <c r="A86" s="294" t="s">
        <v>1265</v>
      </c>
      <c r="B86" s="1664"/>
      <c r="C86" s="498" t="s">
        <v>270</v>
      </c>
      <c r="D86" s="291"/>
      <c r="E86" s="301"/>
      <c r="F86" s="301"/>
      <c r="G86" s="457">
        <f>IFERROR(VLOOKUP($F$1,TCBACS!$C$1:$AK$87,((G$2-5)*2-1),0),"")</f>
        <v>0</v>
      </c>
      <c r="H86" s="457">
        <f>IFERROR(VLOOKUP($F$1,TCBACS!$C$1:$AK$87,((H$2-5)*2-1),0),"")</f>
        <v>121.05</v>
      </c>
      <c r="I86" s="457">
        <f>IFERROR(VLOOKUP($F$1,TCBACS!$C$1:$AK$87,((I$2-5)*2-1),0),"")</f>
        <v>0</v>
      </c>
      <c r="J86" s="457">
        <f>IFERROR(VLOOKUP($F$1,TCBACS!$C$1:$AK$87,((J$2-5)*2-1),0),"")</f>
        <v>211.5</v>
      </c>
      <c r="K86" s="457">
        <f>IFERROR(VLOOKUP($F$1,TCBACS!$C$1:$AK$87,((K$2-5)*2-1),0),"")</f>
        <v>242.1</v>
      </c>
      <c r="L86" s="457">
        <f>IFERROR(VLOOKUP($F$1,TCBACS!$C$1:$AK$87,((L$2-5)*2-1),0),"")</f>
        <v>0</v>
      </c>
      <c r="M86" s="457">
        <f>IFERROR(VLOOKUP($F$1,TCBACS!$C$1:$AK$87,((M$2-5)*2-1),0),"")</f>
        <v>0</v>
      </c>
      <c r="N86" s="457">
        <f>IFERROR(VLOOKUP($F$1,TCBACS!$C$1:$AK$87,((N$2-5)*2-1),0),"")</f>
        <v>0</v>
      </c>
      <c r="O86" s="457">
        <f>IFERROR(VLOOKUP($F$1,TCBACS!$C$1:$AK$87,((O$2-5)*2-1),0),"")</f>
        <v>423</v>
      </c>
      <c r="P86" s="457">
        <f>IFERROR(VLOOKUP($F$1,TCBACS!$C$1:$AK$87,((P$2-5)*2-1),0),"")</f>
        <v>484.2</v>
      </c>
      <c r="Q86" s="457">
        <f>IFERROR(VLOOKUP($F$1,TCBACS!$C$1:$AK$87,((Q$2-5)*2-1),0),"")</f>
        <v>0</v>
      </c>
      <c r="R86" s="457">
        <f>IFERROR(VLOOKUP($F$1,TCBACS!$C$1:$AK$87,((R$2-5)*2-1),0),"")</f>
        <v>0</v>
      </c>
      <c r="S86" s="457">
        <f>IFERROR(VLOOKUP($F$1,TCBACS!$C$1:$AK$87,((S$2-5)*2-1),0),"")</f>
        <v>0</v>
      </c>
      <c r="T86" s="457">
        <f>IFERROR(VLOOKUP($F$1,TCBACS!$C$1:$AK$87,((T$2-5)*2-1),0),"")</f>
        <v>0</v>
      </c>
      <c r="U86" s="457">
        <f>IFERROR(VLOOKUP($F$1,TCBACS!$C$1:$AK$87,((U$2-5)*2-1),0),"")</f>
        <v>0</v>
      </c>
      <c r="V86" s="457">
        <f>IFERROR(VLOOKUP($F$1,TCBACS!$C$1:$AK$87,((V$2-5)*2-1),0),"")</f>
        <v>0</v>
      </c>
      <c r="W86" s="457">
        <f>IFERROR(VLOOKUP($F$1,TCBACS!$C$1:$AK$87,((W$2-5)*2-1),0),"")</f>
        <v>846</v>
      </c>
    </row>
    <row r="87" spans="1:23" x14ac:dyDescent="0.2">
      <c r="A87" s="3"/>
      <c r="B87" s="3"/>
      <c r="C87" s="3"/>
      <c r="D87" s="3"/>
      <c r="E87" s="301"/>
      <c r="F87" s="301"/>
      <c r="G87" s="477"/>
      <c r="H87" s="477"/>
      <c r="I87" s="477"/>
      <c r="J87" s="477"/>
      <c r="K87" s="477"/>
      <c r="L87" s="477"/>
      <c r="M87" s="477"/>
      <c r="N87" s="477"/>
      <c r="O87" s="477"/>
      <c r="P87" s="477"/>
      <c r="Q87" s="477"/>
      <c r="R87" s="477"/>
      <c r="S87" s="477"/>
      <c r="T87" s="477"/>
      <c r="U87" s="477"/>
      <c r="V87" s="477"/>
      <c r="W87" s="477"/>
    </row>
    <row r="88" spans="1:23" x14ac:dyDescent="0.2">
      <c r="A88" s="294" t="s">
        <v>1166</v>
      </c>
      <c r="B88" s="1664" t="s">
        <v>670</v>
      </c>
      <c r="C88" s="498" t="s">
        <v>671</v>
      </c>
      <c r="D88" s="291" t="s">
        <v>672</v>
      </c>
      <c r="E88" s="301"/>
      <c r="F88" s="301"/>
      <c r="G88" s="457" t="str">
        <f>IFERROR(VLOOKUP($F$1,'PS1'!$C$1:$AM$36,((G$2-5)*2-1),0),"")</f>
        <v/>
      </c>
      <c r="H88" s="457">
        <f>IFERROR(VLOOKUP($F$1,'PS1'!$C$1:$AM$36,((H$2-5)*2-1),0),"")</f>
        <v>27.270000000000003</v>
      </c>
      <c r="I88" s="457">
        <f>IFERROR(VLOOKUP($F$1,'PS1'!$C$1:$AM$36,((I$2-5)*2-1),0),"")</f>
        <v>36.270000000000003</v>
      </c>
      <c r="J88" s="457">
        <f>IFERROR(VLOOKUP($F$1,'PS1'!$C$1:$AM$36,((J$2-5)*2-1),0),"")</f>
        <v>18.27</v>
      </c>
      <c r="K88" s="457">
        <f>IFERROR(VLOOKUP($F$1,'PS1'!$C$1:$AM$36,((K$2-5)*2-1),0),"")</f>
        <v>41.31</v>
      </c>
      <c r="L88" s="457">
        <f>IFERROR(VLOOKUP($F$1,'PS1'!$C$1:$AM$36,((L$2-5)*2-1),0),"")</f>
        <v>45.54</v>
      </c>
      <c r="M88" s="457">
        <f>IFERROR(VLOOKUP($F$1,'PS1'!$C$1:$AM$36,((M$2-5)*2-1),0),"")</f>
        <v>90.809999999999988</v>
      </c>
      <c r="N88" s="457">
        <f>IFERROR(VLOOKUP($F$1,'PS1'!$C$1:$AM$36,((N$2-5)*2-1),0),"")</f>
        <v>72.809999999999988</v>
      </c>
      <c r="O88" s="457">
        <f>IFERROR(VLOOKUP($F$1,'PS1'!$C$1:$AM$36,((O$2-5)*2-1),0),"")</f>
        <v>118.07999999999998</v>
      </c>
      <c r="P88" s="457">
        <f>IFERROR(VLOOKUP($F$1,'PS1'!$C$1:$AM$36,((P$2-5)*2-1),0),"")</f>
        <v>135.81</v>
      </c>
      <c r="Q88" s="457">
        <f>IFERROR(VLOOKUP($F$1,'PS1'!$C$1:$AM$36,((Q$2-5)*2-1),0),"")</f>
        <v>0</v>
      </c>
      <c r="R88" s="457">
        <f>IFERROR(VLOOKUP($F$1,'PS1'!$C$1:$AM$36,((R$2-5)*2-1),0),"")</f>
        <v>90.54</v>
      </c>
      <c r="S88" s="457">
        <f>IFERROR(VLOOKUP($F$1,'PS1'!$C$1:$AM$36,((S$2-5)*2-1),0),"")</f>
        <v>158.31</v>
      </c>
      <c r="T88" s="457">
        <f>IFERROR(VLOOKUP($F$1,'PS1'!$C$1:$AM$36,((T$2-5)*2-1),0),"")</f>
        <v>180.81000000000003</v>
      </c>
      <c r="U88" s="457">
        <f>IFERROR(VLOOKUP($F$1,'PS1'!$C$1:$AM$36,((U$2-5)*2-1),0),"")</f>
        <v>144.81</v>
      </c>
      <c r="V88" s="457">
        <f>IFERROR(VLOOKUP($F$1,'PS1'!$C$1:$AM$36,((V$2-5)*2-1),0),"")</f>
        <v>145.08000000000001</v>
      </c>
      <c r="W88" s="457">
        <f>IFERROR(VLOOKUP($F$1,'PS1'!$C$1:$AM$36,((W$2-5)*2-1),0),"")</f>
        <v>163.21500000000003</v>
      </c>
    </row>
    <row r="89" spans="1:23" x14ac:dyDescent="0.2">
      <c r="A89" s="294" t="s">
        <v>1167</v>
      </c>
      <c r="B89" s="1664"/>
      <c r="C89" s="498" t="s">
        <v>671</v>
      </c>
      <c r="D89" s="291" t="s">
        <v>673</v>
      </c>
      <c r="E89" s="301"/>
      <c r="F89" s="301"/>
      <c r="G89" s="457"/>
      <c r="H89" s="457"/>
      <c r="I89" s="457"/>
      <c r="J89" s="457"/>
      <c r="K89" s="457"/>
      <c r="L89" s="457"/>
      <c r="M89" s="457"/>
      <c r="N89" s="457"/>
      <c r="O89" s="457"/>
      <c r="P89" s="457"/>
      <c r="Q89" s="457"/>
      <c r="R89" s="457"/>
      <c r="S89" s="457"/>
      <c r="T89" s="457"/>
      <c r="U89" s="457"/>
      <c r="V89" s="457"/>
      <c r="W89" s="457"/>
    </row>
    <row r="90" spans="1:23" x14ac:dyDescent="0.2">
      <c r="A90" s="3"/>
      <c r="B90" s="3"/>
      <c r="C90" s="3"/>
      <c r="D90" s="3"/>
      <c r="E90" s="3"/>
      <c r="F90" s="3"/>
      <c r="G90" s="135"/>
      <c r="H90" s="135"/>
      <c r="I90" s="135"/>
      <c r="J90" s="135"/>
      <c r="K90" s="135"/>
      <c r="L90" s="135"/>
      <c r="M90" s="135"/>
      <c r="N90" s="135"/>
      <c r="O90" s="135"/>
      <c r="P90" s="135"/>
      <c r="Q90" s="135"/>
      <c r="R90" s="135"/>
      <c r="S90" s="135"/>
      <c r="T90" s="135"/>
      <c r="U90" s="135"/>
      <c r="V90" s="135"/>
      <c r="W90" s="135"/>
    </row>
    <row r="91" spans="1:23" ht="15" customHeight="1" x14ac:dyDescent="0.2">
      <c r="A91" s="305" t="s">
        <v>1298</v>
      </c>
      <c r="B91" s="1662" t="s">
        <v>439</v>
      </c>
      <c r="C91" s="1663" t="s">
        <v>652</v>
      </c>
      <c r="D91" s="306" t="s">
        <v>546</v>
      </c>
      <c r="E91" s="301"/>
      <c r="F91" s="301"/>
      <c r="G91" s="457">
        <f t="shared" ref="G91:W91" si="1">IF(G4="","",G$84+G4)</f>
        <v>433.71449999999993</v>
      </c>
      <c r="H91" s="457">
        <f t="shared" si="1"/>
        <v>537.75</v>
      </c>
      <c r="I91" s="457">
        <f t="shared" si="1"/>
        <v>639.04499999999996</v>
      </c>
      <c r="J91" s="457">
        <f t="shared" si="1"/>
        <v>714.55500000000006</v>
      </c>
      <c r="K91" s="457">
        <f t="shared" si="1"/>
        <v>803.56499999999994</v>
      </c>
      <c r="L91" s="457">
        <f t="shared" si="1"/>
        <v>885.82500000000005</v>
      </c>
      <c r="M91" s="457">
        <f t="shared" si="1"/>
        <v>968.08500000000004</v>
      </c>
      <c r="N91" s="457">
        <f t="shared" si="1"/>
        <v>1039.4324999999999</v>
      </c>
      <c r="O91" s="457">
        <f t="shared" si="1"/>
        <v>1110.78</v>
      </c>
      <c r="P91" s="457">
        <f t="shared" si="1"/>
        <v>1280.4749999999999</v>
      </c>
      <c r="Q91" s="457">
        <f t="shared" si="1"/>
        <v>1318.5450000000001</v>
      </c>
      <c r="R91" s="457">
        <f t="shared" si="1"/>
        <v>1442.2049999999999</v>
      </c>
      <c r="S91" s="457">
        <f t="shared" si="1"/>
        <v>1423.17</v>
      </c>
      <c r="T91" s="457">
        <f t="shared" si="1"/>
        <v>1565.8650000000002</v>
      </c>
      <c r="U91" s="457">
        <f t="shared" si="1"/>
        <v>1689.5250000000001</v>
      </c>
      <c r="V91" s="457">
        <f t="shared" si="1"/>
        <v>1708.56</v>
      </c>
      <c r="W91" s="457">
        <f t="shared" si="1"/>
        <v>1851.2549999999997</v>
      </c>
    </row>
    <row r="92" spans="1:23" ht="15" customHeight="1" x14ac:dyDescent="0.2">
      <c r="A92" s="305" t="s">
        <v>1299</v>
      </c>
      <c r="B92" s="1662"/>
      <c r="C92" s="1663"/>
      <c r="D92" s="235" t="s">
        <v>548</v>
      </c>
      <c r="E92" s="302"/>
      <c r="F92" s="302"/>
      <c r="G92" s="457">
        <f t="shared" ref="G92:W92" si="2">IF(G5="","",G$84+G5)</f>
        <v>549.78750000000002</v>
      </c>
      <c r="H92" s="457">
        <f t="shared" si="2"/>
        <v>684.90000000000009</v>
      </c>
      <c r="I92" s="457">
        <f t="shared" si="2"/>
        <v>823.72500000000014</v>
      </c>
      <c r="J92" s="457">
        <f t="shared" si="2"/>
        <v>921.375</v>
      </c>
      <c r="K92" s="457">
        <f t="shared" si="2"/>
        <v>1019.025</v>
      </c>
      <c r="L92" s="457">
        <f t="shared" si="2"/>
        <v>1116.675</v>
      </c>
      <c r="M92" s="457">
        <f t="shared" si="2"/>
        <v>1214.3250000000003</v>
      </c>
      <c r="N92" s="457">
        <f t="shared" si="2"/>
        <v>1304.4375000000002</v>
      </c>
      <c r="O92" s="457">
        <f t="shared" si="2"/>
        <v>1394.5500000000002</v>
      </c>
      <c r="P92" s="457">
        <f t="shared" si="2"/>
        <v>1574.7750000000001</v>
      </c>
      <c r="Q92" s="457">
        <f t="shared" si="2"/>
        <v>1657.125</v>
      </c>
      <c r="R92" s="457">
        <f t="shared" si="2"/>
        <v>1796.175</v>
      </c>
      <c r="S92" s="457">
        <f t="shared" si="2"/>
        <v>1755</v>
      </c>
      <c r="T92" s="457">
        <f t="shared" si="2"/>
        <v>1935.2250000000004</v>
      </c>
      <c r="U92" s="457">
        <f t="shared" si="2"/>
        <v>2074.2750000000001</v>
      </c>
      <c r="V92" s="457">
        <f t="shared" si="2"/>
        <v>2115.4500000000003</v>
      </c>
      <c r="W92" s="457">
        <f t="shared" si="2"/>
        <v>2295.6750000000002</v>
      </c>
    </row>
    <row r="93" spans="1:23" ht="15" customHeight="1" x14ac:dyDescent="0.2">
      <c r="A93" s="305" t="s">
        <v>1300</v>
      </c>
      <c r="B93" s="1662"/>
      <c r="C93" s="1663"/>
      <c r="D93" s="235" t="s">
        <v>653</v>
      </c>
      <c r="E93" s="301"/>
      <c r="F93" s="301"/>
      <c r="G93" s="457">
        <f t="shared" ref="G93:W93" si="3">IF(G6="","",G$84+G6)</f>
        <v>377.96849999999995</v>
      </c>
      <c r="H93" s="457">
        <f t="shared" si="3"/>
        <v>467.77500000000003</v>
      </c>
      <c r="I93" s="457">
        <f t="shared" si="3"/>
        <v>559.26</v>
      </c>
      <c r="J93" s="457">
        <f t="shared" si="3"/>
        <v>629.86500000000001</v>
      </c>
      <c r="K93" s="457">
        <f t="shared" si="3"/>
        <v>700.46999999999991</v>
      </c>
      <c r="L93" s="457">
        <f t="shared" si="3"/>
        <v>771.07499999999993</v>
      </c>
      <c r="M93" s="457">
        <f t="shared" si="3"/>
        <v>841.68000000000006</v>
      </c>
      <c r="N93" s="457">
        <f t="shared" si="3"/>
        <v>908.12249999999995</v>
      </c>
      <c r="O93" s="457">
        <f t="shared" si="3"/>
        <v>974.56500000000005</v>
      </c>
      <c r="P93" s="457">
        <f t="shared" si="3"/>
        <v>1107.4499999999998</v>
      </c>
      <c r="Q93" s="457">
        <f t="shared" si="3"/>
        <v>1149.21</v>
      </c>
      <c r="R93" s="457">
        <f t="shared" si="3"/>
        <v>1261.2149999999999</v>
      </c>
      <c r="S93" s="457">
        <f t="shared" si="3"/>
        <v>1240.335</v>
      </c>
      <c r="T93" s="457">
        <f t="shared" si="3"/>
        <v>1373.2200000000003</v>
      </c>
      <c r="U93" s="457">
        <f t="shared" si="3"/>
        <v>1485.2250000000001</v>
      </c>
      <c r="V93" s="457">
        <f t="shared" si="3"/>
        <v>1506.105</v>
      </c>
      <c r="W93" s="457">
        <f t="shared" si="3"/>
        <v>1638.9899999999998</v>
      </c>
    </row>
    <row r="94" spans="1:23" ht="15" customHeight="1" x14ac:dyDescent="0.2">
      <c r="A94" s="305" t="s">
        <v>1301</v>
      </c>
      <c r="B94" s="1662"/>
      <c r="C94" s="1663"/>
      <c r="D94" s="472" t="s">
        <v>551</v>
      </c>
      <c r="E94" s="302"/>
      <c r="F94" s="302"/>
      <c r="G94" s="457">
        <f t="shared" ref="G94:W94" si="4">IF(G7="","",G$84+G7)</f>
        <v>591.63750000000005</v>
      </c>
      <c r="H94" s="457">
        <f t="shared" si="4"/>
        <v>933.97500000000014</v>
      </c>
      <c r="I94" s="457">
        <f t="shared" si="4"/>
        <v>1237.05</v>
      </c>
      <c r="J94" s="457">
        <f t="shared" si="4"/>
        <v>1543.95</v>
      </c>
      <c r="K94" s="457">
        <f t="shared" si="4"/>
        <v>1850.85</v>
      </c>
      <c r="L94" s="457">
        <f t="shared" si="4"/>
        <v>2157.7499999999995</v>
      </c>
      <c r="M94" s="457">
        <f t="shared" si="4"/>
        <v>2464.65</v>
      </c>
      <c r="N94" s="457">
        <f t="shared" si="4"/>
        <v>2767.3874999999998</v>
      </c>
      <c r="O94" s="457">
        <f t="shared" si="4"/>
        <v>3070.125</v>
      </c>
      <c r="P94" s="457">
        <f t="shared" si="4"/>
        <v>3639.6</v>
      </c>
      <c r="Q94" s="457">
        <f t="shared" si="4"/>
        <v>3667.95</v>
      </c>
      <c r="R94" s="457">
        <f t="shared" si="4"/>
        <v>4241.25</v>
      </c>
      <c r="S94" s="457">
        <f t="shared" si="4"/>
        <v>4281.0750000000007</v>
      </c>
      <c r="T94" s="457">
        <f t="shared" si="4"/>
        <v>4850.55</v>
      </c>
      <c r="U94" s="457">
        <f t="shared" si="4"/>
        <v>5423.85</v>
      </c>
      <c r="V94" s="457">
        <f t="shared" si="4"/>
        <v>5456.0249999999996</v>
      </c>
      <c r="W94" s="457">
        <f t="shared" si="4"/>
        <v>6025.5</v>
      </c>
    </row>
    <row r="95" spans="1:23" ht="15" customHeight="1" x14ac:dyDescent="0.2">
      <c r="A95" s="305" t="s">
        <v>1302</v>
      </c>
      <c r="B95" s="1662"/>
      <c r="C95" s="1661" t="s">
        <v>654</v>
      </c>
      <c r="D95" s="307" t="s">
        <v>657</v>
      </c>
      <c r="E95" s="301"/>
      <c r="F95" s="301"/>
      <c r="G95" s="457">
        <f t="shared" ref="G95:W95" si="5">IF(G8="","",G$84+G8)</f>
        <v>240.63749999999999</v>
      </c>
      <c r="H95" s="457">
        <f t="shared" si="5"/>
        <v>306.22500000000002</v>
      </c>
      <c r="I95" s="457">
        <f t="shared" si="5"/>
        <v>370.79999999999995</v>
      </c>
      <c r="J95" s="457">
        <f t="shared" si="5"/>
        <v>427.95000000000005</v>
      </c>
      <c r="K95" s="457">
        <f t="shared" si="5"/>
        <v>485.09999999999991</v>
      </c>
      <c r="L95" s="457">
        <f t="shared" si="5"/>
        <v>542.25</v>
      </c>
      <c r="M95" s="457">
        <f t="shared" si="5"/>
        <v>599.40000000000009</v>
      </c>
      <c r="N95" s="457">
        <f t="shared" si="5"/>
        <v>652.38750000000005</v>
      </c>
      <c r="O95" s="457">
        <f t="shared" si="5"/>
        <v>705.37499999999989</v>
      </c>
      <c r="P95" s="457">
        <f t="shared" si="5"/>
        <v>811.34999999999991</v>
      </c>
      <c r="Q95" s="457">
        <f t="shared" si="5"/>
        <v>826.19999999999993</v>
      </c>
      <c r="R95" s="457">
        <f t="shared" si="5"/>
        <v>924.75</v>
      </c>
      <c r="S95" s="457">
        <f t="shared" si="5"/>
        <v>917.32500000000005</v>
      </c>
      <c r="T95" s="457">
        <f t="shared" si="5"/>
        <v>1023.3000000000002</v>
      </c>
      <c r="U95" s="457">
        <f t="shared" si="5"/>
        <v>1121.8499999999999</v>
      </c>
      <c r="V95" s="457">
        <f t="shared" si="5"/>
        <v>1129.2750000000001</v>
      </c>
      <c r="W95" s="457">
        <f t="shared" si="5"/>
        <v>1235.25</v>
      </c>
    </row>
    <row r="96" spans="1:23" ht="15" customHeight="1" x14ac:dyDescent="0.2">
      <c r="A96" s="305" t="s">
        <v>1303</v>
      </c>
      <c r="B96" s="1662"/>
      <c r="C96" s="1661"/>
      <c r="D96" s="306" t="s">
        <v>546</v>
      </c>
      <c r="E96" s="301"/>
      <c r="F96" s="301"/>
      <c r="G96" s="457">
        <f t="shared" ref="G96:W96" si="6">IF(G9="","",G$84+G9)</f>
        <v>350.69849999999997</v>
      </c>
      <c r="H96" s="457">
        <f t="shared" si="6"/>
        <v>435.375</v>
      </c>
      <c r="I96" s="457">
        <f t="shared" si="6"/>
        <v>524.16</v>
      </c>
      <c r="J96" s="457">
        <f t="shared" si="6"/>
        <v>590.04</v>
      </c>
      <c r="K96" s="457">
        <f t="shared" si="6"/>
        <v>655.91999999999985</v>
      </c>
      <c r="L96" s="457">
        <f t="shared" si="6"/>
        <v>721.8</v>
      </c>
      <c r="M96" s="457">
        <f t="shared" si="6"/>
        <v>787.68000000000018</v>
      </c>
      <c r="N96" s="457">
        <f t="shared" si="6"/>
        <v>852.77250000000004</v>
      </c>
      <c r="O96" s="457">
        <f t="shared" si="6"/>
        <v>917.86500000000001</v>
      </c>
      <c r="P96" s="457">
        <f t="shared" si="6"/>
        <v>1002.3749999999999</v>
      </c>
      <c r="Q96" s="457">
        <f t="shared" si="6"/>
        <v>1043.6849999999999</v>
      </c>
      <c r="R96" s="457">
        <f t="shared" si="6"/>
        <v>1148.7149999999999</v>
      </c>
      <c r="S96" s="457">
        <f t="shared" si="6"/>
        <v>1128.0600000000002</v>
      </c>
      <c r="T96" s="457">
        <f t="shared" si="6"/>
        <v>1253.7450000000001</v>
      </c>
      <c r="U96" s="457">
        <f t="shared" si="6"/>
        <v>1358.7750000000001</v>
      </c>
      <c r="V96" s="457">
        <f t="shared" si="6"/>
        <v>1379.4299999999998</v>
      </c>
      <c r="W96" s="457">
        <f t="shared" si="6"/>
        <v>1505.115</v>
      </c>
    </row>
    <row r="97" spans="1:23" ht="15" customHeight="1" x14ac:dyDescent="0.2">
      <c r="A97" s="305" t="s">
        <v>1304</v>
      </c>
      <c r="B97" s="1662"/>
      <c r="C97" s="1661"/>
      <c r="D97" s="235" t="s">
        <v>653</v>
      </c>
      <c r="E97" s="302"/>
      <c r="F97" s="302"/>
      <c r="G97" s="457">
        <f t="shared" ref="G97:W97" si="7">IF(G10="","",G$84+G10)</f>
        <v>329.19749999999999</v>
      </c>
      <c r="H97" s="457">
        <f t="shared" si="7"/>
        <v>408.15000000000003</v>
      </c>
      <c r="I97" s="457">
        <f t="shared" si="7"/>
        <v>487.57500000000005</v>
      </c>
      <c r="J97" s="457">
        <f t="shared" si="7"/>
        <v>552.15</v>
      </c>
      <c r="K97" s="457">
        <f t="shared" si="7"/>
        <v>616.72499999999991</v>
      </c>
      <c r="L97" s="457">
        <f t="shared" si="7"/>
        <v>681.3</v>
      </c>
      <c r="M97" s="457">
        <f t="shared" si="7"/>
        <v>745.87500000000011</v>
      </c>
      <c r="N97" s="457">
        <f t="shared" si="7"/>
        <v>806.28750000000002</v>
      </c>
      <c r="O97" s="457">
        <f t="shared" si="7"/>
        <v>866.69999999999993</v>
      </c>
      <c r="P97" s="457">
        <f t="shared" si="7"/>
        <v>987.52499999999998</v>
      </c>
      <c r="Q97" s="457">
        <f t="shared" si="7"/>
        <v>1017.2249999999999</v>
      </c>
      <c r="R97" s="457">
        <f t="shared" si="7"/>
        <v>1123.1999999999998</v>
      </c>
      <c r="S97" s="457">
        <f t="shared" si="7"/>
        <v>1108.3500000000001</v>
      </c>
      <c r="T97" s="457">
        <f t="shared" si="7"/>
        <v>1229.1750000000002</v>
      </c>
      <c r="U97" s="457">
        <f t="shared" si="7"/>
        <v>1335.15</v>
      </c>
      <c r="V97" s="457">
        <f t="shared" si="7"/>
        <v>1350</v>
      </c>
      <c r="W97" s="457">
        <f t="shared" si="7"/>
        <v>1470.8249999999998</v>
      </c>
    </row>
    <row r="98" spans="1:23" ht="15" customHeight="1" x14ac:dyDescent="0.2">
      <c r="A98" s="305" t="s">
        <v>1305</v>
      </c>
      <c r="B98" s="1662"/>
      <c r="C98" s="1661" t="s">
        <v>523</v>
      </c>
      <c r="D98" s="471" t="s">
        <v>656</v>
      </c>
      <c r="E98" s="301"/>
      <c r="F98" s="301"/>
      <c r="G98" s="457">
        <f t="shared" ref="G98:W98" si="8">IF(G11="","",G$84+G11)</f>
        <v>346.20749999999998</v>
      </c>
      <c r="H98" s="457">
        <f t="shared" si="8"/>
        <v>431.1</v>
      </c>
      <c r="I98" s="457">
        <f t="shared" si="8"/>
        <v>510.52499999999998</v>
      </c>
      <c r="J98" s="457">
        <f t="shared" si="8"/>
        <v>582.52500000000009</v>
      </c>
      <c r="K98" s="457">
        <f t="shared" si="8"/>
        <v>654.52499999999998</v>
      </c>
      <c r="L98" s="457">
        <f t="shared" si="8"/>
        <v>726.52499999999998</v>
      </c>
      <c r="M98" s="457">
        <f t="shared" si="8"/>
        <v>798.52500000000009</v>
      </c>
      <c r="N98" s="457">
        <f t="shared" si="8"/>
        <v>858.9375</v>
      </c>
      <c r="O98" s="457">
        <f t="shared" si="8"/>
        <v>919.34999999999991</v>
      </c>
      <c r="P98" s="457">
        <f t="shared" si="8"/>
        <v>1040.175</v>
      </c>
      <c r="Q98" s="457">
        <f t="shared" si="8"/>
        <v>1055.0249999999999</v>
      </c>
      <c r="R98" s="457">
        <f t="shared" si="8"/>
        <v>1168.4250000000002</v>
      </c>
      <c r="S98" s="457">
        <f t="shared" si="8"/>
        <v>1161</v>
      </c>
      <c r="T98" s="457">
        <f t="shared" si="8"/>
        <v>1281.8250000000003</v>
      </c>
      <c r="U98" s="457">
        <f t="shared" si="8"/>
        <v>1395.2249999999999</v>
      </c>
      <c r="V98" s="457">
        <f t="shared" si="8"/>
        <v>1402.65</v>
      </c>
      <c r="W98" s="457">
        <f t="shared" si="8"/>
        <v>1523.4749999999999</v>
      </c>
    </row>
    <row r="99" spans="1:23" ht="15" customHeight="1" x14ac:dyDescent="0.2">
      <c r="A99" s="305" t="s">
        <v>1306</v>
      </c>
      <c r="B99" s="1662"/>
      <c r="C99" s="1661"/>
      <c r="D99" s="307" t="s">
        <v>657</v>
      </c>
      <c r="E99" s="302"/>
      <c r="F99" s="302"/>
      <c r="G99" s="457">
        <f t="shared" ref="G99:W99" si="9">IF(G12="","",G$84+G12)</f>
        <v>267.90750000000003</v>
      </c>
      <c r="H99" s="457">
        <f t="shared" si="9"/>
        <v>339.97500000000002</v>
      </c>
      <c r="I99" s="457">
        <f t="shared" si="9"/>
        <v>411.75</v>
      </c>
      <c r="J99" s="457">
        <f t="shared" si="9"/>
        <v>472.5</v>
      </c>
      <c r="K99" s="457">
        <f t="shared" si="9"/>
        <v>533.25</v>
      </c>
      <c r="L99" s="457">
        <f t="shared" si="9"/>
        <v>594</v>
      </c>
      <c r="M99" s="457">
        <f t="shared" si="9"/>
        <v>654.75000000000011</v>
      </c>
      <c r="N99" s="457">
        <f t="shared" si="9"/>
        <v>711.33750000000009</v>
      </c>
      <c r="O99" s="457">
        <f t="shared" si="9"/>
        <v>767.92499999999995</v>
      </c>
      <c r="P99" s="457">
        <f t="shared" si="9"/>
        <v>881.09999999999991</v>
      </c>
      <c r="Q99" s="457">
        <f t="shared" si="9"/>
        <v>903.15</v>
      </c>
      <c r="R99" s="457">
        <f t="shared" si="9"/>
        <v>1005.3</v>
      </c>
      <c r="S99" s="457">
        <f t="shared" si="9"/>
        <v>994.27500000000009</v>
      </c>
      <c r="T99" s="457">
        <f t="shared" si="9"/>
        <v>1107.4500000000003</v>
      </c>
      <c r="U99" s="457">
        <f t="shared" si="9"/>
        <v>1209.6000000000001</v>
      </c>
      <c r="V99" s="457">
        <f t="shared" si="9"/>
        <v>1220.625</v>
      </c>
      <c r="W99" s="457">
        <f t="shared" si="9"/>
        <v>1333.8</v>
      </c>
    </row>
    <row r="100" spans="1:23" ht="15" customHeight="1" x14ac:dyDescent="0.2">
      <c r="A100" s="305" t="s">
        <v>1307</v>
      </c>
      <c r="B100" s="1670" t="s">
        <v>399</v>
      </c>
      <c r="C100" s="1661" t="s">
        <v>545</v>
      </c>
      <c r="D100" s="306" t="s">
        <v>546</v>
      </c>
      <c r="E100" s="301"/>
      <c r="F100" s="301"/>
      <c r="G100" s="457">
        <f t="shared" ref="G100:W100" si="10">IF(G13="","",G$85+G13)</f>
        <v>146.64375000000001</v>
      </c>
      <c r="H100" s="457">
        <f t="shared" si="10"/>
        <v>193.16250000000002</v>
      </c>
      <c r="I100" s="457">
        <f t="shared" si="10"/>
        <v>239.85</v>
      </c>
      <c r="J100" s="457">
        <f t="shared" si="10"/>
        <v>286.2</v>
      </c>
      <c r="K100" s="457">
        <f t="shared" si="10"/>
        <v>332.55</v>
      </c>
      <c r="L100" s="457">
        <f t="shared" si="10"/>
        <v>378.90000000000003</v>
      </c>
      <c r="M100" s="457">
        <f t="shared" si="10"/>
        <v>425.25000000000006</v>
      </c>
      <c r="N100" s="457">
        <f t="shared" si="10"/>
        <v>471.93749999999994</v>
      </c>
      <c r="O100" s="457">
        <f t="shared" si="10"/>
        <v>518.28750000000002</v>
      </c>
      <c r="P100" s="457">
        <f t="shared" si="10"/>
        <v>599.73749999999995</v>
      </c>
      <c r="Q100" s="457">
        <f t="shared" si="10"/>
        <v>610.98749999999995</v>
      </c>
      <c r="R100" s="457">
        <f t="shared" si="10"/>
        <v>692.6400000000001</v>
      </c>
      <c r="S100" s="457">
        <f t="shared" si="10"/>
        <v>703.8900000000001</v>
      </c>
      <c r="T100" s="457">
        <f t="shared" si="10"/>
        <v>785.47500000000002</v>
      </c>
      <c r="U100" s="457">
        <f t="shared" si="10"/>
        <v>866.92499999999995</v>
      </c>
      <c r="V100" s="457">
        <f t="shared" si="10"/>
        <v>878.17499999999995</v>
      </c>
      <c r="W100" s="457">
        <f t="shared" si="10"/>
        <v>959.75999999999976</v>
      </c>
    </row>
    <row r="101" spans="1:23" ht="15" customHeight="1" x14ac:dyDescent="0.2">
      <c r="A101" s="305" t="s">
        <v>1308</v>
      </c>
      <c r="B101" s="1670"/>
      <c r="C101" s="1661"/>
      <c r="D101" s="235" t="s">
        <v>548</v>
      </c>
      <c r="E101" s="302"/>
      <c r="F101" s="302"/>
      <c r="G101" s="457">
        <f t="shared" ref="G101:W101" si="11">IF(G14="","",G$85+G14)</f>
        <v>146.64375000000001</v>
      </c>
      <c r="H101" s="457">
        <f t="shared" si="11"/>
        <v>193.16250000000002</v>
      </c>
      <c r="I101" s="457">
        <f t="shared" si="11"/>
        <v>239.85</v>
      </c>
      <c r="J101" s="457">
        <f t="shared" si="11"/>
        <v>286.2</v>
      </c>
      <c r="K101" s="457">
        <f t="shared" si="11"/>
        <v>332.55</v>
      </c>
      <c r="L101" s="457">
        <f t="shared" si="11"/>
        <v>378.90000000000003</v>
      </c>
      <c r="M101" s="457">
        <f t="shared" si="11"/>
        <v>425.25000000000006</v>
      </c>
      <c r="N101" s="457">
        <f t="shared" si="11"/>
        <v>471.93749999999994</v>
      </c>
      <c r="O101" s="457">
        <f t="shared" si="11"/>
        <v>518.28750000000002</v>
      </c>
      <c r="P101" s="457">
        <f t="shared" si="11"/>
        <v>599.73749999999995</v>
      </c>
      <c r="Q101" s="457">
        <f t="shared" si="11"/>
        <v>610.98749999999995</v>
      </c>
      <c r="R101" s="457">
        <f t="shared" si="11"/>
        <v>692.6400000000001</v>
      </c>
      <c r="S101" s="457">
        <f t="shared" si="11"/>
        <v>703.8900000000001</v>
      </c>
      <c r="T101" s="457">
        <f t="shared" si="11"/>
        <v>785.47500000000002</v>
      </c>
      <c r="U101" s="457">
        <f t="shared" si="11"/>
        <v>866.92499999999995</v>
      </c>
      <c r="V101" s="457">
        <f t="shared" si="11"/>
        <v>878.17499999999995</v>
      </c>
      <c r="W101" s="457">
        <f t="shared" si="11"/>
        <v>959.75999999999976</v>
      </c>
    </row>
    <row r="102" spans="1:23" ht="15" customHeight="1" x14ac:dyDescent="0.2">
      <c r="A102" s="305" t="s">
        <v>1309</v>
      </c>
      <c r="B102" s="1670"/>
      <c r="C102" s="1661"/>
      <c r="D102" s="235" t="s">
        <v>653</v>
      </c>
      <c r="E102" s="301"/>
      <c r="F102" s="301"/>
      <c r="G102" s="457">
        <f t="shared" ref="G102:W102" si="12">IF(G15="","",G$85+G15)</f>
        <v>146.64375000000001</v>
      </c>
      <c r="H102" s="457">
        <f t="shared" si="12"/>
        <v>193.16250000000002</v>
      </c>
      <c r="I102" s="457">
        <f t="shared" si="12"/>
        <v>239.85</v>
      </c>
      <c r="J102" s="457">
        <f t="shared" si="12"/>
        <v>286.2</v>
      </c>
      <c r="K102" s="457">
        <f t="shared" si="12"/>
        <v>332.55</v>
      </c>
      <c r="L102" s="457">
        <f t="shared" si="12"/>
        <v>378.90000000000003</v>
      </c>
      <c r="M102" s="457">
        <f t="shared" si="12"/>
        <v>425.25000000000006</v>
      </c>
      <c r="N102" s="457">
        <f t="shared" si="12"/>
        <v>471.93749999999994</v>
      </c>
      <c r="O102" s="457">
        <f t="shared" si="12"/>
        <v>518.28750000000002</v>
      </c>
      <c r="P102" s="457">
        <f t="shared" si="12"/>
        <v>599.73749999999995</v>
      </c>
      <c r="Q102" s="457">
        <f t="shared" si="12"/>
        <v>610.98749999999995</v>
      </c>
      <c r="R102" s="457">
        <f t="shared" si="12"/>
        <v>692.6400000000001</v>
      </c>
      <c r="S102" s="457">
        <f t="shared" si="12"/>
        <v>703.8900000000001</v>
      </c>
      <c r="T102" s="457">
        <f t="shared" si="12"/>
        <v>785.47500000000002</v>
      </c>
      <c r="U102" s="457">
        <f t="shared" si="12"/>
        <v>866.92499999999995</v>
      </c>
      <c r="V102" s="457">
        <f t="shared" si="12"/>
        <v>878.17499999999995</v>
      </c>
      <c r="W102" s="457">
        <f t="shared" si="12"/>
        <v>959.75999999999976</v>
      </c>
    </row>
    <row r="103" spans="1:23" ht="15" customHeight="1" x14ac:dyDescent="0.2">
      <c r="A103" s="305" t="s">
        <v>1310</v>
      </c>
      <c r="B103" s="1670"/>
      <c r="C103" s="1661"/>
      <c r="D103" s="235" t="s">
        <v>551</v>
      </c>
      <c r="E103" s="302"/>
      <c r="F103" s="302"/>
      <c r="G103" s="457">
        <f t="shared" ref="G103:W103" si="13">IF(G16="","",G$85+G16)</f>
        <v>146.64375000000001</v>
      </c>
      <c r="H103" s="457">
        <f t="shared" si="13"/>
        <v>193.16250000000002</v>
      </c>
      <c r="I103" s="457">
        <f t="shared" si="13"/>
        <v>239.85</v>
      </c>
      <c r="J103" s="457">
        <f t="shared" si="13"/>
        <v>286.2</v>
      </c>
      <c r="K103" s="457">
        <f t="shared" si="13"/>
        <v>332.55</v>
      </c>
      <c r="L103" s="457">
        <f t="shared" si="13"/>
        <v>378.90000000000003</v>
      </c>
      <c r="M103" s="457">
        <f t="shared" si="13"/>
        <v>425.25000000000006</v>
      </c>
      <c r="N103" s="457">
        <f t="shared" si="13"/>
        <v>471.93749999999994</v>
      </c>
      <c r="O103" s="457">
        <f t="shared" si="13"/>
        <v>518.28750000000002</v>
      </c>
      <c r="P103" s="457">
        <f t="shared" si="13"/>
        <v>599.73749999999995</v>
      </c>
      <c r="Q103" s="457">
        <f t="shared" si="13"/>
        <v>610.98749999999995</v>
      </c>
      <c r="R103" s="457">
        <f t="shared" si="13"/>
        <v>692.6400000000001</v>
      </c>
      <c r="S103" s="457">
        <f t="shared" si="13"/>
        <v>703.8900000000001</v>
      </c>
      <c r="T103" s="457">
        <f t="shared" si="13"/>
        <v>785.47500000000002</v>
      </c>
      <c r="U103" s="457">
        <f t="shared" si="13"/>
        <v>866.92499999999995</v>
      </c>
      <c r="V103" s="457">
        <f t="shared" si="13"/>
        <v>878.17499999999995</v>
      </c>
      <c r="W103" s="457">
        <f t="shared" si="13"/>
        <v>959.75999999999976</v>
      </c>
    </row>
    <row r="104" spans="1:23" ht="15" customHeight="1" x14ac:dyDescent="0.2">
      <c r="A104" s="305" t="s">
        <v>1311</v>
      </c>
      <c r="B104" s="1670"/>
      <c r="C104" s="1661" t="s">
        <v>555</v>
      </c>
      <c r="D104" s="235" t="s">
        <v>655</v>
      </c>
      <c r="E104" s="301"/>
      <c r="F104" s="301"/>
      <c r="G104" s="457">
        <f t="shared" ref="G104:W104" si="14">IF(G17="","",G$85+G17)</f>
        <v>146.64375000000001</v>
      </c>
      <c r="H104" s="457">
        <f t="shared" si="14"/>
        <v>193.16250000000002</v>
      </c>
      <c r="I104" s="457">
        <f t="shared" si="14"/>
        <v>239.85</v>
      </c>
      <c r="J104" s="457">
        <f t="shared" si="14"/>
        <v>286.2</v>
      </c>
      <c r="K104" s="457">
        <f t="shared" si="14"/>
        <v>332.55</v>
      </c>
      <c r="L104" s="457">
        <f t="shared" si="14"/>
        <v>378.90000000000003</v>
      </c>
      <c r="M104" s="457">
        <f t="shared" si="14"/>
        <v>425.25000000000006</v>
      </c>
      <c r="N104" s="457">
        <f t="shared" si="14"/>
        <v>471.93749999999994</v>
      </c>
      <c r="O104" s="457">
        <f t="shared" si="14"/>
        <v>518.28750000000002</v>
      </c>
      <c r="P104" s="457">
        <f t="shared" si="14"/>
        <v>599.73749999999995</v>
      </c>
      <c r="Q104" s="457">
        <f t="shared" si="14"/>
        <v>610.98749999999995</v>
      </c>
      <c r="R104" s="457">
        <f t="shared" si="14"/>
        <v>692.6400000000001</v>
      </c>
      <c r="S104" s="457">
        <f t="shared" si="14"/>
        <v>703.8900000000001</v>
      </c>
      <c r="T104" s="457">
        <f t="shared" si="14"/>
        <v>785.47500000000002</v>
      </c>
      <c r="U104" s="457">
        <f t="shared" si="14"/>
        <v>866.92499999999995</v>
      </c>
      <c r="V104" s="457">
        <f t="shared" si="14"/>
        <v>878.17499999999995</v>
      </c>
      <c r="W104" s="457">
        <f t="shared" si="14"/>
        <v>959.75999999999976</v>
      </c>
    </row>
    <row r="105" spans="1:23" ht="15" customHeight="1" x14ac:dyDescent="0.2">
      <c r="A105" s="305" t="s">
        <v>1312</v>
      </c>
      <c r="B105" s="1670"/>
      <c r="C105" s="1661"/>
      <c r="D105" s="306" t="s">
        <v>546</v>
      </c>
      <c r="E105" s="301"/>
      <c r="F105" s="301"/>
      <c r="G105" s="457">
        <f t="shared" ref="G105:W105" si="15">IF(G18="","",G$85+G18)</f>
        <v>146.64375000000001</v>
      </c>
      <c r="H105" s="457">
        <f t="shared" si="15"/>
        <v>193.16250000000002</v>
      </c>
      <c r="I105" s="457">
        <f t="shared" si="15"/>
        <v>239.85</v>
      </c>
      <c r="J105" s="457">
        <f t="shared" si="15"/>
        <v>286.2</v>
      </c>
      <c r="K105" s="457">
        <f t="shared" si="15"/>
        <v>332.55</v>
      </c>
      <c r="L105" s="457">
        <f t="shared" si="15"/>
        <v>378.90000000000003</v>
      </c>
      <c r="M105" s="457">
        <f t="shared" si="15"/>
        <v>425.25000000000006</v>
      </c>
      <c r="N105" s="457">
        <f t="shared" si="15"/>
        <v>471.93749999999994</v>
      </c>
      <c r="O105" s="457">
        <f t="shared" si="15"/>
        <v>518.28750000000002</v>
      </c>
      <c r="P105" s="457">
        <f t="shared" si="15"/>
        <v>599.73749999999995</v>
      </c>
      <c r="Q105" s="457">
        <f t="shared" si="15"/>
        <v>610.98749999999995</v>
      </c>
      <c r="R105" s="457">
        <f t="shared" si="15"/>
        <v>692.6400000000001</v>
      </c>
      <c r="S105" s="457">
        <f t="shared" si="15"/>
        <v>703.8900000000001</v>
      </c>
      <c r="T105" s="457">
        <f t="shared" si="15"/>
        <v>785.47500000000002</v>
      </c>
      <c r="U105" s="457">
        <f t="shared" si="15"/>
        <v>866.92499999999995</v>
      </c>
      <c r="V105" s="457">
        <f t="shared" si="15"/>
        <v>878.17499999999995</v>
      </c>
      <c r="W105" s="457">
        <f t="shared" si="15"/>
        <v>959.75999999999976</v>
      </c>
    </row>
    <row r="106" spans="1:23" ht="15.6" customHeight="1" x14ac:dyDescent="0.2">
      <c r="A106" s="305" t="s">
        <v>1313</v>
      </c>
      <c r="B106" s="1670"/>
      <c r="C106" s="1661"/>
      <c r="D106" s="235" t="s">
        <v>653</v>
      </c>
      <c r="E106" s="302"/>
      <c r="F106" s="302"/>
      <c r="G106" s="457">
        <f t="shared" ref="G106:W106" si="16">IF(G19="","",G$85+G19)</f>
        <v>146.64375000000001</v>
      </c>
      <c r="H106" s="457">
        <f t="shared" si="16"/>
        <v>193.16250000000002</v>
      </c>
      <c r="I106" s="457">
        <f t="shared" si="16"/>
        <v>239.85</v>
      </c>
      <c r="J106" s="457">
        <f t="shared" si="16"/>
        <v>286.2</v>
      </c>
      <c r="K106" s="457">
        <f t="shared" si="16"/>
        <v>332.55</v>
      </c>
      <c r="L106" s="457">
        <f t="shared" si="16"/>
        <v>378.90000000000003</v>
      </c>
      <c r="M106" s="457">
        <f t="shared" si="16"/>
        <v>425.25000000000006</v>
      </c>
      <c r="N106" s="457">
        <f t="shared" si="16"/>
        <v>471.93749999999994</v>
      </c>
      <c r="O106" s="457">
        <f t="shared" si="16"/>
        <v>518.28750000000002</v>
      </c>
      <c r="P106" s="457">
        <f t="shared" si="16"/>
        <v>599.73749999999995</v>
      </c>
      <c r="Q106" s="457">
        <f t="shared" si="16"/>
        <v>610.98749999999995</v>
      </c>
      <c r="R106" s="457">
        <f t="shared" si="16"/>
        <v>692.6400000000001</v>
      </c>
      <c r="S106" s="457">
        <f t="shared" si="16"/>
        <v>703.8900000000001</v>
      </c>
      <c r="T106" s="457">
        <f t="shared" si="16"/>
        <v>785.47500000000002</v>
      </c>
      <c r="U106" s="457">
        <f t="shared" si="16"/>
        <v>866.92499999999995</v>
      </c>
      <c r="V106" s="457">
        <f t="shared" si="16"/>
        <v>878.17499999999995</v>
      </c>
      <c r="W106" s="457">
        <f t="shared" si="16"/>
        <v>959.75999999999976</v>
      </c>
    </row>
    <row r="107" spans="1:23" ht="15" customHeight="1" x14ac:dyDescent="0.2">
      <c r="A107" s="305" t="s">
        <v>1314</v>
      </c>
      <c r="B107" s="1670"/>
      <c r="C107" s="1672" t="s">
        <v>523</v>
      </c>
      <c r="D107" s="307" t="s">
        <v>656</v>
      </c>
      <c r="E107" s="301"/>
      <c r="F107" s="301"/>
      <c r="G107" s="457">
        <f t="shared" ref="G107:W107" si="17">IF(G20="","",G$85+G20)</f>
        <v>146.64375000000001</v>
      </c>
      <c r="H107" s="457">
        <f t="shared" si="17"/>
        <v>193.16250000000002</v>
      </c>
      <c r="I107" s="457">
        <f t="shared" si="17"/>
        <v>239.85</v>
      </c>
      <c r="J107" s="457">
        <f t="shared" si="17"/>
        <v>286.2</v>
      </c>
      <c r="K107" s="457">
        <f t="shared" si="17"/>
        <v>332.55</v>
      </c>
      <c r="L107" s="457">
        <f t="shared" si="17"/>
        <v>378.90000000000003</v>
      </c>
      <c r="M107" s="457">
        <f t="shared" si="17"/>
        <v>425.25000000000006</v>
      </c>
      <c r="N107" s="457">
        <f t="shared" si="17"/>
        <v>471.93749999999994</v>
      </c>
      <c r="O107" s="457">
        <f t="shared" si="17"/>
        <v>518.28750000000002</v>
      </c>
      <c r="P107" s="457">
        <f t="shared" si="17"/>
        <v>599.73749999999995</v>
      </c>
      <c r="Q107" s="457">
        <f t="shared" si="17"/>
        <v>610.98749999999995</v>
      </c>
      <c r="R107" s="457">
        <f t="shared" si="17"/>
        <v>692.6400000000001</v>
      </c>
      <c r="S107" s="457">
        <f t="shared" si="17"/>
        <v>703.8900000000001</v>
      </c>
      <c r="T107" s="457">
        <f t="shared" si="17"/>
        <v>785.47500000000002</v>
      </c>
      <c r="U107" s="457">
        <f t="shared" si="17"/>
        <v>866.92499999999995</v>
      </c>
      <c r="V107" s="457">
        <f t="shared" si="17"/>
        <v>878.17499999999995</v>
      </c>
      <c r="W107" s="457">
        <f t="shared" si="17"/>
        <v>959.75999999999976</v>
      </c>
    </row>
    <row r="108" spans="1:23" ht="15" customHeight="1" x14ac:dyDescent="0.2">
      <c r="A108" s="305" t="s">
        <v>1315</v>
      </c>
      <c r="B108" s="1670"/>
      <c r="C108" s="1663"/>
      <c r="D108" s="235" t="s">
        <v>657</v>
      </c>
      <c r="E108" s="301"/>
      <c r="F108" s="301"/>
      <c r="G108" s="457">
        <f t="shared" ref="G108:W108" si="18">IF(G21="","",G$85+G21)</f>
        <v>250.14375000000001</v>
      </c>
      <c r="H108" s="457">
        <f t="shared" si="18"/>
        <v>325.91250000000002</v>
      </c>
      <c r="I108" s="457">
        <f t="shared" si="18"/>
        <v>374.84999999999997</v>
      </c>
      <c r="J108" s="457">
        <f t="shared" si="18"/>
        <v>436.94999999999993</v>
      </c>
      <c r="K108" s="457">
        <f t="shared" si="18"/>
        <v>499.04999999999995</v>
      </c>
      <c r="L108" s="457">
        <f t="shared" si="18"/>
        <v>561.15</v>
      </c>
      <c r="M108" s="457">
        <f t="shared" si="18"/>
        <v>623.25</v>
      </c>
      <c r="N108" s="457">
        <f t="shared" si="18"/>
        <v>650.58749999999986</v>
      </c>
      <c r="O108" s="457">
        <f t="shared" si="18"/>
        <v>707.28749999999991</v>
      </c>
      <c r="P108" s="457">
        <f t="shared" si="18"/>
        <v>820.6875</v>
      </c>
      <c r="Q108" s="457">
        <f t="shared" si="18"/>
        <v>820.6875</v>
      </c>
      <c r="R108" s="457">
        <f t="shared" si="18"/>
        <v>909.99000000000012</v>
      </c>
      <c r="S108" s="457">
        <f t="shared" si="18"/>
        <v>909.99000000000012</v>
      </c>
      <c r="T108" s="457">
        <f t="shared" si="18"/>
        <v>1004.625</v>
      </c>
      <c r="U108" s="457">
        <f t="shared" si="18"/>
        <v>1109.925</v>
      </c>
      <c r="V108" s="457">
        <f t="shared" si="18"/>
        <v>1109.925</v>
      </c>
      <c r="W108" s="457">
        <f t="shared" si="18"/>
        <v>1199.1599999999999</v>
      </c>
    </row>
    <row r="109" spans="1:23" ht="15" customHeight="1" x14ac:dyDescent="0.2">
      <c r="A109" s="305" t="s">
        <v>1316</v>
      </c>
      <c r="B109" s="468"/>
      <c r="C109" s="469"/>
      <c r="D109" s="306"/>
      <c r="E109" s="301"/>
      <c r="F109" s="301"/>
      <c r="G109" s="457"/>
      <c r="H109" s="457"/>
      <c r="I109" s="457"/>
      <c r="J109" s="457"/>
      <c r="K109" s="457"/>
      <c r="L109" s="457"/>
      <c r="M109" s="457"/>
      <c r="N109" s="457"/>
      <c r="O109" s="457"/>
      <c r="P109" s="457"/>
      <c r="Q109" s="457"/>
      <c r="R109" s="457"/>
      <c r="S109" s="457"/>
      <c r="T109" s="457"/>
      <c r="U109" s="457"/>
      <c r="V109" s="457"/>
      <c r="W109" s="457"/>
    </row>
    <row r="110" spans="1:23" ht="15" customHeight="1" x14ac:dyDescent="0.2">
      <c r="A110" s="305" t="s">
        <v>558</v>
      </c>
      <c r="B110" s="1668" t="s">
        <v>408</v>
      </c>
      <c r="C110" s="499" t="s">
        <v>562</v>
      </c>
      <c r="D110" s="235"/>
      <c r="E110" s="301"/>
      <c r="F110" s="301"/>
      <c r="G110" s="457">
        <f t="shared" ref="G110:W110" si="19">IF(G22="","",G$86+G22)</f>
        <v>0</v>
      </c>
      <c r="H110" s="457">
        <f t="shared" si="19"/>
        <v>121.05</v>
      </c>
      <c r="I110" s="457">
        <f t="shared" si="19"/>
        <v>0</v>
      </c>
      <c r="J110" s="457">
        <f t="shared" si="19"/>
        <v>211.5</v>
      </c>
      <c r="K110" s="457">
        <f t="shared" si="19"/>
        <v>242.1</v>
      </c>
      <c r="L110" s="457">
        <f t="shared" si="19"/>
        <v>0</v>
      </c>
      <c r="M110" s="457">
        <f t="shared" si="19"/>
        <v>0</v>
      </c>
      <c r="N110" s="457">
        <f t="shared" si="19"/>
        <v>0</v>
      </c>
      <c r="O110" s="457">
        <f t="shared" si="19"/>
        <v>423</v>
      </c>
      <c r="P110" s="457">
        <f t="shared" si="19"/>
        <v>484.2</v>
      </c>
      <c r="Q110" s="457">
        <f t="shared" si="19"/>
        <v>0</v>
      </c>
      <c r="R110" s="457">
        <f t="shared" si="19"/>
        <v>0</v>
      </c>
      <c r="S110" s="457">
        <f t="shared" si="19"/>
        <v>0</v>
      </c>
      <c r="T110" s="457">
        <f t="shared" si="19"/>
        <v>0</v>
      </c>
      <c r="U110" s="457">
        <f t="shared" si="19"/>
        <v>0</v>
      </c>
      <c r="V110" s="457">
        <f t="shared" si="19"/>
        <v>0</v>
      </c>
      <c r="W110" s="457">
        <f t="shared" si="19"/>
        <v>846</v>
      </c>
    </row>
    <row r="111" spans="1:23" ht="15" customHeight="1" x14ac:dyDescent="0.2">
      <c r="A111" s="305" t="s">
        <v>559</v>
      </c>
      <c r="B111" s="1668"/>
      <c r="C111" s="499" t="s">
        <v>654</v>
      </c>
      <c r="D111" s="235"/>
      <c r="E111" s="301"/>
      <c r="F111" s="301"/>
      <c r="G111" s="457">
        <f t="shared" ref="G111:W111" si="20">IF(G23="","",G$86+G23)</f>
        <v>0</v>
      </c>
      <c r="H111" s="457">
        <f t="shared" si="20"/>
        <v>121.05</v>
      </c>
      <c r="I111" s="457">
        <f t="shared" si="20"/>
        <v>0</v>
      </c>
      <c r="J111" s="457">
        <f t="shared" si="20"/>
        <v>211.5</v>
      </c>
      <c r="K111" s="457">
        <f t="shared" si="20"/>
        <v>242.1</v>
      </c>
      <c r="L111" s="457">
        <f t="shared" si="20"/>
        <v>0</v>
      </c>
      <c r="M111" s="457">
        <f t="shared" si="20"/>
        <v>0</v>
      </c>
      <c r="N111" s="457">
        <f t="shared" si="20"/>
        <v>0</v>
      </c>
      <c r="O111" s="457">
        <f t="shared" si="20"/>
        <v>423</v>
      </c>
      <c r="P111" s="457">
        <f t="shared" si="20"/>
        <v>484.2</v>
      </c>
      <c r="Q111" s="457">
        <f t="shared" si="20"/>
        <v>0</v>
      </c>
      <c r="R111" s="457">
        <f t="shared" si="20"/>
        <v>0</v>
      </c>
      <c r="S111" s="457">
        <f t="shared" si="20"/>
        <v>0</v>
      </c>
      <c r="T111" s="457">
        <f t="shared" si="20"/>
        <v>0</v>
      </c>
      <c r="U111" s="457">
        <f t="shared" si="20"/>
        <v>0</v>
      </c>
      <c r="V111" s="457">
        <f t="shared" si="20"/>
        <v>0</v>
      </c>
      <c r="W111" s="457">
        <f t="shared" si="20"/>
        <v>846</v>
      </c>
    </row>
    <row r="112" spans="1:23" ht="15" customHeight="1" x14ac:dyDescent="0.2">
      <c r="A112" s="305" t="s">
        <v>560</v>
      </c>
      <c r="B112" s="1668"/>
      <c r="C112" s="498" t="s">
        <v>523</v>
      </c>
      <c r="D112" s="235"/>
      <c r="E112" s="301"/>
      <c r="F112" s="301"/>
      <c r="G112" s="457">
        <f t="shared" ref="G112:W112" si="21">IF(G24="","",G$86+G24)</f>
        <v>0</v>
      </c>
      <c r="H112" s="457">
        <f t="shared" si="21"/>
        <v>121.05</v>
      </c>
      <c r="I112" s="457">
        <f t="shared" si="21"/>
        <v>0</v>
      </c>
      <c r="J112" s="457">
        <f t="shared" si="21"/>
        <v>211.5</v>
      </c>
      <c r="K112" s="457">
        <f t="shared" si="21"/>
        <v>242.1</v>
      </c>
      <c r="L112" s="457">
        <f t="shared" si="21"/>
        <v>0</v>
      </c>
      <c r="M112" s="457">
        <f t="shared" si="21"/>
        <v>0</v>
      </c>
      <c r="N112" s="457">
        <f t="shared" si="21"/>
        <v>0</v>
      </c>
      <c r="O112" s="457">
        <f t="shared" si="21"/>
        <v>423</v>
      </c>
      <c r="P112" s="457">
        <f t="shared" si="21"/>
        <v>484.2</v>
      </c>
      <c r="Q112" s="457">
        <f t="shared" si="21"/>
        <v>0</v>
      </c>
      <c r="R112" s="457">
        <f t="shared" si="21"/>
        <v>0</v>
      </c>
      <c r="S112" s="457">
        <f t="shared" si="21"/>
        <v>0</v>
      </c>
      <c r="T112" s="457">
        <f t="shared" si="21"/>
        <v>0</v>
      </c>
      <c r="U112" s="457">
        <f t="shared" si="21"/>
        <v>0</v>
      </c>
      <c r="V112" s="457">
        <f t="shared" si="21"/>
        <v>0</v>
      </c>
      <c r="W112" s="457">
        <f t="shared" si="21"/>
        <v>846</v>
      </c>
    </row>
  </sheetData>
  <mergeCells count="39">
    <mergeCell ref="B100:B108"/>
    <mergeCell ref="C100:C103"/>
    <mergeCell ref="C104:C106"/>
    <mergeCell ref="C107:C108"/>
    <mergeCell ref="B110:B112"/>
    <mergeCell ref="B79:B81"/>
    <mergeCell ref="B84:B86"/>
    <mergeCell ref="B88:B89"/>
    <mergeCell ref="B91:B99"/>
    <mergeCell ref="C91:C94"/>
    <mergeCell ref="C95:C97"/>
    <mergeCell ref="C98:C99"/>
    <mergeCell ref="B74:B77"/>
    <mergeCell ref="C74:C77"/>
    <mergeCell ref="B22:B24"/>
    <mergeCell ref="B25:B26"/>
    <mergeCell ref="B27:B28"/>
    <mergeCell ref="B32:B36"/>
    <mergeCell ref="B48:B51"/>
    <mergeCell ref="B53:B57"/>
    <mergeCell ref="C53:C57"/>
    <mergeCell ref="B59:B62"/>
    <mergeCell ref="C59:C62"/>
    <mergeCell ref="B64:B72"/>
    <mergeCell ref="C64:C67"/>
    <mergeCell ref="C68:C72"/>
    <mergeCell ref="B38:B46"/>
    <mergeCell ref="A1:A3"/>
    <mergeCell ref="B1:B3"/>
    <mergeCell ref="C1:C3"/>
    <mergeCell ref="C4:C7"/>
    <mergeCell ref="B4:B12"/>
    <mergeCell ref="C8:C10"/>
    <mergeCell ref="C11:C12"/>
    <mergeCell ref="F1:F2"/>
    <mergeCell ref="C13:C16"/>
    <mergeCell ref="C17:C19"/>
    <mergeCell ref="B13:B21"/>
    <mergeCell ref="C20:C21"/>
  </mergeCells>
  <pageMargins left="0.70000000000000007" right="0.70000000000000007" top="1.1437007874015745" bottom="1.1437007874015745" header="0.74999999999999989" footer="0.74999999999999989"/>
  <pageSetup paperSize="9" fitToWidth="0" fitToHeight="0" orientation="portrait" r:id="rId1"/>
  <headerFooter alignWithMargins="0"/>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published="0" codeName="Feuil42"/>
  <dimension ref="A1:W112"/>
  <sheetViews>
    <sheetView zoomScale="55" zoomScaleNormal="55" workbookViewId="0">
      <pane xSplit="5" ySplit="3" topLeftCell="F32" activePane="bottomRight" state="frozen"/>
      <selection pane="topRight" activeCell="F1" sqref="F1"/>
      <selection pane="bottomLeft" activeCell="A4" sqref="A4"/>
      <selection pane="bottomRight" activeCell="L68" sqref="L68"/>
    </sheetView>
  </sheetViews>
  <sheetFormatPr baseColWidth="10" defaultColWidth="11.125" defaultRowHeight="14.25" x14ac:dyDescent="0.2"/>
  <cols>
    <col min="1" max="1" width="7.625" customWidth="1"/>
    <col min="2" max="2" width="20.125" customWidth="1"/>
    <col min="3" max="3" width="41.125" customWidth="1"/>
    <col min="4" max="4" width="38.5" customWidth="1"/>
    <col min="5" max="6" width="11.5" customWidth="1"/>
    <col min="7" max="792" width="10.625" customWidth="1"/>
  </cols>
  <sheetData>
    <row r="1" spans="1:23" ht="9.6" customHeight="1" x14ac:dyDescent="0.2">
      <c r="A1" s="1686" t="s">
        <v>543</v>
      </c>
      <c r="B1" s="1689" t="s">
        <v>443</v>
      </c>
      <c r="C1" s="1691" t="s">
        <v>635</v>
      </c>
      <c r="D1" s="470" t="s">
        <v>636</v>
      </c>
      <c r="E1" s="497" t="s">
        <v>637</v>
      </c>
      <c r="F1" s="1682" t="s">
        <v>5</v>
      </c>
      <c r="G1" s="3">
        <v>2</v>
      </c>
      <c r="H1" s="3">
        <v>3</v>
      </c>
      <c r="I1" s="3">
        <v>4</v>
      </c>
      <c r="J1" s="3">
        <v>5</v>
      </c>
      <c r="K1" s="3">
        <v>6</v>
      </c>
      <c r="L1" s="3">
        <v>7</v>
      </c>
      <c r="M1" s="3">
        <v>8</v>
      </c>
      <c r="N1" s="3">
        <v>9</v>
      </c>
      <c r="O1" s="3">
        <v>10</v>
      </c>
      <c r="P1" s="3" t="s">
        <v>460</v>
      </c>
      <c r="Q1" s="3" t="s">
        <v>461</v>
      </c>
      <c r="R1" s="3" t="s">
        <v>462</v>
      </c>
      <c r="S1" s="3" t="s">
        <v>463</v>
      </c>
      <c r="T1" s="3">
        <v>16</v>
      </c>
      <c r="U1" s="3" t="s">
        <v>464</v>
      </c>
      <c r="V1" s="3" t="s">
        <v>465</v>
      </c>
      <c r="W1" s="3" t="s">
        <v>466</v>
      </c>
    </row>
    <row r="2" spans="1:23" ht="8.1" customHeight="1" x14ac:dyDescent="0.2">
      <c r="A2" s="1687"/>
      <c r="B2" s="1689"/>
      <c r="C2" s="1692"/>
      <c r="D2" s="470"/>
      <c r="E2" s="497"/>
      <c r="F2" s="1683"/>
      <c r="G2" s="3">
        <f>COLUMN(G1)</f>
        <v>7</v>
      </c>
      <c r="H2" s="3">
        <f t="shared" ref="H2:W2" si="0">COLUMN(H1)</f>
        <v>8</v>
      </c>
      <c r="I2" s="3">
        <f t="shared" si="0"/>
        <v>9</v>
      </c>
      <c r="J2" s="3">
        <f t="shared" si="0"/>
        <v>10</v>
      </c>
      <c r="K2" s="3">
        <f t="shared" si="0"/>
        <v>11</v>
      </c>
      <c r="L2" s="3">
        <f t="shared" si="0"/>
        <v>12</v>
      </c>
      <c r="M2" s="3">
        <f t="shared" si="0"/>
        <v>13</v>
      </c>
      <c r="N2" s="3">
        <f t="shared" si="0"/>
        <v>14</v>
      </c>
      <c r="O2" s="3">
        <f t="shared" si="0"/>
        <v>15</v>
      </c>
      <c r="P2" s="3">
        <f t="shared" si="0"/>
        <v>16</v>
      </c>
      <c r="Q2" s="3">
        <f t="shared" si="0"/>
        <v>17</v>
      </c>
      <c r="R2" s="3">
        <f t="shared" si="0"/>
        <v>18</v>
      </c>
      <c r="S2" s="3">
        <f t="shared" si="0"/>
        <v>19</v>
      </c>
      <c r="T2" s="3">
        <f t="shared" si="0"/>
        <v>20</v>
      </c>
      <c r="U2" s="3">
        <f t="shared" si="0"/>
        <v>21</v>
      </c>
      <c r="V2" s="3">
        <f t="shared" si="0"/>
        <v>22</v>
      </c>
      <c r="W2" s="3">
        <f t="shared" si="0"/>
        <v>23</v>
      </c>
    </row>
    <row r="3" spans="1:23" ht="36.6" customHeight="1" x14ac:dyDescent="0.2">
      <c r="A3" s="1688"/>
      <c r="B3" s="1690"/>
      <c r="C3" s="1693"/>
      <c r="D3" s="470"/>
      <c r="E3" s="304" t="s">
        <v>622</v>
      </c>
      <c r="F3" s="500"/>
      <c r="G3" s="300" t="s">
        <v>638</v>
      </c>
      <c r="H3" s="129" t="s">
        <v>639</v>
      </c>
      <c r="I3" s="129" t="s">
        <v>640</v>
      </c>
      <c r="J3" s="129" t="s">
        <v>641</v>
      </c>
      <c r="K3" s="129" t="s">
        <v>642</v>
      </c>
      <c r="L3" s="129" t="s">
        <v>643</v>
      </c>
      <c r="M3" s="129" t="s">
        <v>644</v>
      </c>
      <c r="N3" s="129" t="s">
        <v>645</v>
      </c>
      <c r="O3" s="129" t="s">
        <v>646</v>
      </c>
      <c r="P3" s="129" t="s">
        <v>647</v>
      </c>
      <c r="Q3" s="129" t="s">
        <v>647</v>
      </c>
      <c r="R3" s="129" t="s">
        <v>648</v>
      </c>
      <c r="S3" s="129" t="s">
        <v>648</v>
      </c>
      <c r="T3" s="129" t="s">
        <v>649</v>
      </c>
      <c r="U3" s="129" t="s">
        <v>650</v>
      </c>
      <c r="V3" s="129" t="s">
        <v>650</v>
      </c>
      <c r="W3" s="129" t="s">
        <v>651</v>
      </c>
    </row>
    <row r="4" spans="1:23" ht="15" customHeight="1" x14ac:dyDescent="0.2">
      <c r="A4" s="305" t="s">
        <v>544</v>
      </c>
      <c r="B4" s="1694" t="s">
        <v>439</v>
      </c>
      <c r="C4" s="1672" t="s">
        <v>652</v>
      </c>
      <c r="D4" s="306" t="s">
        <v>546</v>
      </c>
      <c r="E4" s="301" t="s">
        <v>223</v>
      </c>
      <c r="F4" s="301"/>
      <c r="G4" s="457">
        <f>IFERROR(VLOOKUP($F$1,'FV1'!$C$1:$AM$51,((G$2-5)*2-1),0),"")</f>
        <v>0</v>
      </c>
      <c r="H4" s="457">
        <f>IFERROR(VLOOKUP($F$1,'FV1'!$C$1:$AM$51,((H$2-5)*2-1),0),"")</f>
        <v>0</v>
      </c>
      <c r="I4" s="457">
        <f>IFERROR(VLOOKUP($F$1,'FV1'!$C$1:$AM$51,((I$2-5)*2-1),0),"")</f>
        <v>0</v>
      </c>
      <c r="J4" s="457">
        <f>IFERROR(VLOOKUP($F$1,'FV1'!$C$1:$AM$51,((J$2-5)*2-1),0),"")</f>
        <v>0</v>
      </c>
      <c r="K4" s="457">
        <f>IFERROR(VLOOKUP($F$1,'FV1'!$C$1:$AM$51,((K$2-5)*2-1),0),"")</f>
        <v>0</v>
      </c>
      <c r="L4" s="457">
        <f>IFERROR(VLOOKUP($F$1,'FV1'!$C$1:$AM$51,((L$2-5)*2-1),0),"")</f>
        <v>0</v>
      </c>
      <c r="M4" s="457">
        <f>IFERROR(VLOOKUP($F$1,'FV1'!$C$1:$AM$51,((M$2-5)*2-1),0),"")</f>
        <v>0</v>
      </c>
      <c r="N4" s="457">
        <f>IFERROR(VLOOKUP($F$1,'FV1'!$C$1:$AM$51,((N$2-5)*2-1),0),"")</f>
        <v>0</v>
      </c>
      <c r="O4" s="457">
        <f>IFERROR(VLOOKUP($F$1,'FV1'!$C$1:$AM$51,((O$2-5)*2-1),0),"")</f>
        <v>0</v>
      </c>
      <c r="P4" s="457">
        <f>IFERROR(VLOOKUP($F$1,'FV1'!$C$1:$AM$51,((P$2-5)*2-1),0),"")</f>
        <v>0</v>
      </c>
      <c r="Q4" s="457">
        <f>IFERROR(VLOOKUP($F$1,'FV1'!$C$1:$AM$51,((Q$2-5)*2-1),0),"")</f>
        <v>0</v>
      </c>
      <c r="R4" s="457">
        <f>IFERROR(VLOOKUP($F$1,'FV1'!$C$1:$AM$51,((R$2-5)*2-1),0),"")</f>
        <v>0</v>
      </c>
      <c r="S4" s="457">
        <f>IFERROR(VLOOKUP($F$1,'FV1'!$C$1:$AM$51,((S$2-5)*2-1),0),"")</f>
        <v>0</v>
      </c>
      <c r="T4" s="457">
        <f>IFERROR(VLOOKUP($F$1,'FV1'!$C$1:$AM$51,((T$2-5)*2-1),0),"")</f>
        <v>0</v>
      </c>
      <c r="U4" s="457">
        <f>IFERROR(VLOOKUP($F$1,'FV1'!$C$1:$AM$51,((U$2-5)*2-1),0),"")</f>
        <v>0</v>
      </c>
      <c r="V4" s="457">
        <f>IFERROR(VLOOKUP($F$1,'FV1'!$C$1:$AM$51,((V$2-5)*2-1),0),"")</f>
        <v>0</v>
      </c>
      <c r="W4" s="457">
        <f>IFERROR(VLOOKUP($F$1,'FV1'!$C$1:$AM$51,((W$2-5)*2-1),0),"")</f>
        <v>0</v>
      </c>
    </row>
    <row r="5" spans="1:23" ht="15" customHeight="1" x14ac:dyDescent="0.2">
      <c r="A5" s="305" t="s">
        <v>547</v>
      </c>
      <c r="B5" s="1695"/>
      <c r="C5" s="1684"/>
      <c r="D5" s="235" t="s">
        <v>548</v>
      </c>
      <c r="E5" s="302" t="s">
        <v>223</v>
      </c>
      <c r="F5" s="302"/>
      <c r="G5" s="457">
        <f>IFERROR(VLOOKUP($F$1,'FV2'!$C$1:$AM$37,((G$2-5)*2-1),0),"")</f>
        <v>52.47999999999999</v>
      </c>
      <c r="H5" s="457">
        <f>IFERROR(VLOOKUP($F$1,'FV2'!$C$1:$AM$37,((H$2-5)*2-1),0),"")</f>
        <v>64</v>
      </c>
      <c r="I5" s="457">
        <f>IFERROR(VLOOKUP($F$1,'FV2'!$C$1:$AM$37,((I$2-5)*2-1),0),"")</f>
        <v>76.8</v>
      </c>
      <c r="J5" s="457">
        <f>IFERROR(VLOOKUP($F$1,'FV2'!$C$1:$AM$37,((J$2-5)*2-1),0),"")</f>
        <v>83.2</v>
      </c>
      <c r="K5" s="457">
        <f>IFERROR(VLOOKUP($F$1,'FV2'!$C$1:$AM$37,((K$2-5)*2-1),0),"")</f>
        <v>89.600000000000009</v>
      </c>
      <c r="L5" s="457">
        <f>IFERROR(VLOOKUP($F$1,'FV2'!$C$1:$AM$37,((L$2-5)*2-1),0),"")</f>
        <v>96</v>
      </c>
      <c r="M5" s="457">
        <f>IFERROR(VLOOKUP($F$1,'FV2'!$C$1:$AM$37,((M$2-5)*2-1),0),"")</f>
        <v>102.4</v>
      </c>
      <c r="N5" s="457">
        <f>IFERROR(VLOOKUP($F$1,'FV2'!$C$1:$AM$37,((N$2-5)*2-1),0),"")</f>
        <v>108.80000000000001</v>
      </c>
      <c r="O5" s="457">
        <f>IFERROR(VLOOKUP($F$1,'FV2'!$C$1:$AM$37,((O$2-5)*2-1),0),"")</f>
        <v>115.19999999999999</v>
      </c>
      <c r="P5" s="457">
        <f>IFERROR(VLOOKUP($F$1,'FV2'!$C$1:$AM$37,((P$2-5)*2-1),0),"")</f>
        <v>128</v>
      </c>
      <c r="Q5" s="457">
        <f>IFERROR(VLOOKUP($F$1,'FV2'!$C$1:$AM$37,((Q$2-5)*2-1),0),"")</f>
        <v>140.80000000000001</v>
      </c>
      <c r="R5" s="457">
        <f>IFERROR(VLOOKUP($F$1,'FV2'!$C$1:$AM$37,((R$2-5)*2-1),0),"")</f>
        <v>147.20000000000002</v>
      </c>
      <c r="S5" s="457">
        <f>IFERROR(VLOOKUP($F$1,'FV2'!$C$1:$AM$37,((S$2-5)*2-1),0),"")</f>
        <v>140.80000000000001</v>
      </c>
      <c r="T5" s="457">
        <f>IFERROR(VLOOKUP($F$1,'FV2'!$C$1:$AM$37,((T$2-5)*2-1),0),"")</f>
        <v>153.6</v>
      </c>
      <c r="U5" s="457">
        <f>IFERROR(VLOOKUP($F$1,'FV2'!$C$1:$AM$37,((U$2-5)*2-1),0),"")</f>
        <v>160</v>
      </c>
      <c r="V5" s="457">
        <f>IFERROR(VLOOKUP($F$1,'FV2'!$C$1:$AM$37,((V$2-5)*2-1),0),"")</f>
        <v>166.4</v>
      </c>
      <c r="W5" s="457">
        <f>IFERROR(VLOOKUP($F$1,'FV2'!$C$1:$AM$37,((W$2-5)*2-1),0),"")</f>
        <v>179.20000000000002</v>
      </c>
    </row>
    <row r="6" spans="1:23" ht="15" customHeight="1" x14ac:dyDescent="0.2">
      <c r="A6" s="305" t="s">
        <v>549</v>
      </c>
      <c r="B6" s="1695"/>
      <c r="C6" s="1684"/>
      <c r="D6" s="235" t="s">
        <v>653</v>
      </c>
      <c r="E6" s="301" t="s">
        <v>223</v>
      </c>
      <c r="F6" s="301"/>
      <c r="G6" s="457">
        <f>IFERROR(VLOOKUP($F$1,'FV3'!$C$1:$AM$34,((G$2-5)*2-1),0),"")</f>
        <v>100.7616</v>
      </c>
      <c r="H6" s="457">
        <f>IFERROR(VLOOKUP($F$1,'FV3'!$C$1:$AM$34,((H$2-5)*2-1),0),"")</f>
        <v>122.88</v>
      </c>
      <c r="I6" s="457">
        <f>IFERROR(VLOOKUP($F$1,'FV3'!$C$1:$AM$34,((I$2-5)*2-1),0),"")</f>
        <v>147.45599999999999</v>
      </c>
      <c r="J6" s="457">
        <f>IFERROR(VLOOKUP($F$1,'FV3'!$C$1:$AM$34,((J$2-5)*2-1),0),"")</f>
        <v>159.744</v>
      </c>
      <c r="K6" s="457">
        <f>IFERROR(VLOOKUP($F$1,'FV3'!$C$1:$AM$34,((K$2-5)*2-1),0),"")</f>
        <v>172.03199999999998</v>
      </c>
      <c r="L6" s="457">
        <f>IFERROR(VLOOKUP($F$1,'FV3'!$C$1:$AM$34,((L$2-5)*2-1),0),"")</f>
        <v>184.32</v>
      </c>
      <c r="M6" s="457">
        <f>IFERROR(VLOOKUP($F$1,'FV3'!$C$1:$AM$34,((M$2-5)*2-1),0),"")</f>
        <v>196.60799999999998</v>
      </c>
      <c r="N6" s="457">
        <f>IFERROR(VLOOKUP($F$1,'FV3'!$C$1:$AM$34,((N$2-5)*2-1),0),"")</f>
        <v>208.89600000000002</v>
      </c>
      <c r="O6" s="457">
        <f>IFERROR(VLOOKUP($F$1,'FV3'!$C$1:$AM$34,((O$2-5)*2-1),0),"")</f>
        <v>221.18400000000003</v>
      </c>
      <c r="P6" s="457">
        <f>IFERROR(VLOOKUP($F$1,'FV3'!$C$1:$AM$34,((P$2-5)*2-1),0),"")</f>
        <v>245.76</v>
      </c>
      <c r="Q6" s="457">
        <f>IFERROR(VLOOKUP($F$1,'FV3'!$C$1:$AM$34,((Q$2-5)*2-1),0),"")</f>
        <v>270.33599999999996</v>
      </c>
      <c r="R6" s="457">
        <f>IFERROR(VLOOKUP($F$1,'FV3'!$C$1:$AM$34,((R$2-5)*2-1),0),"")</f>
        <v>282.62400000000002</v>
      </c>
      <c r="S6" s="457">
        <f>IFERROR(VLOOKUP($F$1,'FV3'!$C$1:$AM$34,((S$2-5)*2-1),0),"")</f>
        <v>270.33599999999996</v>
      </c>
      <c r="T6" s="457">
        <f>IFERROR(VLOOKUP($F$1,'FV3'!$C$1:$AM$34,((T$2-5)*2-1),0),"")</f>
        <v>294.91199999999998</v>
      </c>
      <c r="U6" s="457">
        <f>IFERROR(VLOOKUP($F$1,'FV3'!$C$1:$AM$34,((U$2-5)*2-1),0),"")</f>
        <v>307.2</v>
      </c>
      <c r="V6" s="457">
        <f>IFERROR(VLOOKUP($F$1,'FV3'!$C$1:$AM$34,((V$2-5)*2-1),0),"")</f>
        <v>319.488</v>
      </c>
      <c r="W6" s="457">
        <f>IFERROR(VLOOKUP($F$1,'FV3'!$C$1:$AM$34,((W$2-5)*2-1),0),"")</f>
        <v>344.06399999999996</v>
      </c>
    </row>
    <row r="7" spans="1:23" ht="15" customHeight="1" x14ac:dyDescent="0.2">
      <c r="A7" s="305" t="s">
        <v>550</v>
      </c>
      <c r="B7" s="1695"/>
      <c r="C7" s="1663"/>
      <c r="D7" s="472" t="s">
        <v>551</v>
      </c>
      <c r="E7" s="302" t="s">
        <v>223</v>
      </c>
      <c r="F7" s="302"/>
      <c r="G7" s="457">
        <f>IFERROR(VLOOKUP($F$1,'FV4'!$C$1:$AM$36,((G$2-5)*2-1),0),"")</f>
        <v>24.599999999999994</v>
      </c>
      <c r="H7" s="457">
        <f>IFERROR(VLOOKUP($F$1,'FV4'!$C$1:$AM$36,((H$2-5)*2-1),0),"")</f>
        <v>30</v>
      </c>
      <c r="I7" s="457">
        <f>IFERROR(VLOOKUP($F$1,'FV4'!$C$1:$AM$36,((I$2-5)*2-1),0),"")</f>
        <v>36</v>
      </c>
      <c r="J7" s="457">
        <f>IFERROR(VLOOKUP($F$1,'FV4'!$C$1:$AM$36,((J$2-5)*2-1),0),"")</f>
        <v>39</v>
      </c>
      <c r="K7" s="457">
        <f>IFERROR(VLOOKUP($F$1,'FV4'!$C$1:$AM$36,((K$2-5)*2-1),0),"")</f>
        <v>42</v>
      </c>
      <c r="L7" s="457">
        <f>IFERROR(VLOOKUP($F$1,'FV4'!$C$1:$AM$36,((L$2-5)*2-1),0),"")</f>
        <v>45</v>
      </c>
      <c r="M7" s="457">
        <f>IFERROR(VLOOKUP($F$1,'FV4'!$C$1:$AM$36,((M$2-5)*2-1),0),"")</f>
        <v>48</v>
      </c>
      <c r="N7" s="457">
        <f>IFERROR(VLOOKUP($F$1,'FV4'!$C$1:$AM$36,((N$2-5)*2-1),0),"")</f>
        <v>51</v>
      </c>
      <c r="O7" s="457">
        <f>IFERROR(VLOOKUP($F$1,'FV4'!$C$1:$AM$36,((O$2-5)*2-1),0),"")</f>
        <v>53.999999999999993</v>
      </c>
      <c r="P7" s="457">
        <f>IFERROR(VLOOKUP($F$1,'FV4'!$C$1:$AM$36,((P$2-5)*2-1),0),"")</f>
        <v>60</v>
      </c>
      <c r="Q7" s="457">
        <f>IFERROR(VLOOKUP($F$1,'FV4'!$C$1:$AM$36,((Q$2-5)*2-1),0),"")</f>
        <v>66</v>
      </c>
      <c r="R7" s="457">
        <f>IFERROR(VLOOKUP($F$1,'FV4'!$C$1:$AM$36,((R$2-5)*2-1),0),"")</f>
        <v>69</v>
      </c>
      <c r="S7" s="457">
        <f>IFERROR(VLOOKUP($F$1,'FV4'!$C$1:$AM$36,((S$2-5)*2-1),0),"")</f>
        <v>66</v>
      </c>
      <c r="T7" s="457">
        <f>IFERROR(VLOOKUP($F$1,'FV4'!$C$1:$AM$36,((T$2-5)*2-1),0),"")</f>
        <v>72</v>
      </c>
      <c r="U7" s="457">
        <f>IFERROR(VLOOKUP($F$1,'FV4'!$C$1:$AM$36,((U$2-5)*2-1),0),"")</f>
        <v>75</v>
      </c>
      <c r="V7" s="457">
        <f>IFERROR(VLOOKUP($F$1,'FV4'!$C$1:$AM$36,((V$2-5)*2-1),0),"")</f>
        <v>78</v>
      </c>
      <c r="W7" s="457">
        <f>IFERROR(VLOOKUP($F$1,'FV4'!$C$1:$AM$36,((W$2-5)*2-1),0),"")</f>
        <v>84</v>
      </c>
    </row>
    <row r="8" spans="1:23" ht="15" customHeight="1" x14ac:dyDescent="0.2">
      <c r="A8" s="305" t="s">
        <v>552</v>
      </c>
      <c r="B8" s="1695"/>
      <c r="C8" s="1672" t="s">
        <v>654</v>
      </c>
      <c r="D8" s="307" t="s">
        <v>1786</v>
      </c>
      <c r="E8" s="301" t="s">
        <v>223</v>
      </c>
      <c r="F8" s="301"/>
      <c r="G8" s="457">
        <f>IFERROR(VLOOKUP($F$1,'FV5'!$C$1:$AM$34,((G$2-5)*2-1),0),"")</f>
        <v>135.84</v>
      </c>
      <c r="H8" s="457">
        <f>IFERROR(VLOOKUP($F$1,'FV5'!$C$1:$AM$34,((H$2-5)*2-1),0),"")</f>
        <v>178</v>
      </c>
      <c r="I8" s="457">
        <f>IFERROR(VLOOKUP($F$1,'FV5'!$C$1:$AM$34,((I$2-5)*2-1),0),"")</f>
        <v>222.40000000000003</v>
      </c>
      <c r="J8" s="457">
        <f>IFERROR(VLOOKUP($F$1,'FV5'!$C$1:$AM$34,((J$2-5)*2-1),0),"")</f>
        <v>255.60000000000002</v>
      </c>
      <c r="K8" s="457">
        <f>IFERROR(VLOOKUP($F$1,'FV5'!$C$1:$AM$34,((K$2-5)*2-1),0),"")</f>
        <v>288.8</v>
      </c>
      <c r="L8" s="457">
        <f>IFERROR(VLOOKUP($F$1,'FV5'!$C$1:$AM$34,((L$2-5)*2-1),0),"")</f>
        <v>322</v>
      </c>
      <c r="M8" s="457">
        <f>IFERROR(VLOOKUP($F$1,'FV5'!$C$1:$AM$34,((M$2-5)*2-1),0),"")</f>
        <v>355.20000000000005</v>
      </c>
      <c r="N8" s="457">
        <f>IFERROR(VLOOKUP($F$1,'FV5'!$C$1:$AM$34,((N$2-5)*2-1),0),"")</f>
        <v>388.40000000000003</v>
      </c>
      <c r="O8" s="457">
        <f>IFERROR(VLOOKUP($F$1,'FV5'!$C$1:$AM$34,((O$2-5)*2-1),0),"")</f>
        <v>421.59999999999997</v>
      </c>
      <c r="P8" s="457">
        <f>IFERROR(VLOOKUP($F$1,'FV5'!$C$1:$AM$34,((P$2-5)*2-1),0),"")</f>
        <v>488</v>
      </c>
      <c r="Q8" s="457">
        <f>IFERROR(VLOOKUP($F$1,'FV5'!$C$1:$AM$34,((Q$2-5)*2-1),0),"")</f>
        <v>510.40000000000009</v>
      </c>
      <c r="R8" s="457">
        <f>IFERROR(VLOOKUP($F$1,'FV5'!$C$1:$AM$34,((R$2-5)*2-1),0),"")</f>
        <v>565.6</v>
      </c>
      <c r="S8" s="457">
        <f>IFERROR(VLOOKUP($F$1,'FV5'!$C$1:$AM$34,((S$2-5)*2-1),0),"")</f>
        <v>554.40000000000009</v>
      </c>
      <c r="T8" s="457">
        <f>IFERROR(VLOOKUP($F$1,'FV5'!$C$1:$AM$34,((T$2-5)*2-1),0),"")</f>
        <v>620.80000000000007</v>
      </c>
      <c r="U8" s="457">
        <f>IFERROR(VLOOKUP($F$1,'FV5'!$C$1:$AM$34,((U$2-5)*2-1),0),"")</f>
        <v>676</v>
      </c>
      <c r="V8" s="457">
        <f>IFERROR(VLOOKUP($F$1,'FV5'!$C$1:$AM$34,((V$2-5)*2-1),0),"")</f>
        <v>687.2</v>
      </c>
      <c r="W8" s="457">
        <f>IFERROR(VLOOKUP($F$1,'FV5'!$C$1:$AM$34,((W$2-5)*2-1),0),"")</f>
        <v>753.6</v>
      </c>
    </row>
    <row r="9" spans="1:23" ht="15" customHeight="1" x14ac:dyDescent="0.2">
      <c r="A9" s="305" t="s">
        <v>553</v>
      </c>
      <c r="B9" s="1695"/>
      <c r="C9" s="1684"/>
      <c r="D9" s="306" t="s">
        <v>546</v>
      </c>
      <c r="E9" s="301"/>
      <c r="F9" s="301"/>
      <c r="G9" s="457">
        <f>IFERROR(VLOOKUP($F$1,'FV6'!$C$1:$AM$39,((G$2-5)*2-1),0),"")</f>
        <v>44</v>
      </c>
      <c r="H9" s="457">
        <f>IFERROR(VLOOKUP($F$1,'FV6'!$C$1:$AM$39,((H$2-5)*2-1),0),"")</f>
        <v>66</v>
      </c>
      <c r="I9" s="457">
        <f>IFERROR(VLOOKUP($F$1,'FV6'!$C$1:$AM$39,((I$2-5)*2-1),0),"")</f>
        <v>88</v>
      </c>
      <c r="J9" s="457">
        <f>IFERROR(VLOOKUP($F$1,'FV6'!$C$1:$AM$39,((J$2-5)*2-1),0),"")</f>
        <v>110</v>
      </c>
      <c r="K9" s="457">
        <f>IFERROR(VLOOKUP($F$1,'FV6'!$C$1:$AM$39,((K$2-5)*2-1),0),"")</f>
        <v>132</v>
      </c>
      <c r="L9" s="457">
        <f>IFERROR(VLOOKUP($F$1,'FV6'!$C$1:$AM$39,((L$2-5)*2-1),0),"")</f>
        <v>154.00000000000003</v>
      </c>
      <c r="M9" s="457">
        <f>IFERROR(VLOOKUP($F$1,'FV6'!$C$1:$AM$39,((M$2-5)*2-1),0),"")</f>
        <v>176</v>
      </c>
      <c r="N9" s="457">
        <f>IFERROR(VLOOKUP($F$1,'FV6'!$C$1:$AM$39,((N$2-5)*2-1),0),"")</f>
        <v>198</v>
      </c>
      <c r="O9" s="457">
        <f>IFERROR(VLOOKUP($F$1,'FV6'!$C$1:$AM$39,((O$2-5)*2-1),0),"")</f>
        <v>220</v>
      </c>
      <c r="P9" s="457">
        <f>IFERROR(VLOOKUP($F$1,'FV6'!$C$1:$AM$39,((P$2-5)*2-1),0),"")</f>
        <v>264</v>
      </c>
      <c r="Q9" s="457">
        <f>IFERROR(VLOOKUP($F$1,'FV6'!$C$1:$AM$39,((Q$2-5)*2-1),0),"")</f>
        <v>264</v>
      </c>
      <c r="R9" s="457">
        <f>IFERROR(VLOOKUP($F$1,'FV6'!$C$1:$AM$39,((R$2-5)*2-1),0),"")</f>
        <v>308.00000000000006</v>
      </c>
      <c r="S9" s="457">
        <f>IFERROR(VLOOKUP($F$1,'FV6'!$C$1:$AM$39,((S$2-5)*2-1),0),"")</f>
        <v>308.00000000000006</v>
      </c>
      <c r="T9" s="457">
        <f>IFERROR(VLOOKUP($F$1,'FV6'!$C$1:$AM$39,((T$2-5)*2-1),0),"")</f>
        <v>352</v>
      </c>
      <c r="U9" s="457">
        <f>IFERROR(VLOOKUP($F$1,'FV6'!$C$1:$AM$39,((U$2-5)*2-1),0),"")</f>
        <v>396</v>
      </c>
      <c r="V9" s="457">
        <f>IFERROR(VLOOKUP($F$1,'FV6'!$C$1:$AM$39,((V$2-5)*2-1),0),"")</f>
        <v>396</v>
      </c>
      <c r="W9" s="457">
        <f>IFERROR(VLOOKUP($F$1,'FV6'!$C$1:$AM$39,((W$2-5)*2-1),0),"")</f>
        <v>440</v>
      </c>
    </row>
    <row r="10" spans="1:23" ht="15" customHeight="1" x14ac:dyDescent="0.2">
      <c r="A10" s="305" t="s">
        <v>554</v>
      </c>
      <c r="B10" s="1695"/>
      <c r="C10" s="1663"/>
      <c r="D10" s="235" t="s">
        <v>653</v>
      </c>
      <c r="E10" s="302" t="s">
        <v>223</v>
      </c>
      <c r="F10" s="302"/>
      <c r="G10" s="457">
        <f>IFERROR(VLOOKUP($F$1,'FV7'!$C$1:$AM$38,((G$2-5)*2-1),0),"")</f>
        <v>96.47999999999999</v>
      </c>
      <c r="H10" s="457">
        <f>IFERROR(VLOOKUP($F$1,'FV7'!$C$1:$AM$38,((H$2-5)*2-1),0),"")</f>
        <v>130</v>
      </c>
      <c r="I10" s="457">
        <f>IFERROR(VLOOKUP($F$1,'FV7'!$C$1:$AM$38,((I$2-5)*2-1),0),"")</f>
        <v>164.8</v>
      </c>
      <c r="J10" s="457">
        <f>IFERROR(VLOOKUP($F$1,'FV7'!$C$1:$AM$38,((J$2-5)*2-1),0),"")</f>
        <v>193.2</v>
      </c>
      <c r="K10" s="457">
        <f>IFERROR(VLOOKUP($F$1,'FV7'!$C$1:$AM$38,((K$2-5)*2-1),0),"")</f>
        <v>221.60000000000002</v>
      </c>
      <c r="L10" s="457">
        <f>IFERROR(VLOOKUP($F$1,'FV7'!$C$1:$AM$38,((L$2-5)*2-1),0),"")</f>
        <v>250</v>
      </c>
      <c r="M10" s="457">
        <f>IFERROR(VLOOKUP($F$1,'FV7'!$C$1:$AM$38,((M$2-5)*2-1),0),"")</f>
        <v>278.40000000000003</v>
      </c>
      <c r="N10" s="457">
        <f>IFERROR(VLOOKUP($F$1,'FV7'!$C$1:$AM$38,((N$2-5)*2-1),0),"")</f>
        <v>306.8</v>
      </c>
      <c r="O10" s="457">
        <f>IFERROR(VLOOKUP($F$1,'FV7'!$C$1:$AM$38,((O$2-5)*2-1),0),"")</f>
        <v>335.19999999999993</v>
      </c>
      <c r="P10" s="457">
        <f>IFERROR(VLOOKUP($F$1,'FV7'!$C$1:$AM$38,((P$2-5)*2-1),0),"")</f>
        <v>392</v>
      </c>
      <c r="Q10" s="457">
        <f>IFERROR(VLOOKUP($F$1,'FV7'!$C$1:$AM$38,((Q$2-5)*2-1),0),"")</f>
        <v>404.80000000000007</v>
      </c>
      <c r="R10" s="457">
        <f>IFERROR(VLOOKUP($F$1,'FV7'!$C$1:$AM$38,((R$2-5)*2-1),0),"")</f>
        <v>455.20000000000005</v>
      </c>
      <c r="S10" s="457">
        <f>IFERROR(VLOOKUP($F$1,'FV7'!$C$1:$AM$38,((S$2-5)*2-1),0),"")</f>
        <v>448.8</v>
      </c>
      <c r="T10" s="457">
        <f>IFERROR(VLOOKUP($F$1,'FV7'!$C$1:$AM$38,((T$2-5)*2-1),0),"")</f>
        <v>505.6</v>
      </c>
      <c r="U10" s="457">
        <f>IFERROR(VLOOKUP($F$1,'FV7'!$C$1:$AM$38,((U$2-5)*2-1),0),"")</f>
        <v>556</v>
      </c>
      <c r="V10" s="457">
        <f>IFERROR(VLOOKUP($F$1,'FV7'!$C$1:$AM$38,((V$2-5)*2-1),0),"")</f>
        <v>562.4</v>
      </c>
      <c r="W10" s="457">
        <f>IFERROR(VLOOKUP($F$1,'FV7'!$C$1:$AM$38,((W$2-5)*2-1),0),"")</f>
        <v>619.20000000000005</v>
      </c>
    </row>
    <row r="11" spans="1:23" ht="15" customHeight="1" x14ac:dyDescent="0.2">
      <c r="A11" s="305" t="s">
        <v>556</v>
      </c>
      <c r="B11" s="1695"/>
      <c r="C11" s="1672" t="s">
        <v>523</v>
      </c>
      <c r="D11" s="235" t="s">
        <v>1787</v>
      </c>
      <c r="E11" s="301" t="s">
        <v>223</v>
      </c>
      <c r="F11" s="301"/>
      <c r="G11" s="457">
        <f>IFERROR(VLOOKUP($F$1,'FV8'!$C$1:$AM$33,((G$2-5)*2-1),0),"")</f>
        <v>96.47999999999999</v>
      </c>
      <c r="H11" s="457">
        <f>IFERROR(VLOOKUP($F$1,'FV8'!$C$1:$AM$33,((H$2-5)*2-1),0),"")</f>
        <v>130</v>
      </c>
      <c r="I11" s="457">
        <f>IFERROR(VLOOKUP($F$1,'FV8'!$C$1:$AM$33,((I$2-5)*2-1),0),"")</f>
        <v>164.8</v>
      </c>
      <c r="J11" s="457">
        <f>IFERROR(VLOOKUP($F$1,'FV8'!$C$1:$AM$33,((J$2-5)*2-1),0),"")</f>
        <v>193.2</v>
      </c>
      <c r="K11" s="457">
        <f>IFERROR(VLOOKUP($F$1,'FV8'!$C$1:$AM$33,((K$2-5)*2-1),0),"")</f>
        <v>221.60000000000002</v>
      </c>
      <c r="L11" s="457">
        <f>IFERROR(VLOOKUP($F$1,'FV8'!$C$1:$AM$33,((L$2-5)*2-1),0),"")</f>
        <v>250</v>
      </c>
      <c r="M11" s="457">
        <f>IFERROR(VLOOKUP($F$1,'FV8'!$C$1:$AM$33,((M$2-5)*2-1),0),"")</f>
        <v>278.40000000000003</v>
      </c>
      <c r="N11" s="457">
        <f>IFERROR(VLOOKUP($F$1,'FV8'!$C$1:$AM$33,((N$2-5)*2-1),0),"")</f>
        <v>306.8</v>
      </c>
      <c r="O11" s="457">
        <f>IFERROR(VLOOKUP($F$1,'FV8'!$C$1:$AM$33,((O$2-5)*2-1),0),"")</f>
        <v>335.19999999999993</v>
      </c>
      <c r="P11" s="457">
        <f>IFERROR(VLOOKUP($F$1,'FV8'!$C$1:$AM$33,((P$2-5)*2-1),0),"")</f>
        <v>392</v>
      </c>
      <c r="Q11" s="457">
        <f>IFERROR(VLOOKUP($F$1,'FV8'!$C$1:$AM$33,((Q$2-5)*2-1),0),"")</f>
        <v>404.80000000000007</v>
      </c>
      <c r="R11" s="457">
        <f>IFERROR(VLOOKUP($F$1,'FV8'!$C$1:$AM$33,((R$2-5)*2-1),0),"")</f>
        <v>455.20000000000005</v>
      </c>
      <c r="S11" s="457">
        <f>IFERROR(VLOOKUP($F$1,'FV8'!$C$1:$AM$33,((S$2-5)*2-1),0),"")</f>
        <v>448.8</v>
      </c>
      <c r="T11" s="457">
        <f>IFERROR(VLOOKUP($F$1,'FV8'!$C$1:$AM$33,((T$2-5)*2-1),0),"")</f>
        <v>505.6</v>
      </c>
      <c r="U11" s="457">
        <f>IFERROR(VLOOKUP($F$1,'FV8'!$C$1:$AM$33,((U$2-5)*2-1),0),"")</f>
        <v>556</v>
      </c>
      <c r="V11" s="457">
        <f>IFERROR(VLOOKUP($F$1,'FV8'!$C$1:$AM$33,((V$2-5)*2-1),0),"")</f>
        <v>562.4</v>
      </c>
      <c r="W11" s="457">
        <f>IFERROR(VLOOKUP($F$1,'FV8'!$C$1:$AM$33,((W$2-5)*2-1),0),"")</f>
        <v>619.20000000000005</v>
      </c>
    </row>
    <row r="12" spans="1:23" ht="15" customHeight="1" x14ac:dyDescent="0.2">
      <c r="A12" s="305" t="s">
        <v>557</v>
      </c>
      <c r="B12" s="1696"/>
      <c r="C12" s="1663"/>
      <c r="D12" s="307" t="s">
        <v>1786</v>
      </c>
      <c r="E12" s="302" t="s">
        <v>223</v>
      </c>
      <c r="F12" s="302"/>
      <c r="G12" s="457">
        <f>IFERROR(VLOOKUP($F$1,'FV9'!$C$1:$AM$34,((G$2-5)*2-1),0),"")</f>
        <v>88</v>
      </c>
      <c r="H12" s="457">
        <f>IFERROR(VLOOKUP($F$1,'FV9'!$C$1:$AM$34,((H$2-5)*2-1),0),"")</f>
        <v>132</v>
      </c>
      <c r="I12" s="457">
        <f>IFERROR(VLOOKUP($F$1,'FV9'!$C$1:$AM$34,((I$2-5)*2-1),0),"")</f>
        <v>176</v>
      </c>
      <c r="J12" s="457">
        <f>IFERROR(VLOOKUP($F$1,'FV9'!$C$1:$AM$34,((J$2-5)*2-1),0),"")</f>
        <v>220</v>
      </c>
      <c r="K12" s="457">
        <f>IFERROR(VLOOKUP($F$1,'FV9'!$C$1:$AM$34,((K$2-5)*2-1),0),"")</f>
        <v>264</v>
      </c>
      <c r="L12" s="457">
        <f>IFERROR(VLOOKUP($F$1,'FV9'!$C$1:$AM$34,((L$2-5)*2-1),0),"")</f>
        <v>308.00000000000006</v>
      </c>
      <c r="M12" s="457">
        <f>IFERROR(VLOOKUP($F$1,'FV9'!$C$1:$AM$34,((M$2-5)*2-1),0),"")</f>
        <v>352</v>
      </c>
      <c r="N12" s="457">
        <f>IFERROR(VLOOKUP($F$1,'FV9'!$C$1:$AM$34,((N$2-5)*2-1),0),"")</f>
        <v>396</v>
      </c>
      <c r="O12" s="457">
        <f>IFERROR(VLOOKUP($F$1,'FV9'!$C$1:$AM$34,((O$2-5)*2-1),0),"")</f>
        <v>440</v>
      </c>
      <c r="P12" s="457">
        <f>IFERROR(VLOOKUP($F$1,'FV9'!$C$1:$AM$34,((P$2-5)*2-1),0),"")</f>
        <v>528</v>
      </c>
      <c r="Q12" s="457">
        <f>IFERROR(VLOOKUP($F$1,'FV9'!$C$1:$AM$34,((Q$2-5)*2-1),0),"")</f>
        <v>528</v>
      </c>
      <c r="R12" s="457">
        <f>IFERROR(VLOOKUP($F$1,'FV9'!$C$1:$AM$34,((R$2-5)*2-1),0),"")</f>
        <v>616.00000000000011</v>
      </c>
      <c r="S12" s="457">
        <f>IFERROR(VLOOKUP($F$1,'FV9'!$C$1:$AM$34,((S$2-5)*2-1),0),"")</f>
        <v>616.00000000000011</v>
      </c>
      <c r="T12" s="457">
        <f>IFERROR(VLOOKUP($F$1,'FV9'!$C$1:$AM$34,((T$2-5)*2-1),0),"")</f>
        <v>704</v>
      </c>
      <c r="U12" s="457">
        <f>IFERROR(VLOOKUP($F$1,'FV9'!$C$1:$AM$34,((U$2-5)*2-1),0),"")</f>
        <v>792</v>
      </c>
      <c r="V12" s="457">
        <f>IFERROR(VLOOKUP($F$1,'FV9'!$C$1:$AM$34,((V$2-5)*2-1),0),"")</f>
        <v>792</v>
      </c>
      <c r="W12" s="457">
        <f>IFERROR(VLOOKUP($F$1,'FV9'!$C$1:$AM$34,((W$2-5)*2-1),0),"")</f>
        <v>880</v>
      </c>
    </row>
    <row r="13" spans="1:23" ht="15" customHeight="1" x14ac:dyDescent="0.2">
      <c r="A13" s="305" t="s">
        <v>561</v>
      </c>
      <c r="B13" s="1670" t="s">
        <v>399</v>
      </c>
      <c r="C13" s="1672" t="s">
        <v>545</v>
      </c>
      <c r="D13" s="483" t="s">
        <v>546</v>
      </c>
      <c r="E13" s="301" t="s">
        <v>223</v>
      </c>
      <c r="F13" s="301"/>
      <c r="G13" s="457">
        <f>IFERROR(VLOOKUP($F$1,'FH1'!$C$1:$AN$72,((G$2-5)*2-1),0),"")</f>
        <v>4</v>
      </c>
      <c r="H13" s="457">
        <f>IFERROR(VLOOKUP($F$1,'FH1'!$C$1:$AN$72,((H$2-5)*2-1),0),"")</f>
        <v>4</v>
      </c>
      <c r="I13" s="457">
        <f>IFERROR(VLOOKUP($F$1,'FH1'!$C$1:$AN$72,((I$2-5)*2-1),0),"")</f>
        <v>4</v>
      </c>
      <c r="J13" s="457">
        <f>IFERROR(VLOOKUP($F$1,'FH1'!$C$1:$AN$72,((J$2-5)*2-1),0),"")</f>
        <v>4</v>
      </c>
      <c r="K13" s="457">
        <f>IFERROR(VLOOKUP($F$1,'FH1'!$C$1:$AN$72,((K$2-5)*2-1),0),"")</f>
        <v>4</v>
      </c>
      <c r="L13" s="457">
        <f>IFERROR(VLOOKUP($F$1,'FH1'!$C$1:$AN$72,((L$2-5)*2-1),0),"")</f>
        <v>4</v>
      </c>
      <c r="M13" s="457">
        <f>IFERROR(VLOOKUP($F$1,'FH1'!$C$1:$AN$72,((M$2-5)*2-1),0),"")</f>
        <v>4</v>
      </c>
      <c r="N13" s="457">
        <f>IFERROR(VLOOKUP($F$1,'FH1'!$C$1:$AN$72,((N$2-5)*2-1),0),"")</f>
        <v>4</v>
      </c>
      <c r="O13" s="457">
        <f>IFERROR(VLOOKUP($F$1,'FH1'!$C$1:$AN$72,((O$2-5)*2-1),0),"")</f>
        <v>4</v>
      </c>
      <c r="P13" s="457">
        <f>IFERROR(VLOOKUP($F$1,'FH1'!$C$1:$AN$72,((P$2-5)*2-1),0),"")</f>
        <v>4</v>
      </c>
      <c r="Q13" s="457">
        <f>IFERROR(VLOOKUP($F$1,'FH1'!$C$1:$AN$72,((Q$2-5)*2-1),0),"")</f>
        <v>4</v>
      </c>
      <c r="R13" s="457">
        <f>IFERROR(VLOOKUP($F$1,'FH1'!$C$1:$AN$72,((R$2-5)*2-1),0),"")</f>
        <v>4</v>
      </c>
      <c r="S13" s="457">
        <f>IFERROR(VLOOKUP($F$1,'FH1'!$C$1:$AN$72,((S$2-5)*2-1),0),"")</f>
        <v>4</v>
      </c>
      <c r="T13" s="457">
        <f>IFERROR(VLOOKUP($F$1,'FH1'!$C$1:$AN$72,((T$2-5)*2-1),0),"")</f>
        <v>4</v>
      </c>
      <c r="U13" s="457">
        <f>IFERROR(VLOOKUP($F$1,'FH1'!$C$1:$AN$72,((U$2-5)*2-1),0),"")</f>
        <v>4</v>
      </c>
      <c r="V13" s="457">
        <f>IFERROR(VLOOKUP($F$1,'FH1'!$C$1:$AN$72,((V$2-5)*2-1),0),"")</f>
        <v>4</v>
      </c>
      <c r="W13" s="457">
        <f>IFERROR(VLOOKUP($F$1,'FH1'!$C$1:$AN$72,((W$2-5)*2-1),0),"")</f>
        <v>4</v>
      </c>
    </row>
    <row r="14" spans="1:23" ht="15" customHeight="1" x14ac:dyDescent="0.2">
      <c r="A14" s="305" t="s">
        <v>563</v>
      </c>
      <c r="B14" s="1685"/>
      <c r="C14" s="1684"/>
      <c r="D14" s="472" t="s">
        <v>548</v>
      </c>
      <c r="E14" s="302" t="s">
        <v>223</v>
      </c>
      <c r="F14" s="302"/>
      <c r="G14" s="457">
        <f>IFERROR(VLOOKUP($F$1,'FH2'!$C$1:$AN$73,((G$2-5)*2-1),0),"")</f>
        <v>4</v>
      </c>
      <c r="H14" s="457">
        <f>IFERROR(VLOOKUP($F$1,'FH2'!$C$1:$AN$73,((H$2-5)*2-1),0),"")</f>
        <v>4</v>
      </c>
      <c r="I14" s="457">
        <f>IFERROR(VLOOKUP($F$1,'FH2'!$C$1:$AN$73,((I$2-5)*2-1),0),"")</f>
        <v>4</v>
      </c>
      <c r="J14" s="457">
        <f>IFERROR(VLOOKUP($F$1,'FH2'!$C$1:$AN$73,((J$2-5)*2-1),0),"")</f>
        <v>4</v>
      </c>
      <c r="K14" s="457">
        <f>IFERROR(VLOOKUP($F$1,'FH2'!$C$1:$AN$73,((K$2-5)*2-1),0),"")</f>
        <v>4</v>
      </c>
      <c r="L14" s="457">
        <f>IFERROR(VLOOKUP($F$1,'FH2'!$C$1:$AN$73,((L$2-5)*2-1),0),"")</f>
        <v>4</v>
      </c>
      <c r="M14" s="457">
        <f>IFERROR(VLOOKUP($F$1,'FH2'!$C$1:$AN$73,((M$2-5)*2-1),0),"")</f>
        <v>4</v>
      </c>
      <c r="N14" s="457">
        <f>IFERROR(VLOOKUP($F$1,'FH2'!$C$1:$AN$73,((N$2-5)*2-1),0),"")</f>
        <v>4</v>
      </c>
      <c r="O14" s="457">
        <f>IFERROR(VLOOKUP($F$1,'FH2'!$C$1:$AN$73,((O$2-5)*2-1),0),"")</f>
        <v>4</v>
      </c>
      <c r="P14" s="457">
        <f>IFERROR(VLOOKUP($F$1,'FH2'!$C$1:$AN$73,((P$2-5)*2-1),0),"")</f>
        <v>4</v>
      </c>
      <c r="Q14" s="457">
        <f>IFERROR(VLOOKUP($F$1,'FH2'!$C$1:$AN$73,((Q$2-5)*2-1),0),"")</f>
        <v>4</v>
      </c>
      <c r="R14" s="457">
        <f>IFERROR(VLOOKUP($F$1,'FH2'!$C$1:$AN$73,((R$2-5)*2-1),0),"")</f>
        <v>4</v>
      </c>
      <c r="S14" s="457">
        <f>IFERROR(VLOOKUP($F$1,'FH2'!$C$1:$AN$73,((S$2-5)*2-1),0),"")</f>
        <v>4</v>
      </c>
      <c r="T14" s="457">
        <f>IFERROR(VLOOKUP($F$1,'FH2'!$C$1:$AN$73,((T$2-5)*2-1),0),"")</f>
        <v>4</v>
      </c>
      <c r="U14" s="457">
        <f>IFERROR(VLOOKUP($F$1,'FH2'!$C$1:$AN$73,((U$2-5)*2-1),0),"")</f>
        <v>4</v>
      </c>
      <c r="V14" s="457">
        <f>IFERROR(VLOOKUP($F$1,'FH2'!$C$1:$AN$73,((V$2-5)*2-1),0),"")</f>
        <v>4</v>
      </c>
      <c r="W14" s="457">
        <f>IFERROR(VLOOKUP($F$1,'FH2'!$C$1:$AN$73,((W$2-5)*2-1),0),"")</f>
        <v>4</v>
      </c>
    </row>
    <row r="15" spans="1:23" ht="15" customHeight="1" x14ac:dyDescent="0.2">
      <c r="A15" s="305" t="s">
        <v>658</v>
      </c>
      <c r="B15" s="1685"/>
      <c r="C15" s="1684"/>
      <c r="D15" s="472" t="s">
        <v>653</v>
      </c>
      <c r="E15" s="301" t="s">
        <v>223</v>
      </c>
      <c r="F15" s="301"/>
      <c r="G15" s="457">
        <f>IFERROR(VLOOKUP($F$1,'FH3'!$C$1:$AN$72,((G$2-5)*2-1),0),"")</f>
        <v>4</v>
      </c>
      <c r="H15" s="457">
        <f>IFERROR(VLOOKUP($F$1,'FH3'!$C$1:$AN$72,((H$2-5)*2-1),0),"")</f>
        <v>4</v>
      </c>
      <c r="I15" s="457">
        <f>IFERROR(VLOOKUP($F$1,'FH3'!$C$1:$AN$72,((I$2-5)*2-1),0),"")</f>
        <v>4</v>
      </c>
      <c r="J15" s="457">
        <f>IFERROR(VLOOKUP($F$1,'FH3'!$C$1:$AN$72,((J$2-5)*2-1),0),"")</f>
        <v>4</v>
      </c>
      <c r="K15" s="457">
        <f>IFERROR(VLOOKUP($F$1,'FH3'!$C$1:$AN$72,((K$2-5)*2-1),0),"")</f>
        <v>4</v>
      </c>
      <c r="L15" s="457">
        <f>IFERROR(VLOOKUP($F$1,'FH3'!$C$1:$AN$72,((L$2-5)*2-1),0),"")</f>
        <v>4</v>
      </c>
      <c r="M15" s="457">
        <f>IFERROR(VLOOKUP($F$1,'FH3'!$C$1:$AN$72,((M$2-5)*2-1),0),"")</f>
        <v>4</v>
      </c>
      <c r="N15" s="457">
        <f>IFERROR(VLOOKUP($F$1,'FH3'!$C$1:$AN$72,((N$2-5)*2-1),0),"")</f>
        <v>4</v>
      </c>
      <c r="O15" s="457">
        <f>IFERROR(VLOOKUP($F$1,'FH3'!$C$1:$AN$72,((O$2-5)*2-1),0),"")</f>
        <v>4</v>
      </c>
      <c r="P15" s="457">
        <f>IFERROR(VLOOKUP($F$1,'FH3'!$C$1:$AN$72,((P$2-5)*2-1),0),"")</f>
        <v>4</v>
      </c>
      <c r="Q15" s="457">
        <f>IFERROR(VLOOKUP($F$1,'FH3'!$C$1:$AN$72,((Q$2-5)*2-1),0),"")</f>
        <v>4</v>
      </c>
      <c r="R15" s="457">
        <f>IFERROR(VLOOKUP($F$1,'FH3'!$C$1:$AN$72,((R$2-5)*2-1),0),"")</f>
        <v>4</v>
      </c>
      <c r="S15" s="457">
        <f>IFERROR(VLOOKUP($F$1,'FH3'!$C$1:$AN$72,((S$2-5)*2-1),0),"")</f>
        <v>4</v>
      </c>
      <c r="T15" s="457">
        <f>IFERROR(VLOOKUP($F$1,'FH3'!$C$1:$AN$72,((T$2-5)*2-1),0),"")</f>
        <v>4</v>
      </c>
      <c r="U15" s="457">
        <f>IFERROR(VLOOKUP($F$1,'FH3'!$C$1:$AN$72,((U$2-5)*2-1),0),"")</f>
        <v>4</v>
      </c>
      <c r="V15" s="457">
        <f>IFERROR(VLOOKUP($F$1,'FH3'!$C$1:$AN$72,((V$2-5)*2-1),0),"")</f>
        <v>4</v>
      </c>
      <c r="W15" s="457">
        <f>IFERROR(VLOOKUP($F$1,'FH3'!$C$1:$AN$72,((W$2-5)*2-1),0),"")</f>
        <v>4</v>
      </c>
    </row>
    <row r="16" spans="1:23" ht="15" customHeight="1" x14ac:dyDescent="0.2">
      <c r="A16" s="305" t="s">
        <v>659</v>
      </c>
      <c r="B16" s="1685"/>
      <c r="C16" s="1663"/>
      <c r="D16" s="472" t="s">
        <v>551</v>
      </c>
      <c r="E16" s="302" t="s">
        <v>223</v>
      </c>
      <c r="F16" s="302"/>
      <c r="G16" s="457">
        <f>IFERROR(VLOOKUP($F$1,'FH4'!$C$1:$AN$72,((G$2-5)*2-1),0),"")</f>
        <v>4</v>
      </c>
      <c r="H16" s="457">
        <f>IFERROR(VLOOKUP($F$1,'FH4'!$C$1:$AN$72,((H$2-5)*2-1),0),"")</f>
        <v>4</v>
      </c>
      <c r="I16" s="457">
        <f>IFERROR(VLOOKUP($F$1,'FH4'!$C$1:$AN$72,((I$2-5)*2-1),0),"")</f>
        <v>4</v>
      </c>
      <c r="J16" s="457">
        <f>IFERROR(VLOOKUP($F$1,'FH4'!$C$1:$AN$72,((J$2-5)*2-1),0),"")</f>
        <v>4</v>
      </c>
      <c r="K16" s="457">
        <f>IFERROR(VLOOKUP($F$1,'FH4'!$C$1:$AN$72,((K$2-5)*2-1),0),"")</f>
        <v>4</v>
      </c>
      <c r="L16" s="457">
        <f>IFERROR(VLOOKUP($F$1,'FH4'!$C$1:$AN$72,((L$2-5)*2-1),0),"")</f>
        <v>4</v>
      </c>
      <c r="M16" s="457">
        <f>IFERROR(VLOOKUP($F$1,'FH4'!$C$1:$AN$72,((M$2-5)*2-1),0),"")</f>
        <v>4</v>
      </c>
      <c r="N16" s="457">
        <f>IFERROR(VLOOKUP($F$1,'FH4'!$C$1:$AN$72,((N$2-5)*2-1),0),"")</f>
        <v>4</v>
      </c>
      <c r="O16" s="457">
        <f>IFERROR(VLOOKUP($F$1,'FH4'!$C$1:$AN$72,((O$2-5)*2-1),0),"")</f>
        <v>4</v>
      </c>
      <c r="P16" s="457">
        <f>IFERROR(VLOOKUP($F$1,'FH4'!$C$1:$AN$72,((P$2-5)*2-1),0),"")</f>
        <v>4</v>
      </c>
      <c r="Q16" s="457">
        <f>IFERROR(VLOOKUP($F$1,'FH4'!$C$1:$AN$72,((Q$2-5)*2-1),0),"")</f>
        <v>4</v>
      </c>
      <c r="R16" s="457">
        <f>IFERROR(VLOOKUP($F$1,'FH4'!$C$1:$AN$72,((R$2-5)*2-1),0),"")</f>
        <v>4</v>
      </c>
      <c r="S16" s="457">
        <f>IFERROR(VLOOKUP($F$1,'FH4'!$C$1:$AN$72,((S$2-5)*2-1),0),"")</f>
        <v>4</v>
      </c>
      <c r="T16" s="457">
        <f>IFERROR(VLOOKUP($F$1,'FH4'!$C$1:$AN$72,((T$2-5)*2-1),0),"")</f>
        <v>4</v>
      </c>
      <c r="U16" s="457">
        <f>IFERROR(VLOOKUP($F$1,'FH4'!$C$1:$AN$72,((U$2-5)*2-1),0),"")</f>
        <v>4</v>
      </c>
      <c r="V16" s="457">
        <f>IFERROR(VLOOKUP($F$1,'FH4'!$C$1:$AN$72,((V$2-5)*2-1),0),"")</f>
        <v>4</v>
      </c>
      <c r="W16" s="457">
        <f>IFERROR(VLOOKUP($F$1,'FH4'!$C$1:$AN$72,((W$2-5)*2-1),0),"")</f>
        <v>4</v>
      </c>
    </row>
    <row r="17" spans="1:23" ht="15" customHeight="1" x14ac:dyDescent="0.2">
      <c r="A17" s="305" t="s">
        <v>660</v>
      </c>
      <c r="B17" s="1685"/>
      <c r="C17" s="1672" t="s">
        <v>555</v>
      </c>
      <c r="D17" s="472" t="s">
        <v>655</v>
      </c>
      <c r="E17" s="301" t="s">
        <v>223</v>
      </c>
      <c r="F17" s="301"/>
      <c r="G17" s="457">
        <f>IFERROR(VLOOKUP($F$1,'FH5'!$C$1:$AN$72,((G$2-5)*2-1),0),"")</f>
        <v>4</v>
      </c>
      <c r="H17" s="457">
        <f>IFERROR(VLOOKUP($F$1,'FH5'!$C$1:$AN$72,((H$2-5)*2-1),0),"")</f>
        <v>4</v>
      </c>
      <c r="I17" s="457">
        <f>IFERROR(VLOOKUP($F$1,'FH5'!$C$1:$AN$72,((I$2-5)*2-1),0),"")</f>
        <v>4</v>
      </c>
      <c r="J17" s="457">
        <f>IFERROR(VLOOKUP($F$1,'FH5'!$C$1:$AN$72,((J$2-5)*2-1),0),"")</f>
        <v>4</v>
      </c>
      <c r="K17" s="457">
        <f>IFERROR(VLOOKUP($F$1,'FH5'!$C$1:$AN$72,((K$2-5)*2-1),0),"")</f>
        <v>4</v>
      </c>
      <c r="L17" s="457">
        <f>IFERROR(VLOOKUP($F$1,'FH5'!$C$1:$AN$72,((L$2-5)*2-1),0),"")</f>
        <v>4</v>
      </c>
      <c r="M17" s="457">
        <f>IFERROR(VLOOKUP($F$1,'FH5'!$C$1:$AN$72,((M$2-5)*2-1),0),"")</f>
        <v>4</v>
      </c>
      <c r="N17" s="457">
        <f>IFERROR(VLOOKUP($F$1,'FH5'!$C$1:$AN$72,((N$2-5)*2-1),0),"")</f>
        <v>4</v>
      </c>
      <c r="O17" s="457">
        <f>IFERROR(VLOOKUP($F$1,'FH5'!$C$1:$AN$72,((O$2-5)*2-1),0),"")</f>
        <v>4</v>
      </c>
      <c r="P17" s="457">
        <f>IFERROR(VLOOKUP($F$1,'FH5'!$C$1:$AN$72,((P$2-5)*2-1),0),"")</f>
        <v>4</v>
      </c>
      <c r="Q17" s="457">
        <f>IFERROR(VLOOKUP($F$1,'FH5'!$C$1:$AN$72,((Q$2-5)*2-1),0),"")</f>
        <v>4</v>
      </c>
      <c r="R17" s="457">
        <f>IFERROR(VLOOKUP($F$1,'FH5'!$C$1:$AN$72,((R$2-5)*2-1),0),"")</f>
        <v>4</v>
      </c>
      <c r="S17" s="457">
        <f>IFERROR(VLOOKUP($F$1,'FH5'!$C$1:$AN$72,((S$2-5)*2-1),0),"")</f>
        <v>4</v>
      </c>
      <c r="T17" s="457">
        <f>IFERROR(VLOOKUP($F$1,'FH5'!$C$1:$AN$72,((T$2-5)*2-1),0),"")</f>
        <v>4</v>
      </c>
      <c r="U17" s="457">
        <f>IFERROR(VLOOKUP($F$1,'FH5'!$C$1:$AN$72,((U$2-5)*2-1),0),"")</f>
        <v>4</v>
      </c>
      <c r="V17" s="457">
        <f>IFERROR(VLOOKUP($F$1,'FH5'!$C$1:$AN$72,((V$2-5)*2-1),0),"")</f>
        <v>4</v>
      </c>
      <c r="W17" s="457">
        <f>IFERROR(VLOOKUP($F$1,'FH5'!$C$1:$AN$72,((W$2-5)*2-1),0),"")</f>
        <v>4</v>
      </c>
    </row>
    <row r="18" spans="1:23" ht="15" customHeight="1" x14ac:dyDescent="0.2">
      <c r="A18" s="305" t="s">
        <v>661</v>
      </c>
      <c r="B18" s="1685"/>
      <c r="C18" s="1684"/>
      <c r="D18" s="483" t="s">
        <v>546</v>
      </c>
      <c r="E18" s="301"/>
      <c r="F18" s="301"/>
      <c r="G18" s="457">
        <f>IFERROR(VLOOKUP($F$1,'FH6'!$C$1:$AN$72,((G$2-5)*2-1),0),"")</f>
        <v>4</v>
      </c>
      <c r="H18" s="457">
        <f>IFERROR(VLOOKUP($F$1,'FH6'!$C$1:$AN$72,((H$2-5)*2-1),0),"")</f>
        <v>4</v>
      </c>
      <c r="I18" s="457">
        <f>IFERROR(VLOOKUP($F$1,'FH6'!$C$1:$AN$72,((I$2-5)*2-1),0),"")</f>
        <v>4</v>
      </c>
      <c r="J18" s="457">
        <f>IFERROR(VLOOKUP($F$1,'FH6'!$C$1:$AN$72,((J$2-5)*2-1),0),"")</f>
        <v>4</v>
      </c>
      <c r="K18" s="457">
        <f>IFERROR(VLOOKUP($F$1,'FH6'!$C$1:$AN$72,((K$2-5)*2-1),0),"")</f>
        <v>4</v>
      </c>
      <c r="L18" s="457">
        <f>IFERROR(VLOOKUP($F$1,'FH6'!$C$1:$AN$72,((L$2-5)*2-1),0),"")</f>
        <v>4</v>
      </c>
      <c r="M18" s="457">
        <f>IFERROR(VLOOKUP($F$1,'FH6'!$C$1:$AN$72,((M$2-5)*2-1),0),"")</f>
        <v>4</v>
      </c>
      <c r="N18" s="457">
        <f>IFERROR(VLOOKUP($F$1,'FH6'!$C$1:$AN$72,((N$2-5)*2-1),0),"")</f>
        <v>4</v>
      </c>
      <c r="O18" s="457">
        <f>IFERROR(VLOOKUP($F$1,'FH6'!$C$1:$AN$72,((O$2-5)*2-1),0),"")</f>
        <v>4</v>
      </c>
      <c r="P18" s="457">
        <f>IFERROR(VLOOKUP($F$1,'FH6'!$C$1:$AN$72,((P$2-5)*2-1),0),"")</f>
        <v>4</v>
      </c>
      <c r="Q18" s="457">
        <f>IFERROR(VLOOKUP($F$1,'FH6'!$C$1:$AN$72,((Q$2-5)*2-1),0),"")</f>
        <v>4</v>
      </c>
      <c r="R18" s="457">
        <f>IFERROR(VLOOKUP($F$1,'FH6'!$C$1:$AN$72,((R$2-5)*2-1),0),"")</f>
        <v>4</v>
      </c>
      <c r="S18" s="457">
        <f>IFERROR(VLOOKUP($F$1,'FH6'!$C$1:$AN$72,((S$2-5)*2-1),0),"")</f>
        <v>4</v>
      </c>
      <c r="T18" s="457">
        <f>IFERROR(VLOOKUP($F$1,'FH6'!$C$1:$AN$72,((T$2-5)*2-1),0),"")</f>
        <v>4</v>
      </c>
      <c r="U18" s="457">
        <f>IFERROR(VLOOKUP($F$1,'FH6'!$C$1:$AN$72,((U$2-5)*2-1),0),"")</f>
        <v>4</v>
      </c>
      <c r="V18" s="457">
        <f>IFERROR(VLOOKUP($F$1,'FH6'!$C$1:$AN$72,((V$2-5)*2-1),0),"")</f>
        <v>4</v>
      </c>
      <c r="W18" s="457">
        <f>IFERROR(VLOOKUP($F$1,'FH6'!$C$1:$AN$72,((W$2-5)*2-1),0),"")</f>
        <v>4</v>
      </c>
    </row>
    <row r="19" spans="1:23" ht="15.6" customHeight="1" x14ac:dyDescent="0.2">
      <c r="A19" s="305" t="s">
        <v>662</v>
      </c>
      <c r="B19" s="1685"/>
      <c r="C19" s="1663"/>
      <c r="D19" s="472" t="s">
        <v>653</v>
      </c>
      <c r="E19" s="302" t="s">
        <v>223</v>
      </c>
      <c r="F19" s="302"/>
      <c r="G19" s="457">
        <f>IFERROR(VLOOKUP($F$1,'FH7'!$C$1:$AN$71,((G$2-5)*2-1),0),"")</f>
        <v>4</v>
      </c>
      <c r="H19" s="457">
        <f>IFERROR(VLOOKUP($F$1,'FH7'!$C$1:$AN$71,((H$2-5)*2-1),0),"")</f>
        <v>4</v>
      </c>
      <c r="I19" s="457">
        <f>IFERROR(VLOOKUP($F$1,'FH7'!$C$1:$AN$71,((I$2-5)*2-1),0),"")</f>
        <v>4</v>
      </c>
      <c r="J19" s="457">
        <f>IFERROR(VLOOKUP($F$1,'FH7'!$C$1:$AN$71,((J$2-5)*2-1),0),"")</f>
        <v>4</v>
      </c>
      <c r="K19" s="457">
        <f>IFERROR(VLOOKUP($F$1,'FH7'!$C$1:$AN$71,((K$2-5)*2-1),0),"")</f>
        <v>4</v>
      </c>
      <c r="L19" s="457">
        <f>IFERROR(VLOOKUP($F$1,'FH7'!$C$1:$AN$71,((L$2-5)*2-1),0),"")</f>
        <v>4</v>
      </c>
      <c r="M19" s="457">
        <f>IFERROR(VLOOKUP($F$1,'FH7'!$C$1:$AN$71,((M$2-5)*2-1),0),"")</f>
        <v>4</v>
      </c>
      <c r="N19" s="457">
        <f>IFERROR(VLOOKUP($F$1,'FH7'!$C$1:$AN$71,((N$2-5)*2-1),0),"")</f>
        <v>4</v>
      </c>
      <c r="O19" s="457">
        <f>IFERROR(VLOOKUP($F$1,'FH7'!$C$1:$AN$71,((O$2-5)*2-1),0),"")</f>
        <v>4</v>
      </c>
      <c r="P19" s="457">
        <f>IFERROR(VLOOKUP($F$1,'FH7'!$C$1:$AN$71,((P$2-5)*2-1),0),"")</f>
        <v>4</v>
      </c>
      <c r="Q19" s="457">
        <f>IFERROR(VLOOKUP($F$1,'FH7'!$C$1:$AN$71,((Q$2-5)*2-1),0),"")</f>
        <v>4</v>
      </c>
      <c r="R19" s="457">
        <f>IFERROR(VLOOKUP($F$1,'FH7'!$C$1:$AN$71,((R$2-5)*2-1),0),"")</f>
        <v>4</v>
      </c>
      <c r="S19" s="457">
        <f>IFERROR(VLOOKUP($F$1,'FH7'!$C$1:$AN$71,((S$2-5)*2-1),0),"")</f>
        <v>4</v>
      </c>
      <c r="T19" s="457">
        <f>IFERROR(VLOOKUP($F$1,'FH7'!$C$1:$AN$71,((T$2-5)*2-1),0),"")</f>
        <v>4</v>
      </c>
      <c r="U19" s="457">
        <f>IFERROR(VLOOKUP($F$1,'FH7'!$C$1:$AN$71,((U$2-5)*2-1),0),"")</f>
        <v>4</v>
      </c>
      <c r="V19" s="457">
        <f>IFERROR(VLOOKUP($F$1,'FH7'!$C$1:$AN$71,((V$2-5)*2-1),0),"")</f>
        <v>4</v>
      </c>
      <c r="W19" s="457">
        <f>IFERROR(VLOOKUP($F$1,'FH7'!$C$1:$AN$71,((W$2-5)*2-1),0),"")</f>
        <v>4</v>
      </c>
    </row>
    <row r="20" spans="1:23" ht="15" customHeight="1" x14ac:dyDescent="0.2">
      <c r="A20" s="305" t="s">
        <v>663</v>
      </c>
      <c r="B20" s="1685"/>
      <c r="C20" s="1672" t="s">
        <v>523</v>
      </c>
      <c r="D20" s="471" t="s">
        <v>656</v>
      </c>
      <c r="E20" s="301" t="s">
        <v>223</v>
      </c>
      <c r="F20" s="301"/>
      <c r="G20" s="457">
        <f>IFERROR(VLOOKUP($F$1,'FH8'!$C$1:$AN$72,((G$2-5)*2-1),0),"")</f>
        <v>4</v>
      </c>
      <c r="H20" s="457">
        <f>IFERROR(VLOOKUP($F$1,'FH8'!$C$1:$AN$72,((H$2-5)*2-1),0),"")</f>
        <v>4</v>
      </c>
      <c r="I20" s="457">
        <f>IFERROR(VLOOKUP($F$1,'FH8'!$C$1:$AN$72,((I$2-5)*2-1),0),"")</f>
        <v>4</v>
      </c>
      <c r="J20" s="457">
        <f>IFERROR(VLOOKUP($F$1,'FH8'!$C$1:$AN$72,((J$2-5)*2-1),0),"")</f>
        <v>4</v>
      </c>
      <c r="K20" s="457">
        <f>IFERROR(VLOOKUP($F$1,'FH8'!$C$1:$AN$72,((K$2-5)*2-1),0),"")</f>
        <v>4</v>
      </c>
      <c r="L20" s="457">
        <f>IFERROR(VLOOKUP($F$1,'FH8'!$C$1:$AN$72,((L$2-5)*2-1),0),"")</f>
        <v>4</v>
      </c>
      <c r="M20" s="457">
        <f>IFERROR(VLOOKUP($F$1,'FH8'!$C$1:$AN$72,((M$2-5)*2-1),0),"")</f>
        <v>4</v>
      </c>
      <c r="N20" s="457">
        <f>IFERROR(VLOOKUP($F$1,'FH8'!$C$1:$AN$72,((N$2-5)*2-1),0),"")</f>
        <v>4</v>
      </c>
      <c r="O20" s="457">
        <f>IFERROR(VLOOKUP($F$1,'FH8'!$C$1:$AN$72,((O$2-5)*2-1),0),"")</f>
        <v>4</v>
      </c>
      <c r="P20" s="457">
        <f>IFERROR(VLOOKUP($F$1,'FH8'!$C$1:$AN$72,((P$2-5)*2-1),0),"")</f>
        <v>4</v>
      </c>
      <c r="Q20" s="457">
        <f>IFERROR(VLOOKUP($F$1,'FH8'!$C$1:$AN$72,((Q$2-5)*2-1),0),"")</f>
        <v>4</v>
      </c>
      <c r="R20" s="457">
        <f>IFERROR(VLOOKUP($F$1,'FH8'!$C$1:$AN$72,((R$2-5)*2-1),0),"")</f>
        <v>4</v>
      </c>
      <c r="S20" s="457">
        <f>IFERROR(VLOOKUP($F$1,'FH8'!$C$1:$AN$72,((S$2-5)*2-1),0),"")</f>
        <v>4</v>
      </c>
      <c r="T20" s="457">
        <f>IFERROR(VLOOKUP($F$1,'FH8'!$C$1:$AN$72,((T$2-5)*2-1),0),"")</f>
        <v>4</v>
      </c>
      <c r="U20" s="457">
        <f>IFERROR(VLOOKUP($F$1,'FH8'!$C$1:$AN$72,((U$2-5)*2-1),0),"")</f>
        <v>4</v>
      </c>
      <c r="V20" s="457">
        <f>IFERROR(VLOOKUP($F$1,'FH8'!$C$1:$AN$72,((V$2-5)*2-1),0),"")</f>
        <v>4</v>
      </c>
      <c r="W20" s="457">
        <f>IFERROR(VLOOKUP($F$1,'FH8'!$C$1:$AN$72,((W$2-5)*2-1),0),"")</f>
        <v>4</v>
      </c>
    </row>
    <row r="21" spans="1:23" ht="15" customHeight="1" x14ac:dyDescent="0.2">
      <c r="A21" s="305" t="s">
        <v>1288</v>
      </c>
      <c r="B21" s="1685"/>
      <c r="C21" s="1663"/>
      <c r="D21" s="235" t="s">
        <v>657</v>
      </c>
      <c r="E21" s="301"/>
      <c r="F21" s="301"/>
      <c r="G21" s="457">
        <f>IFERROR(VLOOKUP($F$1,'FH9'!$C$1:$AM$31,((G$2-5)*2-1),0),"")</f>
        <v>139.20000000000002</v>
      </c>
      <c r="H21" s="457">
        <f>IFERROR(VLOOKUP($F$1,'FH9'!$C$1:$AM$31,((H$2-5)*2-1),0),"")</f>
        <v>202.40000000000003</v>
      </c>
      <c r="I21" s="457">
        <f>IFERROR(VLOOKUP($F$1,'FH9'!$C$1:$AM$31,((I$2-5)*2-1),0),"")</f>
        <v>252.8</v>
      </c>
      <c r="J21" s="457">
        <f>IFERROR(VLOOKUP($F$1,'FH9'!$C$1:$AM$31,((J$2-5)*2-1),0),"")</f>
        <v>309.60000000000002</v>
      </c>
      <c r="K21" s="457">
        <f>IFERROR(VLOOKUP($F$1,'FH9'!$C$1:$AM$31,((K$2-5)*2-1),0),"")</f>
        <v>366.4</v>
      </c>
      <c r="L21" s="457">
        <f>IFERROR(VLOOKUP($F$1,'FH9'!$C$1:$AM$31,((L$2-5)*2-1),0),"")</f>
        <v>423.20000000000005</v>
      </c>
      <c r="M21" s="457">
        <f>IFERROR(VLOOKUP($F$1,'FH9'!$C$1:$AM$31,((M$2-5)*2-1),0),"")</f>
        <v>480</v>
      </c>
      <c r="N21" s="457">
        <f>IFERROR(VLOOKUP($F$1,'FH9'!$C$1:$AM$31,((N$2-5)*2-1),0),"")</f>
        <v>520.16</v>
      </c>
      <c r="O21" s="457">
        <f>IFERROR(VLOOKUP($F$1,'FH9'!$C$1:$AM$31,((O$2-5)*2-1),0),"")</f>
        <v>574.4</v>
      </c>
      <c r="P21" s="457">
        <f>IFERROR(VLOOKUP($F$1,'FH9'!$C$1:$AM$31,((P$2-5)*2-1),0),"")</f>
        <v>682.88000000000011</v>
      </c>
      <c r="Q21" s="457">
        <f>IFERROR(VLOOKUP($F$1,'FH9'!$C$1:$AM$31,((Q$2-5)*2-1),0),"")</f>
        <v>682.88000000000011</v>
      </c>
      <c r="R21" s="457">
        <f>IFERROR(VLOOKUP($F$1,'FH9'!$C$1:$AM$31,((R$2-5)*2-1),0),"")</f>
        <v>779.84000000000015</v>
      </c>
      <c r="S21" s="457">
        <f>IFERROR(VLOOKUP($F$1,'FH9'!$C$1:$AM$31,((S$2-5)*2-1),0),"")</f>
        <v>779.84000000000015</v>
      </c>
      <c r="T21" s="457">
        <f>IFERROR(VLOOKUP($F$1,'FH9'!$C$1:$AM$31,((T$2-5)*2-1),0),"")</f>
        <v>879.36000000000013</v>
      </c>
      <c r="U21" s="457">
        <f>IFERROR(VLOOKUP($F$1,'FH9'!$C$1:$AM$31,((U$2-5)*2-1),0),"")</f>
        <v>984</v>
      </c>
      <c r="V21" s="457">
        <f>IFERROR(VLOOKUP($F$1,'FH9'!$C$1:$AM$31,((V$2-5)*2-1),0),"")</f>
        <v>984</v>
      </c>
      <c r="W21" s="457">
        <f>IFERROR(VLOOKUP($F$1,'FH9'!$C$1:$AM$31,((W$2-5)*2-1),0),"")</f>
        <v>1080.96</v>
      </c>
    </row>
    <row r="22" spans="1:23" ht="15" customHeight="1" x14ac:dyDescent="0.2">
      <c r="A22" s="305" t="s">
        <v>558</v>
      </c>
      <c r="B22" s="1700" t="s">
        <v>408</v>
      </c>
      <c r="C22" s="499" t="s">
        <v>562</v>
      </c>
      <c r="D22" s="235"/>
      <c r="E22" s="301"/>
      <c r="F22" s="301"/>
      <c r="G22" s="457">
        <f>IFERROR(VLOOKUP($F$1,'FVB3'!$C$1:$AK$24,((G$2-5)*2-1),0),"")</f>
        <v>0</v>
      </c>
      <c r="H22" s="457">
        <f>IFERROR(VLOOKUP($F$1,'FVB3'!$C$1:$AK$24,((H$2-5)*2-1),0),"")</f>
        <v>346</v>
      </c>
      <c r="I22" s="457">
        <f>IFERROR(VLOOKUP($F$1,'FVB3'!$C$1:$AK$24,((I$2-5)*2-1),0),"")</f>
        <v>0</v>
      </c>
      <c r="J22" s="457">
        <f>IFERROR(VLOOKUP($F$1,'FVB3'!$C$1:$AK$24,((J$2-5)*2-1),0),"")</f>
        <v>522</v>
      </c>
      <c r="K22" s="457">
        <f>IFERROR(VLOOKUP($F$1,'FVB3'!$C$1:$AK$24,((K$2-5)*2-1),0),"")</f>
        <v>610</v>
      </c>
      <c r="L22" s="457">
        <f>IFERROR(VLOOKUP($F$1,'FVB3'!$C$1:$AK$24,((L$2-5)*2-1),0),"")</f>
        <v>0</v>
      </c>
      <c r="M22" s="457">
        <f>IFERROR(VLOOKUP($F$1,'FVB3'!$C$1:$AK$24,((M$2-5)*2-1),0),"")</f>
        <v>0</v>
      </c>
      <c r="N22" s="457">
        <f>IFERROR(VLOOKUP($F$1,'FVB3'!$C$1:$AK$24,((N$2-5)*2-1),0),"")</f>
        <v>0</v>
      </c>
      <c r="O22" s="457">
        <f>IFERROR(VLOOKUP($F$1,'FVB3'!$C$1:$AK$24,((O$2-5)*2-1),0),"")</f>
        <v>914</v>
      </c>
      <c r="P22" s="457">
        <f>IFERROR(VLOOKUP($F$1,'FVB3'!$C$1:$AK$24,((P$2-5)*2-1),0),"")</f>
        <v>1037.2</v>
      </c>
      <c r="Q22" s="457">
        <f>IFERROR(VLOOKUP($F$1,'FVB3'!$C$1:$AK$24,((Q$2-5)*2-1),0),"")</f>
        <v>0</v>
      </c>
      <c r="R22" s="457">
        <f>IFERROR(VLOOKUP($F$1,'FVB3'!$C$1:$AK$24,((R$2-5)*2-1),0),"")</f>
        <v>0</v>
      </c>
      <c r="S22" s="457">
        <f>IFERROR(VLOOKUP($F$1,'FVB3'!$C$1:$AK$24,((S$2-5)*2-1),0),"")</f>
        <v>0</v>
      </c>
      <c r="T22" s="457">
        <f>IFERROR(VLOOKUP($F$1,'FVB3'!$C$1:$AK$24,((T$2-5)*2-1),0),"")</f>
        <v>0</v>
      </c>
      <c r="U22" s="457">
        <f>IFERROR(VLOOKUP($F$1,'FVB3'!$C$1:$AK$24,((U$2-5)*2-1),0),"")</f>
        <v>0</v>
      </c>
      <c r="V22" s="457">
        <f>IFERROR(VLOOKUP($F$1,'FVB3'!$C$1:$AK$24,((V$2-5)*2-1),0),"")</f>
        <v>0</v>
      </c>
      <c r="W22" s="457">
        <f>IFERROR(VLOOKUP($F$1,'FVB3'!$C$1:$AK$24,((W$2-5)*2-1),0),"")</f>
        <v>1560.4</v>
      </c>
    </row>
    <row r="23" spans="1:23" ht="15" customHeight="1" x14ac:dyDescent="0.2">
      <c r="A23" s="305" t="s">
        <v>559</v>
      </c>
      <c r="B23" s="1700"/>
      <c r="C23" s="499" t="s">
        <v>654</v>
      </c>
      <c r="D23" s="235"/>
      <c r="E23" s="301"/>
      <c r="F23" s="301"/>
      <c r="G23" s="457">
        <f>IFERROR(VLOOKUP($F$1,'FVB2'!$C$1:$AK$25,((G$2-5)*2-1),0),"")</f>
        <v>0</v>
      </c>
      <c r="H23" s="457">
        <f>IFERROR(VLOOKUP($F$1,'FVB2'!$C$1:$AK$25,((H$2-5)*2-1),0),"")</f>
        <v>116.80000000000001</v>
      </c>
      <c r="I23" s="457">
        <f>IFERROR(VLOOKUP($F$1,'FVB2'!$C$1:$AK$25,((I$2-5)*2-1),0),"")</f>
        <v>0</v>
      </c>
      <c r="J23" s="457">
        <f>IFERROR(VLOOKUP($F$1,'FVB2'!$C$1:$AK$25,((J$2-5)*2-1),0),"")</f>
        <v>192.00000000000003</v>
      </c>
      <c r="K23" s="457">
        <f>IFERROR(VLOOKUP($F$1,'FVB2'!$C$1:$AK$25,((K$2-5)*2-1),0),"")</f>
        <v>213.60000000000002</v>
      </c>
      <c r="L23" s="457">
        <f>IFERROR(VLOOKUP($F$1,'FVB2'!$C$1:$AK$25,((L$2-5)*2-1),0),"")</f>
        <v>0</v>
      </c>
      <c r="M23" s="457">
        <f>IFERROR(VLOOKUP($F$1,'FVB2'!$C$1:$AK$25,((M$2-5)*2-1),0),"")</f>
        <v>0</v>
      </c>
      <c r="N23" s="457">
        <f>IFERROR(VLOOKUP($F$1,'FVB2'!$C$1:$AK$25,((N$2-5)*2-1),0),"")</f>
        <v>0</v>
      </c>
      <c r="O23" s="457">
        <f>IFERROR(VLOOKUP($F$1,'FVB2'!$C$1:$AK$25,((O$2-5)*2-1),0),"")</f>
        <v>344.00000000000006</v>
      </c>
      <c r="P23" s="457">
        <f>IFERROR(VLOOKUP($F$1,'FVB2'!$C$1:$AK$25,((P$2-5)*2-1),0),"")</f>
        <v>387.20000000000005</v>
      </c>
      <c r="Q23" s="457">
        <f>IFERROR(VLOOKUP($F$1,'FVB2'!$C$1:$AK$25,((Q$2-5)*2-1),0),"")</f>
        <v>0</v>
      </c>
      <c r="R23" s="457">
        <f>IFERROR(VLOOKUP($F$1,'FVB2'!$C$1:$AK$25,((R$2-5)*2-1),0),"")</f>
        <v>0</v>
      </c>
      <c r="S23" s="457">
        <f>IFERROR(VLOOKUP($F$1,'FVB2'!$C$1:$AK$25,((S$2-5)*2-1),0),"")</f>
        <v>0</v>
      </c>
      <c r="T23" s="457">
        <f>IFERROR(VLOOKUP($F$1,'FVB2'!$C$1:$AK$25,((T$2-5)*2-1),0),"")</f>
        <v>0</v>
      </c>
      <c r="U23" s="457">
        <f>IFERROR(VLOOKUP($F$1,'FVB2'!$C$1:$AK$25,((U$2-5)*2-1),0),"")</f>
        <v>0</v>
      </c>
      <c r="V23" s="457">
        <f>IFERROR(VLOOKUP($F$1,'FVB2'!$C$1:$AK$25,((V$2-5)*2-1),0),"")</f>
        <v>0</v>
      </c>
      <c r="W23" s="457">
        <f>IFERROR(VLOOKUP($F$1,'FVB2'!$C$1:$AK$25,((W$2-5)*2-1),0),"")</f>
        <v>652</v>
      </c>
    </row>
    <row r="24" spans="1:23" ht="15" customHeight="1" x14ac:dyDescent="0.2">
      <c r="A24" s="305" t="s">
        <v>560</v>
      </c>
      <c r="B24" s="1668"/>
      <c r="C24" s="498" t="s">
        <v>523</v>
      </c>
      <c r="D24" s="235"/>
      <c r="E24" s="301" t="s">
        <v>223</v>
      </c>
      <c r="F24" s="301"/>
      <c r="G24" s="457">
        <f>IFERROR(VLOOKUP($F$1,'FVB1'!$C$1:$AK$25,((G$2-5)*2-1),0),"")</f>
        <v>0</v>
      </c>
      <c r="H24" s="457">
        <f>IFERROR(VLOOKUP($F$1,'FVB1'!$C$1:$AK$25,((H$2-5)*2-1),0),"")</f>
        <v>158.80000000000001</v>
      </c>
      <c r="I24" s="457">
        <f>IFERROR(VLOOKUP($F$1,'FVB1'!$C$1:$AK$25,((I$2-5)*2-1),0),"")</f>
        <v>0</v>
      </c>
      <c r="J24" s="457">
        <f>IFERROR(VLOOKUP($F$1,'FVB1'!$C$1:$AK$25,((J$2-5)*2-1),0),"")</f>
        <v>278</v>
      </c>
      <c r="K24" s="457">
        <f>IFERROR(VLOOKUP($F$1,'FVB1'!$C$1:$AK$25,((K$2-5)*2-1),0),"")</f>
        <v>291.20000000000005</v>
      </c>
      <c r="L24" s="457">
        <f>IFERROR(VLOOKUP($F$1,'FVB1'!$C$1:$AK$25,((L$2-5)*2-1),0),"")</f>
        <v>0</v>
      </c>
      <c r="M24" s="457">
        <f>IFERROR(VLOOKUP($F$1,'FVB1'!$C$1:$AK$25,((M$2-5)*2-1),0),"")</f>
        <v>0</v>
      </c>
      <c r="N24" s="457">
        <f>IFERROR(VLOOKUP($F$1,'FVB1'!$C$1:$AK$25,((N$2-5)*2-1),0),"")</f>
        <v>0</v>
      </c>
      <c r="O24" s="457">
        <f>IFERROR(VLOOKUP($F$1,'FVB1'!$C$1:$AK$25,((O$2-5)*2-1),0),"")</f>
        <v>556</v>
      </c>
      <c r="P24" s="457">
        <f>IFERROR(VLOOKUP($F$1,'FVB1'!$C$1:$AK$25,((P$2-5)*2-1),0),"")</f>
        <v>635.20000000000005</v>
      </c>
      <c r="Q24" s="457">
        <f>IFERROR(VLOOKUP($F$1,'FVB1'!$C$1:$AK$25,((Q$2-5)*2-1),0),"")</f>
        <v>0</v>
      </c>
      <c r="R24" s="457">
        <f>IFERROR(VLOOKUP($F$1,'FVB1'!$C$1:$AK$25,((R$2-5)*2-1),0),"")</f>
        <v>0</v>
      </c>
      <c r="S24" s="457">
        <f>IFERROR(VLOOKUP($F$1,'FVB1'!$C$1:$AK$25,((S$2-5)*2-1),0),"")</f>
        <v>0</v>
      </c>
      <c r="T24" s="457">
        <f>IFERROR(VLOOKUP($F$1,'FVB1'!$C$1:$AK$25,((T$2-5)*2-1),0),"")</f>
        <v>0</v>
      </c>
      <c r="U24" s="457">
        <f>IFERROR(VLOOKUP($F$1,'FVB1'!$C$1:$AK$25,((U$2-5)*2-1),0),"")</f>
        <v>0</v>
      </c>
      <c r="V24" s="457">
        <f>IFERROR(VLOOKUP($F$1,'FVB1'!$C$1:$AK$25,((V$2-5)*2-1),0),"")</f>
        <v>0</v>
      </c>
      <c r="W24" s="457">
        <f>IFERROR(VLOOKUP($F$1,'FVB1'!$C$1:$AK$25,((W$2-5)*2-1),0),"")</f>
        <v>1232</v>
      </c>
    </row>
    <row r="25" spans="1:23" ht="15" customHeight="1" x14ac:dyDescent="0.2">
      <c r="A25" s="305" t="s">
        <v>564</v>
      </c>
      <c r="B25" s="1701" t="s">
        <v>565</v>
      </c>
      <c r="C25" s="498" t="s">
        <v>566</v>
      </c>
      <c r="D25" s="235"/>
      <c r="E25" s="301">
        <f>'Zones d''infiltration'!I50</f>
        <v>130.19999999999999</v>
      </c>
      <c r="F25" s="301"/>
      <c r="G25" s="457"/>
      <c r="H25" s="457"/>
      <c r="I25" s="457"/>
      <c r="J25" s="457"/>
      <c r="K25" s="457"/>
      <c r="L25" s="457"/>
      <c r="M25" s="457"/>
      <c r="N25" s="457"/>
      <c r="O25" s="457"/>
      <c r="P25" s="457"/>
      <c r="Q25" s="457"/>
      <c r="R25" s="457"/>
      <c r="S25" s="457"/>
      <c r="T25" s="457"/>
      <c r="U25" s="457"/>
      <c r="V25" s="457"/>
      <c r="W25" s="457"/>
    </row>
    <row r="26" spans="1:23" x14ac:dyDescent="0.2">
      <c r="A26" s="308" t="s">
        <v>567</v>
      </c>
      <c r="B26" s="1702"/>
      <c r="C26" s="498" t="s">
        <v>568</v>
      </c>
      <c r="D26" s="235"/>
      <c r="E26" s="301">
        <f>'Zones d''infiltration'!K50</f>
        <v>0</v>
      </c>
      <c r="F26" s="301"/>
      <c r="G26" s="457"/>
      <c r="H26" s="457"/>
      <c r="I26" s="457"/>
      <c r="J26" s="457"/>
      <c r="K26" s="457"/>
      <c r="L26" s="457"/>
      <c r="M26" s="457"/>
      <c r="N26" s="457"/>
      <c r="O26" s="457"/>
      <c r="P26" s="457"/>
      <c r="Q26" s="457"/>
      <c r="R26" s="457"/>
      <c r="S26" s="457"/>
      <c r="T26" s="457"/>
      <c r="U26" s="457"/>
      <c r="V26" s="457"/>
      <c r="W26" s="457"/>
    </row>
    <row r="27" spans="1:23" x14ac:dyDescent="0.2">
      <c r="A27" s="305" t="s">
        <v>1191</v>
      </c>
      <c r="B27" s="1673" t="s">
        <v>569</v>
      </c>
      <c r="C27" s="498" t="s">
        <v>1194</v>
      </c>
      <c r="D27" s="235"/>
      <c r="E27" s="301">
        <f>'Zones d''infiltration'!E50</f>
        <v>0</v>
      </c>
      <c r="F27" s="301"/>
      <c r="G27" s="457"/>
      <c r="H27" s="457"/>
      <c r="I27" s="457"/>
      <c r="J27" s="457"/>
      <c r="K27" s="457"/>
      <c r="L27" s="457"/>
      <c r="M27" s="457"/>
      <c r="N27" s="457"/>
      <c r="O27" s="457"/>
      <c r="P27" s="457"/>
      <c r="Q27" s="457"/>
      <c r="R27" s="457"/>
      <c r="S27" s="457"/>
      <c r="T27" s="457"/>
      <c r="U27" s="457"/>
      <c r="V27" s="457"/>
      <c r="W27" s="457"/>
    </row>
    <row r="28" spans="1:23" ht="15" customHeight="1" x14ac:dyDescent="0.2">
      <c r="A28" s="305" t="s">
        <v>1192</v>
      </c>
      <c r="B28" s="1674"/>
      <c r="C28" s="498" t="s">
        <v>1193</v>
      </c>
      <c r="D28" s="235"/>
      <c r="E28" s="301">
        <f>'Zones d''infiltration'!G50</f>
        <v>0</v>
      </c>
      <c r="F28" s="301"/>
      <c r="G28" s="457"/>
      <c r="H28" s="457"/>
      <c r="I28" s="457"/>
      <c r="J28" s="457"/>
      <c r="K28" s="457"/>
      <c r="L28" s="457"/>
      <c r="M28" s="457"/>
      <c r="N28" s="457"/>
      <c r="O28" s="457"/>
      <c r="P28" s="457"/>
      <c r="Q28" s="457"/>
      <c r="R28" s="457"/>
      <c r="S28" s="457"/>
      <c r="T28" s="457"/>
      <c r="U28" s="457"/>
      <c r="V28" s="457"/>
      <c r="W28" s="457"/>
    </row>
    <row r="29" spans="1:23" ht="15" customHeight="1" x14ac:dyDescent="0.2">
      <c r="A29" s="308"/>
      <c r="B29" s="295"/>
      <c r="C29" s="498"/>
      <c r="D29" s="235"/>
      <c r="E29" s="301"/>
      <c r="F29" s="301"/>
      <c r="G29" s="457"/>
      <c r="H29" s="457"/>
      <c r="I29" s="457"/>
      <c r="J29" s="457"/>
      <c r="K29" s="457"/>
      <c r="L29" s="457"/>
      <c r="M29" s="457"/>
      <c r="N29" s="457"/>
      <c r="O29" s="457"/>
      <c r="P29" s="457"/>
      <c r="Q29" s="457"/>
      <c r="R29" s="457"/>
      <c r="S29" s="457"/>
      <c r="T29" s="457"/>
      <c r="U29" s="457"/>
      <c r="V29" s="457"/>
      <c r="W29" s="457"/>
    </row>
    <row r="30" spans="1:23" ht="15" customHeight="1" x14ac:dyDescent="0.2">
      <c r="A30" s="473"/>
      <c r="B30" s="474"/>
      <c r="C30" s="475"/>
      <c r="D30" s="392"/>
      <c r="E30" s="476"/>
      <c r="F30" s="476"/>
      <c r="G30" s="477"/>
      <c r="H30" s="477"/>
      <c r="I30" s="477"/>
      <c r="J30" s="477"/>
      <c r="K30" s="477"/>
      <c r="L30" s="477"/>
      <c r="M30" s="477"/>
      <c r="N30" s="477"/>
      <c r="O30" s="477"/>
      <c r="P30" s="477"/>
      <c r="Q30" s="477"/>
      <c r="R30" s="477"/>
      <c r="S30" s="477"/>
      <c r="T30" s="477"/>
      <c r="U30" s="477"/>
      <c r="V30" s="477"/>
      <c r="W30" s="477"/>
    </row>
    <row r="31" spans="1:23" ht="15" customHeight="1" x14ac:dyDescent="0.2">
      <c r="A31" s="478"/>
      <c r="B31" s="337"/>
      <c r="C31" s="337"/>
      <c r="D31" s="337"/>
      <c r="E31" s="476"/>
      <c r="F31" s="476"/>
      <c r="G31" s="477"/>
      <c r="H31" s="477"/>
      <c r="I31" s="477"/>
      <c r="J31" s="477"/>
      <c r="K31" s="477"/>
      <c r="L31" s="477"/>
      <c r="M31" s="477"/>
      <c r="N31" s="477"/>
      <c r="O31" s="477"/>
      <c r="P31" s="477"/>
      <c r="Q31" s="477"/>
      <c r="R31" s="477"/>
      <c r="S31" s="477"/>
      <c r="T31" s="477"/>
      <c r="U31" s="477"/>
      <c r="V31" s="477"/>
      <c r="W31" s="477"/>
    </row>
    <row r="32" spans="1:23" ht="15" customHeight="1" x14ac:dyDescent="0.2">
      <c r="A32" s="308" t="s">
        <v>571</v>
      </c>
      <c r="B32" s="1686" t="s">
        <v>572</v>
      </c>
      <c r="C32" s="498" t="s">
        <v>665</v>
      </c>
      <c r="D32" s="235" t="s">
        <v>577</v>
      </c>
      <c r="E32" s="301">
        <f>Habillage!E40</f>
        <v>0</v>
      </c>
      <c r="F32" s="301"/>
      <c r="G32" s="457"/>
      <c r="H32" s="457"/>
      <c r="I32" s="457"/>
      <c r="J32" s="457"/>
      <c r="K32" s="457"/>
      <c r="L32" s="457"/>
      <c r="M32" s="457"/>
      <c r="N32" s="457"/>
      <c r="O32" s="457"/>
      <c r="P32" s="457"/>
      <c r="Q32" s="457"/>
      <c r="R32" s="457"/>
      <c r="S32" s="457"/>
      <c r="T32" s="457"/>
      <c r="U32" s="457"/>
      <c r="V32" s="457"/>
      <c r="W32" s="457"/>
    </row>
    <row r="33" spans="1:23" ht="15" customHeight="1" x14ac:dyDescent="0.2">
      <c r="A33" s="308" t="s">
        <v>574</v>
      </c>
      <c r="B33" s="1687"/>
      <c r="C33" s="498" t="s">
        <v>408</v>
      </c>
      <c r="D33" s="235" t="s">
        <v>575</v>
      </c>
      <c r="E33" s="301">
        <f>Habillage!G40</f>
        <v>0</v>
      </c>
      <c r="F33" s="301"/>
      <c r="G33" s="457"/>
      <c r="H33" s="457"/>
      <c r="I33" s="457"/>
      <c r="J33" s="457"/>
      <c r="K33" s="457"/>
      <c r="L33" s="457"/>
      <c r="M33" s="457"/>
      <c r="N33" s="457"/>
      <c r="O33" s="457"/>
      <c r="P33" s="457"/>
      <c r="Q33" s="457"/>
      <c r="R33" s="457"/>
      <c r="S33" s="457"/>
      <c r="T33" s="457"/>
      <c r="U33" s="457"/>
      <c r="V33" s="457"/>
      <c r="W33" s="457"/>
    </row>
    <row r="34" spans="1:23" ht="15" customHeight="1" x14ac:dyDescent="0.2">
      <c r="A34" s="308" t="s">
        <v>576</v>
      </c>
      <c r="B34" s="1687"/>
      <c r="C34" s="498" t="s">
        <v>664</v>
      </c>
      <c r="D34" s="235" t="s">
        <v>573</v>
      </c>
      <c r="E34" s="301">
        <f>Habillage!I40</f>
        <v>0</v>
      </c>
      <c r="F34" s="301"/>
      <c r="G34" s="457"/>
      <c r="H34" s="457"/>
      <c r="I34" s="457"/>
      <c r="J34" s="457"/>
      <c r="K34" s="457"/>
      <c r="L34" s="457"/>
      <c r="M34" s="457"/>
      <c r="N34" s="457"/>
      <c r="O34" s="457"/>
      <c r="P34" s="457"/>
      <c r="Q34" s="457"/>
      <c r="R34" s="457"/>
      <c r="S34" s="457"/>
      <c r="T34" s="457"/>
      <c r="U34" s="457"/>
      <c r="V34" s="457"/>
      <c r="W34" s="457"/>
    </row>
    <row r="35" spans="1:23" ht="15" customHeight="1" x14ac:dyDescent="0.2">
      <c r="A35" s="308" t="s">
        <v>578</v>
      </c>
      <c r="B35" s="1687"/>
      <c r="C35" s="498" t="s">
        <v>579</v>
      </c>
      <c r="D35" s="472" t="s">
        <v>580</v>
      </c>
      <c r="E35" s="301" t="e">
        <f>Habillage!L40</f>
        <v>#DIV/0!</v>
      </c>
      <c r="F35" s="301"/>
      <c r="G35" s="457"/>
      <c r="H35" s="457"/>
      <c r="I35" s="457"/>
      <c r="J35" s="457"/>
      <c r="K35" s="457"/>
      <c r="L35" s="457"/>
      <c r="M35" s="457"/>
      <c r="N35" s="457"/>
      <c r="O35" s="457"/>
      <c r="P35" s="457"/>
      <c r="Q35" s="457"/>
      <c r="R35" s="457"/>
      <c r="S35" s="457"/>
      <c r="T35" s="457"/>
      <c r="U35" s="457"/>
      <c r="V35" s="457"/>
      <c r="W35" s="457"/>
    </row>
    <row r="36" spans="1:23" ht="15" customHeight="1" x14ac:dyDescent="0.2">
      <c r="A36" s="308" t="s">
        <v>581</v>
      </c>
      <c r="B36" s="1688"/>
      <c r="C36" s="498" t="s">
        <v>666</v>
      </c>
      <c r="D36" s="472" t="s">
        <v>582</v>
      </c>
      <c r="E36" s="301" t="e">
        <f>Habillage!#REF!</f>
        <v>#REF!</v>
      </c>
      <c r="F36" s="301"/>
      <c r="G36" s="457"/>
      <c r="H36" s="457"/>
      <c r="I36" s="457"/>
      <c r="J36" s="457"/>
      <c r="K36" s="457"/>
      <c r="L36" s="457"/>
      <c r="M36" s="457"/>
      <c r="N36" s="457"/>
      <c r="O36" s="457"/>
      <c r="P36" s="457"/>
      <c r="Q36" s="457"/>
      <c r="R36" s="457"/>
      <c r="S36" s="457"/>
      <c r="T36" s="457"/>
      <c r="U36" s="457"/>
      <c r="V36" s="457"/>
      <c r="W36" s="457"/>
    </row>
    <row r="37" spans="1:23" ht="15" customHeight="1" x14ac:dyDescent="0.2">
      <c r="A37" s="308"/>
      <c r="B37" s="298"/>
      <c r="C37" s="297"/>
      <c r="D37" s="158"/>
      <c r="E37" s="301"/>
      <c r="F37" s="301"/>
      <c r="G37" s="457"/>
      <c r="H37" s="457"/>
      <c r="I37" s="457"/>
      <c r="J37" s="457"/>
      <c r="K37" s="457"/>
      <c r="L37" s="457"/>
      <c r="M37" s="457"/>
      <c r="N37" s="457"/>
      <c r="O37" s="457"/>
      <c r="P37" s="457"/>
      <c r="Q37" s="457"/>
      <c r="R37" s="457"/>
      <c r="S37" s="457"/>
      <c r="T37" s="457"/>
      <c r="U37" s="457"/>
      <c r="V37" s="457"/>
      <c r="W37" s="457"/>
    </row>
    <row r="38" spans="1:23" ht="15" customHeight="1" x14ac:dyDescent="0.2">
      <c r="A38" s="308" t="s">
        <v>583</v>
      </c>
      <c r="B38" s="1658" t="s">
        <v>487</v>
      </c>
      <c r="C38" s="573" t="s">
        <v>584</v>
      </c>
      <c r="D38" s="235" t="s">
        <v>1410</v>
      </c>
      <c r="E38" s="301">
        <f>Finitions!E54</f>
        <v>0</v>
      </c>
      <c r="F38" s="301"/>
      <c r="G38" s="457"/>
      <c r="H38" s="457"/>
      <c r="I38" s="457"/>
      <c r="J38" s="457"/>
      <c r="K38" s="457"/>
      <c r="L38" s="457"/>
      <c r="M38" s="457"/>
      <c r="N38" s="457"/>
      <c r="O38" s="457"/>
      <c r="P38" s="457"/>
      <c r="Q38" s="457"/>
      <c r="R38" s="457"/>
      <c r="S38" s="457"/>
      <c r="T38" s="457"/>
      <c r="U38" s="457"/>
      <c r="V38" s="457"/>
      <c r="W38" s="457"/>
    </row>
    <row r="39" spans="1:23" ht="15" customHeight="1" x14ac:dyDescent="0.2">
      <c r="A39" s="308" t="s">
        <v>585</v>
      </c>
      <c r="B39" s="1659"/>
      <c r="C39" s="573" t="s">
        <v>1521</v>
      </c>
      <c r="D39" s="235" t="s">
        <v>1520</v>
      </c>
      <c r="E39" s="301">
        <f>Finitions!G54</f>
        <v>0</v>
      </c>
      <c r="F39" s="301"/>
      <c r="G39" s="457"/>
      <c r="H39" s="457"/>
      <c r="I39" s="457"/>
      <c r="J39" s="457"/>
      <c r="K39" s="457"/>
      <c r="L39" s="457"/>
      <c r="M39" s="457"/>
      <c r="N39" s="457"/>
      <c r="O39" s="457"/>
      <c r="P39" s="457"/>
      <c r="Q39" s="457"/>
      <c r="R39" s="457"/>
      <c r="S39" s="457"/>
      <c r="T39" s="457"/>
      <c r="U39" s="457"/>
      <c r="V39" s="457"/>
      <c r="W39" s="457"/>
    </row>
    <row r="40" spans="1:23" ht="15" customHeight="1" x14ac:dyDescent="0.2">
      <c r="A40" s="308" t="s">
        <v>586</v>
      </c>
      <c r="B40" s="1659"/>
      <c r="C40" s="573" t="s">
        <v>667</v>
      </c>
      <c r="D40" s="235" t="s">
        <v>668</v>
      </c>
      <c r="E40" s="301">
        <f>Finitions!I54</f>
        <v>0</v>
      </c>
      <c r="F40" s="301"/>
      <c r="G40" s="457"/>
      <c r="H40" s="457"/>
      <c r="I40" s="457"/>
      <c r="J40" s="457"/>
      <c r="K40" s="457"/>
      <c r="L40" s="457"/>
      <c r="M40" s="457"/>
      <c r="N40" s="457"/>
      <c r="O40" s="457"/>
      <c r="P40" s="457"/>
      <c r="Q40" s="457"/>
      <c r="R40" s="457"/>
      <c r="S40" s="457"/>
      <c r="T40" s="457"/>
      <c r="U40" s="457"/>
      <c r="V40" s="457"/>
      <c r="W40" s="457"/>
    </row>
    <row r="41" spans="1:23" ht="15" customHeight="1" x14ac:dyDescent="0.2">
      <c r="A41" s="308" t="s">
        <v>587</v>
      </c>
      <c r="B41" s="1659"/>
      <c r="C41" s="573" t="s">
        <v>667</v>
      </c>
      <c r="D41" s="235" t="s">
        <v>1522</v>
      </c>
      <c r="E41" s="301">
        <f>Finitions!K54</f>
        <v>0</v>
      </c>
      <c r="F41" s="301"/>
      <c r="G41" s="457"/>
      <c r="H41" s="457"/>
      <c r="I41" s="457"/>
      <c r="J41" s="457"/>
      <c r="K41" s="457"/>
      <c r="L41" s="457"/>
      <c r="M41" s="457"/>
      <c r="N41" s="457"/>
      <c r="O41" s="457"/>
      <c r="P41" s="457"/>
      <c r="Q41" s="457"/>
      <c r="R41" s="457"/>
      <c r="S41" s="457"/>
      <c r="T41" s="457"/>
      <c r="U41" s="457"/>
      <c r="V41" s="457"/>
      <c r="W41" s="457"/>
    </row>
    <row r="42" spans="1:23" ht="15" customHeight="1" x14ac:dyDescent="0.2">
      <c r="A42" s="308" t="s">
        <v>588</v>
      </c>
      <c r="B42" s="1659"/>
      <c r="C42" s="573" t="s">
        <v>1523</v>
      </c>
      <c r="D42" s="235" t="s">
        <v>1407</v>
      </c>
      <c r="E42" s="301">
        <f>Finitions!M54</f>
        <v>0</v>
      </c>
      <c r="F42" s="301"/>
      <c r="G42" s="457"/>
      <c r="H42" s="457"/>
      <c r="I42" s="457"/>
      <c r="J42" s="457"/>
      <c r="K42" s="457"/>
      <c r="L42" s="457"/>
      <c r="M42" s="457"/>
      <c r="N42" s="457"/>
      <c r="O42" s="457"/>
      <c r="P42" s="457"/>
      <c r="Q42" s="457"/>
      <c r="R42" s="457"/>
      <c r="S42" s="457"/>
      <c r="T42" s="457"/>
      <c r="U42" s="457"/>
      <c r="V42" s="457"/>
      <c r="W42" s="457"/>
    </row>
    <row r="43" spans="1:23" ht="15" customHeight="1" x14ac:dyDescent="0.2">
      <c r="A43" s="308" t="s">
        <v>1402</v>
      </c>
      <c r="B43" s="1659"/>
      <c r="C43" s="573" t="s">
        <v>1524</v>
      </c>
      <c r="D43" s="235" t="s">
        <v>1325</v>
      </c>
      <c r="E43" s="301">
        <f>Finitions!O54</f>
        <v>0</v>
      </c>
      <c r="F43" s="301"/>
      <c r="G43" s="457"/>
      <c r="H43" s="457"/>
      <c r="I43" s="457"/>
      <c r="J43" s="457"/>
      <c r="K43" s="457"/>
      <c r="L43" s="457"/>
      <c r="M43" s="457"/>
      <c r="N43" s="457"/>
      <c r="O43" s="457"/>
      <c r="P43" s="457"/>
      <c r="Q43" s="457"/>
      <c r="R43" s="457"/>
      <c r="S43" s="457"/>
      <c r="T43" s="457"/>
      <c r="U43" s="457"/>
      <c r="V43" s="457"/>
      <c r="W43" s="457"/>
    </row>
    <row r="44" spans="1:23" ht="15" customHeight="1" x14ac:dyDescent="0.2">
      <c r="A44" s="308" t="s">
        <v>1405</v>
      </c>
      <c r="B44" s="1659"/>
      <c r="C44" s="573"/>
      <c r="D44" s="235"/>
      <c r="E44" s="301" t="e">
        <f>Finitions!#REF!</f>
        <v>#REF!</v>
      </c>
      <c r="F44" s="301"/>
      <c r="G44" s="457"/>
      <c r="H44" s="457"/>
      <c r="I44" s="457"/>
      <c r="J44" s="457"/>
      <c r="K44" s="457"/>
      <c r="L44" s="457"/>
      <c r="M44" s="457"/>
      <c r="N44" s="457"/>
      <c r="O44" s="457"/>
      <c r="P44" s="457"/>
      <c r="Q44" s="457"/>
      <c r="R44" s="457"/>
      <c r="S44" s="457"/>
      <c r="T44" s="457"/>
      <c r="U44" s="457"/>
      <c r="V44" s="457"/>
      <c r="W44" s="457"/>
    </row>
    <row r="45" spans="1:23" ht="15" customHeight="1" x14ac:dyDescent="0.2">
      <c r="A45" s="308" t="s">
        <v>1409</v>
      </c>
      <c r="B45" s="1659"/>
      <c r="C45" s="573" t="s">
        <v>399</v>
      </c>
      <c r="D45" s="235" t="s">
        <v>1406</v>
      </c>
      <c r="E45" s="301">
        <f>Finitions!S54</f>
        <v>0</v>
      </c>
      <c r="F45" s="301"/>
      <c r="G45" s="457"/>
      <c r="H45" s="457"/>
      <c r="I45" s="457"/>
      <c r="J45" s="457"/>
      <c r="K45" s="457"/>
      <c r="L45" s="457"/>
      <c r="M45" s="457"/>
      <c r="N45" s="457"/>
      <c r="O45" s="457"/>
      <c r="P45" s="457"/>
      <c r="Q45" s="457"/>
      <c r="R45" s="457"/>
      <c r="S45" s="457"/>
      <c r="T45" s="457"/>
      <c r="U45" s="457"/>
      <c r="V45" s="457"/>
      <c r="W45" s="457"/>
    </row>
    <row r="46" spans="1:23" ht="15" customHeight="1" x14ac:dyDescent="0.2">
      <c r="A46" s="308" t="s">
        <v>1411</v>
      </c>
      <c r="B46" s="1660"/>
      <c r="C46" s="573" t="s">
        <v>399</v>
      </c>
      <c r="D46" s="235" t="s">
        <v>1525</v>
      </c>
      <c r="E46" s="301" t="e">
        <f>Finitions!U54</f>
        <v>#REF!</v>
      </c>
      <c r="F46" s="301"/>
      <c r="G46" s="457"/>
      <c r="H46" s="457"/>
      <c r="I46" s="457"/>
      <c r="J46" s="457"/>
      <c r="K46" s="457"/>
      <c r="L46" s="457"/>
      <c r="M46" s="457"/>
      <c r="N46" s="457"/>
      <c r="O46" s="457"/>
      <c r="P46" s="457"/>
      <c r="Q46" s="457"/>
      <c r="R46" s="457"/>
      <c r="S46" s="457"/>
      <c r="T46" s="457"/>
      <c r="U46" s="457"/>
      <c r="V46" s="457"/>
      <c r="W46" s="457"/>
    </row>
    <row r="47" spans="1:23" ht="15" customHeight="1" x14ac:dyDescent="0.2">
      <c r="A47" s="308"/>
      <c r="B47" s="299"/>
      <c r="C47" s="297"/>
      <c r="D47" s="158"/>
      <c r="E47" s="301"/>
      <c r="F47" s="301"/>
      <c r="G47" s="457"/>
      <c r="H47" s="457"/>
      <c r="I47" s="457"/>
      <c r="J47" s="457"/>
      <c r="K47" s="457"/>
      <c r="L47" s="457"/>
      <c r="M47" s="457"/>
      <c r="N47" s="457"/>
      <c r="O47" s="457"/>
      <c r="P47" s="457"/>
      <c r="Q47" s="457"/>
      <c r="R47" s="457"/>
      <c r="S47" s="457"/>
      <c r="T47" s="457"/>
      <c r="U47" s="457"/>
      <c r="V47" s="457"/>
      <c r="W47" s="457"/>
    </row>
    <row r="48" spans="1:23" ht="15" customHeight="1" x14ac:dyDescent="0.2">
      <c r="A48" s="308" t="s">
        <v>589</v>
      </c>
      <c r="B48" s="1703" t="s">
        <v>590</v>
      </c>
      <c r="C48" s="498"/>
      <c r="D48" s="472" t="s">
        <v>591</v>
      </c>
      <c r="E48" s="301"/>
      <c r="F48" s="301"/>
      <c r="G48" s="457"/>
      <c r="H48" s="457"/>
      <c r="I48" s="457"/>
      <c r="J48" s="457"/>
      <c r="K48" s="457"/>
      <c r="L48" s="457"/>
      <c r="M48" s="457"/>
      <c r="N48" s="457"/>
      <c r="O48" s="457"/>
      <c r="P48" s="457"/>
      <c r="Q48" s="457"/>
      <c r="R48" s="457"/>
      <c r="S48" s="457"/>
      <c r="T48" s="457"/>
      <c r="U48" s="457"/>
      <c r="V48" s="457"/>
      <c r="W48" s="457"/>
    </row>
    <row r="49" spans="1:23" ht="15" customHeight="1" x14ac:dyDescent="0.2">
      <c r="A49" s="308" t="s">
        <v>592</v>
      </c>
      <c r="B49" s="1704"/>
      <c r="C49" s="498"/>
      <c r="D49" s="472" t="s">
        <v>593</v>
      </c>
      <c r="E49" s="301"/>
      <c r="F49" s="301"/>
      <c r="G49" s="457"/>
      <c r="H49" s="457"/>
      <c r="I49" s="457"/>
      <c r="J49" s="457"/>
      <c r="K49" s="457"/>
      <c r="L49" s="457"/>
      <c r="M49" s="457"/>
      <c r="N49" s="457"/>
      <c r="O49" s="457"/>
      <c r="P49" s="457"/>
      <c r="Q49" s="457"/>
      <c r="R49" s="457"/>
      <c r="S49" s="457"/>
      <c r="T49" s="457"/>
      <c r="U49" s="457"/>
      <c r="V49" s="457"/>
      <c r="W49" s="457"/>
    </row>
    <row r="50" spans="1:23" ht="15" customHeight="1" x14ac:dyDescent="0.2">
      <c r="A50" s="308" t="s">
        <v>594</v>
      </c>
      <c r="B50" s="1704"/>
      <c r="C50" s="498"/>
      <c r="D50" s="472" t="s">
        <v>595</v>
      </c>
      <c r="E50" s="301"/>
      <c r="F50" s="301"/>
      <c r="G50" s="457"/>
      <c r="H50" s="457"/>
      <c r="I50" s="457"/>
      <c r="J50" s="457"/>
      <c r="K50" s="457"/>
      <c r="L50" s="457"/>
      <c r="M50" s="457"/>
      <c r="N50" s="457"/>
      <c r="O50" s="457"/>
      <c r="P50" s="457"/>
      <c r="Q50" s="457"/>
      <c r="R50" s="457"/>
      <c r="S50" s="457"/>
      <c r="T50" s="457"/>
      <c r="U50" s="457"/>
      <c r="V50" s="457"/>
      <c r="W50" s="457"/>
    </row>
    <row r="51" spans="1:23" ht="15" customHeight="1" x14ac:dyDescent="0.2">
      <c r="A51" s="308" t="s">
        <v>596</v>
      </c>
      <c r="B51" s="1705"/>
      <c r="C51" s="498"/>
      <c r="D51" s="472" t="s">
        <v>597</v>
      </c>
      <c r="E51" s="301">
        <f>VLOOKUP("Prix HT",'Bandes de propreté'!C1:L64,9,0)</f>
        <v>11.476980000000001</v>
      </c>
      <c r="F51" s="301">
        <f>VLOOKUP("RECAP MINIPELLE",'Bandes de propreté'!B1:M64,10,0)</f>
        <v>6.4</v>
      </c>
      <c r="G51" s="457"/>
      <c r="H51" s="457"/>
      <c r="I51" s="457"/>
      <c r="J51" s="457"/>
      <c r="K51" s="457"/>
      <c r="L51" s="457"/>
      <c r="M51" s="457"/>
      <c r="N51" s="457"/>
      <c r="O51" s="457"/>
      <c r="P51" s="457"/>
      <c r="Q51" s="457"/>
      <c r="R51" s="457"/>
      <c r="S51" s="457"/>
      <c r="T51" s="457"/>
      <c r="U51" s="457"/>
      <c r="V51" s="457"/>
      <c r="W51" s="457"/>
    </row>
    <row r="52" spans="1:23" ht="15" customHeight="1" x14ac:dyDescent="0.2">
      <c r="A52" s="308"/>
      <c r="B52" s="298"/>
      <c r="C52" s="297"/>
      <c r="D52" s="158"/>
      <c r="E52" s="301"/>
      <c r="F52" s="301"/>
      <c r="G52" s="457"/>
      <c r="H52" s="457"/>
      <c r="I52" s="457"/>
      <c r="J52" s="457"/>
      <c r="K52" s="457"/>
      <c r="L52" s="457"/>
      <c r="M52" s="457"/>
      <c r="N52" s="457"/>
      <c r="O52" s="457"/>
      <c r="P52" s="457"/>
      <c r="Q52" s="457"/>
      <c r="R52" s="457"/>
      <c r="S52" s="457"/>
      <c r="T52" s="457"/>
      <c r="U52" s="457"/>
      <c r="V52" s="457"/>
      <c r="W52" s="457"/>
    </row>
    <row r="53" spans="1:23" ht="15" customHeight="1" x14ac:dyDescent="0.2">
      <c r="A53" s="308" t="s">
        <v>598</v>
      </c>
      <c r="B53" s="1706" t="s">
        <v>599</v>
      </c>
      <c r="C53" s="1672" t="s">
        <v>600</v>
      </c>
      <c r="D53" s="472" t="s">
        <v>601</v>
      </c>
      <c r="E53" s="301"/>
      <c r="F53" s="301"/>
      <c r="G53" s="457"/>
      <c r="H53" s="457"/>
      <c r="I53" s="457"/>
      <c r="J53" s="457"/>
      <c r="K53" s="457"/>
      <c r="L53" s="457"/>
      <c r="M53" s="457"/>
      <c r="N53" s="457"/>
      <c r="O53" s="457"/>
      <c r="P53" s="457"/>
      <c r="Q53" s="457"/>
      <c r="R53" s="457"/>
      <c r="S53" s="457"/>
      <c r="T53" s="457"/>
      <c r="U53" s="457"/>
      <c r="V53" s="457"/>
      <c r="W53" s="457"/>
    </row>
    <row r="54" spans="1:23" ht="15" customHeight="1" x14ac:dyDescent="0.2">
      <c r="A54" s="308" t="s">
        <v>514</v>
      </c>
      <c r="B54" s="1707"/>
      <c r="C54" s="1684"/>
      <c r="D54" s="472" t="s">
        <v>669</v>
      </c>
      <c r="E54" s="301"/>
      <c r="F54" s="301"/>
      <c r="G54" s="457"/>
      <c r="H54" s="457"/>
      <c r="I54" s="457"/>
      <c r="J54" s="457"/>
      <c r="K54" s="457"/>
      <c r="L54" s="457"/>
      <c r="M54" s="457"/>
      <c r="N54" s="457"/>
      <c r="O54" s="457"/>
      <c r="P54" s="457"/>
      <c r="Q54" s="457"/>
      <c r="R54" s="457"/>
      <c r="S54" s="457"/>
      <c r="T54" s="457"/>
      <c r="U54" s="457"/>
      <c r="V54" s="457"/>
      <c r="W54" s="457"/>
    </row>
    <row r="55" spans="1:23" ht="15" customHeight="1" x14ac:dyDescent="0.2">
      <c r="A55" s="308" t="s">
        <v>602</v>
      </c>
      <c r="B55" s="1707"/>
      <c r="C55" s="1684"/>
      <c r="D55" s="472" t="s">
        <v>603</v>
      </c>
      <c r="E55" s="301"/>
      <c r="F55" s="301"/>
      <c r="G55" s="457"/>
      <c r="H55" s="457"/>
      <c r="I55" s="457"/>
      <c r="J55" s="457"/>
      <c r="K55" s="457"/>
      <c r="L55" s="457"/>
      <c r="M55" s="457"/>
      <c r="N55" s="457"/>
      <c r="O55" s="457"/>
      <c r="P55" s="457"/>
      <c r="Q55" s="457"/>
      <c r="R55" s="457"/>
      <c r="S55" s="457"/>
      <c r="T55" s="457"/>
      <c r="U55" s="457"/>
      <c r="V55" s="457"/>
      <c r="W55" s="457"/>
    </row>
    <row r="56" spans="1:23" ht="15" customHeight="1" x14ac:dyDescent="0.2">
      <c r="A56" s="308" t="s">
        <v>604</v>
      </c>
      <c r="B56" s="1707"/>
      <c r="C56" s="1684"/>
      <c r="D56" s="472" t="s">
        <v>605</v>
      </c>
      <c r="E56" s="301"/>
      <c r="F56" s="301"/>
      <c r="G56" s="457"/>
      <c r="H56" s="457"/>
      <c r="I56" s="457"/>
      <c r="J56" s="457"/>
      <c r="K56" s="457"/>
      <c r="L56" s="457"/>
      <c r="M56" s="457"/>
      <c r="N56" s="457"/>
      <c r="O56" s="457"/>
      <c r="P56" s="457"/>
      <c r="Q56" s="457"/>
      <c r="R56" s="457"/>
      <c r="S56" s="457"/>
      <c r="T56" s="457"/>
      <c r="U56" s="457"/>
      <c r="V56" s="457"/>
      <c r="W56" s="457"/>
    </row>
    <row r="57" spans="1:23" ht="15" customHeight="1" x14ac:dyDescent="0.2">
      <c r="A57" s="308" t="s">
        <v>606</v>
      </c>
      <c r="B57" s="1708"/>
      <c r="C57" s="1663"/>
      <c r="D57" s="472" t="s">
        <v>607</v>
      </c>
      <c r="E57" s="301"/>
      <c r="F57" s="301"/>
      <c r="G57" s="457"/>
      <c r="H57" s="457"/>
      <c r="I57" s="457"/>
      <c r="J57" s="457"/>
      <c r="K57" s="457"/>
      <c r="L57" s="457"/>
      <c r="M57" s="457"/>
      <c r="N57" s="457"/>
      <c r="O57" s="457"/>
      <c r="P57" s="457"/>
      <c r="Q57" s="457"/>
      <c r="R57" s="457"/>
      <c r="S57" s="457"/>
      <c r="T57" s="457"/>
      <c r="U57" s="457"/>
      <c r="V57" s="457"/>
      <c r="W57" s="457"/>
    </row>
    <row r="58" spans="1:23" ht="15" customHeight="1" x14ac:dyDescent="0.2">
      <c r="A58" s="308"/>
      <c r="B58" s="296"/>
      <c r="C58" s="297"/>
      <c r="D58" s="158"/>
      <c r="E58" s="301"/>
      <c r="F58" s="301"/>
      <c r="G58" s="457"/>
      <c r="H58" s="457"/>
      <c r="I58" s="457"/>
      <c r="J58" s="457"/>
      <c r="K58" s="457"/>
      <c r="L58" s="457"/>
      <c r="M58" s="457"/>
      <c r="N58" s="457"/>
      <c r="O58" s="457"/>
      <c r="P58" s="457"/>
      <c r="Q58" s="457"/>
      <c r="R58" s="457"/>
      <c r="S58" s="457"/>
      <c r="T58" s="457"/>
      <c r="U58" s="457"/>
      <c r="V58" s="457"/>
      <c r="W58" s="457"/>
    </row>
    <row r="59" spans="1:23" ht="15" customHeight="1" x14ac:dyDescent="0.2">
      <c r="A59" s="308" t="s">
        <v>1348</v>
      </c>
      <c r="B59" s="1679" t="s">
        <v>1347</v>
      </c>
      <c r="C59" s="1697"/>
      <c r="D59" s="235" t="s">
        <v>1346</v>
      </c>
      <c r="E59" s="301"/>
      <c r="F59" s="301"/>
      <c r="G59" s="457">
        <f>IFERROR(VLOOKUP($F$1,'ALIM BAC Gravitaire'!$C$1:$K$33,((G$2-5)*2-1),0),"")</f>
        <v>0</v>
      </c>
      <c r="H59" s="457">
        <f>IFERROR(VLOOKUP($F$1,'ALIM BAC Gravitaire'!$C$1:$K$33,((H$2-5)*2-1),0),"")</f>
        <v>48</v>
      </c>
      <c r="I59" s="457">
        <f>IFERROR(VLOOKUP($F$1,'ALIM BAC Gravitaire'!$C$1:$K$33,((I$2-5)*2-1),0),"")</f>
        <v>96</v>
      </c>
      <c r="J59" s="457">
        <f>IFERROR(VLOOKUP($F$1,'ALIM BAC Gravitaire'!$C$1:$K$33,((J$2-5)*2-1),0),"")</f>
        <v>96</v>
      </c>
      <c r="K59" s="457" t="str">
        <f>IFERROR(VLOOKUP($F$1,'ALIM BAC Gravitaire'!$C$1:$K$33,((K$2-5)*2-1),0),"")</f>
        <v/>
      </c>
      <c r="L59" s="457" t="str">
        <f>IFERROR(VLOOKUP($F$1,'ALIM BAC Gravitaire'!$C$1:$K$33,((L$2-5)*2-1),0),"")</f>
        <v/>
      </c>
      <c r="M59" s="457" t="str">
        <f>IFERROR(VLOOKUP($F$1,'ALIM BAC Gravitaire'!$C$1:$K$33,((M$2-5)*2-1),0),"")</f>
        <v/>
      </c>
      <c r="N59" s="457" t="str">
        <f>IFERROR(VLOOKUP($F$1,'ALIM BAC Gravitaire'!$C$1:$K$33,((N$2-5)*2-1),0),"")</f>
        <v/>
      </c>
      <c r="O59" s="457" t="str">
        <f>IFERROR(VLOOKUP($F$1,'ALIM BAC Gravitaire'!$C$1:$K$33,((O$2-5)*2-1),0),"")</f>
        <v/>
      </c>
      <c r="P59" s="457" t="str">
        <f>IFERROR(VLOOKUP($F$1,'ALIM BAC Gravitaire'!$C$1:$K$33,((P$2-5)*2-1),0),"")</f>
        <v/>
      </c>
      <c r="Q59" s="457" t="str">
        <f>IFERROR(VLOOKUP($F$1,'ALIM BAC Gravitaire'!$C$1:$K$33,((Q$2-5)*2-1),0),"")</f>
        <v/>
      </c>
      <c r="R59" s="457" t="str">
        <f>IFERROR(VLOOKUP($F$1,'ALIM BAC Gravitaire'!$C$1:$K$33,((R$2-5)*2-1),0),"")</f>
        <v/>
      </c>
      <c r="S59" s="457" t="str">
        <f>IFERROR(VLOOKUP($F$1,'ALIM BAC Gravitaire'!$C$1:$K$33,((S$2-5)*2-1),0),"")</f>
        <v/>
      </c>
      <c r="T59" s="457" t="str">
        <f>IFERROR(VLOOKUP($F$1,'ALIM BAC Gravitaire'!$C$1:$K$33,((T$2-5)*2-1),0),"")</f>
        <v/>
      </c>
      <c r="U59" s="457" t="str">
        <f>IFERROR(VLOOKUP($F$1,'ALIM BAC Gravitaire'!$C$1:$K$33,((U$2-5)*2-1),0),"")</f>
        <v/>
      </c>
      <c r="V59" s="457" t="str">
        <f>IFERROR(VLOOKUP($F$1,'ALIM BAC Gravitaire'!$C$1:$K$33,((V$2-5)*2-1),0),"")</f>
        <v/>
      </c>
      <c r="W59" s="457" t="str">
        <f>IFERROR(VLOOKUP($F$1,'ALIM BAC Gravitaire'!$C$1:$K$33,((W$2-5)*2-1),0),"")</f>
        <v/>
      </c>
    </row>
    <row r="60" spans="1:23" ht="15" customHeight="1" x14ac:dyDescent="0.2">
      <c r="A60" s="308" t="s">
        <v>1349</v>
      </c>
      <c r="B60" s="1680"/>
      <c r="C60" s="1698"/>
      <c r="D60" s="235" t="s">
        <v>1352</v>
      </c>
      <c r="E60" s="301"/>
      <c r="F60" s="301"/>
      <c r="G60" s="457">
        <f>IFERROR(VLOOKUP($F$1,'ALIM BAC relevage'!$C$1:$AK$34,((G$2-5)*2-1),0),"")</f>
        <v>0</v>
      </c>
      <c r="H60" s="457">
        <f>IFERROR(VLOOKUP($F$1,'ALIM BAC relevage'!$C$1:$AK$34,((H$2-5)*2-1),0),"")</f>
        <v>0</v>
      </c>
      <c r="I60" s="457">
        <f>IFERROR(VLOOKUP($F$1,'ALIM BAC relevage'!$C$1:$AK$34,((I$2-5)*2-1),0),"")</f>
        <v>0</v>
      </c>
      <c r="J60" s="457">
        <f>IFERROR(VLOOKUP($F$1,'ALIM BAC relevage'!$C$1:$AK$34,((J$2-5)*2-1),0),"")</f>
        <v>0</v>
      </c>
      <c r="K60" s="457">
        <f>IFERROR(VLOOKUP($F$1,'ALIM BAC relevage'!$C$1:$AK$34,((K$2-5)*2-1),0),"")</f>
        <v>0</v>
      </c>
      <c r="L60" s="457">
        <f>IFERROR(VLOOKUP($F$1,'ALIM BAC relevage'!$C$1:$AK$34,((L$2-5)*2-1),0),"")</f>
        <v>0</v>
      </c>
      <c r="M60" s="457">
        <f>IFERROR(VLOOKUP($F$1,'ALIM BAC relevage'!$C$1:$AK$34,((M$2-5)*2-1),0),"")</f>
        <v>0</v>
      </c>
      <c r="N60" s="457">
        <f>IFERROR(VLOOKUP($F$1,'ALIM BAC relevage'!$C$1:$AK$34,((N$2-5)*2-1),0),"")</f>
        <v>0</v>
      </c>
      <c r="O60" s="457">
        <f>IFERROR(VLOOKUP($F$1,'ALIM BAC relevage'!$C$1:$AK$34,((O$2-5)*2-1),0),"")</f>
        <v>0</v>
      </c>
      <c r="P60" s="457">
        <f>IFERROR(VLOOKUP($F$1,'ALIM BAC relevage'!$C$1:$AK$34,((P$2-5)*2-1),0),"")</f>
        <v>0</v>
      </c>
      <c r="Q60" s="457">
        <f>IFERROR(VLOOKUP($F$1,'ALIM BAC relevage'!$C$1:$AK$34,((Q$2-5)*2-1),0),"")</f>
        <v>0</v>
      </c>
      <c r="R60" s="457">
        <f>IFERROR(VLOOKUP($F$1,'ALIM BAC relevage'!$C$1:$AK$34,((R$2-5)*2-1),0),"")</f>
        <v>0</v>
      </c>
      <c r="S60" s="457">
        <f>IFERROR(VLOOKUP($F$1,'ALIM BAC relevage'!$C$1:$AK$34,((S$2-5)*2-1),0),"")</f>
        <v>0</v>
      </c>
      <c r="T60" s="457">
        <f>IFERROR(VLOOKUP($F$1,'ALIM BAC relevage'!$C$1:$AK$34,((T$2-5)*2-1),0),"")</f>
        <v>0</v>
      </c>
      <c r="U60" s="457">
        <f>IFERROR(VLOOKUP($F$1,'ALIM BAC relevage'!$C$1:$AK$34,((U$2-5)*2-1),0),"")</f>
        <v>0</v>
      </c>
      <c r="V60" s="457">
        <f>IFERROR(VLOOKUP($F$1,'ALIM BAC relevage'!$C$1:$AK$34,((V$2-5)*2-1),0),"")</f>
        <v>0</v>
      </c>
      <c r="W60" s="457" t="str">
        <f>IFERROR(VLOOKUP($F$1,'ALIM BAC relevage'!$C$1:$AK$34,((W$2-5)*2-1),0),"")</f>
        <v/>
      </c>
    </row>
    <row r="61" spans="1:23" ht="15" customHeight="1" x14ac:dyDescent="0.2">
      <c r="A61" s="308" t="s">
        <v>1350</v>
      </c>
      <c r="B61" s="1680"/>
      <c r="C61" s="1698"/>
      <c r="D61" s="235" t="s">
        <v>1353</v>
      </c>
      <c r="E61" s="301"/>
      <c r="F61" s="301"/>
      <c r="G61" s="457">
        <f>IFERROR(VLOOKUP($F$1,'ALIM FV-FH grav'!$C$1:$U$35,((G$2-5)*2-1),0),"")</f>
        <v>48</v>
      </c>
      <c r="H61" s="457">
        <f>IFERROR(VLOOKUP($F$1,'ALIM FV-FH grav'!$C$1:$U$35,((H$2-5)*2-1),0),"")</f>
        <v>60</v>
      </c>
      <c r="I61" s="457">
        <f>IFERROR(VLOOKUP($F$1,'ALIM FV-FH grav'!$C$1:$U$35,((I$2-5)*2-1),0),"")</f>
        <v>72</v>
      </c>
      <c r="J61" s="457">
        <f>IFERROR(VLOOKUP($F$1,'ALIM FV-FH grav'!$C$1:$U$35,((J$2-5)*2-1),0),"")</f>
        <v>60</v>
      </c>
      <c r="K61" s="457">
        <f>IFERROR(VLOOKUP($F$1,'ALIM FV-FH grav'!$C$1:$U$35,((K$2-5)*2-1),0),"")</f>
        <v>60</v>
      </c>
      <c r="L61" s="457">
        <f>IFERROR(VLOOKUP($F$1,'ALIM FV-FH grav'!$C$1:$U$35,((L$2-5)*2-1),0),"")</f>
        <v>60</v>
      </c>
      <c r="M61" s="457">
        <f>IFERROR(VLOOKUP($F$1,'ALIM FV-FH grav'!$C$1:$U$35,((M$2-5)*2-1),0),"")</f>
        <v>60</v>
      </c>
      <c r="N61" s="457">
        <f>IFERROR(VLOOKUP($F$1,'ALIM FV-FH grav'!$C$1:$U$35,((N$2-5)*2-1),0),"")</f>
        <v>72</v>
      </c>
      <c r="O61" s="457">
        <f>IFERROR(VLOOKUP($F$1,'ALIM FV-FH grav'!$C$1:$U$35,((O$2-5)*2-1),0),"")</f>
        <v>84</v>
      </c>
      <c r="P61" s="457" t="str">
        <f>IFERROR(VLOOKUP($F$1,'ALIM FV-FH grav'!$C$1:$U$35,((P$2-5)*2-1),0),"")</f>
        <v/>
      </c>
      <c r="Q61" s="457" t="str">
        <f>IFERROR(VLOOKUP($F$1,'ALIM FV-FH grav'!$C$1:$U$35,((Q$2-5)*2-1),0),"")</f>
        <v/>
      </c>
      <c r="R61" s="457" t="str">
        <f>IFERROR(VLOOKUP($F$1,'ALIM FV-FH grav'!$C$1:$U$35,((R$2-5)*2-1),0),"")</f>
        <v/>
      </c>
      <c r="S61" s="457" t="str">
        <f>IFERROR(VLOOKUP($F$1,'ALIM FV-FH grav'!$C$1:$U$35,((S$2-5)*2-1),0),"")</f>
        <v/>
      </c>
      <c r="T61" s="457" t="str">
        <f>IFERROR(VLOOKUP($F$1,'ALIM FV-FH grav'!$C$1:$U$35,((T$2-5)*2-1),0),"")</f>
        <v/>
      </c>
      <c r="U61" s="457" t="str">
        <f>IFERROR(VLOOKUP($F$1,'ALIM FV-FH grav'!$C$1:$U$35,((U$2-5)*2-1),0),"")</f>
        <v/>
      </c>
      <c r="V61" s="457" t="str">
        <f>IFERROR(VLOOKUP($F$1,'ALIM FV-FH grav'!$C$1:$U$35,((V$2-5)*2-1),0),"")</f>
        <v/>
      </c>
      <c r="W61" s="457" t="str">
        <f>IFERROR(VLOOKUP($F$1,'ALIM FV-FH grav'!$C$1:$U$35,((W$2-5)*2-1),0),"")</f>
        <v/>
      </c>
    </row>
    <row r="62" spans="1:23" ht="15" customHeight="1" x14ac:dyDescent="0.2">
      <c r="A62" s="308" t="s">
        <v>1351</v>
      </c>
      <c r="B62" s="1681"/>
      <c r="C62" s="1699"/>
      <c r="D62" s="235" t="s">
        <v>1354</v>
      </c>
      <c r="E62" s="301"/>
      <c r="F62" s="301"/>
      <c r="G62" s="457">
        <f>IFERROR(VLOOKUP($F$1,'ALIM FV-FH relevage'!$C$1:$AM$37,((G$2-5)*2-1),0),"")</f>
        <v>140</v>
      </c>
      <c r="H62" s="457">
        <f>IFERROR(VLOOKUP($F$1,'ALIM FV-FH relevage'!$C$1:$AM$37,((H$2-5)*2-1),0),"")</f>
        <v>80</v>
      </c>
      <c r="I62" s="457">
        <f>IFERROR(VLOOKUP($F$1,'ALIM FV-FH relevage'!$C$1:$AM$37,((I$2-5)*2-1),0),"")</f>
        <v>80</v>
      </c>
      <c r="J62" s="457">
        <f>IFERROR(VLOOKUP($F$1,'ALIM FV-FH relevage'!$C$1:$AM$37,((J$2-5)*2-1),0),"")</f>
        <v>80</v>
      </c>
      <c r="K62" s="457">
        <f>IFERROR(VLOOKUP($F$1,'ALIM FV-FH relevage'!$C$1:$AM$37,((K$2-5)*2-1),0),"")</f>
        <v>80</v>
      </c>
      <c r="L62" s="457">
        <f>IFERROR(VLOOKUP($F$1,'ALIM FV-FH relevage'!$C$1:$AM$37,((L$2-5)*2-1),0),"")</f>
        <v>80</v>
      </c>
      <c r="M62" s="457">
        <f>IFERROR(VLOOKUP($F$1,'ALIM FV-FH relevage'!$C$1:$AM$37,((M$2-5)*2-1),0),"")</f>
        <v>80</v>
      </c>
      <c r="N62" s="457">
        <f>IFERROR(VLOOKUP($F$1,'ALIM FV-FH relevage'!$C$1:$AM$37,((N$2-5)*2-1),0),"")</f>
        <v>80</v>
      </c>
      <c r="O62" s="457">
        <f>IFERROR(VLOOKUP($F$1,'ALIM FV-FH relevage'!$C$1:$AM$37,((O$2-5)*2-1),0),"")</f>
        <v>80</v>
      </c>
      <c r="P62" s="457">
        <f>IFERROR(VLOOKUP($F$1,'ALIM FV-FH relevage'!$C$1:$AM$37,((P$2-5)*2-1),0),"")</f>
        <v>80</v>
      </c>
      <c r="Q62" s="457">
        <f>IFERROR(VLOOKUP($F$1,'ALIM FV-FH relevage'!$C$1:$AM$37,((Q$2-5)*2-1),0),"")</f>
        <v>80</v>
      </c>
      <c r="R62" s="457">
        <f>IFERROR(VLOOKUP($F$1,'ALIM FV-FH relevage'!$C$1:$AM$37,((R$2-5)*2-1),0),"")</f>
        <v>80</v>
      </c>
      <c r="S62" s="457">
        <f>IFERROR(VLOOKUP($F$1,'ALIM FV-FH relevage'!$C$1:$AM$37,((S$2-5)*2-1),0),"")</f>
        <v>80</v>
      </c>
      <c r="T62" s="457">
        <f>IFERROR(VLOOKUP($F$1,'ALIM FV-FH relevage'!$C$1:$AM$37,((T$2-5)*2-1),0),"")</f>
        <v>80</v>
      </c>
      <c r="U62" s="457">
        <f>IFERROR(VLOOKUP($F$1,'ALIM FV-FH relevage'!$C$1:$AM$37,((U$2-5)*2-1),0),"")</f>
        <v>80</v>
      </c>
      <c r="V62" s="457">
        <f>IFERROR(VLOOKUP($F$1,'ALIM FV-FH relevage'!$C$1:$AM$37,((V$2-5)*2-1),0),"")</f>
        <v>80</v>
      </c>
      <c r="W62" s="457">
        <f>IFERROR(VLOOKUP($F$1,'ALIM FV-FH relevage'!$C$1:$AM$37,((W$2-5)*2-1),0),"")</f>
        <v>80</v>
      </c>
    </row>
    <row r="63" spans="1:23" ht="15" customHeight="1" x14ac:dyDescent="0.2">
      <c r="A63" s="308"/>
      <c r="B63" s="296"/>
      <c r="C63" s="297"/>
      <c r="D63" s="158"/>
      <c r="E63" s="301"/>
      <c r="F63" s="301"/>
      <c r="G63" s="457"/>
      <c r="H63" s="457"/>
      <c r="I63" s="457"/>
      <c r="J63" s="457"/>
      <c r="K63" s="457"/>
      <c r="L63" s="457"/>
      <c r="M63" s="457"/>
      <c r="N63" s="457"/>
      <c r="O63" s="457"/>
      <c r="P63" s="457"/>
      <c r="Q63" s="457"/>
      <c r="R63" s="457"/>
      <c r="S63" s="457"/>
      <c r="T63" s="457"/>
      <c r="U63" s="457"/>
      <c r="V63" s="457"/>
      <c r="W63" s="457"/>
    </row>
    <row r="64" spans="1:23" ht="15" customHeight="1" x14ac:dyDescent="0.2">
      <c r="A64" s="308" t="s">
        <v>1332</v>
      </c>
      <c r="B64" s="1679" t="s">
        <v>1374</v>
      </c>
      <c r="C64" s="1697"/>
      <c r="D64" s="235" t="s">
        <v>1375</v>
      </c>
      <c r="E64" s="301">
        <f>IFERROR(VLOOKUP($F$1,Distribution!$D$1:$U$34,2,0),"")</f>
        <v>20</v>
      </c>
      <c r="F64" s="301"/>
      <c r="G64" s="457"/>
      <c r="H64" s="457"/>
      <c r="I64" s="457"/>
      <c r="J64" s="457"/>
      <c r="K64" s="457"/>
      <c r="L64" s="457"/>
      <c r="M64" s="457"/>
      <c r="N64" s="457"/>
      <c r="O64" s="457"/>
      <c r="P64" s="457"/>
      <c r="Q64" s="457"/>
      <c r="R64" s="457"/>
      <c r="S64" s="457"/>
      <c r="T64" s="457"/>
      <c r="U64" s="457"/>
      <c r="V64" s="457"/>
      <c r="W64" s="457"/>
    </row>
    <row r="65" spans="1:23" ht="15" customHeight="1" x14ac:dyDescent="0.2">
      <c r="A65" s="308" t="s">
        <v>1333</v>
      </c>
      <c r="B65" s="1680"/>
      <c r="C65" s="1698"/>
      <c r="D65" s="235" t="s">
        <v>1376</v>
      </c>
      <c r="E65" s="301">
        <f>IFERROR(VLOOKUP($F$1,Distribution!$D$1:$U$34,4,0),"")</f>
        <v>20</v>
      </c>
      <c r="F65" s="301"/>
      <c r="G65" s="457"/>
      <c r="H65" s="457"/>
      <c r="I65" s="457"/>
      <c r="J65" s="457"/>
      <c r="K65" s="457"/>
      <c r="L65" s="457"/>
      <c r="M65" s="457"/>
      <c r="N65" s="457"/>
      <c r="O65" s="457"/>
      <c r="P65" s="457"/>
      <c r="Q65" s="457"/>
      <c r="R65" s="457"/>
      <c r="S65" s="457"/>
      <c r="T65" s="457"/>
      <c r="U65" s="457"/>
      <c r="V65" s="457"/>
      <c r="W65" s="457"/>
    </row>
    <row r="66" spans="1:23" ht="15" customHeight="1" x14ac:dyDescent="0.2">
      <c r="A66" s="308" t="s">
        <v>1334</v>
      </c>
      <c r="B66" s="1680"/>
      <c r="C66" s="1698"/>
      <c r="D66" s="235" t="s">
        <v>1377</v>
      </c>
      <c r="E66" s="301">
        <f>IFERROR(VLOOKUP($F$1,Distribution!$D$1:$U$34,6,0),"")</f>
        <v>20</v>
      </c>
      <c r="F66" s="301"/>
      <c r="G66" s="457"/>
      <c r="H66" s="457"/>
      <c r="I66" s="457"/>
      <c r="J66" s="457"/>
      <c r="K66" s="457"/>
      <c r="L66" s="457"/>
      <c r="M66" s="457"/>
      <c r="N66" s="457"/>
      <c r="O66" s="457"/>
      <c r="P66" s="457"/>
      <c r="Q66" s="457"/>
      <c r="R66" s="457"/>
      <c r="S66" s="457"/>
      <c r="T66" s="457"/>
      <c r="U66" s="457"/>
      <c r="V66" s="457"/>
      <c r="W66" s="457"/>
    </row>
    <row r="67" spans="1:23" ht="15" customHeight="1" x14ac:dyDescent="0.2">
      <c r="A67" s="308" t="s">
        <v>1335</v>
      </c>
      <c r="B67" s="1680"/>
      <c r="C67" s="1699"/>
      <c r="D67" s="235" t="s">
        <v>1378</v>
      </c>
      <c r="E67" s="301">
        <f>IFERROR(VLOOKUP($F$1,Distribution!$D$1:$U$34,8,0),"")</f>
        <v>20</v>
      </c>
      <c r="F67" s="301"/>
      <c r="G67" s="457"/>
      <c r="H67" s="457"/>
      <c r="I67" s="457"/>
      <c r="J67" s="457"/>
      <c r="K67" s="457"/>
      <c r="L67" s="457"/>
      <c r="M67" s="457"/>
      <c r="N67" s="457"/>
      <c r="O67" s="457"/>
      <c r="P67" s="457"/>
      <c r="Q67" s="457"/>
      <c r="R67" s="457"/>
      <c r="S67" s="457"/>
      <c r="T67" s="457"/>
      <c r="U67" s="457"/>
      <c r="V67" s="457"/>
      <c r="W67" s="457"/>
    </row>
    <row r="68" spans="1:23" ht="15" customHeight="1" x14ac:dyDescent="0.2">
      <c r="A68" s="308" t="s">
        <v>1336</v>
      </c>
      <c r="B68" s="1680"/>
      <c r="C68" s="1697"/>
      <c r="D68" s="235" t="s">
        <v>1379</v>
      </c>
      <c r="E68" s="301">
        <f>IFERROR(VLOOKUP($F$1,Distribution!$D$1:$U$34,10,0),"")</f>
        <v>20</v>
      </c>
      <c r="F68" s="301"/>
      <c r="G68" s="457"/>
      <c r="H68" s="457"/>
      <c r="I68" s="457"/>
      <c r="J68" s="457"/>
      <c r="K68" s="457"/>
      <c r="L68" s="457"/>
      <c r="M68" s="457"/>
      <c r="N68" s="457"/>
      <c r="O68" s="457"/>
      <c r="P68" s="457"/>
      <c r="Q68" s="457"/>
      <c r="R68" s="457"/>
      <c r="S68" s="457"/>
      <c r="T68" s="457"/>
      <c r="U68" s="457"/>
      <c r="V68" s="457"/>
      <c r="W68" s="457"/>
    </row>
    <row r="69" spans="1:23" ht="15" customHeight="1" x14ac:dyDescent="0.2">
      <c r="A69" s="308" t="s">
        <v>1337</v>
      </c>
      <c r="B69" s="1680"/>
      <c r="C69" s="1698"/>
      <c r="D69" s="235" t="s">
        <v>1380</v>
      </c>
      <c r="E69" s="301">
        <f>IFERROR(VLOOKUP($F$1,Distribution!$D$1:$U$34,12,0),"")</f>
        <v>20</v>
      </c>
      <c r="F69" s="301"/>
      <c r="G69" s="457"/>
      <c r="H69" s="457"/>
      <c r="I69" s="457"/>
      <c r="J69" s="457"/>
      <c r="K69" s="457"/>
      <c r="L69" s="457"/>
      <c r="M69" s="457"/>
      <c r="N69" s="457"/>
      <c r="O69" s="457"/>
      <c r="P69" s="457"/>
      <c r="Q69" s="457"/>
      <c r="R69" s="457"/>
      <c r="S69" s="457"/>
      <c r="T69" s="457"/>
      <c r="U69" s="457"/>
      <c r="V69" s="457"/>
      <c r="W69" s="457"/>
    </row>
    <row r="70" spans="1:23" ht="15" customHeight="1" x14ac:dyDescent="0.2">
      <c r="A70" s="308" t="s">
        <v>1338</v>
      </c>
      <c r="B70" s="1680"/>
      <c r="C70" s="1698"/>
      <c r="D70" s="235" t="s">
        <v>1331</v>
      </c>
      <c r="E70" s="301">
        <f>IFERROR(VLOOKUP($F$1,Distribution!$D$1:$U$34,14,0),"")</f>
        <v>12</v>
      </c>
      <c r="F70" s="301"/>
      <c r="G70" s="457"/>
      <c r="H70" s="457"/>
      <c r="I70" s="457"/>
      <c r="J70" s="457"/>
      <c r="K70" s="457"/>
      <c r="L70" s="457"/>
      <c r="M70" s="457"/>
      <c r="N70" s="457"/>
      <c r="O70" s="457"/>
      <c r="P70" s="457"/>
      <c r="Q70" s="457"/>
      <c r="R70" s="457"/>
      <c r="S70" s="457"/>
      <c r="T70" s="457"/>
      <c r="U70" s="457"/>
      <c r="V70" s="457"/>
      <c r="W70" s="457"/>
    </row>
    <row r="71" spans="1:23" ht="15" customHeight="1" x14ac:dyDescent="0.2">
      <c r="A71" s="308" t="s">
        <v>1339</v>
      </c>
      <c r="B71" s="1680"/>
      <c r="C71" s="1698"/>
      <c r="D71" s="235" t="s">
        <v>1381</v>
      </c>
      <c r="E71" s="301">
        <f>IFERROR(VLOOKUP($F$1,Distribution!$D$1:$U$34,16,0),"")</f>
        <v>12</v>
      </c>
      <c r="F71" s="301"/>
      <c r="G71" s="457"/>
      <c r="H71" s="457"/>
      <c r="I71" s="457"/>
      <c r="J71" s="457"/>
      <c r="K71" s="457"/>
      <c r="L71" s="457"/>
      <c r="M71" s="457"/>
      <c r="N71" s="457"/>
      <c r="O71" s="457"/>
      <c r="P71" s="457"/>
      <c r="Q71" s="457"/>
      <c r="R71" s="457"/>
      <c r="S71" s="457"/>
      <c r="T71" s="457"/>
      <c r="U71" s="457"/>
      <c r="V71" s="457"/>
      <c r="W71" s="457"/>
    </row>
    <row r="72" spans="1:23" ht="15" customHeight="1" x14ac:dyDescent="0.2">
      <c r="A72" s="308" t="s">
        <v>1340</v>
      </c>
      <c r="B72" s="1681"/>
      <c r="C72" s="1699"/>
      <c r="D72" s="235" t="s">
        <v>1382</v>
      </c>
      <c r="E72" s="301">
        <f>IFERROR(VLOOKUP($F$1,Distribution!$D$1:$U$34,18,0),"")</f>
        <v>0</v>
      </c>
      <c r="F72" s="301"/>
      <c r="G72" s="457"/>
      <c r="H72" s="457"/>
      <c r="I72" s="457"/>
      <c r="J72" s="457"/>
      <c r="K72" s="457"/>
      <c r="L72" s="457"/>
      <c r="M72" s="457"/>
      <c r="N72" s="457"/>
      <c r="O72" s="457"/>
      <c r="P72" s="457"/>
      <c r="Q72" s="457"/>
      <c r="R72" s="457"/>
      <c r="S72" s="457"/>
      <c r="T72" s="457"/>
      <c r="U72" s="457"/>
      <c r="V72" s="457"/>
      <c r="W72" s="457"/>
    </row>
    <row r="73" spans="1:23" ht="15" customHeight="1" x14ac:dyDescent="0.2">
      <c r="A73" s="308"/>
      <c r="B73" s="296"/>
      <c r="C73" s="297"/>
      <c r="D73" s="158"/>
      <c r="E73" s="301"/>
      <c r="F73" s="301"/>
      <c r="G73" s="457"/>
      <c r="H73" s="457"/>
      <c r="I73" s="457"/>
      <c r="J73" s="457"/>
      <c r="K73" s="457"/>
      <c r="L73" s="457"/>
      <c r="M73" s="457"/>
      <c r="N73" s="457"/>
      <c r="O73" s="457"/>
      <c r="P73" s="457"/>
      <c r="Q73" s="457"/>
      <c r="R73" s="457"/>
      <c r="S73" s="457"/>
      <c r="T73" s="457"/>
      <c r="U73" s="457"/>
      <c r="V73" s="457"/>
      <c r="W73" s="457"/>
    </row>
    <row r="74" spans="1:23" ht="15" customHeight="1" x14ac:dyDescent="0.2">
      <c r="A74" s="308" t="s">
        <v>608</v>
      </c>
      <c r="B74" s="1679" t="s">
        <v>1345</v>
      </c>
      <c r="C74" s="1697"/>
      <c r="D74" s="235" t="s">
        <v>609</v>
      </c>
      <c r="E74" s="301"/>
      <c r="F74" s="301"/>
      <c r="G74" s="457"/>
      <c r="H74" s="457"/>
      <c r="I74" s="457"/>
      <c r="J74" s="457"/>
      <c r="K74" s="457"/>
      <c r="L74" s="457"/>
      <c r="M74" s="457"/>
      <c r="N74" s="457"/>
      <c r="O74" s="457"/>
      <c r="P74" s="457"/>
      <c r="Q74" s="457"/>
      <c r="R74" s="457"/>
      <c r="S74" s="457"/>
      <c r="T74" s="457"/>
      <c r="U74" s="457"/>
      <c r="V74" s="457"/>
      <c r="W74" s="457"/>
    </row>
    <row r="75" spans="1:23" ht="15" customHeight="1" x14ac:dyDescent="0.2">
      <c r="A75" s="308" t="s">
        <v>610</v>
      </c>
      <c r="B75" s="1680"/>
      <c r="C75" s="1698"/>
      <c r="D75" s="235" t="s">
        <v>611</v>
      </c>
      <c r="E75" s="301"/>
      <c r="F75" s="301"/>
      <c r="G75" s="457"/>
      <c r="H75" s="457"/>
      <c r="I75" s="457"/>
      <c r="J75" s="457"/>
      <c r="K75" s="457"/>
      <c r="L75" s="457"/>
      <c r="M75" s="457"/>
      <c r="N75" s="457"/>
      <c r="O75" s="457"/>
      <c r="P75" s="457"/>
      <c r="Q75" s="457"/>
      <c r="R75" s="457"/>
      <c r="S75" s="457"/>
      <c r="T75" s="457"/>
      <c r="U75" s="457"/>
      <c r="V75" s="457"/>
      <c r="W75" s="457"/>
    </row>
    <row r="76" spans="1:23" ht="15" customHeight="1" x14ac:dyDescent="0.2">
      <c r="A76" s="308" t="s">
        <v>612</v>
      </c>
      <c r="B76" s="1680"/>
      <c r="C76" s="1698"/>
      <c r="D76" s="235" t="s">
        <v>613</v>
      </c>
      <c r="E76" s="301"/>
      <c r="F76" s="301"/>
      <c r="G76" s="457"/>
      <c r="H76" s="457"/>
      <c r="I76" s="457"/>
      <c r="J76" s="457"/>
      <c r="K76" s="457"/>
      <c r="L76" s="457"/>
      <c r="M76" s="457"/>
      <c r="N76" s="457"/>
      <c r="O76" s="457"/>
      <c r="P76" s="457"/>
      <c r="Q76" s="457"/>
      <c r="R76" s="457"/>
      <c r="S76" s="457"/>
      <c r="T76" s="457"/>
      <c r="U76" s="457"/>
      <c r="V76" s="457"/>
      <c r="W76" s="457"/>
    </row>
    <row r="77" spans="1:23" ht="15" customHeight="1" x14ac:dyDescent="0.2">
      <c r="A77" s="308" t="s">
        <v>614</v>
      </c>
      <c r="B77" s="1681"/>
      <c r="C77" s="1699"/>
      <c r="D77" s="235" t="s">
        <v>615</v>
      </c>
      <c r="E77" s="301"/>
      <c r="F77" s="301"/>
      <c r="G77" s="457"/>
      <c r="H77" s="457"/>
      <c r="I77" s="457"/>
      <c r="J77" s="457"/>
      <c r="K77" s="457"/>
      <c r="L77" s="457"/>
      <c r="M77" s="457"/>
      <c r="N77" s="457"/>
      <c r="O77" s="457"/>
      <c r="P77" s="457"/>
      <c r="Q77" s="457"/>
      <c r="R77" s="457"/>
      <c r="S77" s="457"/>
      <c r="T77" s="457"/>
      <c r="U77" s="457"/>
      <c r="V77" s="457"/>
      <c r="W77" s="457"/>
    </row>
    <row r="78" spans="1:23" ht="15" customHeight="1" x14ac:dyDescent="0.2">
      <c r="A78" s="294"/>
      <c r="B78" s="296"/>
      <c r="C78" s="297"/>
      <c r="D78" s="158"/>
      <c r="E78" s="301"/>
      <c r="F78" s="301"/>
      <c r="G78" s="457"/>
      <c r="H78" s="457"/>
      <c r="I78" s="457"/>
      <c r="J78" s="457"/>
      <c r="K78" s="457"/>
      <c r="L78" s="457"/>
      <c r="M78" s="457"/>
      <c r="N78" s="457"/>
      <c r="O78" s="457"/>
      <c r="P78" s="457"/>
      <c r="Q78" s="457"/>
      <c r="R78" s="457"/>
      <c r="S78" s="457"/>
      <c r="T78" s="457"/>
      <c r="U78" s="457"/>
      <c r="V78" s="457"/>
      <c r="W78" s="457"/>
    </row>
    <row r="79" spans="1:23" x14ac:dyDescent="0.2">
      <c r="A79" s="294" t="s">
        <v>478</v>
      </c>
      <c r="B79" s="1709" t="s">
        <v>616</v>
      </c>
      <c r="C79" s="498" t="s">
        <v>478</v>
      </c>
      <c r="D79" s="291" t="s">
        <v>617</v>
      </c>
      <c r="E79" s="301">
        <f>IFERROR(VLOOKUP($F$1,'collecte-exutoire'!$C$1:$O$86,3,0),"")</f>
        <v>12</v>
      </c>
      <c r="F79" s="301"/>
      <c r="G79" s="457"/>
      <c r="H79" s="457"/>
      <c r="I79" s="457"/>
      <c r="J79" s="457"/>
      <c r="K79" s="457"/>
      <c r="L79" s="457"/>
      <c r="M79" s="457"/>
      <c r="N79" s="457"/>
      <c r="O79" s="457"/>
      <c r="P79" s="457"/>
      <c r="Q79" s="457"/>
      <c r="R79" s="457"/>
      <c r="S79" s="457"/>
      <c r="T79" s="457"/>
      <c r="U79" s="457"/>
      <c r="V79" s="457"/>
      <c r="W79" s="457"/>
    </row>
    <row r="80" spans="1:23" x14ac:dyDescent="0.2">
      <c r="A80" s="294" t="s">
        <v>479</v>
      </c>
      <c r="B80" s="1710"/>
      <c r="C80" s="498" t="s">
        <v>479</v>
      </c>
      <c r="D80" s="291" t="s">
        <v>618</v>
      </c>
      <c r="E80" s="301">
        <f>IFERROR(VLOOKUP($F$1,'collecte-exutoire'!$C$1:$O$86,5,0),"")</f>
        <v>6</v>
      </c>
      <c r="F80" s="301"/>
      <c r="G80" s="457"/>
      <c r="H80" s="457"/>
      <c r="I80" s="457"/>
      <c r="J80" s="457"/>
      <c r="K80" s="457"/>
      <c r="L80" s="457"/>
      <c r="M80" s="457"/>
      <c r="N80" s="457"/>
      <c r="O80" s="457"/>
      <c r="P80" s="457"/>
      <c r="Q80" s="457"/>
      <c r="R80" s="457"/>
      <c r="S80" s="457"/>
      <c r="T80" s="457"/>
      <c r="U80" s="457"/>
      <c r="V80" s="457"/>
      <c r="W80" s="457"/>
    </row>
    <row r="81" spans="1:23" x14ac:dyDescent="0.2">
      <c r="A81" s="294" t="s">
        <v>480</v>
      </c>
      <c r="B81" s="1711"/>
      <c r="C81" s="498" t="s">
        <v>480</v>
      </c>
      <c r="D81" s="291" t="s">
        <v>619</v>
      </c>
      <c r="E81" s="301">
        <f>IFERROR(VLOOKUP($F$1,'collecte-exutoire'!$C$1:$O$86,7,0),"")</f>
        <v>0</v>
      </c>
      <c r="F81" s="301"/>
      <c r="G81" s="457"/>
      <c r="H81" s="457"/>
      <c r="I81" s="457"/>
      <c r="J81" s="457"/>
      <c r="K81" s="457"/>
      <c r="L81" s="457"/>
      <c r="M81" s="457"/>
      <c r="N81" s="457"/>
      <c r="O81" s="457"/>
      <c r="P81" s="457"/>
      <c r="Q81" s="457"/>
      <c r="R81" s="457"/>
      <c r="S81" s="457"/>
      <c r="T81" s="457"/>
      <c r="U81" s="457"/>
      <c r="V81" s="457"/>
      <c r="W81" s="457"/>
    </row>
    <row r="82" spans="1:23" ht="15" x14ac:dyDescent="0.2">
      <c r="A82" s="541" t="s">
        <v>1472</v>
      </c>
      <c r="B82" s="542"/>
      <c r="C82" s="543" t="s">
        <v>1472</v>
      </c>
      <c r="D82" s="544" t="s">
        <v>1473</v>
      </c>
      <c r="E82" s="301">
        <f>IFERROR(VLOOKUP($F$1,'collecte-exutoire'!$C$1:$O$86,11,0),"")</f>
        <v>0</v>
      </c>
      <c r="F82" s="301"/>
      <c r="G82" s="457"/>
      <c r="H82" s="457"/>
      <c r="I82" s="457"/>
      <c r="J82" s="457"/>
      <c r="K82" s="457"/>
      <c r="L82" s="457"/>
      <c r="M82" s="457"/>
      <c r="N82" s="457"/>
      <c r="O82" s="457"/>
      <c r="P82" s="457"/>
      <c r="Q82" s="457"/>
      <c r="R82" s="457"/>
      <c r="S82" s="457"/>
      <c r="T82" s="457"/>
      <c r="U82" s="457"/>
      <c r="V82" s="457"/>
      <c r="W82" s="457"/>
    </row>
    <row r="83" spans="1:23" x14ac:dyDescent="0.2">
      <c r="A83" s="7"/>
      <c r="B83" s="3"/>
      <c r="C83" s="3"/>
      <c r="D83" s="3"/>
      <c r="E83" s="301"/>
      <c r="F83" s="301"/>
      <c r="G83" s="457"/>
      <c r="H83" s="457"/>
      <c r="I83" s="457"/>
      <c r="J83" s="457"/>
      <c r="K83" s="457"/>
      <c r="L83" s="457"/>
      <c r="M83" s="457"/>
      <c r="N83" s="457"/>
      <c r="O83" s="457"/>
      <c r="P83" s="457"/>
      <c r="Q83" s="457"/>
      <c r="R83" s="457"/>
      <c r="S83" s="457"/>
      <c r="T83" s="457"/>
      <c r="U83" s="457"/>
      <c r="V83" s="457"/>
      <c r="W83" s="457"/>
    </row>
    <row r="84" spans="1:23" x14ac:dyDescent="0.2">
      <c r="A84" s="294" t="s">
        <v>439</v>
      </c>
      <c r="B84" s="1709" t="s">
        <v>620</v>
      </c>
      <c r="C84" s="498" t="s">
        <v>439</v>
      </c>
      <c r="D84" s="291"/>
      <c r="E84" s="301"/>
      <c r="F84" s="301"/>
      <c r="G84" s="457">
        <f>IFERROR(VLOOKUP($F$1,TCFV!$C$1:$AN$95,((G$2-5)*2-1),0),"")</f>
        <v>99.840000000000018</v>
      </c>
      <c r="H84" s="457">
        <f>IFERROR(VLOOKUP($F$1,TCFV!$C$1:$AN$95,((H$2-5)*2-1),0),"")</f>
        <v>147.19999999999999</v>
      </c>
      <c r="I84" s="457">
        <f>IFERROR(VLOOKUP($F$1,TCFV!$C$1:$AN$95,((I$2-5)*2-1),0),"")</f>
        <v>192.00000000000003</v>
      </c>
      <c r="J84" s="457">
        <f>IFERROR(VLOOKUP($F$1,TCFV!$C$1:$AN$95,((J$2-5)*2-1),0),"")</f>
        <v>240</v>
      </c>
      <c r="K84" s="457">
        <f>IFERROR(VLOOKUP($F$1,TCFV!$C$1:$AN$95,((K$2-5)*2-1),0),"")</f>
        <v>288</v>
      </c>
      <c r="L84" s="457">
        <f>IFERROR(VLOOKUP($F$1,TCFV!$C$1:$AN$95,((L$2-5)*2-1),0),"")</f>
        <v>336</v>
      </c>
      <c r="M84" s="457">
        <f>IFERROR(VLOOKUP($F$1,TCFV!$C$1:$AN$95,((M$2-5)*2-1),0),"")</f>
        <v>384.00000000000006</v>
      </c>
      <c r="N84" s="457">
        <f>IFERROR(VLOOKUP($F$1,TCFV!$C$1:$AN$95,((N$2-5)*2-1),0),"")</f>
        <v>428.8</v>
      </c>
      <c r="O84" s="457">
        <f>IFERROR(VLOOKUP($F$1,TCFV!$C$1:$AN$95,((O$2-5)*2-1),0),"")</f>
        <v>473.6</v>
      </c>
      <c r="P84" s="457">
        <f>IFERROR(VLOOKUP($F$1,TCFV!$C$1:$AN$95,((P$2-5)*2-1),0),"")</f>
        <v>563.20000000000005</v>
      </c>
      <c r="Q84" s="457">
        <f>IFERROR(VLOOKUP($F$1,TCFV!$C$1:$AN$95,((Q$2-5)*2-1),0),"")</f>
        <v>556.79999999999995</v>
      </c>
      <c r="R84" s="457">
        <f>IFERROR(VLOOKUP($F$1,TCFV!$C$1:$AN$95,((R$2-5)*2-1),0),"")</f>
        <v>649.59999999999991</v>
      </c>
      <c r="S84" s="457">
        <f>IFERROR(VLOOKUP($F$1,TCFV!$C$1:$AN$95,((S$2-5)*2-1),0),"")</f>
        <v>652.79999999999995</v>
      </c>
      <c r="T84" s="457">
        <f>IFERROR(VLOOKUP($F$1,TCFV!$C$1:$AN$95,((T$2-5)*2-1),0),"")</f>
        <v>742.40000000000009</v>
      </c>
      <c r="U84" s="457">
        <f>IFERROR(VLOOKUP($F$1,TCFV!$C$1:$AN$95,((U$2-5)*2-1),0),"")</f>
        <v>835.19999999999993</v>
      </c>
      <c r="V84" s="457">
        <f>IFERROR(VLOOKUP($F$1,TCFV!$C$1:$AN$95,((V$2-5)*2-1),0),"")</f>
        <v>832</v>
      </c>
      <c r="W84" s="457">
        <f>IFERROR(VLOOKUP($F$1,TCFV!$C$1:$AN$95,((W$2-5)*2-1),0),"")</f>
        <v>921.59999999999991</v>
      </c>
    </row>
    <row r="85" spans="1:23" x14ac:dyDescent="0.2">
      <c r="A85" s="294" t="s">
        <v>399</v>
      </c>
      <c r="B85" s="1710"/>
      <c r="C85" s="498" t="s">
        <v>399</v>
      </c>
      <c r="D85" s="291"/>
      <c r="E85" s="301"/>
      <c r="F85" s="301"/>
      <c r="G85" s="457">
        <f>IFERROR(VLOOKUP($F$1,TCFH!$C$1:$AN$67,((G$2-5)*2-1),0),"")</f>
        <v>70.400000000000006</v>
      </c>
      <c r="H85" s="457">
        <f>IFERROR(VLOOKUP($F$1,TCFH!$C$1:$AN$67,((H$2-5)*2-1),0),"")</f>
        <v>105.60000000000002</v>
      </c>
      <c r="I85" s="457">
        <f>IFERROR(VLOOKUP($F$1,TCFH!$C$1:$AN$67,((I$2-5)*2-1),0),"")</f>
        <v>140.80000000000001</v>
      </c>
      <c r="J85" s="457">
        <f>IFERROR(VLOOKUP($F$1,TCFH!$C$1:$AN$67,((J$2-5)*2-1),0),"")</f>
        <v>176</v>
      </c>
      <c r="K85" s="457">
        <f>IFERROR(VLOOKUP($F$1,TCFH!$C$1:$AN$67,((K$2-5)*2-1),0),"")</f>
        <v>211.20000000000005</v>
      </c>
      <c r="L85" s="457">
        <f>IFERROR(VLOOKUP($F$1,TCFH!$C$1:$AN$67,((L$2-5)*2-1),0),"")</f>
        <v>246.4</v>
      </c>
      <c r="M85" s="457">
        <f>IFERROR(VLOOKUP($F$1,TCFH!$C$1:$AN$67,((M$2-5)*2-1),0),"")</f>
        <v>281.60000000000002</v>
      </c>
      <c r="N85" s="457">
        <f>IFERROR(VLOOKUP($F$1,TCFH!$C$1:$AN$67,((N$2-5)*2-1),0),"")</f>
        <v>316.8</v>
      </c>
      <c r="O85" s="457">
        <f>IFERROR(VLOOKUP($F$1,TCFH!$C$1:$AN$67,((O$2-5)*2-1),0),"")</f>
        <v>352</v>
      </c>
      <c r="P85" s="457">
        <f>IFERROR(VLOOKUP($F$1,TCFH!$C$1:$AN$67,((P$2-5)*2-1),0),"")</f>
        <v>422.40000000000009</v>
      </c>
      <c r="Q85" s="457">
        <f>IFERROR(VLOOKUP($F$1,TCFH!$C$1:$AN$67,((Q$2-5)*2-1),0),"")</f>
        <v>422.40000000000009</v>
      </c>
      <c r="R85" s="457">
        <f>IFERROR(VLOOKUP($F$1,TCFH!$C$1:$AN$67,((R$2-5)*2-1),0),"")</f>
        <v>492.8</v>
      </c>
      <c r="S85" s="457">
        <f>IFERROR(VLOOKUP($F$1,TCFH!$C$1:$AN$67,((S$2-5)*2-1),0),"")</f>
        <v>492.8</v>
      </c>
      <c r="T85" s="457">
        <f>IFERROR(VLOOKUP($F$1,TCFH!$C$1:$AN$67,((T$2-5)*2-1),0),"")</f>
        <v>563.20000000000005</v>
      </c>
      <c r="U85" s="457">
        <f>IFERROR(VLOOKUP($F$1,TCFH!$C$1:$AN$67,((U$2-5)*2-1),0),"")</f>
        <v>633.6</v>
      </c>
      <c r="V85" s="457">
        <f>IFERROR(VLOOKUP($F$1,TCFH!$C$1:$AN$67,((V$2-5)*2-1),0),"")</f>
        <v>633.6</v>
      </c>
      <c r="W85" s="457">
        <f>IFERROR(VLOOKUP($F$1,TCFH!$C$1:$AN$67,((W$2-5)*2-1),0),"")</f>
        <v>704</v>
      </c>
    </row>
    <row r="86" spans="1:23" x14ac:dyDescent="0.2">
      <c r="A86" s="294" t="s">
        <v>1265</v>
      </c>
      <c r="B86" s="1711"/>
      <c r="C86" s="498" t="s">
        <v>270</v>
      </c>
      <c r="D86" s="291"/>
      <c r="E86" s="301"/>
      <c r="F86" s="301"/>
      <c r="G86" s="457">
        <f>IFERROR(VLOOKUP($F$1,TCBACS!$C$1:$AK$87,((G$2-5)*2-1),0),"")</f>
        <v>0</v>
      </c>
      <c r="H86" s="457">
        <f>IFERROR(VLOOKUP($F$1,TCBACS!$C$1:$AK$87,((H$2-5)*2-1),0),"")</f>
        <v>188.48</v>
      </c>
      <c r="I86" s="457">
        <f>IFERROR(VLOOKUP($F$1,TCBACS!$C$1:$AK$87,((I$2-5)*2-1),0),"")</f>
        <v>0</v>
      </c>
      <c r="J86" s="457">
        <f>IFERROR(VLOOKUP($F$1,TCBACS!$C$1:$AK$87,((J$2-5)*2-1),0),"")</f>
        <v>284</v>
      </c>
      <c r="K86" s="457">
        <f>IFERROR(VLOOKUP($F$1,TCBACS!$C$1:$AK$87,((K$2-5)*2-1),0),"")</f>
        <v>328.79999999999995</v>
      </c>
      <c r="L86" s="457">
        <f>IFERROR(VLOOKUP($F$1,TCBACS!$C$1:$AK$87,((L$2-5)*2-1),0),"")</f>
        <v>0</v>
      </c>
      <c r="M86" s="457">
        <f>IFERROR(VLOOKUP($F$1,TCBACS!$C$1:$AK$87,((M$2-5)*2-1),0),"")</f>
        <v>0</v>
      </c>
      <c r="N86" s="457">
        <f>IFERROR(VLOOKUP($F$1,TCBACS!$C$1:$AK$87,((N$2-5)*2-1),0),"")</f>
        <v>0</v>
      </c>
      <c r="O86" s="457">
        <f>IFERROR(VLOOKUP($F$1,TCBACS!$C$1:$AK$87,((O$2-5)*2-1),0),"")</f>
        <v>568</v>
      </c>
      <c r="P86" s="457">
        <f>IFERROR(VLOOKUP($F$1,TCBACS!$C$1:$AK$87,((P$2-5)*2-1),0),"")</f>
        <v>657.59999999999991</v>
      </c>
      <c r="Q86" s="457">
        <f>IFERROR(VLOOKUP($F$1,TCBACS!$C$1:$AK$87,((Q$2-5)*2-1),0),"")</f>
        <v>0</v>
      </c>
      <c r="R86" s="457">
        <f>IFERROR(VLOOKUP($F$1,TCBACS!$C$1:$AK$87,((R$2-5)*2-1),0),"")</f>
        <v>0</v>
      </c>
      <c r="S86" s="457">
        <f>IFERROR(VLOOKUP($F$1,TCBACS!$C$1:$AK$87,((S$2-5)*2-1),0),"")</f>
        <v>0</v>
      </c>
      <c r="T86" s="457">
        <f>IFERROR(VLOOKUP($F$1,TCBACS!$C$1:$AK$87,((T$2-5)*2-1),0),"")</f>
        <v>0</v>
      </c>
      <c r="U86" s="457">
        <f>IFERROR(VLOOKUP($F$1,TCBACS!$C$1:$AK$87,((U$2-5)*2-1),0),"")</f>
        <v>0</v>
      </c>
      <c r="V86" s="457">
        <f>IFERROR(VLOOKUP($F$1,TCBACS!$C$1:$AK$87,((V$2-5)*2-1),0),"")</f>
        <v>0</v>
      </c>
      <c r="W86" s="457">
        <f>IFERROR(VLOOKUP($F$1,TCBACS!$C$1:$AK$87,((W$2-5)*2-1),0),"")</f>
        <v>1136</v>
      </c>
    </row>
    <row r="87" spans="1:23" x14ac:dyDescent="0.2">
      <c r="A87" s="3"/>
      <c r="B87" s="3"/>
      <c r="C87" s="3"/>
      <c r="D87" s="3"/>
      <c r="E87" s="301"/>
      <c r="F87" s="301"/>
      <c r="G87" s="477"/>
      <c r="H87" s="477"/>
      <c r="I87" s="477"/>
      <c r="J87" s="477"/>
      <c r="K87" s="477"/>
      <c r="L87" s="477"/>
      <c r="M87" s="477"/>
      <c r="N87" s="477"/>
      <c r="O87" s="477"/>
      <c r="P87" s="477"/>
      <c r="Q87" s="477"/>
      <c r="R87" s="477"/>
      <c r="S87" s="477"/>
      <c r="T87" s="477"/>
      <c r="U87" s="477"/>
      <c r="V87" s="477"/>
      <c r="W87" s="477"/>
    </row>
    <row r="88" spans="1:23" ht="14.1" customHeight="1" x14ac:dyDescent="0.2">
      <c r="A88" s="294" t="s">
        <v>1166</v>
      </c>
      <c r="B88" s="1712" t="s">
        <v>670</v>
      </c>
      <c r="C88" s="498" t="s">
        <v>671</v>
      </c>
      <c r="D88" s="291" t="s">
        <v>672</v>
      </c>
      <c r="E88" s="301"/>
      <c r="F88" s="301"/>
      <c r="G88" s="457">
        <f>IFERROR(VLOOKUP($F$1,'PS1'!$C$1:$AM$36,((G$2-5)*2-1),0),"")</f>
        <v>0</v>
      </c>
      <c r="H88" s="457">
        <f>IFERROR(VLOOKUP($F$1,'PS1'!$C$1:$AM$36,((H$2-5)*2-1),0),"")</f>
        <v>0</v>
      </c>
      <c r="I88" s="457">
        <f>IFERROR(VLOOKUP($F$1,'PS1'!$C$1:$AM$36,((I$2-5)*2-1),0),"")</f>
        <v>0</v>
      </c>
      <c r="J88" s="457">
        <f>IFERROR(VLOOKUP($F$1,'PS1'!$C$1:$AM$36,((J$2-5)*2-1),0),"")</f>
        <v>0</v>
      </c>
      <c r="K88" s="457">
        <f>IFERROR(VLOOKUP($F$1,'PS1'!$C$1:$AM$36,((K$2-5)*2-1),0),"")</f>
        <v>0</v>
      </c>
      <c r="L88" s="457">
        <f>IFERROR(VLOOKUP($F$1,'PS1'!$C$1:$AM$36,((L$2-5)*2-1),0),"")</f>
        <v>0</v>
      </c>
      <c r="M88" s="457">
        <f>IFERROR(VLOOKUP($F$1,'PS1'!$C$1:$AM$36,((M$2-5)*2-1),0),"")</f>
        <v>0</v>
      </c>
      <c r="N88" s="457">
        <f>IFERROR(VLOOKUP($F$1,'PS1'!$C$1:$AM$36,((N$2-5)*2-1),0),"")</f>
        <v>0</v>
      </c>
      <c r="O88" s="457">
        <f>IFERROR(VLOOKUP($F$1,'PS1'!$C$1:$AM$36,((O$2-5)*2-1),0),"")</f>
        <v>0</v>
      </c>
      <c r="P88" s="457">
        <f>IFERROR(VLOOKUP($F$1,'PS1'!$C$1:$AM$36,((P$2-5)*2-1),0),"")</f>
        <v>0</v>
      </c>
      <c r="Q88" s="457">
        <f>IFERROR(VLOOKUP($F$1,'PS1'!$C$1:$AM$36,((Q$2-5)*2-1),0),"")</f>
        <v>0</v>
      </c>
      <c r="R88" s="457">
        <f>IFERROR(VLOOKUP($F$1,'PS1'!$C$1:$AM$36,((R$2-5)*2-1),0),"")</f>
        <v>0</v>
      </c>
      <c r="S88" s="457">
        <f>IFERROR(VLOOKUP($F$1,'PS1'!$C$1:$AM$36,((S$2-5)*2-1),0),"")</f>
        <v>0</v>
      </c>
      <c r="T88" s="457">
        <f>IFERROR(VLOOKUP($F$1,'PS1'!$C$1:$AM$36,((T$2-5)*2-1),0),"")</f>
        <v>0</v>
      </c>
      <c r="U88" s="457">
        <f>IFERROR(VLOOKUP($F$1,'PS1'!$C$1:$AM$36,((U$2-5)*2-1),0),"")</f>
        <v>0</v>
      </c>
      <c r="V88" s="457">
        <f>IFERROR(VLOOKUP($F$1,'PS1'!$C$1:$AM$36,((V$2-5)*2-1),0),"")</f>
        <v>0</v>
      </c>
      <c r="W88" s="457">
        <f>IFERROR(VLOOKUP($F$1,'PS1'!$C$1:$AM$36,((W$2-5)*2-1),0),"")</f>
        <v>0</v>
      </c>
    </row>
    <row r="89" spans="1:23" x14ac:dyDescent="0.2">
      <c r="A89" s="294" t="s">
        <v>1167</v>
      </c>
      <c r="B89" s="1713"/>
      <c r="C89" s="498" t="s">
        <v>671</v>
      </c>
      <c r="D89" s="291" t="s">
        <v>673</v>
      </c>
      <c r="E89" s="301"/>
      <c r="F89" s="301"/>
      <c r="G89" s="457"/>
      <c r="H89" s="457"/>
      <c r="I89" s="457"/>
      <c r="J89" s="457"/>
      <c r="K89" s="457"/>
      <c r="L89" s="457"/>
      <c r="M89" s="457"/>
      <c r="N89" s="457"/>
      <c r="O89" s="457"/>
      <c r="P89" s="457"/>
      <c r="Q89" s="457"/>
      <c r="R89" s="457"/>
      <c r="S89" s="457"/>
      <c r="T89" s="457"/>
      <c r="U89" s="457"/>
      <c r="V89" s="457"/>
      <c r="W89" s="457"/>
    </row>
    <row r="90" spans="1:23" x14ac:dyDescent="0.2">
      <c r="A90" s="3"/>
      <c r="B90" s="3"/>
      <c r="C90" s="3"/>
      <c r="D90" s="3"/>
      <c r="E90" s="3"/>
      <c r="F90" s="3"/>
      <c r="G90" s="135"/>
      <c r="H90" s="135"/>
      <c r="I90" s="135"/>
      <c r="J90" s="135"/>
      <c r="K90" s="135"/>
      <c r="L90" s="135"/>
      <c r="M90" s="135"/>
      <c r="N90" s="135"/>
      <c r="O90" s="135"/>
      <c r="P90" s="135"/>
      <c r="Q90" s="135"/>
      <c r="R90" s="135"/>
      <c r="S90" s="135"/>
      <c r="T90" s="135"/>
      <c r="U90" s="135"/>
      <c r="V90" s="135"/>
      <c r="W90" s="135"/>
    </row>
    <row r="91" spans="1:23" ht="15" customHeight="1" x14ac:dyDescent="0.2">
      <c r="A91" s="305" t="s">
        <v>1298</v>
      </c>
      <c r="B91" s="1694" t="s">
        <v>439</v>
      </c>
      <c r="C91" s="1684" t="s">
        <v>652</v>
      </c>
      <c r="D91" s="306" t="s">
        <v>546</v>
      </c>
      <c r="E91" s="301"/>
      <c r="F91" s="301"/>
      <c r="G91" s="457">
        <f t="shared" ref="G91:W91" si="1">IF(G4="","",G$84+G4)</f>
        <v>99.840000000000018</v>
      </c>
      <c r="H91" s="457">
        <f t="shared" si="1"/>
        <v>147.19999999999999</v>
      </c>
      <c r="I91" s="457">
        <f t="shared" si="1"/>
        <v>192.00000000000003</v>
      </c>
      <c r="J91" s="457">
        <f t="shared" si="1"/>
        <v>240</v>
      </c>
      <c r="K91" s="457">
        <f t="shared" si="1"/>
        <v>288</v>
      </c>
      <c r="L91" s="457">
        <f t="shared" si="1"/>
        <v>336</v>
      </c>
      <c r="M91" s="457">
        <f t="shared" si="1"/>
        <v>384.00000000000006</v>
      </c>
      <c r="N91" s="457">
        <f t="shared" si="1"/>
        <v>428.8</v>
      </c>
      <c r="O91" s="457">
        <f t="shared" si="1"/>
        <v>473.6</v>
      </c>
      <c r="P91" s="457">
        <f t="shared" si="1"/>
        <v>563.20000000000005</v>
      </c>
      <c r="Q91" s="457">
        <f t="shared" si="1"/>
        <v>556.79999999999995</v>
      </c>
      <c r="R91" s="457">
        <f t="shared" si="1"/>
        <v>649.59999999999991</v>
      </c>
      <c r="S91" s="457">
        <f t="shared" si="1"/>
        <v>652.79999999999995</v>
      </c>
      <c r="T91" s="457">
        <f t="shared" si="1"/>
        <v>742.40000000000009</v>
      </c>
      <c r="U91" s="457">
        <f t="shared" si="1"/>
        <v>835.19999999999993</v>
      </c>
      <c r="V91" s="457">
        <f t="shared" si="1"/>
        <v>832</v>
      </c>
      <c r="W91" s="457">
        <f t="shared" si="1"/>
        <v>921.59999999999991</v>
      </c>
    </row>
    <row r="92" spans="1:23" ht="15" customHeight="1" x14ac:dyDescent="0.2">
      <c r="A92" s="305" t="s">
        <v>1299</v>
      </c>
      <c r="B92" s="1695"/>
      <c r="C92" s="1684"/>
      <c r="D92" s="235" t="s">
        <v>548</v>
      </c>
      <c r="E92" s="302"/>
      <c r="F92" s="302"/>
      <c r="G92" s="457">
        <f t="shared" ref="G92:W92" si="2">IF(G5="","",G$84+G5)</f>
        <v>152.32</v>
      </c>
      <c r="H92" s="457">
        <f t="shared" si="2"/>
        <v>211.2</v>
      </c>
      <c r="I92" s="457">
        <f t="shared" si="2"/>
        <v>268.8</v>
      </c>
      <c r="J92" s="457">
        <f t="shared" si="2"/>
        <v>323.2</v>
      </c>
      <c r="K92" s="457">
        <f t="shared" si="2"/>
        <v>377.6</v>
      </c>
      <c r="L92" s="457">
        <f t="shared" si="2"/>
        <v>432</v>
      </c>
      <c r="M92" s="457">
        <f t="shared" si="2"/>
        <v>486.40000000000009</v>
      </c>
      <c r="N92" s="457">
        <f t="shared" si="2"/>
        <v>537.6</v>
      </c>
      <c r="O92" s="457">
        <f t="shared" si="2"/>
        <v>588.79999999999995</v>
      </c>
      <c r="P92" s="457">
        <f t="shared" si="2"/>
        <v>691.2</v>
      </c>
      <c r="Q92" s="457">
        <f t="shared" si="2"/>
        <v>697.59999999999991</v>
      </c>
      <c r="R92" s="457">
        <f t="shared" si="2"/>
        <v>796.8</v>
      </c>
      <c r="S92" s="457">
        <f t="shared" si="2"/>
        <v>793.59999999999991</v>
      </c>
      <c r="T92" s="457">
        <f t="shared" si="2"/>
        <v>896.00000000000011</v>
      </c>
      <c r="U92" s="457">
        <f t="shared" si="2"/>
        <v>995.19999999999993</v>
      </c>
      <c r="V92" s="457">
        <f t="shared" si="2"/>
        <v>998.4</v>
      </c>
      <c r="W92" s="457">
        <f t="shared" si="2"/>
        <v>1100.8</v>
      </c>
    </row>
    <row r="93" spans="1:23" ht="15" customHeight="1" x14ac:dyDescent="0.2">
      <c r="A93" s="305" t="s">
        <v>1300</v>
      </c>
      <c r="B93" s="1695"/>
      <c r="C93" s="1684"/>
      <c r="D93" s="235" t="s">
        <v>653</v>
      </c>
      <c r="E93" s="301"/>
      <c r="F93" s="301"/>
      <c r="G93" s="457">
        <f t="shared" ref="G93:W93" si="3">IF(G6="","",G$84+G6)</f>
        <v>200.60160000000002</v>
      </c>
      <c r="H93" s="457">
        <f t="shared" si="3"/>
        <v>270.08</v>
      </c>
      <c r="I93" s="457">
        <f t="shared" si="3"/>
        <v>339.45600000000002</v>
      </c>
      <c r="J93" s="457">
        <f t="shared" si="3"/>
        <v>399.74400000000003</v>
      </c>
      <c r="K93" s="457">
        <f t="shared" si="3"/>
        <v>460.03199999999998</v>
      </c>
      <c r="L93" s="457">
        <f t="shared" si="3"/>
        <v>520.31999999999994</v>
      </c>
      <c r="M93" s="457">
        <f t="shared" si="3"/>
        <v>580.60800000000006</v>
      </c>
      <c r="N93" s="457">
        <f t="shared" si="3"/>
        <v>637.69600000000003</v>
      </c>
      <c r="O93" s="457">
        <f t="shared" si="3"/>
        <v>694.78400000000011</v>
      </c>
      <c r="P93" s="457">
        <f t="shared" si="3"/>
        <v>808.96</v>
      </c>
      <c r="Q93" s="457">
        <f t="shared" si="3"/>
        <v>827.13599999999997</v>
      </c>
      <c r="R93" s="457">
        <f t="shared" si="3"/>
        <v>932.22399999999993</v>
      </c>
      <c r="S93" s="457">
        <f t="shared" si="3"/>
        <v>923.13599999999997</v>
      </c>
      <c r="T93" s="457">
        <f t="shared" si="3"/>
        <v>1037.3120000000001</v>
      </c>
      <c r="U93" s="457">
        <f t="shared" si="3"/>
        <v>1142.3999999999999</v>
      </c>
      <c r="V93" s="457">
        <f t="shared" si="3"/>
        <v>1151.4880000000001</v>
      </c>
      <c r="W93" s="457">
        <f t="shared" si="3"/>
        <v>1265.6639999999998</v>
      </c>
    </row>
    <row r="94" spans="1:23" ht="15" customHeight="1" x14ac:dyDescent="0.2">
      <c r="A94" s="305" t="s">
        <v>1301</v>
      </c>
      <c r="B94" s="1695"/>
      <c r="C94" s="1663"/>
      <c r="D94" s="472" t="s">
        <v>551</v>
      </c>
      <c r="E94" s="302"/>
      <c r="F94" s="302"/>
      <c r="G94" s="457">
        <f t="shared" ref="G94:W94" si="4">IF(G7="","",G$84+G7)</f>
        <v>124.44000000000001</v>
      </c>
      <c r="H94" s="457">
        <f t="shared" si="4"/>
        <v>177.2</v>
      </c>
      <c r="I94" s="457">
        <f t="shared" si="4"/>
        <v>228.00000000000003</v>
      </c>
      <c r="J94" s="457">
        <f t="shared" si="4"/>
        <v>279</v>
      </c>
      <c r="K94" s="457">
        <f t="shared" si="4"/>
        <v>330</v>
      </c>
      <c r="L94" s="457">
        <f t="shared" si="4"/>
        <v>381</v>
      </c>
      <c r="M94" s="457">
        <f t="shared" si="4"/>
        <v>432.00000000000006</v>
      </c>
      <c r="N94" s="457">
        <f t="shared" si="4"/>
        <v>479.8</v>
      </c>
      <c r="O94" s="457">
        <f t="shared" si="4"/>
        <v>527.6</v>
      </c>
      <c r="P94" s="457">
        <f t="shared" si="4"/>
        <v>623.20000000000005</v>
      </c>
      <c r="Q94" s="457">
        <f t="shared" si="4"/>
        <v>622.79999999999995</v>
      </c>
      <c r="R94" s="457">
        <f t="shared" si="4"/>
        <v>718.59999999999991</v>
      </c>
      <c r="S94" s="457">
        <f t="shared" si="4"/>
        <v>718.8</v>
      </c>
      <c r="T94" s="457">
        <f t="shared" si="4"/>
        <v>814.40000000000009</v>
      </c>
      <c r="U94" s="457">
        <f t="shared" si="4"/>
        <v>910.19999999999993</v>
      </c>
      <c r="V94" s="457">
        <f t="shared" si="4"/>
        <v>910</v>
      </c>
      <c r="W94" s="457">
        <f t="shared" si="4"/>
        <v>1005.5999999999999</v>
      </c>
    </row>
    <row r="95" spans="1:23" ht="15" customHeight="1" x14ac:dyDescent="0.2">
      <c r="A95" s="305" t="s">
        <v>1302</v>
      </c>
      <c r="B95" s="1695"/>
      <c r="C95" s="1672" t="s">
        <v>654</v>
      </c>
      <c r="D95" s="307" t="s">
        <v>657</v>
      </c>
      <c r="E95" s="301"/>
      <c r="F95" s="301"/>
      <c r="G95" s="457">
        <f t="shared" ref="G95:W95" si="5">IF(G8="","",G$84+G8)</f>
        <v>235.68</v>
      </c>
      <c r="H95" s="457">
        <f t="shared" si="5"/>
        <v>325.2</v>
      </c>
      <c r="I95" s="457">
        <f t="shared" si="5"/>
        <v>414.40000000000009</v>
      </c>
      <c r="J95" s="457">
        <f t="shared" si="5"/>
        <v>495.6</v>
      </c>
      <c r="K95" s="457">
        <f t="shared" si="5"/>
        <v>576.79999999999995</v>
      </c>
      <c r="L95" s="457">
        <f t="shared" si="5"/>
        <v>658</v>
      </c>
      <c r="M95" s="457">
        <f t="shared" si="5"/>
        <v>739.2</v>
      </c>
      <c r="N95" s="457">
        <f t="shared" si="5"/>
        <v>817.2</v>
      </c>
      <c r="O95" s="457">
        <f t="shared" si="5"/>
        <v>895.2</v>
      </c>
      <c r="P95" s="457">
        <f t="shared" si="5"/>
        <v>1051.2</v>
      </c>
      <c r="Q95" s="457">
        <f t="shared" si="5"/>
        <v>1067.2</v>
      </c>
      <c r="R95" s="457">
        <f t="shared" si="5"/>
        <v>1215.1999999999998</v>
      </c>
      <c r="S95" s="457">
        <f t="shared" si="5"/>
        <v>1207.2</v>
      </c>
      <c r="T95" s="457">
        <f t="shared" si="5"/>
        <v>1363.2000000000003</v>
      </c>
      <c r="U95" s="457">
        <f t="shared" si="5"/>
        <v>1511.1999999999998</v>
      </c>
      <c r="V95" s="457">
        <f t="shared" si="5"/>
        <v>1519.2</v>
      </c>
      <c r="W95" s="457">
        <f t="shared" si="5"/>
        <v>1675.1999999999998</v>
      </c>
    </row>
    <row r="96" spans="1:23" ht="15" customHeight="1" x14ac:dyDescent="0.2">
      <c r="A96" s="305" t="s">
        <v>1303</v>
      </c>
      <c r="B96" s="1695"/>
      <c r="C96" s="1684"/>
      <c r="D96" s="306" t="s">
        <v>546</v>
      </c>
      <c r="E96" s="301"/>
      <c r="F96" s="301"/>
      <c r="G96" s="457">
        <f t="shared" ref="G96:W96" si="6">IF(G9="","",G$84+G9)</f>
        <v>143.84000000000003</v>
      </c>
      <c r="H96" s="457">
        <f t="shared" si="6"/>
        <v>213.2</v>
      </c>
      <c r="I96" s="457">
        <f t="shared" si="6"/>
        <v>280</v>
      </c>
      <c r="J96" s="457">
        <f t="shared" si="6"/>
        <v>350</v>
      </c>
      <c r="K96" s="457">
        <f t="shared" si="6"/>
        <v>420</v>
      </c>
      <c r="L96" s="457">
        <f t="shared" si="6"/>
        <v>490</v>
      </c>
      <c r="M96" s="457">
        <f t="shared" si="6"/>
        <v>560</v>
      </c>
      <c r="N96" s="457">
        <f t="shared" si="6"/>
        <v>626.79999999999995</v>
      </c>
      <c r="O96" s="457">
        <f t="shared" si="6"/>
        <v>693.6</v>
      </c>
      <c r="P96" s="457">
        <f t="shared" si="6"/>
        <v>827.2</v>
      </c>
      <c r="Q96" s="457">
        <f t="shared" si="6"/>
        <v>820.8</v>
      </c>
      <c r="R96" s="457">
        <f t="shared" si="6"/>
        <v>957.59999999999991</v>
      </c>
      <c r="S96" s="457">
        <f t="shared" si="6"/>
        <v>960.8</v>
      </c>
      <c r="T96" s="457">
        <f t="shared" si="6"/>
        <v>1094.4000000000001</v>
      </c>
      <c r="U96" s="457">
        <f t="shared" si="6"/>
        <v>1231.1999999999998</v>
      </c>
      <c r="V96" s="457">
        <f t="shared" si="6"/>
        <v>1228</v>
      </c>
      <c r="W96" s="457">
        <f t="shared" si="6"/>
        <v>1361.6</v>
      </c>
    </row>
    <row r="97" spans="1:23" ht="15" customHeight="1" x14ac:dyDescent="0.2">
      <c r="A97" s="305" t="s">
        <v>1304</v>
      </c>
      <c r="B97" s="1695"/>
      <c r="C97" s="1663"/>
      <c r="D97" s="235" t="s">
        <v>653</v>
      </c>
      <c r="E97" s="302"/>
      <c r="F97" s="302"/>
      <c r="G97" s="457">
        <f t="shared" ref="G97:W97" si="7">IF(G10="","",G$84+G10)</f>
        <v>196.32</v>
      </c>
      <c r="H97" s="457">
        <f t="shared" si="7"/>
        <v>277.2</v>
      </c>
      <c r="I97" s="457">
        <f t="shared" si="7"/>
        <v>356.80000000000007</v>
      </c>
      <c r="J97" s="457">
        <f t="shared" si="7"/>
        <v>433.2</v>
      </c>
      <c r="K97" s="457">
        <f t="shared" si="7"/>
        <v>509.6</v>
      </c>
      <c r="L97" s="457">
        <f t="shared" si="7"/>
        <v>586</v>
      </c>
      <c r="M97" s="457">
        <f t="shared" si="7"/>
        <v>662.40000000000009</v>
      </c>
      <c r="N97" s="457">
        <f t="shared" si="7"/>
        <v>735.6</v>
      </c>
      <c r="O97" s="457">
        <f t="shared" si="7"/>
        <v>808.8</v>
      </c>
      <c r="P97" s="457">
        <f t="shared" si="7"/>
        <v>955.2</v>
      </c>
      <c r="Q97" s="457">
        <f t="shared" si="7"/>
        <v>961.6</v>
      </c>
      <c r="R97" s="457">
        <f t="shared" si="7"/>
        <v>1104.8</v>
      </c>
      <c r="S97" s="457">
        <f t="shared" si="7"/>
        <v>1101.5999999999999</v>
      </c>
      <c r="T97" s="457">
        <f t="shared" si="7"/>
        <v>1248</v>
      </c>
      <c r="U97" s="457">
        <f t="shared" si="7"/>
        <v>1391.1999999999998</v>
      </c>
      <c r="V97" s="457">
        <f t="shared" si="7"/>
        <v>1394.4</v>
      </c>
      <c r="W97" s="457">
        <f t="shared" si="7"/>
        <v>1540.8</v>
      </c>
    </row>
    <row r="98" spans="1:23" ht="15" customHeight="1" x14ac:dyDescent="0.2">
      <c r="A98" s="305" t="s">
        <v>1305</v>
      </c>
      <c r="B98" s="1695"/>
      <c r="C98" s="1672" t="s">
        <v>523</v>
      </c>
      <c r="D98" s="471" t="s">
        <v>656</v>
      </c>
      <c r="E98" s="301"/>
      <c r="F98" s="301"/>
      <c r="G98" s="457">
        <f t="shared" ref="G98:W98" si="8">IF(G11="","",G$84+G11)</f>
        <v>196.32</v>
      </c>
      <c r="H98" s="457">
        <f t="shared" si="8"/>
        <v>277.2</v>
      </c>
      <c r="I98" s="457">
        <f t="shared" si="8"/>
        <v>356.80000000000007</v>
      </c>
      <c r="J98" s="457">
        <f t="shared" si="8"/>
        <v>433.2</v>
      </c>
      <c r="K98" s="457">
        <f t="shared" si="8"/>
        <v>509.6</v>
      </c>
      <c r="L98" s="457">
        <f t="shared" si="8"/>
        <v>586</v>
      </c>
      <c r="M98" s="457">
        <f t="shared" si="8"/>
        <v>662.40000000000009</v>
      </c>
      <c r="N98" s="457">
        <f t="shared" si="8"/>
        <v>735.6</v>
      </c>
      <c r="O98" s="457">
        <f t="shared" si="8"/>
        <v>808.8</v>
      </c>
      <c r="P98" s="457">
        <f t="shared" si="8"/>
        <v>955.2</v>
      </c>
      <c r="Q98" s="457">
        <f t="shared" si="8"/>
        <v>961.6</v>
      </c>
      <c r="R98" s="457">
        <f t="shared" si="8"/>
        <v>1104.8</v>
      </c>
      <c r="S98" s="457">
        <f t="shared" si="8"/>
        <v>1101.5999999999999</v>
      </c>
      <c r="T98" s="457">
        <f t="shared" si="8"/>
        <v>1248</v>
      </c>
      <c r="U98" s="457">
        <f t="shared" si="8"/>
        <v>1391.1999999999998</v>
      </c>
      <c r="V98" s="457">
        <f t="shared" si="8"/>
        <v>1394.4</v>
      </c>
      <c r="W98" s="457">
        <f t="shared" si="8"/>
        <v>1540.8</v>
      </c>
    </row>
    <row r="99" spans="1:23" ht="15" customHeight="1" x14ac:dyDescent="0.2">
      <c r="A99" s="305" t="s">
        <v>1306</v>
      </c>
      <c r="B99" s="1696"/>
      <c r="C99" s="1663"/>
      <c r="D99" s="307" t="s">
        <v>657</v>
      </c>
      <c r="E99" s="302"/>
      <c r="F99" s="302"/>
      <c r="G99" s="457">
        <f t="shared" ref="G99:W99" si="9">IF(G12="","",G$84+G12)</f>
        <v>187.84000000000003</v>
      </c>
      <c r="H99" s="457">
        <f t="shared" si="9"/>
        <v>279.2</v>
      </c>
      <c r="I99" s="457">
        <f t="shared" si="9"/>
        <v>368</v>
      </c>
      <c r="J99" s="457">
        <f t="shared" si="9"/>
        <v>460</v>
      </c>
      <c r="K99" s="457">
        <f t="shared" si="9"/>
        <v>552</v>
      </c>
      <c r="L99" s="457">
        <f t="shared" si="9"/>
        <v>644</v>
      </c>
      <c r="M99" s="457">
        <f t="shared" si="9"/>
        <v>736</v>
      </c>
      <c r="N99" s="457">
        <f t="shared" si="9"/>
        <v>824.8</v>
      </c>
      <c r="O99" s="457">
        <f t="shared" si="9"/>
        <v>913.6</v>
      </c>
      <c r="P99" s="457">
        <f t="shared" si="9"/>
        <v>1091.2</v>
      </c>
      <c r="Q99" s="457">
        <f t="shared" si="9"/>
        <v>1084.8</v>
      </c>
      <c r="R99" s="457">
        <f t="shared" si="9"/>
        <v>1265.5999999999999</v>
      </c>
      <c r="S99" s="457">
        <f t="shared" si="9"/>
        <v>1268.8000000000002</v>
      </c>
      <c r="T99" s="457">
        <f t="shared" si="9"/>
        <v>1446.4</v>
      </c>
      <c r="U99" s="457">
        <f t="shared" si="9"/>
        <v>1627.1999999999998</v>
      </c>
      <c r="V99" s="457">
        <f t="shared" si="9"/>
        <v>1624</v>
      </c>
      <c r="W99" s="457">
        <f t="shared" si="9"/>
        <v>1801.6</v>
      </c>
    </row>
    <row r="100" spans="1:23" ht="15" customHeight="1" x14ac:dyDescent="0.2">
      <c r="A100" s="305" t="s">
        <v>1307</v>
      </c>
      <c r="B100" s="1670" t="s">
        <v>399</v>
      </c>
      <c r="C100" s="1672" t="s">
        <v>545</v>
      </c>
      <c r="D100" s="306" t="s">
        <v>546</v>
      </c>
      <c r="E100" s="301"/>
      <c r="F100" s="301"/>
      <c r="G100" s="457">
        <f t="shared" ref="G100:W100" si="10">IF(G13="","",G$85+G13)</f>
        <v>74.400000000000006</v>
      </c>
      <c r="H100" s="457">
        <f t="shared" si="10"/>
        <v>109.60000000000002</v>
      </c>
      <c r="I100" s="457">
        <f t="shared" si="10"/>
        <v>144.80000000000001</v>
      </c>
      <c r="J100" s="457">
        <f t="shared" si="10"/>
        <v>180</v>
      </c>
      <c r="K100" s="457">
        <f t="shared" si="10"/>
        <v>215.20000000000005</v>
      </c>
      <c r="L100" s="457">
        <f t="shared" si="10"/>
        <v>250.4</v>
      </c>
      <c r="M100" s="457">
        <f t="shared" si="10"/>
        <v>285.60000000000002</v>
      </c>
      <c r="N100" s="457">
        <f t="shared" si="10"/>
        <v>320.8</v>
      </c>
      <c r="O100" s="457">
        <f t="shared" si="10"/>
        <v>356</v>
      </c>
      <c r="P100" s="457">
        <f t="shared" si="10"/>
        <v>426.40000000000009</v>
      </c>
      <c r="Q100" s="457">
        <f t="shared" si="10"/>
        <v>426.40000000000009</v>
      </c>
      <c r="R100" s="457">
        <f t="shared" si="10"/>
        <v>496.8</v>
      </c>
      <c r="S100" s="457">
        <f t="shared" si="10"/>
        <v>496.8</v>
      </c>
      <c r="T100" s="457">
        <f t="shared" si="10"/>
        <v>567.20000000000005</v>
      </c>
      <c r="U100" s="457">
        <f t="shared" si="10"/>
        <v>637.6</v>
      </c>
      <c r="V100" s="457">
        <f t="shared" si="10"/>
        <v>637.6</v>
      </c>
      <c r="W100" s="457">
        <f t="shared" si="10"/>
        <v>708</v>
      </c>
    </row>
    <row r="101" spans="1:23" ht="15" customHeight="1" x14ac:dyDescent="0.2">
      <c r="A101" s="305" t="s">
        <v>1308</v>
      </c>
      <c r="B101" s="1685"/>
      <c r="C101" s="1684"/>
      <c r="D101" s="235" t="s">
        <v>548</v>
      </c>
      <c r="E101" s="302"/>
      <c r="F101" s="302"/>
      <c r="G101" s="457">
        <f t="shared" ref="G101:W101" si="11">IF(G14="","",G$85+G14)</f>
        <v>74.400000000000006</v>
      </c>
      <c r="H101" s="457">
        <f t="shared" si="11"/>
        <v>109.60000000000002</v>
      </c>
      <c r="I101" s="457">
        <f t="shared" si="11"/>
        <v>144.80000000000001</v>
      </c>
      <c r="J101" s="457">
        <f t="shared" si="11"/>
        <v>180</v>
      </c>
      <c r="K101" s="457">
        <f t="shared" si="11"/>
        <v>215.20000000000005</v>
      </c>
      <c r="L101" s="457">
        <f t="shared" si="11"/>
        <v>250.4</v>
      </c>
      <c r="M101" s="457">
        <f t="shared" si="11"/>
        <v>285.60000000000002</v>
      </c>
      <c r="N101" s="457">
        <f t="shared" si="11"/>
        <v>320.8</v>
      </c>
      <c r="O101" s="457">
        <f t="shared" si="11"/>
        <v>356</v>
      </c>
      <c r="P101" s="457">
        <f t="shared" si="11"/>
        <v>426.40000000000009</v>
      </c>
      <c r="Q101" s="457">
        <f t="shared" si="11"/>
        <v>426.40000000000009</v>
      </c>
      <c r="R101" s="457">
        <f t="shared" si="11"/>
        <v>496.8</v>
      </c>
      <c r="S101" s="457">
        <f t="shared" si="11"/>
        <v>496.8</v>
      </c>
      <c r="T101" s="457">
        <f t="shared" si="11"/>
        <v>567.20000000000005</v>
      </c>
      <c r="U101" s="457">
        <f t="shared" si="11"/>
        <v>637.6</v>
      </c>
      <c r="V101" s="457">
        <f t="shared" si="11"/>
        <v>637.6</v>
      </c>
      <c r="W101" s="457">
        <f t="shared" si="11"/>
        <v>708</v>
      </c>
    </row>
    <row r="102" spans="1:23" ht="15" customHeight="1" x14ac:dyDescent="0.2">
      <c r="A102" s="305" t="s">
        <v>1309</v>
      </c>
      <c r="B102" s="1685"/>
      <c r="C102" s="1684"/>
      <c r="D102" s="235" t="s">
        <v>653</v>
      </c>
      <c r="E102" s="301"/>
      <c r="F102" s="301"/>
      <c r="G102" s="457">
        <f t="shared" ref="G102:W102" si="12">IF(G15="","",G$85+G15)</f>
        <v>74.400000000000006</v>
      </c>
      <c r="H102" s="457">
        <f t="shared" si="12"/>
        <v>109.60000000000002</v>
      </c>
      <c r="I102" s="457">
        <f t="shared" si="12"/>
        <v>144.80000000000001</v>
      </c>
      <c r="J102" s="457">
        <f t="shared" si="12"/>
        <v>180</v>
      </c>
      <c r="K102" s="457">
        <f t="shared" si="12"/>
        <v>215.20000000000005</v>
      </c>
      <c r="L102" s="457">
        <f t="shared" si="12"/>
        <v>250.4</v>
      </c>
      <c r="M102" s="457">
        <f t="shared" si="12"/>
        <v>285.60000000000002</v>
      </c>
      <c r="N102" s="457">
        <f t="shared" si="12"/>
        <v>320.8</v>
      </c>
      <c r="O102" s="457">
        <f t="shared" si="12"/>
        <v>356</v>
      </c>
      <c r="P102" s="457">
        <f t="shared" si="12"/>
        <v>426.40000000000009</v>
      </c>
      <c r="Q102" s="457">
        <f t="shared" si="12"/>
        <v>426.40000000000009</v>
      </c>
      <c r="R102" s="457">
        <f t="shared" si="12"/>
        <v>496.8</v>
      </c>
      <c r="S102" s="457">
        <f t="shared" si="12"/>
        <v>496.8</v>
      </c>
      <c r="T102" s="457">
        <f t="shared" si="12"/>
        <v>567.20000000000005</v>
      </c>
      <c r="U102" s="457">
        <f t="shared" si="12"/>
        <v>637.6</v>
      </c>
      <c r="V102" s="457">
        <f t="shared" si="12"/>
        <v>637.6</v>
      </c>
      <c r="W102" s="457">
        <f t="shared" si="12"/>
        <v>708</v>
      </c>
    </row>
    <row r="103" spans="1:23" ht="15" customHeight="1" x14ac:dyDescent="0.2">
      <c r="A103" s="305" t="s">
        <v>1310</v>
      </c>
      <c r="B103" s="1685"/>
      <c r="C103" s="1663"/>
      <c r="D103" s="235" t="s">
        <v>551</v>
      </c>
      <c r="E103" s="302"/>
      <c r="F103" s="302"/>
      <c r="G103" s="457">
        <f t="shared" ref="G103:W103" si="13">IF(G16="","",G$85+G16)</f>
        <v>74.400000000000006</v>
      </c>
      <c r="H103" s="457">
        <f t="shared" si="13"/>
        <v>109.60000000000002</v>
      </c>
      <c r="I103" s="457">
        <f t="shared" si="13"/>
        <v>144.80000000000001</v>
      </c>
      <c r="J103" s="457">
        <f t="shared" si="13"/>
        <v>180</v>
      </c>
      <c r="K103" s="457">
        <f t="shared" si="13"/>
        <v>215.20000000000005</v>
      </c>
      <c r="L103" s="457">
        <f t="shared" si="13"/>
        <v>250.4</v>
      </c>
      <c r="M103" s="457">
        <f t="shared" si="13"/>
        <v>285.60000000000002</v>
      </c>
      <c r="N103" s="457">
        <f t="shared" si="13"/>
        <v>320.8</v>
      </c>
      <c r="O103" s="457">
        <f t="shared" si="13"/>
        <v>356</v>
      </c>
      <c r="P103" s="457">
        <f t="shared" si="13"/>
        <v>426.40000000000009</v>
      </c>
      <c r="Q103" s="457">
        <f t="shared" si="13"/>
        <v>426.40000000000009</v>
      </c>
      <c r="R103" s="457">
        <f t="shared" si="13"/>
        <v>496.8</v>
      </c>
      <c r="S103" s="457">
        <f t="shared" si="13"/>
        <v>496.8</v>
      </c>
      <c r="T103" s="457">
        <f t="shared" si="13"/>
        <v>567.20000000000005</v>
      </c>
      <c r="U103" s="457">
        <f t="shared" si="13"/>
        <v>637.6</v>
      </c>
      <c r="V103" s="457">
        <f t="shared" si="13"/>
        <v>637.6</v>
      </c>
      <c r="W103" s="457">
        <f t="shared" si="13"/>
        <v>708</v>
      </c>
    </row>
    <row r="104" spans="1:23" ht="15" customHeight="1" x14ac:dyDescent="0.2">
      <c r="A104" s="305" t="s">
        <v>1311</v>
      </c>
      <c r="B104" s="1685"/>
      <c r="C104" s="1672" t="s">
        <v>555</v>
      </c>
      <c r="D104" s="235" t="s">
        <v>655</v>
      </c>
      <c r="E104" s="301"/>
      <c r="F104" s="301"/>
      <c r="G104" s="457">
        <f t="shared" ref="G104:W104" si="14">IF(G17="","",G$85+G17)</f>
        <v>74.400000000000006</v>
      </c>
      <c r="H104" s="457">
        <f t="shared" si="14"/>
        <v>109.60000000000002</v>
      </c>
      <c r="I104" s="457">
        <f t="shared" si="14"/>
        <v>144.80000000000001</v>
      </c>
      <c r="J104" s="457">
        <f t="shared" si="14"/>
        <v>180</v>
      </c>
      <c r="K104" s="457">
        <f t="shared" si="14"/>
        <v>215.20000000000005</v>
      </c>
      <c r="L104" s="457">
        <f t="shared" si="14"/>
        <v>250.4</v>
      </c>
      <c r="M104" s="457">
        <f t="shared" si="14"/>
        <v>285.60000000000002</v>
      </c>
      <c r="N104" s="457">
        <f t="shared" si="14"/>
        <v>320.8</v>
      </c>
      <c r="O104" s="457">
        <f t="shared" si="14"/>
        <v>356</v>
      </c>
      <c r="P104" s="457">
        <f t="shared" si="14"/>
        <v>426.40000000000009</v>
      </c>
      <c r="Q104" s="457">
        <f t="shared" si="14"/>
        <v>426.40000000000009</v>
      </c>
      <c r="R104" s="457">
        <f t="shared" si="14"/>
        <v>496.8</v>
      </c>
      <c r="S104" s="457">
        <f t="shared" si="14"/>
        <v>496.8</v>
      </c>
      <c r="T104" s="457">
        <f t="shared" si="14"/>
        <v>567.20000000000005</v>
      </c>
      <c r="U104" s="457">
        <f t="shared" si="14"/>
        <v>637.6</v>
      </c>
      <c r="V104" s="457">
        <f t="shared" si="14"/>
        <v>637.6</v>
      </c>
      <c r="W104" s="457">
        <f t="shared" si="14"/>
        <v>708</v>
      </c>
    </row>
    <row r="105" spans="1:23" ht="15" customHeight="1" x14ac:dyDescent="0.2">
      <c r="A105" s="305" t="s">
        <v>1312</v>
      </c>
      <c r="B105" s="1685"/>
      <c r="C105" s="1684"/>
      <c r="D105" s="306" t="s">
        <v>546</v>
      </c>
      <c r="E105" s="301"/>
      <c r="F105" s="301"/>
      <c r="G105" s="457">
        <f t="shared" ref="G105:W105" si="15">IF(G18="","",G$85+G18)</f>
        <v>74.400000000000006</v>
      </c>
      <c r="H105" s="457">
        <f t="shared" si="15"/>
        <v>109.60000000000002</v>
      </c>
      <c r="I105" s="457">
        <f t="shared" si="15"/>
        <v>144.80000000000001</v>
      </c>
      <c r="J105" s="457">
        <f t="shared" si="15"/>
        <v>180</v>
      </c>
      <c r="K105" s="457">
        <f t="shared" si="15"/>
        <v>215.20000000000005</v>
      </c>
      <c r="L105" s="457">
        <f t="shared" si="15"/>
        <v>250.4</v>
      </c>
      <c r="M105" s="457">
        <f t="shared" si="15"/>
        <v>285.60000000000002</v>
      </c>
      <c r="N105" s="457">
        <f t="shared" si="15"/>
        <v>320.8</v>
      </c>
      <c r="O105" s="457">
        <f t="shared" si="15"/>
        <v>356</v>
      </c>
      <c r="P105" s="457">
        <f t="shared" si="15"/>
        <v>426.40000000000009</v>
      </c>
      <c r="Q105" s="457">
        <f t="shared" si="15"/>
        <v>426.40000000000009</v>
      </c>
      <c r="R105" s="457">
        <f t="shared" si="15"/>
        <v>496.8</v>
      </c>
      <c r="S105" s="457">
        <f t="shared" si="15"/>
        <v>496.8</v>
      </c>
      <c r="T105" s="457">
        <f t="shared" si="15"/>
        <v>567.20000000000005</v>
      </c>
      <c r="U105" s="457">
        <f t="shared" si="15"/>
        <v>637.6</v>
      </c>
      <c r="V105" s="457">
        <f t="shared" si="15"/>
        <v>637.6</v>
      </c>
      <c r="W105" s="457">
        <f t="shared" si="15"/>
        <v>708</v>
      </c>
    </row>
    <row r="106" spans="1:23" ht="15.6" customHeight="1" x14ac:dyDescent="0.2">
      <c r="A106" s="305" t="s">
        <v>1313</v>
      </c>
      <c r="B106" s="1685"/>
      <c r="C106" s="1663"/>
      <c r="D106" s="235" t="s">
        <v>653</v>
      </c>
      <c r="E106" s="302"/>
      <c r="F106" s="302"/>
      <c r="G106" s="457">
        <f t="shared" ref="G106:W106" si="16">IF(G19="","",G$85+G19)</f>
        <v>74.400000000000006</v>
      </c>
      <c r="H106" s="457">
        <f t="shared" si="16"/>
        <v>109.60000000000002</v>
      </c>
      <c r="I106" s="457">
        <f t="shared" si="16"/>
        <v>144.80000000000001</v>
      </c>
      <c r="J106" s="457">
        <f t="shared" si="16"/>
        <v>180</v>
      </c>
      <c r="K106" s="457">
        <f t="shared" si="16"/>
        <v>215.20000000000005</v>
      </c>
      <c r="L106" s="457">
        <f t="shared" si="16"/>
        <v>250.4</v>
      </c>
      <c r="M106" s="457">
        <f t="shared" si="16"/>
        <v>285.60000000000002</v>
      </c>
      <c r="N106" s="457">
        <f t="shared" si="16"/>
        <v>320.8</v>
      </c>
      <c r="O106" s="457">
        <f t="shared" si="16"/>
        <v>356</v>
      </c>
      <c r="P106" s="457">
        <f t="shared" si="16"/>
        <v>426.40000000000009</v>
      </c>
      <c r="Q106" s="457">
        <f t="shared" si="16"/>
        <v>426.40000000000009</v>
      </c>
      <c r="R106" s="457">
        <f t="shared" si="16"/>
        <v>496.8</v>
      </c>
      <c r="S106" s="457">
        <f t="shared" si="16"/>
        <v>496.8</v>
      </c>
      <c r="T106" s="457">
        <f t="shared" si="16"/>
        <v>567.20000000000005</v>
      </c>
      <c r="U106" s="457">
        <f t="shared" si="16"/>
        <v>637.6</v>
      </c>
      <c r="V106" s="457">
        <f t="shared" si="16"/>
        <v>637.6</v>
      </c>
      <c r="W106" s="457">
        <f t="shared" si="16"/>
        <v>708</v>
      </c>
    </row>
    <row r="107" spans="1:23" ht="15" customHeight="1" x14ac:dyDescent="0.2">
      <c r="A107" s="305" t="s">
        <v>1314</v>
      </c>
      <c r="B107" s="1685"/>
      <c r="C107" s="1672" t="s">
        <v>523</v>
      </c>
      <c r="D107" s="307" t="s">
        <v>656</v>
      </c>
      <c r="E107" s="301"/>
      <c r="F107" s="301"/>
      <c r="G107" s="457">
        <f t="shared" ref="G107:W107" si="17">IF(G20="","",G$85+G20)</f>
        <v>74.400000000000006</v>
      </c>
      <c r="H107" s="457">
        <f t="shared" si="17"/>
        <v>109.60000000000002</v>
      </c>
      <c r="I107" s="457">
        <f t="shared" si="17"/>
        <v>144.80000000000001</v>
      </c>
      <c r="J107" s="457">
        <f t="shared" si="17"/>
        <v>180</v>
      </c>
      <c r="K107" s="457">
        <f t="shared" si="17"/>
        <v>215.20000000000005</v>
      </c>
      <c r="L107" s="457">
        <f t="shared" si="17"/>
        <v>250.4</v>
      </c>
      <c r="M107" s="457">
        <f t="shared" si="17"/>
        <v>285.60000000000002</v>
      </c>
      <c r="N107" s="457">
        <f t="shared" si="17"/>
        <v>320.8</v>
      </c>
      <c r="O107" s="457">
        <f t="shared" si="17"/>
        <v>356</v>
      </c>
      <c r="P107" s="457">
        <f t="shared" si="17"/>
        <v>426.40000000000009</v>
      </c>
      <c r="Q107" s="457">
        <f t="shared" si="17"/>
        <v>426.40000000000009</v>
      </c>
      <c r="R107" s="457">
        <f t="shared" si="17"/>
        <v>496.8</v>
      </c>
      <c r="S107" s="457">
        <f t="shared" si="17"/>
        <v>496.8</v>
      </c>
      <c r="T107" s="457">
        <f t="shared" si="17"/>
        <v>567.20000000000005</v>
      </c>
      <c r="U107" s="457">
        <f t="shared" si="17"/>
        <v>637.6</v>
      </c>
      <c r="V107" s="457">
        <f t="shared" si="17"/>
        <v>637.6</v>
      </c>
      <c r="W107" s="457">
        <f t="shared" si="17"/>
        <v>708</v>
      </c>
    </row>
    <row r="108" spans="1:23" ht="15" customHeight="1" x14ac:dyDescent="0.2">
      <c r="A108" s="305" t="s">
        <v>1315</v>
      </c>
      <c r="B108" s="1685"/>
      <c r="C108" s="1663"/>
      <c r="D108" s="235" t="s">
        <v>657</v>
      </c>
      <c r="E108" s="301"/>
      <c r="F108" s="301"/>
      <c r="G108" s="457">
        <f t="shared" ref="G108:W108" si="18">IF(G21="","",G$85+G21)</f>
        <v>209.60000000000002</v>
      </c>
      <c r="H108" s="457">
        <f t="shared" si="18"/>
        <v>308.00000000000006</v>
      </c>
      <c r="I108" s="457">
        <f t="shared" si="18"/>
        <v>393.6</v>
      </c>
      <c r="J108" s="457">
        <f t="shared" si="18"/>
        <v>485.6</v>
      </c>
      <c r="K108" s="457">
        <f t="shared" si="18"/>
        <v>577.6</v>
      </c>
      <c r="L108" s="457">
        <f t="shared" si="18"/>
        <v>669.6</v>
      </c>
      <c r="M108" s="457">
        <f t="shared" si="18"/>
        <v>761.6</v>
      </c>
      <c r="N108" s="457">
        <f t="shared" si="18"/>
        <v>836.96</v>
      </c>
      <c r="O108" s="457">
        <f t="shared" si="18"/>
        <v>926.4</v>
      </c>
      <c r="P108" s="457">
        <f t="shared" si="18"/>
        <v>1105.2800000000002</v>
      </c>
      <c r="Q108" s="457">
        <f t="shared" si="18"/>
        <v>1105.2800000000002</v>
      </c>
      <c r="R108" s="457">
        <f t="shared" si="18"/>
        <v>1272.6400000000001</v>
      </c>
      <c r="S108" s="457">
        <f t="shared" si="18"/>
        <v>1272.6400000000001</v>
      </c>
      <c r="T108" s="457">
        <f t="shared" si="18"/>
        <v>1442.5600000000002</v>
      </c>
      <c r="U108" s="457">
        <f t="shared" si="18"/>
        <v>1617.6</v>
      </c>
      <c r="V108" s="457">
        <f t="shared" si="18"/>
        <v>1617.6</v>
      </c>
      <c r="W108" s="457">
        <f t="shared" si="18"/>
        <v>1784.96</v>
      </c>
    </row>
    <row r="109" spans="1:23" ht="15" customHeight="1" x14ac:dyDescent="0.2">
      <c r="A109" s="305" t="s">
        <v>1316</v>
      </c>
      <c r="B109" s="468"/>
      <c r="C109" s="469"/>
      <c r="D109" s="306"/>
      <c r="E109" s="301"/>
      <c r="F109" s="301"/>
      <c r="G109" s="457"/>
      <c r="H109" s="457"/>
      <c r="I109" s="457"/>
      <c r="J109" s="457"/>
      <c r="K109" s="457"/>
      <c r="L109" s="457"/>
      <c r="M109" s="457"/>
      <c r="N109" s="457"/>
      <c r="O109" s="457"/>
      <c r="P109" s="457"/>
      <c r="Q109" s="457"/>
      <c r="R109" s="457"/>
      <c r="S109" s="457"/>
      <c r="T109" s="457"/>
      <c r="U109" s="457"/>
      <c r="V109" s="457"/>
      <c r="W109" s="457"/>
    </row>
    <row r="110" spans="1:23" ht="15" customHeight="1" x14ac:dyDescent="0.2">
      <c r="A110" s="305" t="s">
        <v>558</v>
      </c>
      <c r="B110" s="1700" t="s">
        <v>408</v>
      </c>
      <c r="C110" s="499" t="s">
        <v>562</v>
      </c>
      <c r="D110" s="235"/>
      <c r="E110" s="301"/>
      <c r="F110" s="301"/>
      <c r="G110" s="457">
        <f t="shared" ref="G110:W110" si="19">IF(G22="","",G$86+G22)</f>
        <v>0</v>
      </c>
      <c r="H110" s="457">
        <f t="shared" si="19"/>
        <v>534.48</v>
      </c>
      <c r="I110" s="457">
        <f t="shared" si="19"/>
        <v>0</v>
      </c>
      <c r="J110" s="457">
        <f t="shared" si="19"/>
        <v>806</v>
      </c>
      <c r="K110" s="457">
        <f t="shared" si="19"/>
        <v>938.8</v>
      </c>
      <c r="L110" s="457">
        <f t="shared" si="19"/>
        <v>0</v>
      </c>
      <c r="M110" s="457">
        <f t="shared" si="19"/>
        <v>0</v>
      </c>
      <c r="N110" s="457">
        <f t="shared" si="19"/>
        <v>0</v>
      </c>
      <c r="O110" s="457">
        <f t="shared" si="19"/>
        <v>1482</v>
      </c>
      <c r="P110" s="457">
        <f t="shared" si="19"/>
        <v>1694.8</v>
      </c>
      <c r="Q110" s="457">
        <f t="shared" si="19"/>
        <v>0</v>
      </c>
      <c r="R110" s="457">
        <f t="shared" si="19"/>
        <v>0</v>
      </c>
      <c r="S110" s="457">
        <f t="shared" si="19"/>
        <v>0</v>
      </c>
      <c r="T110" s="457">
        <f t="shared" si="19"/>
        <v>0</v>
      </c>
      <c r="U110" s="457">
        <f t="shared" si="19"/>
        <v>0</v>
      </c>
      <c r="V110" s="457">
        <f t="shared" si="19"/>
        <v>0</v>
      </c>
      <c r="W110" s="457">
        <f t="shared" si="19"/>
        <v>2696.4</v>
      </c>
    </row>
    <row r="111" spans="1:23" ht="15" customHeight="1" x14ac:dyDescent="0.2">
      <c r="A111" s="305" t="s">
        <v>559</v>
      </c>
      <c r="B111" s="1700"/>
      <c r="C111" s="499" t="s">
        <v>654</v>
      </c>
      <c r="D111" s="235"/>
      <c r="E111" s="301"/>
      <c r="F111" s="301"/>
      <c r="G111" s="457">
        <f t="shared" ref="G111:W111" si="20">IF(G23="","",G$86+G23)</f>
        <v>0</v>
      </c>
      <c r="H111" s="457">
        <f t="shared" si="20"/>
        <v>305.27999999999997</v>
      </c>
      <c r="I111" s="457">
        <f t="shared" si="20"/>
        <v>0</v>
      </c>
      <c r="J111" s="457">
        <f t="shared" si="20"/>
        <v>476</v>
      </c>
      <c r="K111" s="457">
        <f t="shared" si="20"/>
        <v>542.4</v>
      </c>
      <c r="L111" s="457">
        <f t="shared" si="20"/>
        <v>0</v>
      </c>
      <c r="M111" s="457">
        <f t="shared" si="20"/>
        <v>0</v>
      </c>
      <c r="N111" s="457">
        <f t="shared" si="20"/>
        <v>0</v>
      </c>
      <c r="O111" s="457">
        <f t="shared" si="20"/>
        <v>912</v>
      </c>
      <c r="P111" s="457">
        <f t="shared" si="20"/>
        <v>1044.8</v>
      </c>
      <c r="Q111" s="457">
        <f t="shared" si="20"/>
        <v>0</v>
      </c>
      <c r="R111" s="457">
        <f t="shared" si="20"/>
        <v>0</v>
      </c>
      <c r="S111" s="457">
        <f t="shared" si="20"/>
        <v>0</v>
      </c>
      <c r="T111" s="457">
        <f t="shared" si="20"/>
        <v>0</v>
      </c>
      <c r="U111" s="457">
        <f t="shared" si="20"/>
        <v>0</v>
      </c>
      <c r="V111" s="457">
        <f t="shared" si="20"/>
        <v>0</v>
      </c>
      <c r="W111" s="457">
        <f t="shared" si="20"/>
        <v>1788</v>
      </c>
    </row>
    <row r="112" spans="1:23" ht="15" customHeight="1" x14ac:dyDescent="0.2">
      <c r="A112" s="305" t="s">
        <v>560</v>
      </c>
      <c r="B112" s="1668"/>
      <c r="C112" s="498" t="s">
        <v>523</v>
      </c>
      <c r="D112" s="235"/>
      <c r="E112" s="301"/>
      <c r="F112" s="301"/>
      <c r="G112" s="457">
        <f t="shared" ref="G112:W112" si="21">IF(G24="","",G$86+G24)</f>
        <v>0</v>
      </c>
      <c r="H112" s="457">
        <f t="shared" si="21"/>
        <v>347.28</v>
      </c>
      <c r="I112" s="457">
        <f t="shared" si="21"/>
        <v>0</v>
      </c>
      <c r="J112" s="457">
        <f t="shared" si="21"/>
        <v>562</v>
      </c>
      <c r="K112" s="457">
        <f t="shared" si="21"/>
        <v>620</v>
      </c>
      <c r="L112" s="457">
        <f t="shared" si="21"/>
        <v>0</v>
      </c>
      <c r="M112" s="457">
        <f t="shared" si="21"/>
        <v>0</v>
      </c>
      <c r="N112" s="457">
        <f t="shared" si="21"/>
        <v>0</v>
      </c>
      <c r="O112" s="457">
        <f t="shared" si="21"/>
        <v>1124</v>
      </c>
      <c r="P112" s="457">
        <f t="shared" si="21"/>
        <v>1292.8</v>
      </c>
      <c r="Q112" s="457">
        <f t="shared" si="21"/>
        <v>0</v>
      </c>
      <c r="R112" s="457">
        <f t="shared" si="21"/>
        <v>0</v>
      </c>
      <c r="S112" s="457">
        <f t="shared" si="21"/>
        <v>0</v>
      </c>
      <c r="T112" s="457">
        <f t="shared" si="21"/>
        <v>0</v>
      </c>
      <c r="U112" s="457">
        <f t="shared" si="21"/>
        <v>0</v>
      </c>
      <c r="V112" s="457">
        <f t="shared" si="21"/>
        <v>0</v>
      </c>
      <c r="W112" s="457">
        <f t="shared" si="21"/>
        <v>2368</v>
      </c>
    </row>
  </sheetData>
  <mergeCells count="39">
    <mergeCell ref="B100:B108"/>
    <mergeCell ref="C100:C103"/>
    <mergeCell ref="C104:C106"/>
    <mergeCell ref="C107:C108"/>
    <mergeCell ref="B110:B112"/>
    <mergeCell ref="B79:B81"/>
    <mergeCell ref="B84:B86"/>
    <mergeCell ref="B88:B89"/>
    <mergeCell ref="B91:B99"/>
    <mergeCell ref="C91:C94"/>
    <mergeCell ref="C95:C97"/>
    <mergeCell ref="C98:C99"/>
    <mergeCell ref="B74:B77"/>
    <mergeCell ref="C74:C77"/>
    <mergeCell ref="B22:B24"/>
    <mergeCell ref="B25:B26"/>
    <mergeCell ref="B27:B28"/>
    <mergeCell ref="B32:B36"/>
    <mergeCell ref="B48:B51"/>
    <mergeCell ref="B53:B57"/>
    <mergeCell ref="C53:C57"/>
    <mergeCell ref="B59:B62"/>
    <mergeCell ref="C59:C62"/>
    <mergeCell ref="B64:B72"/>
    <mergeCell ref="C64:C67"/>
    <mergeCell ref="C68:C72"/>
    <mergeCell ref="B38:B46"/>
    <mergeCell ref="A1:A3"/>
    <mergeCell ref="B1:B3"/>
    <mergeCell ref="C1:C3"/>
    <mergeCell ref="C4:C7"/>
    <mergeCell ref="B4:B12"/>
    <mergeCell ref="C8:C10"/>
    <mergeCell ref="C11:C12"/>
    <mergeCell ref="F1:F2"/>
    <mergeCell ref="C13:C16"/>
    <mergeCell ref="C17:C19"/>
    <mergeCell ref="B13:B21"/>
    <mergeCell ref="C20:C21"/>
  </mergeCells>
  <pageMargins left="0.70000000000000007" right="0.70000000000000007" top="1.1437007874015745" bottom="1.1437007874015745" header="0.74999999999999989" footer="0.74999999999999989"/>
  <pageSetup paperSize="9" fitToWidth="0" fitToHeight="0" orientation="portrait" r:id="rId1"/>
  <headerFooter alignWithMargins="0"/>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CAE29-1B48-47FC-B3AF-9855F04FF12C}">
  <sheetPr published="0" codeName="Feuil54"/>
  <dimension ref="A1:Z31"/>
  <sheetViews>
    <sheetView zoomScaleNormal="100" workbookViewId="0">
      <pane xSplit="5" ySplit="1" topLeftCell="W15" activePane="bottomRight" state="frozen"/>
      <selection pane="topRight" activeCell="E1" sqref="E1"/>
      <selection pane="bottomLeft" activeCell="A2" sqref="A2"/>
      <selection pane="bottomRight" activeCell="G29" sqref="G29"/>
    </sheetView>
  </sheetViews>
  <sheetFormatPr baseColWidth="10" defaultRowHeight="14.25" x14ac:dyDescent="0.2"/>
  <cols>
    <col min="2" max="2" width="33.625" customWidth="1"/>
    <col min="3" max="3" width="26.125" customWidth="1"/>
    <col min="4" max="4" width="4.125" customWidth="1"/>
    <col min="5" max="5" width="0.125" customWidth="1"/>
    <col min="6" max="14" width="8.125" customWidth="1"/>
    <col min="15" max="15" width="7.875" customWidth="1"/>
    <col min="16" max="16" width="0.125" hidden="1" customWidth="1"/>
    <col min="17" max="17" width="8.125" customWidth="1"/>
    <col min="18" max="18" width="0.5" hidden="1" customWidth="1"/>
    <col min="19" max="19" width="8.125" customWidth="1"/>
    <col min="20" max="20" width="8" customWidth="1"/>
    <col min="21" max="21" width="0.125" hidden="1" customWidth="1"/>
    <col min="22" max="22" width="0.375" hidden="1" customWidth="1"/>
    <col min="23" max="23" width="8.125" customWidth="1"/>
    <col min="24" max="24" width="1.625" customWidth="1"/>
    <col min="25" max="25" width="16.125" customWidth="1"/>
  </cols>
  <sheetData>
    <row r="1" spans="1:26" ht="35.450000000000003" customHeight="1" x14ac:dyDescent="0.2">
      <c r="A1" s="1231"/>
      <c r="B1" s="1296"/>
      <c r="C1" s="1297" t="s">
        <v>203</v>
      </c>
      <c r="D1" s="1200" t="s">
        <v>223</v>
      </c>
      <c r="E1" s="1298">
        <v>2</v>
      </c>
      <c r="F1" s="1299">
        <v>3</v>
      </c>
      <c r="G1" s="1298">
        <v>4</v>
      </c>
      <c r="H1" s="1299">
        <v>5</v>
      </c>
      <c r="I1" s="1298" t="s">
        <v>1711</v>
      </c>
      <c r="J1" s="1299" t="s">
        <v>1712</v>
      </c>
      <c r="K1" s="1298">
        <v>7</v>
      </c>
      <c r="L1" s="1299">
        <v>8</v>
      </c>
      <c r="M1" s="1298">
        <v>9</v>
      </c>
      <c r="N1" s="1299">
        <v>10</v>
      </c>
      <c r="O1" s="1298" t="s">
        <v>460</v>
      </c>
      <c r="P1" s="1299" t="s">
        <v>461</v>
      </c>
      <c r="Q1" s="1298" t="s">
        <v>462</v>
      </c>
      <c r="R1" s="1299" t="s">
        <v>463</v>
      </c>
      <c r="S1" s="1298">
        <v>16</v>
      </c>
      <c r="T1" s="1299" t="s">
        <v>464</v>
      </c>
      <c r="U1" s="1298" t="s">
        <v>465</v>
      </c>
      <c r="V1" s="1299" t="s">
        <v>466</v>
      </c>
      <c r="W1" s="1300" t="s">
        <v>467</v>
      </c>
      <c r="X1" s="1315"/>
      <c r="Y1" s="1301" t="s">
        <v>1749</v>
      </c>
      <c r="Z1" s="1231"/>
    </row>
    <row r="2" spans="1:26" ht="35.450000000000003" customHeight="1" thickBot="1" x14ac:dyDescent="0.25">
      <c r="A2" s="1231"/>
      <c r="B2" s="1307"/>
      <c r="C2" s="1308"/>
      <c r="D2" s="1309"/>
      <c r="E2" s="1310"/>
      <c r="F2" s="1719" t="s">
        <v>1759</v>
      </c>
      <c r="G2" s="1720"/>
      <c r="H2" s="1720"/>
      <c r="I2" s="1720"/>
      <c r="J2" s="1720"/>
      <c r="K2" s="1720"/>
      <c r="L2" s="1720"/>
      <c r="M2" s="1720"/>
      <c r="N2" s="1720"/>
      <c r="O2" s="1720"/>
      <c r="P2" s="1720"/>
      <c r="Q2" s="1720"/>
      <c r="R2" s="1720"/>
      <c r="S2" s="1720"/>
      <c r="T2" s="1720"/>
      <c r="U2" s="1720"/>
      <c r="V2" s="1720"/>
      <c r="W2" s="1720"/>
      <c r="X2" s="1315"/>
      <c r="Y2" s="1312"/>
      <c r="Z2" s="1231"/>
    </row>
    <row r="3" spans="1:26" ht="20.100000000000001" customHeight="1" x14ac:dyDescent="0.2">
      <c r="A3" s="1194"/>
      <c r="B3" s="1726" t="s">
        <v>1718</v>
      </c>
      <c r="C3" s="1245" t="s">
        <v>210</v>
      </c>
      <c r="D3" s="1246" t="s">
        <v>225</v>
      </c>
      <c r="E3" s="1247">
        <v>1.6</v>
      </c>
      <c r="F3" s="1248">
        <v>2</v>
      </c>
      <c r="G3" s="1249">
        <v>2</v>
      </c>
      <c r="H3" s="1248">
        <v>2.5</v>
      </c>
      <c r="I3" s="1249">
        <v>3</v>
      </c>
      <c r="J3" s="1248">
        <v>2</v>
      </c>
      <c r="K3" s="1249">
        <v>3.5</v>
      </c>
      <c r="L3" s="1248">
        <v>4</v>
      </c>
      <c r="M3" s="1249">
        <v>4</v>
      </c>
      <c r="N3" s="1248">
        <v>4</v>
      </c>
      <c r="O3" s="1249">
        <v>4</v>
      </c>
      <c r="P3" s="1248">
        <v>3</v>
      </c>
      <c r="Q3" s="1249">
        <v>3.5</v>
      </c>
      <c r="R3" s="1248">
        <v>4</v>
      </c>
      <c r="S3" s="1249">
        <v>4</v>
      </c>
      <c r="T3" s="1248">
        <v>4.5</v>
      </c>
      <c r="U3" s="1249">
        <v>4</v>
      </c>
      <c r="V3" s="1248">
        <v>4</v>
      </c>
      <c r="W3" s="1250">
        <v>5</v>
      </c>
      <c r="X3" s="1339"/>
      <c r="Y3" s="1330"/>
      <c r="Z3" s="1331"/>
    </row>
    <row r="4" spans="1:26" ht="27.95" customHeight="1" thickBot="1" x14ac:dyDescent="0.25">
      <c r="A4" s="1194"/>
      <c r="B4" s="1727"/>
      <c r="C4" s="1302" t="s">
        <v>211</v>
      </c>
      <c r="D4" s="1303" t="s">
        <v>225</v>
      </c>
      <c r="E4" s="1253">
        <v>2.5</v>
      </c>
      <c r="F4" s="1304">
        <v>3</v>
      </c>
      <c r="G4" s="1305">
        <v>4</v>
      </c>
      <c r="H4" s="1304">
        <v>4</v>
      </c>
      <c r="I4" s="1305">
        <v>4</v>
      </c>
      <c r="J4" s="1304">
        <v>6</v>
      </c>
      <c r="K4" s="1305">
        <v>4</v>
      </c>
      <c r="L4" s="1304">
        <v>4</v>
      </c>
      <c r="M4" s="1305">
        <v>4.5</v>
      </c>
      <c r="N4" s="1304">
        <v>5</v>
      </c>
      <c r="O4" s="1305">
        <v>6</v>
      </c>
      <c r="P4" s="1304">
        <v>8</v>
      </c>
      <c r="Q4" s="1305">
        <v>8</v>
      </c>
      <c r="R4" s="1304">
        <v>7</v>
      </c>
      <c r="S4" s="1305">
        <v>8</v>
      </c>
      <c r="T4" s="1304">
        <v>8</v>
      </c>
      <c r="U4" s="1305">
        <v>9</v>
      </c>
      <c r="V4" s="1304">
        <v>10</v>
      </c>
      <c r="W4" s="1306">
        <v>8</v>
      </c>
      <c r="X4" s="1340"/>
      <c r="Y4" s="1333"/>
      <c r="Z4" s="1334"/>
    </row>
    <row r="5" spans="1:26" ht="12" customHeight="1" thickBot="1" x14ac:dyDescent="0.25">
      <c r="A5" s="1194"/>
      <c r="B5" s="1327"/>
      <c r="C5" s="1193"/>
      <c r="D5" s="1202"/>
      <c r="E5" s="1242"/>
      <c r="F5" s="1243"/>
      <c r="G5" s="1243"/>
      <c r="H5" s="1243"/>
      <c r="I5" s="1243"/>
      <c r="J5" s="1243"/>
      <c r="K5" s="1243"/>
      <c r="L5" s="1243"/>
      <c r="M5" s="1243"/>
      <c r="N5" s="1243"/>
      <c r="O5" s="1243"/>
      <c r="P5" s="1243"/>
      <c r="Q5" s="1243"/>
      <c r="R5" s="1243"/>
      <c r="S5" s="1243"/>
      <c r="T5" s="1243"/>
      <c r="U5" s="1243"/>
      <c r="V5" s="1243"/>
      <c r="W5" s="1244"/>
      <c r="X5" s="1316"/>
      <c r="Y5" s="1234"/>
      <c r="Z5" s="1194"/>
    </row>
    <row r="6" spans="1:26" ht="20.100000000000001" customHeight="1" x14ac:dyDescent="0.2">
      <c r="A6" s="1194"/>
      <c r="B6" s="1721" t="s">
        <v>1710</v>
      </c>
      <c r="C6" s="1284" t="s">
        <v>1717</v>
      </c>
      <c r="D6" s="1285" t="s">
        <v>50</v>
      </c>
      <c r="E6" s="1286">
        <v>1</v>
      </c>
      <c r="F6" s="1287">
        <v>1</v>
      </c>
      <c r="G6" s="1288">
        <v>1</v>
      </c>
      <c r="H6" s="1287">
        <v>1</v>
      </c>
      <c r="I6" s="1288">
        <v>2</v>
      </c>
      <c r="J6" s="1287">
        <v>5</v>
      </c>
      <c r="K6" s="1288">
        <v>2</v>
      </c>
      <c r="L6" s="1287">
        <v>3</v>
      </c>
      <c r="M6" s="1288">
        <v>3</v>
      </c>
      <c r="N6" s="1287">
        <v>4</v>
      </c>
      <c r="O6" s="1288">
        <v>6</v>
      </c>
      <c r="P6" s="1287"/>
      <c r="Q6" s="1288">
        <v>6</v>
      </c>
      <c r="R6" s="1287">
        <v>4</v>
      </c>
      <c r="S6" s="1288">
        <v>6</v>
      </c>
      <c r="T6" s="1287">
        <v>6</v>
      </c>
      <c r="U6" s="1288"/>
      <c r="V6" s="1287"/>
      <c r="W6" s="1289">
        <v>8</v>
      </c>
      <c r="X6" s="1337"/>
      <c r="Y6" s="1330"/>
      <c r="Z6" s="1331"/>
    </row>
    <row r="7" spans="1:26" ht="20.100000000000001" customHeight="1" x14ac:dyDescent="0.2">
      <c r="A7" s="1194"/>
      <c r="B7" s="1722"/>
      <c r="C7" s="1198" t="s">
        <v>1708</v>
      </c>
      <c r="D7" s="1203" t="s">
        <v>225</v>
      </c>
      <c r="E7" s="1149"/>
      <c r="F7" s="1209">
        <v>1.5</v>
      </c>
      <c r="G7" s="1210">
        <v>2</v>
      </c>
      <c r="H7" s="1209">
        <v>2</v>
      </c>
      <c r="I7" s="1210">
        <v>2</v>
      </c>
      <c r="J7" s="1209">
        <v>2</v>
      </c>
      <c r="K7" s="1210">
        <v>2</v>
      </c>
      <c r="L7" s="1209">
        <v>2</v>
      </c>
      <c r="M7" s="1210">
        <v>2</v>
      </c>
      <c r="N7" s="1209">
        <v>2</v>
      </c>
      <c r="O7" s="1210">
        <v>3</v>
      </c>
      <c r="P7" s="1209"/>
      <c r="Q7" s="1210">
        <v>3.5</v>
      </c>
      <c r="R7" s="1209">
        <v>4</v>
      </c>
      <c r="S7" s="1210">
        <v>4</v>
      </c>
      <c r="T7" s="1209">
        <v>4</v>
      </c>
      <c r="U7" s="1210"/>
      <c r="V7" s="1209"/>
      <c r="W7" s="1224">
        <v>4</v>
      </c>
      <c r="X7" s="1319"/>
      <c r="Y7" s="1234"/>
      <c r="Z7" s="1332"/>
    </row>
    <row r="8" spans="1:26" ht="20.100000000000001" customHeight="1" x14ac:dyDescent="0.2">
      <c r="A8" s="1194"/>
      <c r="B8" s="1722"/>
      <c r="C8" s="1199" t="s">
        <v>1709</v>
      </c>
      <c r="D8" s="1203" t="s">
        <v>1720</v>
      </c>
      <c r="E8" s="1149">
        <v>40</v>
      </c>
      <c r="F8" s="1209">
        <v>40</v>
      </c>
      <c r="G8" s="1210">
        <v>40</v>
      </c>
      <c r="H8" s="1209">
        <v>40</v>
      </c>
      <c r="I8" s="1210">
        <v>40</v>
      </c>
      <c r="J8" s="1209">
        <v>40</v>
      </c>
      <c r="K8" s="1210">
        <v>40</v>
      </c>
      <c r="L8" s="1209">
        <v>40</v>
      </c>
      <c r="M8" s="1210">
        <v>40</v>
      </c>
      <c r="N8" s="1209">
        <v>40</v>
      </c>
      <c r="O8" s="1210">
        <v>45</v>
      </c>
      <c r="P8" s="1209"/>
      <c r="Q8" s="1210">
        <v>45</v>
      </c>
      <c r="R8" s="1209">
        <v>50</v>
      </c>
      <c r="S8" s="1210">
        <v>50</v>
      </c>
      <c r="T8" s="1209">
        <v>50</v>
      </c>
      <c r="U8" s="1210">
        <v>50</v>
      </c>
      <c r="V8" s="1209"/>
      <c r="W8" s="1224">
        <v>50</v>
      </c>
      <c r="X8" s="1319"/>
      <c r="Y8" s="1234"/>
      <c r="Z8" s="1332"/>
    </row>
    <row r="9" spans="1:26" ht="20.100000000000001" customHeight="1" x14ac:dyDescent="0.2">
      <c r="A9" s="1194"/>
      <c r="B9" s="1722"/>
      <c r="C9" s="1198" t="s">
        <v>1716</v>
      </c>
      <c r="D9" s="1204" t="s">
        <v>225</v>
      </c>
      <c r="E9" s="1150"/>
      <c r="F9" s="1211">
        <v>3.06</v>
      </c>
      <c r="G9" s="1212">
        <v>4.0599999999999996</v>
      </c>
      <c r="H9" s="1211">
        <v>4.0599999999999996</v>
      </c>
      <c r="I9" s="1212">
        <v>4.0599999999999996</v>
      </c>
      <c r="J9" s="1211">
        <v>2.06</v>
      </c>
      <c r="K9" s="1212">
        <v>4.0599999999999996</v>
      </c>
      <c r="L9" s="1211">
        <v>4.0599999999999996</v>
      </c>
      <c r="M9" s="1212">
        <v>4.0599999999999996</v>
      </c>
      <c r="N9" s="1211">
        <v>4.0599999999999996</v>
      </c>
      <c r="O9" s="1212">
        <v>3.03</v>
      </c>
      <c r="P9" s="1211"/>
      <c r="Q9" s="1212">
        <v>4.03</v>
      </c>
      <c r="R9" s="1211">
        <v>3.53</v>
      </c>
      <c r="S9" s="1212">
        <v>4.03</v>
      </c>
      <c r="T9" s="1211">
        <v>4.03</v>
      </c>
      <c r="U9" s="1212">
        <v>4.03</v>
      </c>
      <c r="V9" s="1211"/>
      <c r="W9" s="1225">
        <v>4.03</v>
      </c>
      <c r="X9" s="1320"/>
      <c r="Y9" s="1234"/>
      <c r="Z9" s="1332"/>
    </row>
    <row r="10" spans="1:26" ht="20.100000000000001" customHeight="1" thickBot="1" x14ac:dyDescent="0.25">
      <c r="A10" s="1194"/>
      <c r="B10" s="1728"/>
      <c r="C10" s="1290" t="s">
        <v>1722</v>
      </c>
      <c r="D10" s="1291" t="s">
        <v>1714</v>
      </c>
      <c r="E10" s="1292"/>
      <c r="F10" s="1293">
        <v>9.06</v>
      </c>
      <c r="G10" s="1294">
        <v>12.02</v>
      </c>
      <c r="H10" s="1293">
        <v>12.02</v>
      </c>
      <c r="I10" s="1294">
        <v>9.06</v>
      </c>
      <c r="J10" s="1293">
        <v>6.1</v>
      </c>
      <c r="K10" s="1294">
        <v>12.02</v>
      </c>
      <c r="L10" s="1293">
        <v>12.02</v>
      </c>
      <c r="M10" s="1294">
        <v>12.02</v>
      </c>
      <c r="N10" s="1293">
        <v>12.02</v>
      </c>
      <c r="O10" s="1294">
        <v>11.02</v>
      </c>
      <c r="P10" s="1293"/>
      <c r="Q10" s="1294">
        <v>17.89</v>
      </c>
      <c r="R10" s="1293">
        <v>15.67</v>
      </c>
      <c r="S10" s="1294">
        <v>17.89</v>
      </c>
      <c r="T10" s="1293">
        <v>17.89</v>
      </c>
      <c r="U10" s="1294">
        <v>17.89</v>
      </c>
      <c r="V10" s="1293"/>
      <c r="W10" s="1295">
        <v>17.89</v>
      </c>
      <c r="X10" s="1338"/>
      <c r="Y10" s="1333"/>
      <c r="Z10" s="1334"/>
    </row>
    <row r="11" spans="1:26" ht="12" customHeight="1" thickBot="1" x14ac:dyDescent="0.25">
      <c r="A11" s="1194"/>
      <c r="B11" s="1327"/>
      <c r="C11" s="1193"/>
      <c r="D11" s="1202"/>
      <c r="E11" s="1242"/>
      <c r="F11" s="1243"/>
      <c r="G11" s="1243"/>
      <c r="H11" s="1243"/>
      <c r="I11" s="1243"/>
      <c r="J11" s="1243"/>
      <c r="K11" s="1243"/>
      <c r="L11" s="1243"/>
      <c r="M11" s="1243"/>
      <c r="N11" s="1243"/>
      <c r="O11" s="1243"/>
      <c r="P11" s="1243"/>
      <c r="Q11" s="1243"/>
      <c r="R11" s="1243"/>
      <c r="S11" s="1243"/>
      <c r="T11" s="1243"/>
      <c r="U11" s="1243"/>
      <c r="V11" s="1243"/>
      <c r="W11" s="1244"/>
      <c r="X11" s="1316"/>
      <c r="Y11" s="1234"/>
      <c r="Z11" s="1194"/>
    </row>
    <row r="12" spans="1:26" ht="20.100000000000001" customHeight="1" x14ac:dyDescent="0.2">
      <c r="A12" s="1194"/>
      <c r="B12" s="1729" t="s">
        <v>1495</v>
      </c>
      <c r="C12" s="1272" t="s">
        <v>1730</v>
      </c>
      <c r="D12" s="1273" t="s">
        <v>50</v>
      </c>
      <c r="E12" s="1274"/>
      <c r="F12" s="1275">
        <v>6</v>
      </c>
      <c r="G12" s="1276">
        <v>8</v>
      </c>
      <c r="H12" s="1275"/>
      <c r="I12" s="1276">
        <v>12</v>
      </c>
      <c r="J12" s="1275">
        <v>12</v>
      </c>
      <c r="K12" s="1276">
        <v>4</v>
      </c>
      <c r="L12" s="1275">
        <v>16</v>
      </c>
      <c r="M12" s="1276">
        <v>8</v>
      </c>
      <c r="N12" s="1275">
        <v>20</v>
      </c>
      <c r="O12" s="1276">
        <v>24</v>
      </c>
      <c r="P12" s="1275"/>
      <c r="Q12" s="1276">
        <v>8</v>
      </c>
      <c r="R12" s="1275">
        <v>28</v>
      </c>
      <c r="S12" s="1276">
        <v>32</v>
      </c>
      <c r="T12" s="1275">
        <v>16</v>
      </c>
      <c r="U12" s="1276"/>
      <c r="V12" s="1275"/>
      <c r="W12" s="1277">
        <v>40</v>
      </c>
      <c r="X12" s="1335"/>
      <c r="Y12" s="1330"/>
      <c r="Z12" s="1331"/>
    </row>
    <row r="13" spans="1:26" ht="20.100000000000001" customHeight="1" x14ac:dyDescent="0.2">
      <c r="A13" s="1194"/>
      <c r="B13" s="1730"/>
      <c r="C13" s="1197" t="s">
        <v>1731</v>
      </c>
      <c r="D13" s="1205" t="s">
        <v>50</v>
      </c>
      <c r="E13" s="1163"/>
      <c r="F13" s="1213"/>
      <c r="G13" s="1214"/>
      <c r="H13" s="1213">
        <v>8</v>
      </c>
      <c r="I13" s="1214"/>
      <c r="J13" s="1213"/>
      <c r="K13" s="1214">
        <v>8</v>
      </c>
      <c r="L13" s="1213"/>
      <c r="M13" s="1214">
        <v>8</v>
      </c>
      <c r="N13" s="1213"/>
      <c r="O13" s="1214"/>
      <c r="P13" s="1213"/>
      <c r="Q13" s="1214">
        <v>16</v>
      </c>
      <c r="R13" s="1213"/>
      <c r="S13" s="1214"/>
      <c r="T13" s="1213">
        <v>16</v>
      </c>
      <c r="U13" s="1214"/>
      <c r="V13" s="1213"/>
      <c r="W13" s="1226"/>
      <c r="X13" s="1321"/>
      <c r="Y13" s="1234"/>
      <c r="Z13" s="1332"/>
    </row>
    <row r="14" spans="1:26" ht="20.100000000000001" customHeight="1" thickBot="1" x14ac:dyDescent="0.25">
      <c r="A14" s="1194"/>
      <c r="B14" s="1731"/>
      <c r="C14" s="1278" t="s">
        <v>1713</v>
      </c>
      <c r="D14" s="1279" t="s">
        <v>1714</v>
      </c>
      <c r="E14" s="1280">
        <f t="shared" ref="E14:U14" si="0">E12*10+E13*13</f>
        <v>0</v>
      </c>
      <c r="F14" s="1281">
        <f t="shared" si="0"/>
        <v>60</v>
      </c>
      <c r="G14" s="1282">
        <f t="shared" si="0"/>
        <v>80</v>
      </c>
      <c r="H14" s="1281">
        <f t="shared" si="0"/>
        <v>104</v>
      </c>
      <c r="I14" s="1282">
        <f t="shared" si="0"/>
        <v>120</v>
      </c>
      <c r="J14" s="1281">
        <f t="shared" si="0"/>
        <v>120</v>
      </c>
      <c r="K14" s="1282">
        <f t="shared" si="0"/>
        <v>144</v>
      </c>
      <c r="L14" s="1281">
        <f t="shared" si="0"/>
        <v>160</v>
      </c>
      <c r="M14" s="1282">
        <f t="shared" si="0"/>
        <v>184</v>
      </c>
      <c r="N14" s="1281">
        <f t="shared" si="0"/>
        <v>200</v>
      </c>
      <c r="O14" s="1282">
        <f t="shared" si="0"/>
        <v>240</v>
      </c>
      <c r="P14" s="1281">
        <f t="shared" si="0"/>
        <v>0</v>
      </c>
      <c r="Q14" s="1282">
        <f t="shared" si="0"/>
        <v>288</v>
      </c>
      <c r="R14" s="1281">
        <f t="shared" si="0"/>
        <v>280</v>
      </c>
      <c r="S14" s="1282">
        <f t="shared" si="0"/>
        <v>320</v>
      </c>
      <c r="T14" s="1281">
        <f t="shared" si="0"/>
        <v>368</v>
      </c>
      <c r="U14" s="1282">
        <f t="shared" si="0"/>
        <v>0</v>
      </c>
      <c r="V14" s="1281"/>
      <c r="W14" s="1283">
        <f>W12*10+W13*13</f>
        <v>400</v>
      </c>
      <c r="X14" s="1336"/>
      <c r="Y14" s="1333"/>
      <c r="Z14" s="1334"/>
    </row>
    <row r="15" spans="1:26" ht="12" customHeight="1" thickBot="1" x14ac:dyDescent="0.25">
      <c r="A15" s="1194"/>
      <c r="B15" s="1327"/>
      <c r="C15" s="1193"/>
      <c r="D15" s="1202"/>
      <c r="E15" s="1242"/>
      <c r="F15" s="1243"/>
      <c r="G15" s="1243"/>
      <c r="H15" s="1243"/>
      <c r="I15" s="1243"/>
      <c r="J15" s="1243"/>
      <c r="K15" s="1243"/>
      <c r="L15" s="1243"/>
      <c r="M15" s="1243"/>
      <c r="N15" s="1243"/>
      <c r="O15" s="1243"/>
      <c r="P15" s="1243"/>
      <c r="Q15" s="1243"/>
      <c r="R15" s="1243"/>
      <c r="S15" s="1243"/>
      <c r="T15" s="1243"/>
      <c r="U15" s="1243"/>
      <c r="V15" s="1243"/>
      <c r="W15" s="1244"/>
      <c r="X15" s="1316"/>
      <c r="Y15" s="1234"/>
      <c r="Z15" s="1194"/>
    </row>
    <row r="16" spans="1:26" ht="44.45" customHeight="1" x14ac:dyDescent="0.2">
      <c r="A16" s="1194"/>
      <c r="B16" s="1732" t="s">
        <v>670</v>
      </c>
      <c r="C16" s="1264" t="s">
        <v>1724</v>
      </c>
      <c r="D16" s="1265" t="s">
        <v>401</v>
      </c>
      <c r="E16" s="1266"/>
      <c r="F16" s="1267">
        <f>F9*100-5</f>
        <v>301</v>
      </c>
      <c r="G16" s="1268">
        <f t="shared" ref="G16:N16" si="1">G9*100-5</f>
        <v>400.99999999999994</v>
      </c>
      <c r="H16" s="1269">
        <f t="shared" si="1"/>
        <v>400.99999999999994</v>
      </c>
      <c r="I16" s="1268">
        <f t="shared" si="1"/>
        <v>400.99999999999994</v>
      </c>
      <c r="J16" s="1267">
        <f>J9*100-5</f>
        <v>201</v>
      </c>
      <c r="K16" s="1268">
        <f t="shared" si="1"/>
        <v>400.99999999999994</v>
      </c>
      <c r="L16" s="1269">
        <f t="shared" si="1"/>
        <v>400.99999999999994</v>
      </c>
      <c r="M16" s="1268">
        <f t="shared" si="1"/>
        <v>400.99999999999994</v>
      </c>
      <c r="N16" s="1269">
        <f t="shared" si="1"/>
        <v>400.99999999999994</v>
      </c>
      <c r="O16" s="1268">
        <v>602</v>
      </c>
      <c r="P16" s="1269"/>
      <c r="Q16" s="1268">
        <v>802</v>
      </c>
      <c r="R16" s="1269">
        <v>702</v>
      </c>
      <c r="S16" s="1268">
        <v>802</v>
      </c>
      <c r="T16" s="1269">
        <v>802</v>
      </c>
      <c r="U16" s="1268"/>
      <c r="V16" s="1269"/>
      <c r="W16" s="1270">
        <v>802</v>
      </c>
      <c r="X16" s="1329"/>
      <c r="Y16" s="1330"/>
      <c r="Z16" s="1331"/>
    </row>
    <row r="17" spans="1:26" ht="45.6" customHeight="1" x14ac:dyDescent="0.2">
      <c r="A17" s="1194"/>
      <c r="B17" s="1733"/>
      <c r="C17" s="1195" t="s">
        <v>1723</v>
      </c>
      <c r="D17" s="1196" t="s">
        <v>401</v>
      </c>
      <c r="E17" s="1192"/>
      <c r="F17" s="1216">
        <f>202</f>
        <v>202</v>
      </c>
      <c r="G17" s="1215">
        <v>202</v>
      </c>
      <c r="H17" s="1216">
        <v>252</v>
      </c>
      <c r="I17" s="1215">
        <v>303</v>
      </c>
      <c r="J17" s="1216">
        <v>606</v>
      </c>
      <c r="K17" s="1215">
        <v>353</v>
      </c>
      <c r="L17" s="1216">
        <v>404</v>
      </c>
      <c r="M17" s="1215">
        <v>454</v>
      </c>
      <c r="N17" s="1216">
        <v>505</v>
      </c>
      <c r="O17" s="1215">
        <v>404</v>
      </c>
      <c r="P17" s="1216"/>
      <c r="Q17" s="1215">
        <v>354</v>
      </c>
      <c r="R17" s="1216">
        <v>403</v>
      </c>
      <c r="S17" s="1215">
        <v>404</v>
      </c>
      <c r="T17" s="1216">
        <v>454</v>
      </c>
      <c r="U17" s="1215"/>
      <c r="V17" s="1216"/>
      <c r="W17" s="1227">
        <v>505</v>
      </c>
      <c r="X17" s="1311"/>
      <c r="Y17" s="1234"/>
      <c r="Z17" s="1332"/>
    </row>
    <row r="18" spans="1:26" ht="20.100000000000001" customHeight="1" thickBot="1" x14ac:dyDescent="0.25">
      <c r="A18" s="1194"/>
      <c r="B18" s="1734"/>
      <c r="C18" s="1236" t="s">
        <v>1721</v>
      </c>
      <c r="D18" s="1237" t="s">
        <v>1714</v>
      </c>
      <c r="E18" s="1271"/>
      <c r="F18" s="1239">
        <f t="shared" ref="F18:O18" si="2">F14+F10*F6</f>
        <v>69.06</v>
      </c>
      <c r="G18" s="1240">
        <f t="shared" si="2"/>
        <v>92.02</v>
      </c>
      <c r="H18" s="1239">
        <f t="shared" si="2"/>
        <v>116.02</v>
      </c>
      <c r="I18" s="1240">
        <f t="shared" si="2"/>
        <v>138.12</v>
      </c>
      <c r="J18" s="1239">
        <f t="shared" si="2"/>
        <v>150.5</v>
      </c>
      <c r="K18" s="1240">
        <f t="shared" si="2"/>
        <v>168.04</v>
      </c>
      <c r="L18" s="1239">
        <f t="shared" si="2"/>
        <v>196.06</v>
      </c>
      <c r="M18" s="1240">
        <f t="shared" si="2"/>
        <v>220.06</v>
      </c>
      <c r="N18" s="1239">
        <f t="shared" si="2"/>
        <v>248.07999999999998</v>
      </c>
      <c r="O18" s="1240">
        <f t="shared" si="2"/>
        <v>306.12</v>
      </c>
      <c r="P18" s="1239"/>
      <c r="Q18" s="1240">
        <f t="shared" ref="Q18:W18" si="3">Q14+Q10*Q6</f>
        <v>395.34000000000003</v>
      </c>
      <c r="R18" s="1239">
        <f t="shared" si="3"/>
        <v>342.68</v>
      </c>
      <c r="S18" s="1240">
        <f t="shared" si="3"/>
        <v>427.34000000000003</v>
      </c>
      <c r="T18" s="1239">
        <f t="shared" si="3"/>
        <v>475.34000000000003</v>
      </c>
      <c r="U18" s="1240">
        <f t="shared" si="3"/>
        <v>0</v>
      </c>
      <c r="V18" s="1239">
        <f t="shared" si="3"/>
        <v>0</v>
      </c>
      <c r="W18" s="1241">
        <f t="shared" si="3"/>
        <v>543.12</v>
      </c>
      <c r="X18" s="1328"/>
      <c r="Y18" s="1333"/>
      <c r="Z18" s="1334"/>
    </row>
    <row r="19" spans="1:26" ht="12" customHeight="1" thickBot="1" x14ac:dyDescent="0.25">
      <c r="A19" s="1194"/>
      <c r="B19" s="1206"/>
      <c r="C19" s="1193"/>
      <c r="D19" s="1202"/>
      <c r="E19" s="1242"/>
      <c r="F19" s="1243"/>
      <c r="G19" s="1243"/>
      <c r="H19" s="1243"/>
      <c r="I19" s="1243"/>
      <c r="J19" s="1243"/>
      <c r="K19" s="1243"/>
      <c r="L19" s="1243"/>
      <c r="M19" s="1243"/>
      <c r="N19" s="1243"/>
      <c r="O19" s="1243"/>
      <c r="P19" s="1243"/>
      <c r="Q19" s="1243"/>
      <c r="R19" s="1243"/>
      <c r="S19" s="1243"/>
      <c r="T19" s="1243"/>
      <c r="U19" s="1243"/>
      <c r="V19" s="1243"/>
      <c r="W19" s="1244"/>
      <c r="X19" s="1316"/>
      <c r="Y19" s="1234"/>
      <c r="Z19" s="1194"/>
    </row>
    <row r="20" spans="1:26" ht="41.1" customHeight="1" x14ac:dyDescent="0.2">
      <c r="A20" s="1194"/>
      <c r="B20" s="1724" t="s">
        <v>1750</v>
      </c>
      <c r="C20" s="1254" t="s">
        <v>1751</v>
      </c>
      <c r="D20" s="1255" t="s">
        <v>401</v>
      </c>
      <c r="E20" s="1235"/>
      <c r="F20" s="1256">
        <f>F16+1</f>
        <v>302</v>
      </c>
      <c r="G20" s="1257">
        <f t="shared" ref="G20:W20" si="4">G16+1</f>
        <v>401.99999999999994</v>
      </c>
      <c r="H20" s="1256">
        <f t="shared" si="4"/>
        <v>401.99999999999994</v>
      </c>
      <c r="I20" s="1257">
        <f t="shared" si="4"/>
        <v>401.99999999999994</v>
      </c>
      <c r="J20" s="1256">
        <f t="shared" si="4"/>
        <v>202</v>
      </c>
      <c r="K20" s="1257">
        <f t="shared" si="4"/>
        <v>401.99999999999994</v>
      </c>
      <c r="L20" s="1256">
        <f t="shared" si="4"/>
        <v>401.99999999999994</v>
      </c>
      <c r="M20" s="1257">
        <f t="shared" si="4"/>
        <v>401.99999999999994</v>
      </c>
      <c r="N20" s="1256">
        <f t="shared" si="4"/>
        <v>401.99999999999994</v>
      </c>
      <c r="O20" s="1257">
        <f t="shared" si="4"/>
        <v>603</v>
      </c>
      <c r="P20" s="1256">
        <f t="shared" si="4"/>
        <v>1</v>
      </c>
      <c r="Q20" s="1257">
        <f t="shared" si="4"/>
        <v>803</v>
      </c>
      <c r="R20" s="1256">
        <f t="shared" si="4"/>
        <v>703</v>
      </c>
      <c r="S20" s="1257">
        <f t="shared" si="4"/>
        <v>803</v>
      </c>
      <c r="T20" s="1256">
        <f t="shared" si="4"/>
        <v>803</v>
      </c>
      <c r="U20" s="1257">
        <f t="shared" si="4"/>
        <v>1</v>
      </c>
      <c r="V20" s="1256">
        <f t="shared" si="4"/>
        <v>1</v>
      </c>
      <c r="W20" s="1258">
        <f t="shared" si="4"/>
        <v>803</v>
      </c>
      <c r="X20" s="1322"/>
      <c r="Y20" s="1313" t="s">
        <v>1752</v>
      </c>
      <c r="Z20" s="1745"/>
    </row>
    <row r="21" spans="1:26" ht="41.1" customHeight="1" thickBot="1" x14ac:dyDescent="0.25">
      <c r="A21" s="1194"/>
      <c r="B21" s="1725"/>
      <c r="C21" s="1259" t="s">
        <v>1744</v>
      </c>
      <c r="D21" s="1260" t="s">
        <v>401</v>
      </c>
      <c r="E21" s="1238"/>
      <c r="F21" s="1261">
        <f>F17+1</f>
        <v>203</v>
      </c>
      <c r="G21" s="1262">
        <f t="shared" ref="G21:W21" si="5">G17+1</f>
        <v>203</v>
      </c>
      <c r="H21" s="1261">
        <f t="shared" si="5"/>
        <v>253</v>
      </c>
      <c r="I21" s="1262">
        <f t="shared" si="5"/>
        <v>304</v>
      </c>
      <c r="J21" s="1261">
        <f t="shared" si="5"/>
        <v>607</v>
      </c>
      <c r="K21" s="1262">
        <f t="shared" si="5"/>
        <v>354</v>
      </c>
      <c r="L21" s="1261">
        <f t="shared" si="5"/>
        <v>405</v>
      </c>
      <c r="M21" s="1262">
        <f t="shared" si="5"/>
        <v>455</v>
      </c>
      <c r="N21" s="1261">
        <f t="shared" si="5"/>
        <v>506</v>
      </c>
      <c r="O21" s="1262">
        <f t="shared" si="5"/>
        <v>405</v>
      </c>
      <c r="P21" s="1261">
        <f t="shared" si="5"/>
        <v>1</v>
      </c>
      <c r="Q21" s="1262">
        <f t="shared" si="5"/>
        <v>355</v>
      </c>
      <c r="R21" s="1261">
        <f t="shared" si="5"/>
        <v>404</v>
      </c>
      <c r="S21" s="1262">
        <f t="shared" si="5"/>
        <v>405</v>
      </c>
      <c r="T21" s="1261">
        <f t="shared" si="5"/>
        <v>455</v>
      </c>
      <c r="U21" s="1262">
        <f t="shared" si="5"/>
        <v>1</v>
      </c>
      <c r="V21" s="1261">
        <f t="shared" si="5"/>
        <v>1</v>
      </c>
      <c r="W21" s="1263">
        <f t="shared" si="5"/>
        <v>506</v>
      </c>
      <c r="X21" s="1323"/>
      <c r="Y21" s="1314" t="s">
        <v>1745</v>
      </c>
      <c r="Z21" s="1746"/>
    </row>
    <row r="22" spans="1:26" ht="12" customHeight="1" thickBot="1" x14ac:dyDescent="0.25">
      <c r="A22" s="1194"/>
      <c r="B22" s="1206"/>
      <c r="C22" s="1193"/>
      <c r="D22" s="1202"/>
      <c r="E22" s="1242"/>
      <c r="F22" s="1243"/>
      <c r="G22" s="1243"/>
      <c r="H22" s="1243"/>
      <c r="I22" s="1243"/>
      <c r="J22" s="1243"/>
      <c r="K22" s="1243"/>
      <c r="L22" s="1243"/>
      <c r="M22" s="1243"/>
      <c r="N22" s="1243"/>
      <c r="O22" s="1243"/>
      <c r="P22" s="1243"/>
      <c r="Q22" s="1243"/>
      <c r="R22" s="1243"/>
      <c r="S22" s="1243"/>
      <c r="T22" s="1243"/>
      <c r="U22" s="1243"/>
      <c r="V22" s="1243"/>
      <c r="W22" s="1244"/>
      <c r="X22" s="1316"/>
      <c r="Y22" s="1234"/>
      <c r="Z22" s="1194"/>
    </row>
    <row r="23" spans="1:26" ht="30" customHeight="1" x14ac:dyDescent="0.2">
      <c r="A23" s="1194"/>
      <c r="B23" s="1742" t="s">
        <v>1760</v>
      </c>
      <c r="C23" s="1245" t="s">
        <v>1743</v>
      </c>
      <c r="D23" s="1246" t="s">
        <v>401</v>
      </c>
      <c r="E23" s="1247"/>
      <c r="F23" s="1248">
        <f>F16-1</f>
        <v>300</v>
      </c>
      <c r="G23" s="1249">
        <f t="shared" ref="G23:N23" si="6">G16-1</f>
        <v>399.99999999999994</v>
      </c>
      <c r="H23" s="1248">
        <f t="shared" si="6"/>
        <v>399.99999999999994</v>
      </c>
      <c r="I23" s="1249">
        <f t="shared" si="6"/>
        <v>399.99999999999994</v>
      </c>
      <c r="J23" s="1248">
        <f t="shared" si="6"/>
        <v>200</v>
      </c>
      <c r="K23" s="1249">
        <f t="shared" si="6"/>
        <v>399.99999999999994</v>
      </c>
      <c r="L23" s="1248">
        <f t="shared" si="6"/>
        <v>399.99999999999994</v>
      </c>
      <c r="M23" s="1249">
        <f t="shared" si="6"/>
        <v>399.99999999999994</v>
      </c>
      <c r="N23" s="1248">
        <f t="shared" si="6"/>
        <v>399.99999999999994</v>
      </c>
      <c r="O23" s="1249">
        <f>O16-2</f>
        <v>600</v>
      </c>
      <c r="P23" s="1248">
        <f t="shared" ref="P23:W23" si="7">P16-2</f>
        <v>-2</v>
      </c>
      <c r="Q23" s="1249">
        <f t="shared" si="7"/>
        <v>800</v>
      </c>
      <c r="R23" s="1248">
        <f t="shared" si="7"/>
        <v>700</v>
      </c>
      <c r="S23" s="1249">
        <f t="shared" si="7"/>
        <v>800</v>
      </c>
      <c r="T23" s="1248">
        <f t="shared" si="7"/>
        <v>800</v>
      </c>
      <c r="U23" s="1249">
        <f t="shared" si="7"/>
        <v>-2</v>
      </c>
      <c r="V23" s="1248">
        <f t="shared" si="7"/>
        <v>-2</v>
      </c>
      <c r="W23" s="1250">
        <f t="shared" si="7"/>
        <v>800</v>
      </c>
      <c r="X23" s="1324"/>
      <c r="Y23" s="1313" t="s">
        <v>1756</v>
      </c>
      <c r="Z23" s="1739" t="s">
        <v>1747</v>
      </c>
    </row>
    <row r="24" spans="1:26" ht="30" customHeight="1" x14ac:dyDescent="0.2">
      <c r="A24" s="1194"/>
      <c r="B24" s="1743"/>
      <c r="C24" s="1229" t="s">
        <v>1754</v>
      </c>
      <c r="D24" s="1230" t="s">
        <v>401</v>
      </c>
      <c r="E24" s="1228"/>
      <c r="F24" s="1735" t="s">
        <v>1755</v>
      </c>
      <c r="G24" s="1736"/>
      <c r="H24" s="1736"/>
      <c r="I24" s="1736"/>
      <c r="J24" s="1736"/>
      <c r="K24" s="1736"/>
      <c r="L24" s="1736"/>
      <c r="M24" s="1736"/>
      <c r="N24" s="1736"/>
      <c r="O24" s="1736"/>
      <c r="P24" s="1736"/>
      <c r="Q24" s="1736"/>
      <c r="R24" s="1736"/>
      <c r="S24" s="1736"/>
      <c r="T24" s="1736"/>
      <c r="U24" s="1736"/>
      <c r="V24" s="1736"/>
      <c r="W24" s="1736"/>
      <c r="X24" s="1317"/>
      <c r="Y24" s="1232" t="s">
        <v>1745</v>
      </c>
      <c r="Z24" s="1740"/>
    </row>
    <row r="25" spans="1:26" ht="30" customHeight="1" x14ac:dyDescent="0.2">
      <c r="A25" s="1194"/>
      <c r="B25" s="1743"/>
      <c r="C25" s="1174" t="s">
        <v>1744</v>
      </c>
      <c r="D25" s="1201" t="s">
        <v>401</v>
      </c>
      <c r="E25" s="1162"/>
      <c r="F25" s="1207">
        <f>F17-4</f>
        <v>198</v>
      </c>
      <c r="G25" s="1208">
        <f t="shared" ref="G25:W25" si="8">G17-4</f>
        <v>198</v>
      </c>
      <c r="H25" s="1207">
        <f t="shared" si="8"/>
        <v>248</v>
      </c>
      <c r="I25" s="1208">
        <f t="shared" si="8"/>
        <v>299</v>
      </c>
      <c r="J25" s="1207">
        <f t="shared" si="8"/>
        <v>602</v>
      </c>
      <c r="K25" s="1208">
        <f t="shared" si="8"/>
        <v>349</v>
      </c>
      <c r="L25" s="1207">
        <f t="shared" si="8"/>
        <v>400</v>
      </c>
      <c r="M25" s="1208">
        <f t="shared" si="8"/>
        <v>450</v>
      </c>
      <c r="N25" s="1207">
        <f t="shared" si="8"/>
        <v>501</v>
      </c>
      <c r="O25" s="1208">
        <f t="shared" si="8"/>
        <v>400</v>
      </c>
      <c r="P25" s="1207">
        <f t="shared" si="8"/>
        <v>-4</v>
      </c>
      <c r="Q25" s="1208">
        <f t="shared" si="8"/>
        <v>350</v>
      </c>
      <c r="R25" s="1207">
        <f t="shared" si="8"/>
        <v>399</v>
      </c>
      <c r="S25" s="1208">
        <f t="shared" si="8"/>
        <v>400</v>
      </c>
      <c r="T25" s="1207">
        <f t="shared" si="8"/>
        <v>450</v>
      </c>
      <c r="U25" s="1208">
        <f t="shared" si="8"/>
        <v>-4</v>
      </c>
      <c r="V25" s="1207">
        <f t="shared" si="8"/>
        <v>-4</v>
      </c>
      <c r="W25" s="1223">
        <f t="shared" si="8"/>
        <v>501</v>
      </c>
      <c r="X25" s="1317"/>
      <c r="Y25" s="1232" t="s">
        <v>1746</v>
      </c>
      <c r="Z25" s="1740"/>
    </row>
    <row r="26" spans="1:26" ht="30" customHeight="1" thickBot="1" x14ac:dyDescent="0.25">
      <c r="A26" s="1194"/>
      <c r="B26" s="1744"/>
      <c r="C26" s="1251" t="s">
        <v>1753</v>
      </c>
      <c r="D26" s="1252" t="s">
        <v>401</v>
      </c>
      <c r="E26" s="1253"/>
      <c r="F26" s="1737" t="s">
        <v>1748</v>
      </c>
      <c r="G26" s="1738"/>
      <c r="H26" s="1738"/>
      <c r="I26" s="1738"/>
      <c r="J26" s="1738"/>
      <c r="K26" s="1738"/>
      <c r="L26" s="1738"/>
      <c r="M26" s="1738"/>
      <c r="N26" s="1738"/>
      <c r="O26" s="1738"/>
      <c r="P26" s="1738"/>
      <c r="Q26" s="1738"/>
      <c r="R26" s="1738"/>
      <c r="S26" s="1738"/>
      <c r="T26" s="1738"/>
      <c r="U26" s="1738"/>
      <c r="V26" s="1738"/>
      <c r="W26" s="1738"/>
      <c r="X26" s="1318"/>
      <c r="Y26" s="1314" t="s">
        <v>1745</v>
      </c>
      <c r="Z26" s="1741"/>
    </row>
    <row r="27" spans="1:26" ht="23.1" customHeight="1" thickBot="1" x14ac:dyDescent="0.25">
      <c r="A27" s="1194"/>
      <c r="B27" s="1194"/>
      <c r="C27" s="1193"/>
      <c r="D27" s="1202"/>
      <c r="E27" s="1242"/>
      <c r="F27" s="1243"/>
      <c r="G27" s="1243"/>
      <c r="H27" s="1243"/>
      <c r="I27" s="1243"/>
      <c r="J27" s="1243"/>
      <c r="K27" s="1243"/>
      <c r="L27" s="1243"/>
      <c r="M27" s="1243"/>
      <c r="N27" s="1243"/>
      <c r="O27" s="1243"/>
      <c r="P27" s="1243"/>
      <c r="Q27" s="1243"/>
      <c r="R27" s="1243"/>
      <c r="S27" s="1243"/>
      <c r="T27" s="1243"/>
      <c r="U27" s="1243"/>
      <c r="V27" s="1243"/>
      <c r="W27" s="1244"/>
      <c r="X27" s="1316"/>
      <c r="Y27" s="1234"/>
      <c r="Z27" s="1194"/>
    </row>
    <row r="28" spans="1:26" ht="24.95" customHeight="1" x14ac:dyDescent="0.2">
      <c r="A28" s="1194"/>
      <c r="B28" s="1721" t="s">
        <v>1757</v>
      </c>
      <c r="C28" s="1284" t="s">
        <v>1739</v>
      </c>
      <c r="D28" s="1285" t="s">
        <v>401</v>
      </c>
      <c r="E28" s="1286"/>
      <c r="F28" s="1287">
        <f t="shared" ref="F28:W28" si="9">F16</f>
        <v>301</v>
      </c>
      <c r="G28" s="1288">
        <f t="shared" si="9"/>
        <v>400.99999999999994</v>
      </c>
      <c r="H28" s="1287">
        <f t="shared" si="9"/>
        <v>400.99999999999994</v>
      </c>
      <c r="I28" s="1288">
        <f t="shared" si="9"/>
        <v>400.99999999999994</v>
      </c>
      <c r="J28" s="1287">
        <f t="shared" si="9"/>
        <v>201</v>
      </c>
      <c r="K28" s="1288">
        <f t="shared" si="9"/>
        <v>400.99999999999994</v>
      </c>
      <c r="L28" s="1287">
        <f t="shared" si="9"/>
        <v>400.99999999999994</v>
      </c>
      <c r="M28" s="1288">
        <f t="shared" si="9"/>
        <v>400.99999999999994</v>
      </c>
      <c r="N28" s="1287">
        <f t="shared" si="9"/>
        <v>400.99999999999994</v>
      </c>
      <c r="O28" s="1288">
        <f t="shared" si="9"/>
        <v>602</v>
      </c>
      <c r="P28" s="1287">
        <f t="shared" si="9"/>
        <v>0</v>
      </c>
      <c r="Q28" s="1288">
        <f t="shared" si="9"/>
        <v>802</v>
      </c>
      <c r="R28" s="1287">
        <f t="shared" si="9"/>
        <v>702</v>
      </c>
      <c r="S28" s="1288">
        <f t="shared" si="9"/>
        <v>802</v>
      </c>
      <c r="T28" s="1287">
        <f t="shared" si="9"/>
        <v>802</v>
      </c>
      <c r="U28" s="1288">
        <f t="shared" si="9"/>
        <v>0</v>
      </c>
      <c r="V28" s="1287">
        <f t="shared" si="9"/>
        <v>0</v>
      </c>
      <c r="W28" s="1288">
        <f t="shared" si="9"/>
        <v>802</v>
      </c>
      <c r="X28" s="1325"/>
      <c r="Y28" s="1313" t="str">
        <f>"+2"</f>
        <v>+2</v>
      </c>
      <c r="Z28" s="1716" t="s">
        <v>1761</v>
      </c>
    </row>
    <row r="29" spans="1:26" ht="24.95" customHeight="1" thickBot="1" x14ac:dyDescent="0.25">
      <c r="A29" s="1194"/>
      <c r="B29" s="1722"/>
      <c r="C29" s="1198" t="s">
        <v>1740</v>
      </c>
      <c r="D29" s="1203" t="s">
        <v>401</v>
      </c>
      <c r="E29" s="1149"/>
      <c r="F29" s="1209">
        <f t="shared" ref="F29:W29" si="10">F17-6</f>
        <v>196</v>
      </c>
      <c r="G29" s="1210">
        <f t="shared" si="10"/>
        <v>196</v>
      </c>
      <c r="H29" s="1209">
        <f t="shared" si="10"/>
        <v>246</v>
      </c>
      <c r="I29" s="1210">
        <f t="shared" si="10"/>
        <v>297</v>
      </c>
      <c r="J29" s="1209">
        <f t="shared" si="10"/>
        <v>600</v>
      </c>
      <c r="K29" s="1210">
        <f t="shared" si="10"/>
        <v>347</v>
      </c>
      <c r="L29" s="1209">
        <f t="shared" si="10"/>
        <v>398</v>
      </c>
      <c r="M29" s="1210">
        <f t="shared" si="10"/>
        <v>448</v>
      </c>
      <c r="N29" s="1209">
        <f t="shared" si="10"/>
        <v>499</v>
      </c>
      <c r="O29" s="1210">
        <f t="shared" si="10"/>
        <v>398</v>
      </c>
      <c r="P29" s="1209">
        <f t="shared" si="10"/>
        <v>-6</v>
      </c>
      <c r="Q29" s="1210">
        <f t="shared" si="10"/>
        <v>348</v>
      </c>
      <c r="R29" s="1209">
        <f t="shared" si="10"/>
        <v>397</v>
      </c>
      <c r="S29" s="1210">
        <f t="shared" si="10"/>
        <v>398</v>
      </c>
      <c r="T29" s="1209">
        <f t="shared" si="10"/>
        <v>448</v>
      </c>
      <c r="U29" s="1210">
        <f t="shared" si="10"/>
        <v>-6</v>
      </c>
      <c r="V29" s="1209">
        <f t="shared" si="10"/>
        <v>-6</v>
      </c>
      <c r="W29" s="1210">
        <f t="shared" si="10"/>
        <v>499</v>
      </c>
      <c r="X29" s="1326"/>
      <c r="Y29" s="1233" t="str">
        <f>"+3"</f>
        <v>+3</v>
      </c>
      <c r="Z29" s="1717"/>
    </row>
    <row r="30" spans="1:26" ht="24.95" customHeight="1" x14ac:dyDescent="0.2">
      <c r="A30" s="1194"/>
      <c r="B30" s="1722"/>
      <c r="C30" s="1341" t="s">
        <v>1741</v>
      </c>
      <c r="D30" s="1342" t="s">
        <v>401</v>
      </c>
      <c r="E30" s="1149"/>
      <c r="F30" s="1209">
        <f>F28+34</f>
        <v>335</v>
      </c>
      <c r="G30" s="1345">
        <f t="shared" ref="G30:W30" si="11">G28+34</f>
        <v>434.99999999999994</v>
      </c>
      <c r="H30" s="1347">
        <f t="shared" si="11"/>
        <v>434.99999999999994</v>
      </c>
      <c r="I30" s="1345">
        <f t="shared" si="11"/>
        <v>434.99999999999994</v>
      </c>
      <c r="J30" s="1347">
        <f t="shared" si="11"/>
        <v>235</v>
      </c>
      <c r="K30" s="1345">
        <f t="shared" si="11"/>
        <v>434.99999999999994</v>
      </c>
      <c r="L30" s="1347">
        <f t="shared" si="11"/>
        <v>434.99999999999994</v>
      </c>
      <c r="M30" s="1345">
        <f t="shared" si="11"/>
        <v>434.99999999999994</v>
      </c>
      <c r="N30" s="1347">
        <f t="shared" si="11"/>
        <v>434.99999999999994</v>
      </c>
      <c r="O30" s="1345">
        <f t="shared" si="11"/>
        <v>636</v>
      </c>
      <c r="P30" s="1347">
        <f t="shared" si="11"/>
        <v>34</v>
      </c>
      <c r="Q30" s="1345">
        <f t="shared" si="11"/>
        <v>836</v>
      </c>
      <c r="R30" s="1347">
        <f t="shared" si="11"/>
        <v>736</v>
      </c>
      <c r="S30" s="1345">
        <f t="shared" si="11"/>
        <v>836</v>
      </c>
      <c r="T30" s="1347">
        <f t="shared" si="11"/>
        <v>836</v>
      </c>
      <c r="U30" s="1345">
        <f t="shared" si="11"/>
        <v>34</v>
      </c>
      <c r="V30" s="1347">
        <f t="shared" si="11"/>
        <v>34</v>
      </c>
      <c r="W30" s="1345">
        <f t="shared" si="11"/>
        <v>836</v>
      </c>
      <c r="X30" s="1311"/>
      <c r="Y30" s="1714" t="s">
        <v>1758</v>
      </c>
      <c r="Z30" s="1717"/>
    </row>
    <row r="31" spans="1:26" ht="24.95" customHeight="1" thickBot="1" x14ac:dyDescent="0.25">
      <c r="A31" s="1194"/>
      <c r="B31" s="1723"/>
      <c r="C31" s="1343" t="s">
        <v>1742</v>
      </c>
      <c r="D31" s="1344" t="s">
        <v>401</v>
      </c>
      <c r="E31" s="1292"/>
      <c r="F31" s="1293">
        <f>F29+34</f>
        <v>230</v>
      </c>
      <c r="G31" s="1346">
        <f t="shared" ref="G31:W31" si="12">G29+34</f>
        <v>230</v>
      </c>
      <c r="H31" s="1348">
        <f t="shared" si="12"/>
        <v>280</v>
      </c>
      <c r="I31" s="1346">
        <f t="shared" si="12"/>
        <v>331</v>
      </c>
      <c r="J31" s="1348">
        <f t="shared" si="12"/>
        <v>634</v>
      </c>
      <c r="K31" s="1346">
        <f t="shared" si="12"/>
        <v>381</v>
      </c>
      <c r="L31" s="1348">
        <f t="shared" si="12"/>
        <v>432</v>
      </c>
      <c r="M31" s="1346">
        <f t="shared" si="12"/>
        <v>482</v>
      </c>
      <c r="N31" s="1348">
        <f t="shared" si="12"/>
        <v>533</v>
      </c>
      <c r="O31" s="1346">
        <f t="shared" si="12"/>
        <v>432</v>
      </c>
      <c r="P31" s="1348">
        <f t="shared" si="12"/>
        <v>28</v>
      </c>
      <c r="Q31" s="1346">
        <f t="shared" si="12"/>
        <v>382</v>
      </c>
      <c r="R31" s="1348">
        <f t="shared" si="12"/>
        <v>431</v>
      </c>
      <c r="S31" s="1346">
        <f t="shared" si="12"/>
        <v>432</v>
      </c>
      <c r="T31" s="1348">
        <f t="shared" si="12"/>
        <v>482</v>
      </c>
      <c r="U31" s="1346">
        <f t="shared" si="12"/>
        <v>28</v>
      </c>
      <c r="V31" s="1348">
        <f t="shared" si="12"/>
        <v>28</v>
      </c>
      <c r="W31" s="1346">
        <f t="shared" si="12"/>
        <v>533</v>
      </c>
      <c r="X31" s="1328"/>
      <c r="Y31" s="1715"/>
      <c r="Z31" s="1718"/>
    </row>
  </sheetData>
  <mergeCells count="14">
    <mergeCell ref="Y30:Y31"/>
    <mergeCell ref="Z28:Z31"/>
    <mergeCell ref="F2:W2"/>
    <mergeCell ref="B28:B31"/>
    <mergeCell ref="B20:B21"/>
    <mergeCell ref="B3:B4"/>
    <mergeCell ref="B6:B10"/>
    <mergeCell ref="B12:B14"/>
    <mergeCell ref="B16:B18"/>
    <mergeCell ref="F24:W24"/>
    <mergeCell ref="F26:W26"/>
    <mergeCell ref="Z23:Z26"/>
    <mergeCell ref="B23:B26"/>
    <mergeCell ref="Z20:Z21"/>
  </mergeCells>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F0AD4-7534-4A0F-9317-77CB3EA42C50}">
  <sheetPr published="0" codeName="Feuil57"/>
  <dimension ref="A1:X22"/>
  <sheetViews>
    <sheetView zoomScale="50" zoomScaleNormal="50" workbookViewId="0">
      <selection activeCell="U31" sqref="U31"/>
    </sheetView>
  </sheetViews>
  <sheetFormatPr baseColWidth="10" defaultRowHeight="14.25" x14ac:dyDescent="0.2"/>
  <cols>
    <col min="8" max="8" width="0.625" customWidth="1"/>
    <col min="9" max="12" width="2.625" hidden="1" customWidth="1"/>
    <col min="13" max="13" width="18.375" customWidth="1"/>
    <col min="14" max="14" width="13.5" customWidth="1"/>
    <col min="15" max="17" width="10.625"/>
    <col min="20" max="21" width="10.625"/>
  </cols>
  <sheetData>
    <row r="1" spans="1:24" ht="75" customHeight="1" x14ac:dyDescent="0.2">
      <c r="A1" s="1184"/>
      <c r="B1" s="1747" t="s">
        <v>1718</v>
      </c>
      <c r="C1" s="1747"/>
      <c r="D1" s="1748" t="s">
        <v>1710</v>
      </c>
      <c r="E1" s="1749"/>
      <c r="F1" s="1749"/>
      <c r="G1" s="1749"/>
      <c r="H1" s="1750"/>
      <c r="I1" s="1748" t="s">
        <v>1495</v>
      </c>
      <c r="J1" s="1749"/>
      <c r="K1" s="1749"/>
      <c r="L1" s="1750"/>
      <c r="M1" s="1748" t="s">
        <v>670</v>
      </c>
      <c r="N1" s="1749"/>
      <c r="O1" s="1750"/>
      <c r="P1" s="1747" t="s">
        <v>1726</v>
      </c>
      <c r="Q1" s="1747"/>
      <c r="R1" s="1747" t="s">
        <v>1725</v>
      </c>
      <c r="S1" s="1747"/>
      <c r="T1" s="1747" t="s">
        <v>1728</v>
      </c>
      <c r="U1" s="1747"/>
      <c r="V1" s="1747" t="s">
        <v>1727</v>
      </c>
      <c r="W1" s="1747"/>
      <c r="X1" s="1381" t="s">
        <v>1729</v>
      </c>
    </row>
    <row r="2" spans="1:24" ht="66.599999999999994" customHeight="1" x14ac:dyDescent="0.2">
      <c r="A2" s="1173" t="s">
        <v>203</v>
      </c>
      <c r="B2" s="1174" t="s">
        <v>210</v>
      </c>
      <c r="C2" s="1175" t="s">
        <v>211</v>
      </c>
      <c r="D2" s="1176" t="s">
        <v>1717</v>
      </c>
      <c r="E2" s="1177" t="s">
        <v>1708</v>
      </c>
      <c r="F2" s="1178" t="s">
        <v>1709</v>
      </c>
      <c r="G2" s="1177" t="s">
        <v>1716</v>
      </c>
      <c r="H2" s="1177" t="s">
        <v>1722</v>
      </c>
      <c r="I2" s="1179" t="s">
        <v>227</v>
      </c>
      <c r="J2" s="1180" t="s">
        <v>228</v>
      </c>
      <c r="K2" s="1181" t="s">
        <v>1713</v>
      </c>
      <c r="L2" s="1181" t="s">
        <v>1719</v>
      </c>
      <c r="M2" s="1182" t="s">
        <v>1724</v>
      </c>
      <c r="N2" s="1182" t="s">
        <v>1723</v>
      </c>
      <c r="O2" s="1182" t="s">
        <v>1721</v>
      </c>
      <c r="P2" s="1190" t="s">
        <v>1715</v>
      </c>
      <c r="Q2" s="1190" t="s">
        <v>212</v>
      </c>
      <c r="R2" s="1190" t="s">
        <v>1715</v>
      </c>
      <c r="S2" s="1190" t="s">
        <v>212</v>
      </c>
      <c r="T2" s="1183" t="s">
        <v>1715</v>
      </c>
      <c r="U2" s="1183" t="s">
        <v>212</v>
      </c>
      <c r="V2" s="1183" t="s">
        <v>1715</v>
      </c>
      <c r="W2" s="1183" t="s">
        <v>212</v>
      </c>
      <c r="X2" s="1185" t="s">
        <v>1715</v>
      </c>
    </row>
    <row r="3" spans="1:24" x14ac:dyDescent="0.2">
      <c r="A3" s="1153" t="s">
        <v>223</v>
      </c>
      <c r="B3" s="1154" t="s">
        <v>225</v>
      </c>
      <c r="C3" s="1155" t="s">
        <v>225</v>
      </c>
      <c r="D3" s="1156" t="s">
        <v>50</v>
      </c>
      <c r="E3" s="1156" t="s">
        <v>225</v>
      </c>
      <c r="F3" s="1156" t="s">
        <v>1720</v>
      </c>
      <c r="G3" s="1157" t="s">
        <v>225</v>
      </c>
      <c r="H3" s="1157" t="s">
        <v>1714</v>
      </c>
      <c r="I3" s="1158" t="s">
        <v>50</v>
      </c>
      <c r="J3" s="1159" t="s">
        <v>50</v>
      </c>
      <c r="K3" s="1160" t="s">
        <v>1714</v>
      </c>
      <c r="L3" s="1160"/>
      <c r="M3" s="1171" t="s">
        <v>401</v>
      </c>
      <c r="N3" s="1171" t="s">
        <v>401</v>
      </c>
      <c r="O3" s="1171" t="s">
        <v>1714</v>
      </c>
      <c r="P3" s="1191" t="s">
        <v>401</v>
      </c>
      <c r="Q3" s="1191" t="s">
        <v>401</v>
      </c>
      <c r="R3" s="1191" t="s">
        <v>401</v>
      </c>
      <c r="S3" s="1191" t="s">
        <v>401</v>
      </c>
      <c r="T3" s="1172" t="s">
        <v>401</v>
      </c>
      <c r="U3" s="1172" t="s">
        <v>401</v>
      </c>
      <c r="V3" s="1172" t="s">
        <v>401</v>
      </c>
      <c r="W3" s="1172" t="s">
        <v>401</v>
      </c>
      <c r="X3" s="1186" t="s">
        <v>401</v>
      </c>
    </row>
    <row r="4" spans="1:24" x14ac:dyDescent="0.2">
      <c r="A4" s="1161">
        <v>2</v>
      </c>
      <c r="B4" s="1162">
        <v>1.6</v>
      </c>
      <c r="C4" s="1162">
        <v>2.5</v>
      </c>
      <c r="D4" s="1149">
        <v>1</v>
      </c>
      <c r="E4" s="1149"/>
      <c r="F4" s="1149">
        <v>40</v>
      </c>
      <c r="G4" s="1150"/>
      <c r="H4" s="1150"/>
      <c r="I4" s="1163"/>
      <c r="J4" s="1163"/>
      <c r="K4" s="1163">
        <f>I4*10+J4*13</f>
        <v>0</v>
      </c>
      <c r="L4" s="1163"/>
      <c r="M4" s="1164"/>
      <c r="N4" s="1164"/>
      <c r="O4" s="1164"/>
      <c r="P4" s="1165"/>
      <c r="Q4" s="1165"/>
      <c r="R4" s="1165"/>
      <c r="S4" s="1165"/>
      <c r="T4" s="1165"/>
      <c r="U4" s="1165"/>
      <c r="V4" s="1165"/>
      <c r="W4" s="1165"/>
      <c r="X4" s="1165"/>
    </row>
    <row r="5" spans="1:24" x14ac:dyDescent="0.2">
      <c r="A5" s="1166">
        <v>3</v>
      </c>
      <c r="B5" s="1167">
        <v>2</v>
      </c>
      <c r="C5" s="1167">
        <v>3</v>
      </c>
      <c r="D5" s="1151">
        <v>1</v>
      </c>
      <c r="E5" s="1151">
        <v>1.5</v>
      </c>
      <c r="F5" s="1151">
        <v>40</v>
      </c>
      <c r="G5" s="1152">
        <v>3.06</v>
      </c>
      <c r="H5" s="1152">
        <v>9.06</v>
      </c>
      <c r="I5" s="1168">
        <v>6</v>
      </c>
      <c r="J5" s="1168"/>
      <c r="K5" s="1168">
        <f t="shared" ref="K5:K20" si="0">I5*10+J5*13</f>
        <v>60</v>
      </c>
      <c r="L5" s="1168"/>
      <c r="M5" s="1187">
        <f>G5*100-5</f>
        <v>301</v>
      </c>
      <c r="N5" s="1169">
        <f>202</f>
        <v>202</v>
      </c>
      <c r="O5" s="1169">
        <f t="shared" ref="O5:O14" si="1">K5+H5*D5</f>
        <v>69.06</v>
      </c>
      <c r="P5" s="1189">
        <f>M5</f>
        <v>301</v>
      </c>
      <c r="Q5" s="1170">
        <f>N5-6</f>
        <v>196</v>
      </c>
      <c r="R5" s="1189">
        <f>P5+34</f>
        <v>335</v>
      </c>
      <c r="S5" s="1170">
        <f>N5+28</f>
        <v>230</v>
      </c>
      <c r="T5" s="1170">
        <f t="shared" ref="T5:T22" si="2">P5</f>
        <v>301</v>
      </c>
      <c r="U5" s="1170">
        <f t="shared" ref="U5:U22" si="3">N5+1</f>
        <v>203</v>
      </c>
      <c r="V5" s="1189">
        <f>R5</f>
        <v>335</v>
      </c>
      <c r="W5" s="1170">
        <f>U5+34</f>
        <v>237</v>
      </c>
      <c r="X5" s="1170">
        <v>301</v>
      </c>
    </row>
    <row r="6" spans="1:24" x14ac:dyDescent="0.2">
      <c r="A6" s="1161">
        <v>4</v>
      </c>
      <c r="B6" s="1162">
        <v>2</v>
      </c>
      <c r="C6" s="1162">
        <v>4</v>
      </c>
      <c r="D6" s="1149">
        <v>1</v>
      </c>
      <c r="E6" s="1149">
        <v>2</v>
      </c>
      <c r="F6" s="1149">
        <v>40</v>
      </c>
      <c r="G6" s="1150">
        <v>4.0599999999999996</v>
      </c>
      <c r="H6" s="1150">
        <v>12.02</v>
      </c>
      <c r="I6" s="1163">
        <v>8</v>
      </c>
      <c r="J6" s="1163"/>
      <c r="K6" s="1163">
        <f t="shared" si="0"/>
        <v>80</v>
      </c>
      <c r="L6" s="1163"/>
      <c r="M6" s="1187">
        <f t="shared" ref="M6:M13" si="4">G6*100-5</f>
        <v>400.99999999999994</v>
      </c>
      <c r="N6" s="1164">
        <v>202</v>
      </c>
      <c r="O6" s="1164">
        <f t="shared" si="1"/>
        <v>92.02</v>
      </c>
      <c r="P6" s="1189">
        <f t="shared" ref="P6:P22" si="5">M6</f>
        <v>400.99999999999994</v>
      </c>
      <c r="Q6" s="1170">
        <f t="shared" ref="Q6:Q22" si="6">N6-6</f>
        <v>196</v>
      </c>
      <c r="R6" s="1165">
        <f t="shared" ref="R6:R22" si="7">M6+34</f>
        <v>434.99999999999994</v>
      </c>
      <c r="S6" s="1165">
        <f>N6+28</f>
        <v>230</v>
      </c>
      <c r="T6" s="1170">
        <f t="shared" si="2"/>
        <v>400.99999999999994</v>
      </c>
      <c r="U6" s="1170">
        <f t="shared" si="3"/>
        <v>203</v>
      </c>
      <c r="V6" s="1170">
        <f t="shared" ref="V6:V22" si="8">R6</f>
        <v>434.99999999999994</v>
      </c>
      <c r="W6" s="1170">
        <f t="shared" ref="W6:W22" si="9">U6+34</f>
        <v>237</v>
      </c>
      <c r="X6" s="1170">
        <v>400.99999999999994</v>
      </c>
    </row>
    <row r="7" spans="1:24" x14ac:dyDescent="0.2">
      <c r="A7" s="1166">
        <v>5</v>
      </c>
      <c r="B7" s="1167">
        <v>2.5</v>
      </c>
      <c r="C7" s="1167">
        <v>4</v>
      </c>
      <c r="D7" s="1151">
        <v>1</v>
      </c>
      <c r="E7" s="1151">
        <v>2</v>
      </c>
      <c r="F7" s="1151">
        <v>40</v>
      </c>
      <c r="G7" s="1152">
        <v>4.0599999999999996</v>
      </c>
      <c r="H7" s="1152">
        <v>12.02</v>
      </c>
      <c r="I7" s="1168"/>
      <c r="J7" s="1168">
        <v>8</v>
      </c>
      <c r="K7" s="1168">
        <f t="shared" si="0"/>
        <v>104</v>
      </c>
      <c r="L7" s="1168"/>
      <c r="M7" s="1187">
        <f t="shared" si="4"/>
        <v>400.99999999999994</v>
      </c>
      <c r="N7" s="1169">
        <v>252</v>
      </c>
      <c r="O7" s="1169">
        <f t="shared" si="1"/>
        <v>116.02</v>
      </c>
      <c r="P7" s="1189">
        <f t="shared" si="5"/>
        <v>400.99999999999994</v>
      </c>
      <c r="Q7" s="1170">
        <f t="shared" si="6"/>
        <v>246</v>
      </c>
      <c r="R7" s="1188">
        <f t="shared" si="7"/>
        <v>434.99999999999994</v>
      </c>
      <c r="S7" s="1165">
        <f t="shared" ref="S7:S22" si="10">N7+28</f>
        <v>280</v>
      </c>
      <c r="T7" s="1170">
        <f t="shared" si="2"/>
        <v>400.99999999999994</v>
      </c>
      <c r="U7" s="1170">
        <f t="shared" si="3"/>
        <v>253</v>
      </c>
      <c r="V7" s="1170">
        <f t="shared" si="8"/>
        <v>434.99999999999994</v>
      </c>
      <c r="W7" s="1170">
        <f t="shared" si="9"/>
        <v>287</v>
      </c>
      <c r="X7" s="1170">
        <v>400.99999999999994</v>
      </c>
    </row>
    <row r="8" spans="1:24" x14ac:dyDescent="0.2">
      <c r="A8" s="1161" t="s">
        <v>1711</v>
      </c>
      <c r="B8" s="1162">
        <v>3</v>
      </c>
      <c r="C8" s="1162">
        <v>4</v>
      </c>
      <c r="D8" s="1149">
        <v>3</v>
      </c>
      <c r="E8" s="1149">
        <v>1.5</v>
      </c>
      <c r="F8" s="1149">
        <v>40</v>
      </c>
      <c r="G8" s="1150">
        <v>3.06</v>
      </c>
      <c r="H8" s="1150">
        <v>9.06</v>
      </c>
      <c r="I8" s="1163">
        <v>12</v>
      </c>
      <c r="J8" s="1163"/>
      <c r="K8" s="1163">
        <f t="shared" si="0"/>
        <v>120</v>
      </c>
      <c r="L8" s="1163"/>
      <c r="M8" s="1187">
        <f t="shared" si="4"/>
        <v>301</v>
      </c>
      <c r="N8" s="1164">
        <v>404</v>
      </c>
      <c r="O8" s="1164">
        <f t="shared" si="1"/>
        <v>147.18</v>
      </c>
      <c r="P8" s="1189">
        <f t="shared" si="5"/>
        <v>301</v>
      </c>
      <c r="Q8" s="1170">
        <f t="shared" si="6"/>
        <v>398</v>
      </c>
      <c r="R8" s="1165">
        <f t="shared" si="7"/>
        <v>335</v>
      </c>
      <c r="S8" s="1165">
        <f t="shared" si="10"/>
        <v>432</v>
      </c>
      <c r="T8" s="1170">
        <f t="shared" si="2"/>
        <v>301</v>
      </c>
      <c r="U8" s="1170">
        <f t="shared" si="3"/>
        <v>405</v>
      </c>
      <c r="V8" s="1170">
        <f t="shared" si="8"/>
        <v>335</v>
      </c>
      <c r="W8" s="1170">
        <f t="shared" si="9"/>
        <v>439</v>
      </c>
      <c r="X8" s="1170">
        <v>301</v>
      </c>
    </row>
    <row r="9" spans="1:24" x14ac:dyDescent="0.2">
      <c r="A9" s="1166" t="s">
        <v>1712</v>
      </c>
      <c r="B9" s="1167">
        <v>2</v>
      </c>
      <c r="C9" s="1167">
        <v>6</v>
      </c>
      <c r="D9" s="1151">
        <v>5</v>
      </c>
      <c r="E9" s="1151">
        <v>2</v>
      </c>
      <c r="F9" s="1151">
        <v>40</v>
      </c>
      <c r="G9" s="1152">
        <v>2.06</v>
      </c>
      <c r="H9" s="1152">
        <v>6.1</v>
      </c>
      <c r="I9" s="1168">
        <v>12</v>
      </c>
      <c r="J9" s="1168"/>
      <c r="K9" s="1168">
        <f t="shared" si="0"/>
        <v>120</v>
      </c>
      <c r="L9" s="1168"/>
      <c r="M9" s="1187">
        <f t="shared" si="4"/>
        <v>201</v>
      </c>
      <c r="N9" s="1169">
        <v>606</v>
      </c>
      <c r="O9" s="1169">
        <f t="shared" si="1"/>
        <v>150.5</v>
      </c>
      <c r="P9" s="1189">
        <f t="shared" si="5"/>
        <v>201</v>
      </c>
      <c r="Q9" s="1170">
        <f t="shared" si="6"/>
        <v>600</v>
      </c>
      <c r="R9" s="1165">
        <f t="shared" si="7"/>
        <v>235</v>
      </c>
      <c r="S9" s="1165">
        <f t="shared" si="10"/>
        <v>634</v>
      </c>
      <c r="T9" s="1170">
        <f t="shared" si="2"/>
        <v>201</v>
      </c>
      <c r="U9" s="1170">
        <f t="shared" si="3"/>
        <v>607</v>
      </c>
      <c r="V9" s="1170">
        <f t="shared" si="8"/>
        <v>235</v>
      </c>
      <c r="W9" s="1170">
        <f t="shared" si="9"/>
        <v>641</v>
      </c>
      <c r="X9" s="1170">
        <v>201</v>
      </c>
    </row>
    <row r="10" spans="1:24" x14ac:dyDescent="0.2">
      <c r="A10" s="1161">
        <v>7</v>
      </c>
      <c r="B10" s="1162">
        <v>3.5</v>
      </c>
      <c r="C10" s="1162">
        <v>4</v>
      </c>
      <c r="D10" s="1149">
        <v>2</v>
      </c>
      <c r="E10" s="1149">
        <v>2</v>
      </c>
      <c r="F10" s="1149">
        <v>40</v>
      </c>
      <c r="G10" s="1150">
        <v>4.0599999999999996</v>
      </c>
      <c r="H10" s="1150">
        <v>12.02</v>
      </c>
      <c r="I10" s="1163">
        <v>4</v>
      </c>
      <c r="J10" s="1163">
        <v>8</v>
      </c>
      <c r="K10" s="1163">
        <f t="shared" si="0"/>
        <v>144</v>
      </c>
      <c r="L10" s="1163"/>
      <c r="M10" s="1187">
        <f t="shared" si="4"/>
        <v>400.99999999999994</v>
      </c>
      <c r="N10" s="1164">
        <v>353</v>
      </c>
      <c r="O10" s="1164">
        <f t="shared" si="1"/>
        <v>168.04</v>
      </c>
      <c r="P10" s="1189">
        <f t="shared" si="5"/>
        <v>400.99999999999994</v>
      </c>
      <c r="Q10" s="1170">
        <f t="shared" si="6"/>
        <v>347</v>
      </c>
      <c r="R10" s="1165">
        <f t="shared" si="7"/>
        <v>434.99999999999994</v>
      </c>
      <c r="S10" s="1165">
        <f t="shared" si="10"/>
        <v>381</v>
      </c>
      <c r="T10" s="1170">
        <f t="shared" si="2"/>
        <v>400.99999999999994</v>
      </c>
      <c r="U10" s="1170">
        <f t="shared" si="3"/>
        <v>354</v>
      </c>
      <c r="V10" s="1170">
        <f t="shared" si="8"/>
        <v>434.99999999999994</v>
      </c>
      <c r="W10" s="1170">
        <f t="shared" si="9"/>
        <v>388</v>
      </c>
      <c r="X10" s="1170">
        <v>400.99999999999994</v>
      </c>
    </row>
    <row r="11" spans="1:24" x14ac:dyDescent="0.2">
      <c r="A11" s="1166">
        <v>8</v>
      </c>
      <c r="B11" s="1167">
        <v>4</v>
      </c>
      <c r="C11" s="1167">
        <v>4</v>
      </c>
      <c r="D11" s="1151">
        <v>3</v>
      </c>
      <c r="E11" s="1151">
        <v>2</v>
      </c>
      <c r="F11" s="1151">
        <v>40</v>
      </c>
      <c r="G11" s="1152">
        <v>4.0599999999999996</v>
      </c>
      <c r="H11" s="1152">
        <v>12.02</v>
      </c>
      <c r="I11" s="1168">
        <v>16</v>
      </c>
      <c r="J11" s="1168"/>
      <c r="K11" s="1168">
        <f t="shared" si="0"/>
        <v>160</v>
      </c>
      <c r="L11" s="1168"/>
      <c r="M11" s="1187">
        <f t="shared" si="4"/>
        <v>400.99999999999994</v>
      </c>
      <c r="N11" s="1169">
        <v>404</v>
      </c>
      <c r="O11" s="1169">
        <f t="shared" si="1"/>
        <v>196.06</v>
      </c>
      <c r="P11" s="1189">
        <f t="shared" si="5"/>
        <v>400.99999999999994</v>
      </c>
      <c r="Q11" s="1170">
        <f t="shared" si="6"/>
        <v>398</v>
      </c>
      <c r="R11" s="1165">
        <f t="shared" si="7"/>
        <v>434.99999999999994</v>
      </c>
      <c r="S11" s="1165">
        <f t="shared" si="10"/>
        <v>432</v>
      </c>
      <c r="T11" s="1170">
        <f t="shared" si="2"/>
        <v>400.99999999999994</v>
      </c>
      <c r="U11" s="1170">
        <f t="shared" si="3"/>
        <v>405</v>
      </c>
      <c r="V11" s="1170">
        <f t="shared" si="8"/>
        <v>434.99999999999994</v>
      </c>
      <c r="W11" s="1170">
        <f t="shared" si="9"/>
        <v>439</v>
      </c>
      <c r="X11" s="1170">
        <v>400.99999999999994</v>
      </c>
    </row>
    <row r="12" spans="1:24" x14ac:dyDescent="0.2">
      <c r="A12" s="1161">
        <v>9</v>
      </c>
      <c r="B12" s="1162">
        <v>4</v>
      </c>
      <c r="C12" s="1162">
        <v>4.5</v>
      </c>
      <c r="D12" s="1149">
        <v>3</v>
      </c>
      <c r="E12" s="1149">
        <v>2</v>
      </c>
      <c r="F12" s="1149">
        <v>40</v>
      </c>
      <c r="G12" s="1150">
        <v>4.0599999999999996</v>
      </c>
      <c r="H12" s="1150">
        <v>12.02</v>
      </c>
      <c r="I12" s="1163">
        <v>8</v>
      </c>
      <c r="J12" s="1163">
        <v>8</v>
      </c>
      <c r="K12" s="1163">
        <f t="shared" si="0"/>
        <v>184</v>
      </c>
      <c r="L12" s="1163"/>
      <c r="M12" s="1187">
        <f t="shared" si="4"/>
        <v>400.99999999999994</v>
      </c>
      <c r="N12" s="1164">
        <v>454</v>
      </c>
      <c r="O12" s="1164">
        <f t="shared" si="1"/>
        <v>220.06</v>
      </c>
      <c r="P12" s="1189">
        <f t="shared" si="5"/>
        <v>400.99999999999994</v>
      </c>
      <c r="Q12" s="1170">
        <f t="shared" si="6"/>
        <v>448</v>
      </c>
      <c r="R12" s="1165">
        <f t="shared" si="7"/>
        <v>434.99999999999994</v>
      </c>
      <c r="S12" s="1165">
        <f t="shared" si="10"/>
        <v>482</v>
      </c>
      <c r="T12" s="1170">
        <f t="shared" si="2"/>
        <v>400.99999999999994</v>
      </c>
      <c r="U12" s="1170">
        <f t="shared" si="3"/>
        <v>455</v>
      </c>
      <c r="V12" s="1170">
        <f t="shared" si="8"/>
        <v>434.99999999999994</v>
      </c>
      <c r="W12" s="1170">
        <f t="shared" si="9"/>
        <v>489</v>
      </c>
      <c r="X12" s="1170">
        <v>400.99999999999994</v>
      </c>
    </row>
    <row r="13" spans="1:24" x14ac:dyDescent="0.2">
      <c r="A13" s="1166">
        <v>10</v>
      </c>
      <c r="B13" s="1167">
        <v>4</v>
      </c>
      <c r="C13" s="1167">
        <v>5</v>
      </c>
      <c r="D13" s="1151">
        <v>4</v>
      </c>
      <c r="E13" s="1151">
        <v>2</v>
      </c>
      <c r="F13" s="1151">
        <v>40</v>
      </c>
      <c r="G13" s="1152">
        <v>4.0599999999999996</v>
      </c>
      <c r="H13" s="1152">
        <v>12.02</v>
      </c>
      <c r="I13" s="1168">
        <v>20</v>
      </c>
      <c r="J13" s="1168"/>
      <c r="K13" s="1168">
        <f t="shared" si="0"/>
        <v>200</v>
      </c>
      <c r="L13" s="1168"/>
      <c r="M13" s="1187">
        <f t="shared" si="4"/>
        <v>400.99999999999994</v>
      </c>
      <c r="N13" s="1169">
        <v>505</v>
      </c>
      <c r="O13" s="1169">
        <f t="shared" si="1"/>
        <v>248.07999999999998</v>
      </c>
      <c r="P13" s="1189">
        <f t="shared" si="5"/>
        <v>400.99999999999994</v>
      </c>
      <c r="Q13" s="1170">
        <f t="shared" si="6"/>
        <v>499</v>
      </c>
      <c r="R13" s="1165">
        <f t="shared" si="7"/>
        <v>434.99999999999994</v>
      </c>
      <c r="S13" s="1165">
        <f t="shared" si="10"/>
        <v>533</v>
      </c>
      <c r="T13" s="1170">
        <f t="shared" si="2"/>
        <v>400.99999999999994</v>
      </c>
      <c r="U13" s="1170">
        <f t="shared" si="3"/>
        <v>506</v>
      </c>
      <c r="V13" s="1170">
        <f t="shared" si="8"/>
        <v>434.99999999999994</v>
      </c>
      <c r="W13" s="1170">
        <f t="shared" si="9"/>
        <v>540</v>
      </c>
      <c r="X13" s="1170">
        <v>400.99999999999994</v>
      </c>
    </row>
    <row r="14" spans="1:24" ht="21.6" customHeight="1" x14ac:dyDescent="0.2">
      <c r="A14" s="1161" t="s">
        <v>460</v>
      </c>
      <c r="B14" s="1162">
        <v>4</v>
      </c>
      <c r="C14" s="1162">
        <v>6</v>
      </c>
      <c r="D14" s="1149">
        <v>6</v>
      </c>
      <c r="E14" s="1149">
        <v>3</v>
      </c>
      <c r="F14" s="1149">
        <v>45</v>
      </c>
      <c r="G14" s="1150">
        <v>3.03</v>
      </c>
      <c r="H14" s="1150">
        <v>11.02</v>
      </c>
      <c r="I14" s="1163">
        <v>24</v>
      </c>
      <c r="J14" s="1163"/>
      <c r="K14" s="1163">
        <f t="shared" si="0"/>
        <v>240</v>
      </c>
      <c r="L14" s="1163"/>
      <c r="M14" s="1164">
        <v>602</v>
      </c>
      <c r="N14" s="1164">
        <v>404</v>
      </c>
      <c r="O14" s="1164">
        <f t="shared" si="1"/>
        <v>306.12</v>
      </c>
      <c r="P14" s="1189">
        <f t="shared" si="5"/>
        <v>602</v>
      </c>
      <c r="Q14" s="1170">
        <f t="shared" si="6"/>
        <v>398</v>
      </c>
      <c r="R14" s="1165">
        <f t="shared" si="7"/>
        <v>636</v>
      </c>
      <c r="S14" s="1165">
        <f t="shared" si="10"/>
        <v>432</v>
      </c>
      <c r="T14" s="1170">
        <f t="shared" si="2"/>
        <v>602</v>
      </c>
      <c r="U14" s="1170">
        <f t="shared" si="3"/>
        <v>405</v>
      </c>
      <c r="V14" s="1170">
        <f t="shared" si="8"/>
        <v>636</v>
      </c>
      <c r="W14" s="1170">
        <f t="shared" si="9"/>
        <v>439</v>
      </c>
      <c r="X14" s="1170">
        <v>602</v>
      </c>
    </row>
    <row r="15" spans="1:24" ht="14.45" customHeight="1" x14ac:dyDescent="0.2">
      <c r="A15" s="1166" t="s">
        <v>461</v>
      </c>
      <c r="B15" s="1167">
        <v>3</v>
      </c>
      <c r="C15" s="1167">
        <v>8</v>
      </c>
      <c r="D15" s="1151"/>
      <c r="E15" s="1151"/>
      <c r="F15" s="1151"/>
      <c r="G15" s="1152"/>
      <c r="H15" s="1152"/>
      <c r="I15" s="1168"/>
      <c r="J15" s="1168"/>
      <c r="K15" s="1168">
        <f t="shared" si="0"/>
        <v>0</v>
      </c>
      <c r="L15" s="1168"/>
      <c r="M15" s="1169"/>
      <c r="N15" s="1169"/>
      <c r="O15" s="1169"/>
      <c r="P15" s="1189">
        <f t="shared" si="5"/>
        <v>0</v>
      </c>
      <c r="Q15" s="1170">
        <f t="shared" si="6"/>
        <v>-6</v>
      </c>
      <c r="R15" s="1165">
        <f t="shared" si="7"/>
        <v>34</v>
      </c>
      <c r="S15" s="1165">
        <f t="shared" si="10"/>
        <v>28</v>
      </c>
      <c r="T15" s="1170">
        <f t="shared" si="2"/>
        <v>0</v>
      </c>
      <c r="U15" s="1170">
        <f t="shared" si="3"/>
        <v>1</v>
      </c>
      <c r="V15" s="1170">
        <f t="shared" si="8"/>
        <v>34</v>
      </c>
      <c r="W15" s="1170">
        <f t="shared" si="9"/>
        <v>35</v>
      </c>
      <c r="X15" s="1170">
        <v>0</v>
      </c>
    </row>
    <row r="16" spans="1:24" x14ac:dyDescent="0.2">
      <c r="A16" s="1161" t="s">
        <v>462</v>
      </c>
      <c r="B16" s="1162">
        <v>3.5</v>
      </c>
      <c r="C16" s="1162">
        <v>8</v>
      </c>
      <c r="D16" s="1149">
        <v>6</v>
      </c>
      <c r="E16" s="1149">
        <v>3.5</v>
      </c>
      <c r="F16" s="1149">
        <v>45</v>
      </c>
      <c r="G16" s="1150">
        <v>4.03</v>
      </c>
      <c r="H16" s="1150">
        <v>17.89</v>
      </c>
      <c r="I16" s="1163">
        <v>8</v>
      </c>
      <c r="J16" s="1163">
        <v>16</v>
      </c>
      <c r="K16" s="1163">
        <f t="shared" si="0"/>
        <v>288</v>
      </c>
      <c r="L16" s="1163"/>
      <c r="M16" s="1164">
        <v>802</v>
      </c>
      <c r="N16" s="1164">
        <v>354</v>
      </c>
      <c r="O16" s="1164">
        <f t="shared" ref="O16:O22" si="11">K16+H16*D16</f>
        <v>395.34000000000003</v>
      </c>
      <c r="P16" s="1189">
        <f t="shared" si="5"/>
        <v>802</v>
      </c>
      <c r="Q16" s="1170">
        <f t="shared" si="6"/>
        <v>348</v>
      </c>
      <c r="R16" s="1165">
        <f t="shared" si="7"/>
        <v>836</v>
      </c>
      <c r="S16" s="1165">
        <f t="shared" si="10"/>
        <v>382</v>
      </c>
      <c r="T16" s="1170">
        <f t="shared" si="2"/>
        <v>802</v>
      </c>
      <c r="U16" s="1170">
        <f t="shared" si="3"/>
        <v>355</v>
      </c>
      <c r="V16" s="1170">
        <f t="shared" si="8"/>
        <v>836</v>
      </c>
      <c r="W16" s="1170">
        <f t="shared" si="9"/>
        <v>389</v>
      </c>
      <c r="X16" s="1170">
        <v>802</v>
      </c>
    </row>
    <row r="17" spans="1:24" ht="12.95" customHeight="1" x14ac:dyDescent="0.2">
      <c r="A17" s="1166" t="s">
        <v>463</v>
      </c>
      <c r="B17" s="1167">
        <v>4</v>
      </c>
      <c r="C17" s="1167">
        <v>7</v>
      </c>
      <c r="D17" s="1151">
        <v>4</v>
      </c>
      <c r="E17" s="1151">
        <v>4</v>
      </c>
      <c r="F17" s="1151">
        <v>50</v>
      </c>
      <c r="G17" s="1152">
        <v>3.53</v>
      </c>
      <c r="H17" s="1152">
        <v>15.67</v>
      </c>
      <c r="I17" s="1168">
        <v>28</v>
      </c>
      <c r="J17" s="1168"/>
      <c r="K17" s="1168">
        <f t="shared" si="0"/>
        <v>280</v>
      </c>
      <c r="L17" s="1168"/>
      <c r="M17" s="1169">
        <v>702</v>
      </c>
      <c r="N17" s="1169">
        <v>403</v>
      </c>
      <c r="O17" s="1169">
        <f t="shared" si="11"/>
        <v>342.68</v>
      </c>
      <c r="P17" s="1189">
        <f t="shared" si="5"/>
        <v>702</v>
      </c>
      <c r="Q17" s="1170">
        <f t="shared" si="6"/>
        <v>397</v>
      </c>
      <c r="R17" s="1165">
        <f t="shared" si="7"/>
        <v>736</v>
      </c>
      <c r="S17" s="1165">
        <f t="shared" si="10"/>
        <v>431</v>
      </c>
      <c r="T17" s="1170">
        <f t="shared" si="2"/>
        <v>702</v>
      </c>
      <c r="U17" s="1170">
        <f t="shared" si="3"/>
        <v>404</v>
      </c>
      <c r="V17" s="1170">
        <f t="shared" si="8"/>
        <v>736</v>
      </c>
      <c r="W17" s="1170">
        <f t="shared" si="9"/>
        <v>438</v>
      </c>
      <c r="X17" s="1170">
        <v>702</v>
      </c>
    </row>
    <row r="18" spans="1:24" x14ac:dyDescent="0.2">
      <c r="A18" s="1161">
        <v>16</v>
      </c>
      <c r="B18" s="1162">
        <v>4</v>
      </c>
      <c r="C18" s="1162">
        <v>8</v>
      </c>
      <c r="D18" s="1149">
        <v>6</v>
      </c>
      <c r="E18" s="1149">
        <v>4</v>
      </c>
      <c r="F18" s="1149">
        <v>50</v>
      </c>
      <c r="G18" s="1150">
        <v>4.03</v>
      </c>
      <c r="H18" s="1150">
        <v>17.89</v>
      </c>
      <c r="I18" s="1163">
        <v>32</v>
      </c>
      <c r="J18" s="1163"/>
      <c r="K18" s="1163">
        <f t="shared" si="0"/>
        <v>320</v>
      </c>
      <c r="L18" s="1163"/>
      <c r="M18" s="1164">
        <v>802</v>
      </c>
      <c r="N18" s="1164">
        <v>404</v>
      </c>
      <c r="O18" s="1164">
        <f t="shared" si="11"/>
        <v>427.34000000000003</v>
      </c>
      <c r="P18" s="1189">
        <f t="shared" si="5"/>
        <v>802</v>
      </c>
      <c r="Q18" s="1170">
        <f t="shared" si="6"/>
        <v>398</v>
      </c>
      <c r="R18" s="1165">
        <f t="shared" si="7"/>
        <v>836</v>
      </c>
      <c r="S18" s="1165">
        <f t="shared" si="10"/>
        <v>432</v>
      </c>
      <c r="T18" s="1170">
        <f t="shared" si="2"/>
        <v>802</v>
      </c>
      <c r="U18" s="1170">
        <f t="shared" si="3"/>
        <v>405</v>
      </c>
      <c r="V18" s="1170">
        <f t="shared" si="8"/>
        <v>836</v>
      </c>
      <c r="W18" s="1170">
        <f t="shared" si="9"/>
        <v>439</v>
      </c>
      <c r="X18" s="1170">
        <v>802</v>
      </c>
    </row>
    <row r="19" spans="1:24" x14ac:dyDescent="0.2">
      <c r="A19" s="1166" t="s">
        <v>464</v>
      </c>
      <c r="B19" s="1167">
        <v>4.5</v>
      </c>
      <c r="C19" s="1167">
        <v>8</v>
      </c>
      <c r="D19" s="1151">
        <v>6</v>
      </c>
      <c r="E19" s="1151">
        <v>4</v>
      </c>
      <c r="F19" s="1151">
        <v>50</v>
      </c>
      <c r="G19" s="1152">
        <v>4.03</v>
      </c>
      <c r="H19" s="1152">
        <v>17.89</v>
      </c>
      <c r="I19" s="1168">
        <v>16</v>
      </c>
      <c r="J19" s="1168">
        <v>16</v>
      </c>
      <c r="K19" s="1168">
        <f t="shared" si="0"/>
        <v>368</v>
      </c>
      <c r="L19" s="1168"/>
      <c r="M19" s="1169">
        <v>802</v>
      </c>
      <c r="N19" s="1169"/>
      <c r="O19" s="1169">
        <f t="shared" si="11"/>
        <v>475.34000000000003</v>
      </c>
      <c r="P19" s="1189">
        <f t="shared" si="5"/>
        <v>802</v>
      </c>
      <c r="Q19" s="1170">
        <f t="shared" si="6"/>
        <v>-6</v>
      </c>
      <c r="R19" s="1165">
        <f t="shared" si="7"/>
        <v>836</v>
      </c>
      <c r="S19" s="1165">
        <f t="shared" si="10"/>
        <v>28</v>
      </c>
      <c r="T19" s="1170">
        <f t="shared" si="2"/>
        <v>802</v>
      </c>
      <c r="U19" s="1170">
        <f t="shared" si="3"/>
        <v>1</v>
      </c>
      <c r="V19" s="1170">
        <f t="shared" si="8"/>
        <v>836</v>
      </c>
      <c r="W19" s="1170">
        <f t="shared" si="9"/>
        <v>35</v>
      </c>
      <c r="X19" s="1170">
        <v>802</v>
      </c>
    </row>
    <row r="20" spans="1:24" ht="0.6" customHeight="1" x14ac:dyDescent="0.2">
      <c r="A20" s="1161" t="s">
        <v>465</v>
      </c>
      <c r="B20" s="1162">
        <v>4</v>
      </c>
      <c r="C20" s="1162">
        <v>9</v>
      </c>
      <c r="D20" s="1149"/>
      <c r="E20" s="1149"/>
      <c r="F20" s="1149">
        <v>50</v>
      </c>
      <c r="G20" s="1150">
        <v>4.03</v>
      </c>
      <c r="H20" s="1150">
        <v>17.89</v>
      </c>
      <c r="I20" s="1163"/>
      <c r="J20" s="1163"/>
      <c r="K20" s="1163">
        <f t="shared" si="0"/>
        <v>0</v>
      </c>
      <c r="L20" s="1163"/>
      <c r="M20" s="1164"/>
      <c r="N20" s="1164"/>
      <c r="O20" s="1164">
        <f t="shared" si="11"/>
        <v>0</v>
      </c>
      <c r="P20" s="1189">
        <f t="shared" si="5"/>
        <v>0</v>
      </c>
      <c r="Q20" s="1170">
        <f t="shared" si="6"/>
        <v>-6</v>
      </c>
      <c r="R20" s="1165">
        <f t="shared" si="7"/>
        <v>34</v>
      </c>
      <c r="S20" s="1165">
        <f t="shared" si="10"/>
        <v>28</v>
      </c>
      <c r="T20" s="1170">
        <f t="shared" si="2"/>
        <v>0</v>
      </c>
      <c r="U20" s="1170">
        <f t="shared" si="3"/>
        <v>1</v>
      </c>
      <c r="V20" s="1170">
        <f t="shared" si="8"/>
        <v>34</v>
      </c>
      <c r="W20" s="1170">
        <f t="shared" si="9"/>
        <v>35</v>
      </c>
      <c r="X20" s="1170">
        <v>0</v>
      </c>
    </row>
    <row r="21" spans="1:24" ht="0.95" customHeight="1" x14ac:dyDescent="0.2">
      <c r="A21" s="1166" t="s">
        <v>466</v>
      </c>
      <c r="B21" s="1167">
        <v>4</v>
      </c>
      <c r="C21" s="1167">
        <v>10</v>
      </c>
      <c r="D21" s="1151"/>
      <c r="E21" s="1151"/>
      <c r="F21" s="1151"/>
      <c r="G21" s="1152"/>
      <c r="H21" s="1152"/>
      <c r="I21" s="1168"/>
      <c r="J21" s="1168"/>
      <c r="K21" s="1168"/>
      <c r="L21" s="1168"/>
      <c r="M21" s="1169"/>
      <c r="N21" s="1169"/>
      <c r="O21" s="1169">
        <f t="shared" si="11"/>
        <v>0</v>
      </c>
      <c r="P21" s="1189">
        <f t="shared" si="5"/>
        <v>0</v>
      </c>
      <c r="Q21" s="1170">
        <f t="shared" si="6"/>
        <v>-6</v>
      </c>
      <c r="R21" s="1165">
        <f t="shared" si="7"/>
        <v>34</v>
      </c>
      <c r="S21" s="1165">
        <f t="shared" si="10"/>
        <v>28</v>
      </c>
      <c r="T21" s="1170">
        <f t="shared" si="2"/>
        <v>0</v>
      </c>
      <c r="U21" s="1170">
        <f t="shared" si="3"/>
        <v>1</v>
      </c>
      <c r="V21" s="1170">
        <f t="shared" si="8"/>
        <v>34</v>
      </c>
      <c r="W21" s="1170">
        <f t="shared" si="9"/>
        <v>35</v>
      </c>
      <c r="X21" s="1170">
        <v>0</v>
      </c>
    </row>
    <row r="22" spans="1:24" ht="17.45" customHeight="1" x14ac:dyDescent="0.2">
      <c r="A22" s="1161" t="s">
        <v>467</v>
      </c>
      <c r="B22" s="1162">
        <v>5</v>
      </c>
      <c r="C22" s="1162">
        <v>8</v>
      </c>
      <c r="D22" s="1149">
        <v>8</v>
      </c>
      <c r="E22" s="1149">
        <v>4</v>
      </c>
      <c r="F22" s="1149">
        <v>50</v>
      </c>
      <c r="G22" s="1150">
        <v>4.03</v>
      </c>
      <c r="H22" s="1150">
        <v>17.89</v>
      </c>
      <c r="I22" s="1163">
        <v>40</v>
      </c>
      <c r="J22" s="1163"/>
      <c r="K22" s="1163">
        <f t="shared" ref="K22" si="12">I22*10+J22*13</f>
        <v>400</v>
      </c>
      <c r="L22" s="1163"/>
      <c r="M22" s="1164">
        <v>802</v>
      </c>
      <c r="N22" s="1164">
        <v>505</v>
      </c>
      <c r="O22" s="1164">
        <f t="shared" si="11"/>
        <v>543.12</v>
      </c>
      <c r="P22" s="1189">
        <f t="shared" si="5"/>
        <v>802</v>
      </c>
      <c r="Q22" s="1170">
        <f t="shared" si="6"/>
        <v>499</v>
      </c>
      <c r="R22" s="1165">
        <f t="shared" si="7"/>
        <v>836</v>
      </c>
      <c r="S22" s="1165">
        <f t="shared" si="10"/>
        <v>533</v>
      </c>
      <c r="T22" s="1170">
        <f t="shared" si="2"/>
        <v>802</v>
      </c>
      <c r="U22" s="1170">
        <f t="shared" si="3"/>
        <v>506</v>
      </c>
      <c r="V22" s="1170">
        <f t="shared" si="8"/>
        <v>836</v>
      </c>
      <c r="W22" s="1170">
        <f t="shared" si="9"/>
        <v>540</v>
      </c>
      <c r="X22" s="1170">
        <v>802</v>
      </c>
    </row>
  </sheetData>
  <mergeCells count="8">
    <mergeCell ref="V1:W1"/>
    <mergeCell ref="R1:S1"/>
    <mergeCell ref="B1:C1"/>
    <mergeCell ref="D1:H1"/>
    <mergeCell ref="I1:L1"/>
    <mergeCell ref="M1:O1"/>
    <mergeCell ref="P1:Q1"/>
    <mergeCell ref="T1:U1"/>
  </mergeCells>
  <pageMargins left="0.7" right="0.7" top="0.75" bottom="0.75" header="0.3" footer="0.3"/>
  <pageSetup paperSize="9"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49DB5-AFFA-4C93-A5DD-F7CBF757E129}">
  <sheetPr published="0" codeName="Feuil60"/>
  <dimension ref="A1"/>
  <sheetViews>
    <sheetView workbookViewId="0"/>
  </sheetViews>
  <sheetFormatPr baseColWidth="10" defaultRowHeight="14.25" x14ac:dyDescent="0.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1BE0A7B-18E5-4822-BC45-6DB7072019E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1718</TotalTime>
  <Application>Microsoft Excel</Application>
  <DocSecurity>0</DocSecurity>
  <ScaleCrop>false</ScaleCrop>
  <HeadingPairs>
    <vt:vector size="4" baseType="variant">
      <vt:variant>
        <vt:lpstr>Feuilles de calcul</vt:lpstr>
      </vt:variant>
      <vt:variant>
        <vt:i4>4</vt:i4>
      </vt:variant>
      <vt:variant>
        <vt:lpstr>Plages nommées</vt:lpstr>
      </vt:variant>
      <vt:variant>
        <vt:i4>182</vt:i4>
      </vt:variant>
    </vt:vector>
  </HeadingPairs>
  <TitlesOfParts>
    <vt:vector size="186" baseType="lpstr">
      <vt:lpstr>Acceuil</vt:lpstr>
      <vt:lpstr>Estimatif Q</vt:lpstr>
      <vt:lpstr>Simulation</vt:lpstr>
      <vt:lpstr>COUTS</vt:lpstr>
      <vt:lpstr>abbatarbrev</vt:lpstr>
      <vt:lpstr>Accessoires</vt:lpstr>
      <vt:lpstr>Accessoires_au_détail</vt:lpstr>
      <vt:lpstr>BACS</vt:lpstr>
      <vt:lpstr>BETON</vt:lpstr>
      <vt:lpstr>BOIS</vt:lpstr>
      <vt:lpstr>BORDURES</vt:lpstr>
      <vt:lpstr>CATEGORIE_MA</vt:lpstr>
      <vt:lpstr>CATEGORIE_MOA</vt:lpstr>
      <vt:lpstr>CATEGORIE_MOC</vt:lpstr>
      <vt:lpstr>CATEGORIEATELIER</vt:lpstr>
      <vt:lpstr>CATEGORIEMP2</vt:lpstr>
      <vt:lpstr>CHAGREMENT</vt:lpstr>
      <vt:lpstr>CHARGEMENT</vt:lpstr>
      <vt:lpstr>CHASSEchoix</vt:lpstr>
      <vt:lpstr>CHASSES</vt:lpstr>
      <vt:lpstr>CHOIX_GRAVITAIRE</vt:lpstr>
      <vt:lpstr>CHOIX_RELEVAGE</vt:lpstr>
      <vt:lpstr>Collecte_Exutoire_MOC</vt:lpstr>
      <vt:lpstr>cotesFEFHe</vt:lpstr>
      <vt:lpstr>cotesFEFHs</vt:lpstr>
      <vt:lpstr>cotesFEfosse</vt:lpstr>
      <vt:lpstr>cotesFEFVe</vt:lpstr>
      <vt:lpstr>cotesFEFVs</vt:lpstr>
      <vt:lpstr>cotesFEhab</vt:lpstr>
      <vt:lpstr>cotesFEPR</vt:lpstr>
      <vt:lpstr>cotesFEPR3</vt:lpstr>
      <vt:lpstr>cotesTNFHe</vt:lpstr>
      <vt:lpstr>cotesTNFHs</vt:lpstr>
      <vt:lpstr>cotesTNfosse</vt:lpstr>
      <vt:lpstr>cotesTNFVe</vt:lpstr>
      <vt:lpstr>cotesTNFVs</vt:lpstr>
      <vt:lpstr>cotesTNhab</vt:lpstr>
      <vt:lpstr>cotesTNPR</vt:lpstr>
      <vt:lpstr>cotesTNPR2</vt:lpstr>
      <vt:lpstr>dessouchaiev</vt:lpstr>
      <vt:lpstr>dessoucharbrev</vt:lpstr>
      <vt:lpstr>Profil!distA</vt:lpstr>
      <vt:lpstr>distA</vt:lpstr>
      <vt:lpstr>Profil!distB</vt:lpstr>
      <vt:lpstr>distB</vt:lpstr>
      <vt:lpstr>Profil!distB2</vt:lpstr>
      <vt:lpstr>distB2</vt:lpstr>
      <vt:lpstr>Profil!distC</vt:lpstr>
      <vt:lpstr>distC</vt:lpstr>
      <vt:lpstr>Profil!distD</vt:lpstr>
      <vt:lpstr>distD</vt:lpstr>
      <vt:lpstr>Profil!distE</vt:lpstr>
      <vt:lpstr>distE</vt:lpstr>
      <vt:lpstr>distFH</vt:lpstr>
      <vt:lpstr>distFV</vt:lpstr>
      <vt:lpstr>distZI</vt:lpstr>
      <vt:lpstr>distZI2</vt:lpstr>
      <vt:lpstr>DIVERS</vt:lpstr>
      <vt:lpstr>emplPREC</vt:lpstr>
      <vt:lpstr>enlevementv</vt:lpstr>
      <vt:lpstr>EPANDRAINv</vt:lpstr>
      <vt:lpstr>EPDM</vt:lpstr>
      <vt:lpstr>EPDM_FH</vt:lpstr>
      <vt:lpstr>EPDM_FV</vt:lpstr>
      <vt:lpstr>EVACUATION_DIA_100</vt:lpstr>
      <vt:lpstr>EVACUATION_DIA_50</vt:lpstr>
      <vt:lpstr>Profil!FEFHev</vt:lpstr>
      <vt:lpstr>Profil!FEFHsv</vt:lpstr>
      <vt:lpstr>Profil!FEfossev</vt:lpstr>
      <vt:lpstr>Profil!FEFVev</vt:lpstr>
      <vt:lpstr>Profil!FEFVsv</vt:lpstr>
      <vt:lpstr>FEhabitation</vt:lpstr>
      <vt:lpstr>Profil!FEhabv</vt:lpstr>
      <vt:lpstr>Profil!FEPR1v</vt:lpstr>
      <vt:lpstr>Profil!FEPR2v</vt:lpstr>
      <vt:lpstr>Profil!FEPR3v</vt:lpstr>
      <vt:lpstr>FEPR4v</vt:lpstr>
      <vt:lpstr>FEZI2ev</vt:lpstr>
      <vt:lpstr>FEZI2sv</vt:lpstr>
      <vt:lpstr>FEZI3ev</vt:lpstr>
      <vt:lpstr>FEZI3sv</vt:lpstr>
      <vt:lpstr>Profil!FEZIev</vt:lpstr>
      <vt:lpstr>Profil!FEZIsv</vt:lpstr>
      <vt:lpstr>FHchoix</vt:lpstr>
      <vt:lpstr>FHSCchoix</vt:lpstr>
      <vt:lpstr>FINITIONS</vt:lpstr>
      <vt:lpstr>FOSSEchoix</vt:lpstr>
      <vt:lpstr>Fournitures</vt:lpstr>
      <vt:lpstr>FVBchoix</vt:lpstr>
      <vt:lpstr>FVBSCchoix</vt:lpstr>
      <vt:lpstr>FVchoix</vt:lpstr>
      <vt:lpstr>FVSCchoix</vt:lpstr>
      <vt:lpstr>GEOTEXTILE</vt:lpstr>
      <vt:lpstr>Géotextile</vt:lpstr>
      <vt:lpstr>GRANULATS</vt:lpstr>
      <vt:lpstr>MA</vt:lpstr>
      <vt:lpstr>MA_CATEGORIE</vt:lpstr>
      <vt:lpstr>MO</vt:lpstr>
      <vt:lpstr>MOA_ALIM</vt:lpstr>
      <vt:lpstr>MOA_BETON</vt:lpstr>
      <vt:lpstr>MOA_BOIS</vt:lpstr>
      <vt:lpstr>MOA_PROTECTION_SANITAIRE</vt:lpstr>
      <vt:lpstr>MOA_Systèmes_Constructifs</vt:lpstr>
      <vt:lpstr>MOA_Tronc_Commun</vt:lpstr>
      <vt:lpstr>MOC_ALIM</vt:lpstr>
      <vt:lpstr>MOC_Bordures</vt:lpstr>
      <vt:lpstr>MOC_Collecte_Exutoire</vt:lpstr>
      <vt:lpstr>MOC_PREPARATION</vt:lpstr>
      <vt:lpstr>MOC_PROTECTION_SANITAIRE</vt:lpstr>
      <vt:lpstr>MOC_Systèmes_Constructifs</vt:lpstr>
      <vt:lpstr>MOC_Tronc_Commun</vt:lpstr>
      <vt:lpstr>MP</vt:lpstr>
      <vt:lpstr>MP_CHARGEMENT</vt:lpstr>
      <vt:lpstr>MP_FINITIONS</vt:lpstr>
      <vt:lpstr>MP_MANUTENTION</vt:lpstr>
      <vt:lpstr>MP_MISE_EN_PLACE</vt:lpstr>
      <vt:lpstr>MP_TERRASSEMENT</vt:lpstr>
      <vt:lpstr>Outillage</vt:lpstr>
      <vt:lpstr>PIGEON_MATERIAUX</vt:lpstr>
      <vt:lpstr>PLANTES_AQUATIQUES</vt:lpstr>
      <vt:lpstr>PLANTES_EPURATRICES</vt:lpstr>
      <vt:lpstr>PLANTES_FRAIS</vt:lpstr>
      <vt:lpstr>PLANTES_HUMIDES</vt:lpstr>
      <vt:lpstr>POSTES_DE_RELEVAGES</vt:lpstr>
      <vt:lpstr>PRESSION_DIA_50</vt:lpstr>
      <vt:lpstr>profPR1</vt:lpstr>
      <vt:lpstr>PROTECTIONS_SANITAIRES</vt:lpstr>
      <vt:lpstr>PVC</vt:lpstr>
      <vt:lpstr>QUINCAILLERIE</vt:lpstr>
      <vt:lpstr>REDUCTIONS</vt:lpstr>
      <vt:lpstr>REGARDbéton</vt:lpstr>
      <vt:lpstr>REGARDS</vt:lpstr>
      <vt:lpstr>REGARDS_ET_REPARTITEURS</vt:lpstr>
      <vt:lpstr>réhausseFH</vt:lpstr>
      <vt:lpstr>rel</vt:lpstr>
      <vt:lpstr>RELEVAGE</vt:lpstr>
      <vt:lpstr>RELEVAGE2</vt:lpstr>
      <vt:lpstr>SANITAIRE</vt:lpstr>
      <vt:lpstr>SASKIT</vt:lpstr>
      <vt:lpstr>SZI</vt:lpstr>
      <vt:lpstr>SZRVaqua</vt:lpstr>
      <vt:lpstr>SZRVligneux</vt:lpstr>
      <vt:lpstr>TERRASSEMENT</vt:lpstr>
      <vt:lpstr>terrassupv</vt:lpstr>
      <vt:lpstr>Profil!TNFHe</vt:lpstr>
      <vt:lpstr>Profil!TNFHs</vt:lpstr>
      <vt:lpstr>Profil!TNfosse</vt:lpstr>
      <vt:lpstr>TNfosse2</vt:lpstr>
      <vt:lpstr>Profil!TNFVe</vt:lpstr>
      <vt:lpstr>Profil!TNFVs</vt:lpstr>
      <vt:lpstr>Profil!TNhab</vt:lpstr>
      <vt:lpstr>Profil!TNPR1</vt:lpstr>
      <vt:lpstr>Profil!TNPR2</vt:lpstr>
      <vt:lpstr>Profil!TNPR3</vt:lpstr>
      <vt:lpstr>TNPR4</vt:lpstr>
      <vt:lpstr>TNroute</vt:lpstr>
      <vt:lpstr>TNZI2e</vt:lpstr>
      <vt:lpstr>TNZI2s</vt:lpstr>
      <vt:lpstr>TNZI3e</vt:lpstr>
      <vt:lpstr>TNZI3s</vt:lpstr>
      <vt:lpstr>Profil!TNZIe</vt:lpstr>
      <vt:lpstr>Profil!TNZIs</vt:lpstr>
      <vt:lpstr>TUBES</vt:lpstr>
      <vt:lpstr>Profil!xFHe</vt:lpstr>
      <vt:lpstr>Profil!xFHs</vt:lpstr>
      <vt:lpstr>xFosse</vt:lpstr>
      <vt:lpstr>Profil!xFVe</vt:lpstr>
      <vt:lpstr>Profil!xFVs</vt:lpstr>
      <vt:lpstr>Profil!xhab</vt:lpstr>
      <vt:lpstr>Profil!xPR1</vt:lpstr>
      <vt:lpstr>Profil!xPR2</vt:lpstr>
      <vt:lpstr>Profil!xPR3</vt:lpstr>
      <vt:lpstr>xPR4</vt:lpstr>
      <vt:lpstr>xroute</vt:lpstr>
      <vt:lpstr>xZI2e</vt:lpstr>
      <vt:lpstr>xZI2s</vt:lpstr>
      <vt:lpstr>xZI3e</vt:lpstr>
      <vt:lpstr>xZI3s</vt:lpstr>
      <vt:lpstr>xZIe</vt:lpstr>
      <vt:lpstr>Profil!xZIs</vt:lpstr>
      <vt:lpstr>ZI1choix</vt:lpstr>
      <vt:lpstr>ZI2choix</vt:lpstr>
      <vt:lpstr>ZI3choix</vt:lpstr>
      <vt:lpstr>COUTS!Zone_d_impression</vt:lpstr>
      <vt:lpstr>'DEVIS 3'!Zone_d_impression</vt:lpstr>
      <vt:lpstr>Simulation!Zone_d_impression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Proprietaire</dc:creator>
  <cp:lastModifiedBy>Proprietaire</cp:lastModifiedBy>
  <cp:revision>27</cp:revision>
  <cp:lastPrinted>2018-11-19T14:19:13Z</cp:lastPrinted>
  <dcterms:created xsi:type="dcterms:W3CDTF">2017-01-19T10:40:06Z</dcterms:created>
  <dcterms:modified xsi:type="dcterms:W3CDTF">2018-12-19T09:50:32Z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P_MA">
    <vt:lpwstr/>
  </property>
  <property fmtid="{D5CDD505-2E9C-101B-9397-08002B2CF9AE}" pid="3" name="PROP_MO">
    <vt:lpwstr/>
  </property>
  <property fmtid="{D5CDD505-2E9C-101B-9397-08002B2CF9AE}" pid="4" name="PROP_MP">
    <vt:lpwstr/>
  </property>
  <property fmtid="{D5CDD505-2E9C-101B-9397-08002B2CF9AE}" pid="5" name="PROP_SLICER_Segment_Catégorie">
    <vt:lpwstr/>
  </property>
  <property fmtid="{D5CDD505-2E9C-101B-9397-08002B2CF9AE}" pid="6" name="PROP_SLICER_Segment_Catégorie1">
    <vt:lpwstr/>
  </property>
  <property fmtid="{D5CDD505-2E9C-101B-9397-08002B2CF9AE}" pid="7" name="PROP_SLICER_Segment_Catégorie2">
    <vt:lpwstr/>
  </property>
  <property fmtid="{D5CDD505-2E9C-101B-9397-08002B2CF9AE}" pid="8" name="PROP_SLICER_Segment_Catégorie3">
    <vt:lpwstr/>
  </property>
  <property fmtid="{D5CDD505-2E9C-101B-9397-08002B2CF9AE}" pid="9" name="PROP_SLICER_Segment_FOURNISSEURS">
    <vt:lpwstr/>
  </property>
</Properties>
</file>